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sh1\Desktop\"/>
    </mc:Choice>
  </mc:AlternateContent>
  <xr:revisionPtr revIDLastSave="0" documentId="8_{3DB72B36-6ECB-48BF-A0DF-449F0CB5190A}" xr6:coauthVersionLast="47" xr6:coauthVersionMax="47" xr10:uidLastSave="{00000000-0000-0000-0000-000000000000}"/>
  <bookViews>
    <workbookView xWindow="-110" yWindow="-110" windowWidth="19420" windowHeight="10300" firstSheet="4" activeTab="8" xr2:uid="{00000000-000D-0000-FFFF-FFFF00000000}"/>
  </bookViews>
  <sheets>
    <sheet name="Cover" sheetId="10" r:id="rId1"/>
    <sheet name="Revenue Model" sheetId="1" r:id="rId2"/>
    <sheet name="Income Statement" sheetId="4" r:id="rId3"/>
    <sheet name="Balance Sheet" sheetId="2" r:id="rId4"/>
    <sheet name="Derived Cash flow" sheetId="3" r:id="rId5"/>
    <sheet name="Cash Flow" sheetId="5" r:id="rId6"/>
    <sheet name="Ratio Analysis" sheetId="6" r:id="rId7"/>
    <sheet name="ke" sheetId="7" r:id="rId8"/>
    <sheet name="FCFE" sheetId="8" r:id="rId9"/>
    <sheet name="Comparables" sheetId="9" r:id="rId10"/>
  </sheets>
  <definedNames>
    <definedName name="Google_Sheet_Link_1072010244" hidden="1">_xlchart.v2.7</definedName>
    <definedName name="Google_Sheet_Link_1592773249" hidden="1">_xlchart.v2.6</definedName>
    <definedName name="Google_Sheet_Link_1670378452" hidden="1">_xlchart.v2.10</definedName>
    <definedName name="Google_Sheet_Link_1940279213" hidden="1">_xlchart.v1.2</definedName>
    <definedName name="Google_Sheet_Link_2064320880" hidden="1">_xlchart.v2.8</definedName>
    <definedName name="Google_Sheet_Link_264475595" hidden="1">_xlchart.v1.5</definedName>
    <definedName name="Google_Sheet_Link_561203536" hidden="1">_xlchart.v1.1</definedName>
    <definedName name="Google_Sheet_Link_588006147" hidden="1">_xlchart.v1.3</definedName>
    <definedName name="Google_Sheet_Link_606161684" hidden="1">_xlchart.v1.0</definedName>
    <definedName name="Google_Sheet_Link_825075700" hidden="1">_xlchart.v1.4</definedName>
    <definedName name="Google_Sheet_Link_898859699" hidden="1">_xlchart.v2.11</definedName>
    <definedName name="Google_Sheet_Link_976215695" hidden="1">_xlchart.v2.9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eBNAM3eRAEjyiI12HKFXQYLB8VatiXLBaSO7PC5eexk="/>
    </ext>
  </extLst>
</workbook>
</file>

<file path=xl/calcChain.xml><?xml version="1.0" encoding="utf-8"?>
<calcChain xmlns="http://schemas.openxmlformats.org/spreadsheetml/2006/main">
  <c r="L4" i="1" l="1"/>
  <c r="M4" i="1" s="1"/>
  <c r="N4" i="1" s="1"/>
  <c r="O4" i="1" s="1"/>
  <c r="P4" i="1" s="1"/>
  <c r="N96" i="4"/>
  <c r="O96" i="4"/>
  <c r="P96" i="4"/>
  <c r="Q96" i="4"/>
  <c r="M96" i="4"/>
  <c r="M91" i="4"/>
  <c r="N91" i="4"/>
  <c r="O91" i="4"/>
  <c r="P91" i="4"/>
  <c r="Q91" i="4"/>
  <c r="M41" i="1"/>
  <c r="N41" i="1"/>
  <c r="O41" i="1"/>
  <c r="P41" i="1"/>
  <c r="L41" i="1"/>
  <c r="L5" i="1" s="1"/>
  <c r="M5" i="1" s="1"/>
  <c r="N5" i="1" s="1"/>
  <c r="O5" i="1" s="1"/>
  <c r="P5" i="1" s="1"/>
  <c r="M36" i="1"/>
  <c r="N36" i="1"/>
  <c r="O36" i="1"/>
  <c r="P36" i="1"/>
  <c r="L36" i="1"/>
  <c r="E4" i="10" l="1"/>
  <c r="N98" i="4"/>
  <c r="P98" i="4"/>
  <c r="Q93" i="4"/>
  <c r="N93" i="4"/>
  <c r="O93" i="4"/>
  <c r="P93" i="4"/>
  <c r="M93" i="4"/>
  <c r="H40" i="9"/>
  <c r="H43" i="9" s="1"/>
  <c r="M38" i="9"/>
  <c r="J38" i="9"/>
  <c r="I38" i="9"/>
  <c r="L38" i="9" s="1"/>
  <c r="H38" i="9"/>
  <c r="K38" i="9" s="1"/>
  <c r="G38" i="9"/>
  <c r="F38" i="9"/>
  <c r="E38" i="9"/>
  <c r="K35" i="9"/>
  <c r="J35" i="9"/>
  <c r="M35" i="9" s="1"/>
  <c r="I35" i="9"/>
  <c r="L35" i="9" s="1"/>
  <c r="H35" i="9"/>
  <c r="G35" i="9"/>
  <c r="F35" i="9"/>
  <c r="E35" i="9"/>
  <c r="P34" i="9"/>
  <c r="O34" i="9"/>
  <c r="N34" i="9"/>
  <c r="J34" i="9"/>
  <c r="M34" i="9" s="1"/>
  <c r="I34" i="9"/>
  <c r="L34" i="9" s="1"/>
  <c r="H34" i="9"/>
  <c r="K34" i="9" s="1"/>
  <c r="G34" i="9"/>
  <c r="F34" i="9"/>
  <c r="E34" i="9"/>
  <c r="M33" i="9"/>
  <c r="L33" i="9"/>
  <c r="J33" i="9"/>
  <c r="I33" i="9"/>
  <c r="H33" i="9"/>
  <c r="K33" i="9" s="1"/>
  <c r="G33" i="9"/>
  <c r="F33" i="9"/>
  <c r="E33" i="9"/>
  <c r="D33" i="9"/>
  <c r="J32" i="9"/>
  <c r="I32" i="9"/>
  <c r="H32" i="9"/>
  <c r="H41" i="9" s="1"/>
  <c r="H44" i="9" s="1"/>
  <c r="G32" i="9"/>
  <c r="F32" i="9"/>
  <c r="F40" i="9" s="1"/>
  <c r="F43" i="9" s="1"/>
  <c r="E32" i="9"/>
  <c r="F16" i="9"/>
  <c r="I13" i="9"/>
  <c r="F13" i="9"/>
  <c r="D35" i="9" s="1"/>
  <c r="I12" i="9"/>
  <c r="F12" i="9"/>
  <c r="D34" i="9" s="1"/>
  <c r="I11" i="9"/>
  <c r="P33" i="9" s="1"/>
  <c r="F11" i="9"/>
  <c r="F10" i="9"/>
  <c r="G49" i="8"/>
  <c r="H49" i="8" s="1"/>
  <c r="I49" i="8" s="1"/>
  <c r="E49" i="8"/>
  <c r="D49" i="8" s="1"/>
  <c r="C49" i="8" s="1"/>
  <c r="G39" i="8"/>
  <c r="F39" i="8"/>
  <c r="E39" i="8"/>
  <c r="D39" i="8"/>
  <c r="C39" i="8"/>
  <c r="G27" i="8"/>
  <c r="H27" i="8" s="1"/>
  <c r="I27" i="8" s="1"/>
  <c r="E27" i="8"/>
  <c r="D27" i="8" s="1"/>
  <c r="C27" i="8" s="1"/>
  <c r="B7" i="8"/>
  <c r="G4" i="8"/>
  <c r="G16" i="8" s="1"/>
  <c r="E31" i="7"/>
  <c r="E28" i="7"/>
  <c r="E27" i="7"/>
  <c r="E29" i="7" s="1"/>
  <c r="E18" i="7"/>
  <c r="E20" i="7" s="1"/>
  <c r="E22" i="7" s="1"/>
  <c r="K37" i="6"/>
  <c r="K40" i="6" s="1"/>
  <c r="J37" i="6"/>
  <c r="J40" i="6" s="1"/>
  <c r="I37" i="6"/>
  <c r="I40" i="6" s="1"/>
  <c r="H37" i="6"/>
  <c r="H40" i="6" s="1"/>
  <c r="G37" i="6"/>
  <c r="G40" i="6" s="1"/>
  <c r="F37" i="6"/>
  <c r="F40" i="6" s="1"/>
  <c r="E37" i="6"/>
  <c r="E40" i="6" s="1"/>
  <c r="D37" i="6"/>
  <c r="D40" i="6" s="1"/>
  <c r="K36" i="6"/>
  <c r="K39" i="6" s="1"/>
  <c r="J36" i="6"/>
  <c r="J39" i="6" s="1"/>
  <c r="I36" i="6"/>
  <c r="I39" i="6" s="1"/>
  <c r="H36" i="6"/>
  <c r="H39" i="6" s="1"/>
  <c r="G36" i="6"/>
  <c r="G39" i="6" s="1"/>
  <c r="F36" i="6"/>
  <c r="F39" i="6" s="1"/>
  <c r="E36" i="6"/>
  <c r="E39" i="6" s="1"/>
  <c r="D36" i="6"/>
  <c r="D39" i="6" s="1"/>
  <c r="K35" i="6"/>
  <c r="J35" i="6"/>
  <c r="I35" i="6"/>
  <c r="H35" i="6"/>
  <c r="G35" i="6"/>
  <c r="F35" i="6"/>
  <c r="E35" i="6"/>
  <c r="D35" i="6"/>
  <c r="C35" i="6"/>
  <c r="K28" i="6"/>
  <c r="J28" i="6"/>
  <c r="I28" i="6"/>
  <c r="H28" i="6"/>
  <c r="G28" i="6"/>
  <c r="F28" i="6"/>
  <c r="E28" i="6"/>
  <c r="D28" i="6"/>
  <c r="C28" i="6"/>
  <c r="B28" i="6"/>
  <c r="K27" i="6"/>
  <c r="J27" i="6"/>
  <c r="I27" i="6"/>
  <c r="H27" i="6"/>
  <c r="G27" i="6"/>
  <c r="F27" i="6"/>
  <c r="E27" i="6"/>
  <c r="D27" i="6"/>
  <c r="C27" i="6"/>
  <c r="B27" i="6"/>
  <c r="K23" i="6"/>
  <c r="J23" i="6"/>
  <c r="I23" i="6"/>
  <c r="H23" i="6"/>
  <c r="G23" i="6"/>
  <c r="F23" i="6"/>
  <c r="E23" i="6"/>
  <c r="D23" i="6"/>
  <c r="C23" i="6"/>
  <c r="K22" i="6"/>
  <c r="J22" i="6"/>
  <c r="I22" i="6"/>
  <c r="H22" i="6"/>
  <c r="G22" i="6"/>
  <c r="F22" i="6"/>
  <c r="E22" i="6"/>
  <c r="D22" i="6"/>
  <c r="C22" i="6"/>
  <c r="B22" i="6"/>
  <c r="K19" i="6"/>
  <c r="J19" i="6"/>
  <c r="I19" i="6"/>
  <c r="H19" i="6"/>
  <c r="G19" i="6"/>
  <c r="F19" i="6"/>
  <c r="E19" i="6"/>
  <c r="D19" i="6"/>
  <c r="C19" i="6"/>
  <c r="B19" i="6"/>
  <c r="K18" i="6"/>
  <c r="J18" i="6"/>
  <c r="I18" i="6"/>
  <c r="H18" i="6"/>
  <c r="G18" i="6"/>
  <c r="F18" i="6"/>
  <c r="E18" i="6"/>
  <c r="D18" i="6"/>
  <c r="C18" i="6"/>
  <c r="B18" i="6"/>
  <c r="K15" i="6"/>
  <c r="J15" i="6"/>
  <c r="I15" i="6"/>
  <c r="H15" i="6"/>
  <c r="G15" i="6"/>
  <c r="F15" i="6"/>
  <c r="E15" i="6"/>
  <c r="D15" i="6"/>
  <c r="C15" i="6"/>
  <c r="K14" i="6"/>
  <c r="J14" i="6"/>
  <c r="I14" i="6"/>
  <c r="H14" i="6"/>
  <c r="G14" i="6"/>
  <c r="F14" i="6"/>
  <c r="E14" i="6"/>
  <c r="D14" i="6"/>
  <c r="C14" i="6"/>
  <c r="K10" i="6"/>
  <c r="J10" i="6"/>
  <c r="I10" i="6"/>
  <c r="H10" i="6"/>
  <c r="G10" i="6"/>
  <c r="F10" i="6"/>
  <c r="E10" i="6"/>
  <c r="D10" i="6"/>
  <c r="C10" i="6"/>
  <c r="B10" i="6"/>
  <c r="K8" i="6"/>
  <c r="J8" i="6"/>
  <c r="I8" i="6"/>
  <c r="H8" i="6"/>
  <c r="G8" i="6"/>
  <c r="F8" i="6"/>
  <c r="E8" i="6"/>
  <c r="D8" i="6"/>
  <c r="C8" i="6"/>
  <c r="B8" i="6"/>
  <c r="K7" i="6"/>
  <c r="J7" i="6"/>
  <c r="I7" i="6"/>
  <c r="H7" i="6"/>
  <c r="G7" i="6"/>
  <c r="F7" i="6"/>
  <c r="E7" i="6"/>
  <c r="D7" i="6"/>
  <c r="C7" i="6"/>
  <c r="B7" i="6"/>
  <c r="K189" i="5"/>
  <c r="J189" i="5"/>
  <c r="I189" i="5"/>
  <c r="H189" i="5"/>
  <c r="G189" i="5"/>
  <c r="F189" i="5"/>
  <c r="E189" i="5"/>
  <c r="D189" i="5"/>
  <c r="C189" i="5"/>
  <c r="K188" i="5"/>
  <c r="J188" i="5"/>
  <c r="I188" i="5"/>
  <c r="H188" i="5"/>
  <c r="G188" i="5"/>
  <c r="F188" i="5"/>
  <c r="E188" i="5"/>
  <c r="D188" i="5"/>
  <c r="C188" i="5"/>
  <c r="K187" i="5"/>
  <c r="J187" i="5"/>
  <c r="I187" i="5"/>
  <c r="H187" i="5"/>
  <c r="G187" i="5"/>
  <c r="F187" i="5"/>
  <c r="E187" i="5"/>
  <c r="D187" i="5"/>
  <c r="C187" i="5"/>
  <c r="K186" i="5"/>
  <c r="J186" i="5"/>
  <c r="I186" i="5"/>
  <c r="H186" i="5"/>
  <c r="G186" i="5"/>
  <c r="F186" i="5"/>
  <c r="E186" i="5"/>
  <c r="D186" i="5"/>
  <c r="C186" i="5"/>
  <c r="K184" i="5"/>
  <c r="J184" i="5"/>
  <c r="I184" i="5"/>
  <c r="H184" i="5"/>
  <c r="G184" i="5"/>
  <c r="F184" i="5"/>
  <c r="E184" i="5"/>
  <c r="D184" i="5"/>
  <c r="C184" i="5"/>
  <c r="K182" i="5"/>
  <c r="J182" i="5"/>
  <c r="I182" i="5"/>
  <c r="H182" i="5"/>
  <c r="G182" i="5"/>
  <c r="F182" i="5"/>
  <c r="E182" i="5"/>
  <c r="D182" i="5"/>
  <c r="C182" i="5"/>
  <c r="K181" i="5"/>
  <c r="J181" i="5"/>
  <c r="I181" i="5"/>
  <c r="H181" i="5"/>
  <c r="G181" i="5"/>
  <c r="F181" i="5"/>
  <c r="E181" i="5"/>
  <c r="D181" i="5"/>
  <c r="C181" i="5"/>
  <c r="K180" i="5"/>
  <c r="J180" i="5"/>
  <c r="I180" i="5"/>
  <c r="H180" i="5"/>
  <c r="G180" i="5"/>
  <c r="F180" i="5"/>
  <c r="E180" i="5"/>
  <c r="D180" i="5"/>
  <c r="C180" i="5"/>
  <c r="K179" i="5"/>
  <c r="J179" i="5"/>
  <c r="I179" i="5"/>
  <c r="H179" i="5"/>
  <c r="G179" i="5"/>
  <c r="F179" i="5"/>
  <c r="E179" i="5"/>
  <c r="D179" i="5"/>
  <c r="C179" i="5"/>
  <c r="K178" i="5"/>
  <c r="J178" i="5"/>
  <c r="I178" i="5"/>
  <c r="H178" i="5"/>
  <c r="G178" i="5"/>
  <c r="F178" i="5"/>
  <c r="E178" i="5"/>
  <c r="D178" i="5"/>
  <c r="C178" i="5"/>
  <c r="K177" i="5"/>
  <c r="J177" i="5"/>
  <c r="I177" i="5"/>
  <c r="H177" i="5"/>
  <c r="G177" i="5"/>
  <c r="F177" i="5"/>
  <c r="E177" i="5"/>
  <c r="D177" i="5"/>
  <c r="C177" i="5"/>
  <c r="K176" i="5"/>
  <c r="J176" i="5"/>
  <c r="I176" i="5"/>
  <c r="H176" i="5"/>
  <c r="G176" i="5"/>
  <c r="F176" i="5"/>
  <c r="E176" i="5"/>
  <c r="D176" i="5"/>
  <c r="C176" i="5"/>
  <c r="K175" i="5"/>
  <c r="J175" i="5"/>
  <c r="I175" i="5"/>
  <c r="H175" i="5"/>
  <c r="G175" i="5"/>
  <c r="F175" i="5"/>
  <c r="E175" i="5"/>
  <c r="D175" i="5"/>
  <c r="C175" i="5"/>
  <c r="K174" i="5"/>
  <c r="J174" i="5"/>
  <c r="I174" i="5"/>
  <c r="H174" i="5"/>
  <c r="G174" i="5"/>
  <c r="F174" i="5"/>
  <c r="E174" i="5"/>
  <c r="D174" i="5"/>
  <c r="C174" i="5"/>
  <c r="K173" i="5"/>
  <c r="J173" i="5"/>
  <c r="I173" i="5"/>
  <c r="H173" i="5"/>
  <c r="G173" i="5"/>
  <c r="F173" i="5"/>
  <c r="E173" i="5"/>
  <c r="D173" i="5"/>
  <c r="C173" i="5"/>
  <c r="K172" i="5"/>
  <c r="J172" i="5"/>
  <c r="I172" i="5"/>
  <c r="H172" i="5"/>
  <c r="G172" i="5"/>
  <c r="F172" i="5"/>
  <c r="E172" i="5"/>
  <c r="D172" i="5"/>
  <c r="C172" i="5"/>
  <c r="K171" i="5"/>
  <c r="J171" i="5"/>
  <c r="I171" i="5"/>
  <c r="H171" i="5"/>
  <c r="G171" i="5"/>
  <c r="F171" i="5"/>
  <c r="E171" i="5"/>
  <c r="D171" i="5"/>
  <c r="C171" i="5"/>
  <c r="K170" i="5"/>
  <c r="J170" i="5"/>
  <c r="I170" i="5"/>
  <c r="H170" i="5"/>
  <c r="G170" i="5"/>
  <c r="F170" i="5"/>
  <c r="E170" i="5"/>
  <c r="D170" i="5"/>
  <c r="C170" i="5"/>
  <c r="K169" i="5"/>
  <c r="J169" i="5"/>
  <c r="I169" i="5"/>
  <c r="H169" i="5"/>
  <c r="G169" i="5"/>
  <c r="F169" i="5"/>
  <c r="E169" i="5"/>
  <c r="D169" i="5"/>
  <c r="C169" i="5"/>
  <c r="K168" i="5"/>
  <c r="J168" i="5"/>
  <c r="I168" i="5"/>
  <c r="H168" i="5"/>
  <c r="G168" i="5"/>
  <c r="F168" i="5"/>
  <c r="E168" i="5"/>
  <c r="D168" i="5"/>
  <c r="C168" i="5"/>
  <c r="K167" i="5"/>
  <c r="J167" i="5"/>
  <c r="I167" i="5"/>
  <c r="H167" i="5"/>
  <c r="G167" i="5"/>
  <c r="F167" i="5"/>
  <c r="E167" i="5"/>
  <c r="D167" i="5"/>
  <c r="C167" i="5"/>
  <c r="K166" i="5"/>
  <c r="J166" i="5"/>
  <c r="I166" i="5"/>
  <c r="H166" i="5"/>
  <c r="G166" i="5"/>
  <c r="F166" i="5"/>
  <c r="E166" i="5"/>
  <c r="D166" i="5"/>
  <c r="C166" i="5"/>
  <c r="K165" i="5"/>
  <c r="J165" i="5"/>
  <c r="I165" i="5"/>
  <c r="H165" i="5"/>
  <c r="G165" i="5"/>
  <c r="F165" i="5"/>
  <c r="E165" i="5"/>
  <c r="D165" i="5"/>
  <c r="C165" i="5"/>
  <c r="K163" i="5"/>
  <c r="J163" i="5"/>
  <c r="I163" i="5"/>
  <c r="H163" i="5"/>
  <c r="G163" i="5"/>
  <c r="F163" i="5"/>
  <c r="E163" i="5"/>
  <c r="D163" i="5"/>
  <c r="C163" i="5"/>
  <c r="K162" i="5"/>
  <c r="J162" i="5"/>
  <c r="I162" i="5"/>
  <c r="H162" i="5"/>
  <c r="G162" i="5"/>
  <c r="F162" i="5"/>
  <c r="E162" i="5"/>
  <c r="D162" i="5"/>
  <c r="C162" i="5"/>
  <c r="K161" i="5"/>
  <c r="J161" i="5"/>
  <c r="I161" i="5"/>
  <c r="H161" i="5"/>
  <c r="G161" i="5"/>
  <c r="F161" i="5"/>
  <c r="E161" i="5"/>
  <c r="D161" i="5"/>
  <c r="C161" i="5"/>
  <c r="K160" i="5"/>
  <c r="J160" i="5"/>
  <c r="I160" i="5"/>
  <c r="H160" i="5"/>
  <c r="G160" i="5"/>
  <c r="F160" i="5"/>
  <c r="E160" i="5"/>
  <c r="D160" i="5"/>
  <c r="C160" i="5"/>
  <c r="K159" i="5"/>
  <c r="J159" i="5"/>
  <c r="I159" i="5"/>
  <c r="H159" i="5"/>
  <c r="G159" i="5"/>
  <c r="F159" i="5"/>
  <c r="E159" i="5"/>
  <c r="D159" i="5"/>
  <c r="C159" i="5"/>
  <c r="K158" i="5"/>
  <c r="J158" i="5"/>
  <c r="I158" i="5"/>
  <c r="H158" i="5"/>
  <c r="G158" i="5"/>
  <c r="F158" i="5"/>
  <c r="E158" i="5"/>
  <c r="D158" i="5"/>
  <c r="C158" i="5"/>
  <c r="K157" i="5"/>
  <c r="J157" i="5"/>
  <c r="I157" i="5"/>
  <c r="H157" i="5"/>
  <c r="G157" i="5"/>
  <c r="F157" i="5"/>
  <c r="E157" i="5"/>
  <c r="D157" i="5"/>
  <c r="C157" i="5"/>
  <c r="K156" i="5"/>
  <c r="J156" i="5"/>
  <c r="I156" i="5"/>
  <c r="H156" i="5"/>
  <c r="G156" i="5"/>
  <c r="F156" i="5"/>
  <c r="E156" i="5"/>
  <c r="D156" i="5"/>
  <c r="C156" i="5"/>
  <c r="K155" i="5"/>
  <c r="J155" i="5"/>
  <c r="I155" i="5"/>
  <c r="H155" i="5"/>
  <c r="G155" i="5"/>
  <c r="F155" i="5"/>
  <c r="E155" i="5"/>
  <c r="D155" i="5"/>
  <c r="C155" i="5"/>
  <c r="K154" i="5"/>
  <c r="J154" i="5"/>
  <c r="I154" i="5"/>
  <c r="H154" i="5"/>
  <c r="G154" i="5"/>
  <c r="F154" i="5"/>
  <c r="E154" i="5"/>
  <c r="D154" i="5"/>
  <c r="C154" i="5"/>
  <c r="K153" i="5"/>
  <c r="J153" i="5"/>
  <c r="I153" i="5"/>
  <c r="H153" i="5"/>
  <c r="G153" i="5"/>
  <c r="F153" i="5"/>
  <c r="E153" i="5"/>
  <c r="D153" i="5"/>
  <c r="C153" i="5"/>
  <c r="K152" i="5"/>
  <c r="J152" i="5"/>
  <c r="I152" i="5"/>
  <c r="H152" i="5"/>
  <c r="G152" i="5"/>
  <c r="F152" i="5"/>
  <c r="E152" i="5"/>
  <c r="D152" i="5"/>
  <c r="C152" i="5"/>
  <c r="K151" i="5"/>
  <c r="J151" i="5"/>
  <c r="I151" i="5"/>
  <c r="H151" i="5"/>
  <c r="G151" i="5"/>
  <c r="F151" i="5"/>
  <c r="E151" i="5"/>
  <c r="D151" i="5"/>
  <c r="C151" i="5"/>
  <c r="K150" i="5"/>
  <c r="J150" i="5"/>
  <c r="I150" i="5"/>
  <c r="H150" i="5"/>
  <c r="G150" i="5"/>
  <c r="F150" i="5"/>
  <c r="E150" i="5"/>
  <c r="D150" i="5"/>
  <c r="C150" i="5"/>
  <c r="K148" i="5"/>
  <c r="J148" i="5"/>
  <c r="I148" i="5"/>
  <c r="H148" i="5"/>
  <c r="G148" i="5"/>
  <c r="F148" i="5"/>
  <c r="E148" i="5"/>
  <c r="D148" i="5"/>
  <c r="C148" i="5"/>
  <c r="K147" i="5"/>
  <c r="J147" i="5"/>
  <c r="I147" i="5"/>
  <c r="H147" i="5"/>
  <c r="G147" i="5"/>
  <c r="F147" i="5"/>
  <c r="E147" i="5"/>
  <c r="D147" i="5"/>
  <c r="C147" i="5"/>
  <c r="K146" i="5"/>
  <c r="J146" i="5"/>
  <c r="I146" i="5"/>
  <c r="H146" i="5"/>
  <c r="G146" i="5"/>
  <c r="F146" i="5"/>
  <c r="E146" i="5"/>
  <c r="D146" i="5"/>
  <c r="C146" i="5"/>
  <c r="K145" i="5"/>
  <c r="J145" i="5"/>
  <c r="I145" i="5"/>
  <c r="H145" i="5"/>
  <c r="G145" i="5"/>
  <c r="F145" i="5"/>
  <c r="E145" i="5"/>
  <c r="D145" i="5"/>
  <c r="C145" i="5"/>
  <c r="K144" i="5"/>
  <c r="J144" i="5"/>
  <c r="I144" i="5"/>
  <c r="H144" i="5"/>
  <c r="G144" i="5"/>
  <c r="F144" i="5"/>
  <c r="E144" i="5"/>
  <c r="D144" i="5"/>
  <c r="C144" i="5"/>
  <c r="K143" i="5"/>
  <c r="J143" i="5"/>
  <c r="I143" i="5"/>
  <c r="H143" i="5"/>
  <c r="G143" i="5"/>
  <c r="F143" i="5"/>
  <c r="E143" i="5"/>
  <c r="D143" i="5"/>
  <c r="C143" i="5"/>
  <c r="K142" i="5"/>
  <c r="J142" i="5"/>
  <c r="I142" i="5"/>
  <c r="H142" i="5"/>
  <c r="G142" i="5"/>
  <c r="F142" i="5"/>
  <c r="E142" i="5"/>
  <c r="D142" i="5"/>
  <c r="C142" i="5"/>
  <c r="K141" i="5"/>
  <c r="J141" i="5"/>
  <c r="I141" i="5"/>
  <c r="H141" i="5"/>
  <c r="G141" i="5"/>
  <c r="F141" i="5"/>
  <c r="E141" i="5"/>
  <c r="D141" i="5"/>
  <c r="C141" i="5"/>
  <c r="K140" i="5"/>
  <c r="J140" i="5"/>
  <c r="I140" i="5"/>
  <c r="H140" i="5"/>
  <c r="G140" i="5"/>
  <c r="F140" i="5"/>
  <c r="E140" i="5"/>
  <c r="D140" i="5"/>
  <c r="C140" i="5"/>
  <c r="K139" i="5"/>
  <c r="J139" i="5"/>
  <c r="I139" i="5"/>
  <c r="H139" i="5"/>
  <c r="G139" i="5"/>
  <c r="F139" i="5"/>
  <c r="E139" i="5"/>
  <c r="D139" i="5"/>
  <c r="C139" i="5"/>
  <c r="K138" i="5"/>
  <c r="J138" i="5"/>
  <c r="I138" i="5"/>
  <c r="H138" i="5"/>
  <c r="G138" i="5"/>
  <c r="F138" i="5"/>
  <c r="E138" i="5"/>
  <c r="D138" i="5"/>
  <c r="C138" i="5"/>
  <c r="K137" i="5"/>
  <c r="J137" i="5"/>
  <c r="I137" i="5"/>
  <c r="H137" i="5"/>
  <c r="G137" i="5"/>
  <c r="F137" i="5"/>
  <c r="E137" i="5"/>
  <c r="D137" i="5"/>
  <c r="C137" i="5"/>
  <c r="K136" i="5"/>
  <c r="J136" i="5"/>
  <c r="I136" i="5"/>
  <c r="H136" i="5"/>
  <c r="G136" i="5"/>
  <c r="F136" i="5"/>
  <c r="E136" i="5"/>
  <c r="D136" i="5"/>
  <c r="C136" i="5"/>
  <c r="K135" i="5"/>
  <c r="J135" i="5"/>
  <c r="I135" i="5"/>
  <c r="H135" i="5"/>
  <c r="G135" i="5"/>
  <c r="F135" i="5"/>
  <c r="E135" i="5"/>
  <c r="D135" i="5"/>
  <c r="C135" i="5"/>
  <c r="K134" i="5"/>
  <c r="J134" i="5"/>
  <c r="I134" i="5"/>
  <c r="H134" i="5"/>
  <c r="G134" i="5"/>
  <c r="F134" i="5"/>
  <c r="E134" i="5"/>
  <c r="D134" i="5"/>
  <c r="C134" i="5"/>
  <c r="K133" i="5"/>
  <c r="J133" i="5"/>
  <c r="I133" i="5"/>
  <c r="H133" i="5"/>
  <c r="G133" i="5"/>
  <c r="F133" i="5"/>
  <c r="E133" i="5"/>
  <c r="D133" i="5"/>
  <c r="C133" i="5"/>
  <c r="K132" i="5"/>
  <c r="J132" i="5"/>
  <c r="I132" i="5"/>
  <c r="H132" i="5"/>
  <c r="G132" i="5"/>
  <c r="F132" i="5"/>
  <c r="E132" i="5"/>
  <c r="D132" i="5"/>
  <c r="C132" i="5"/>
  <c r="K131" i="5"/>
  <c r="J131" i="5"/>
  <c r="I131" i="5"/>
  <c r="H131" i="5"/>
  <c r="G131" i="5"/>
  <c r="F131" i="5"/>
  <c r="E131" i="5"/>
  <c r="D131" i="5"/>
  <c r="C131" i="5"/>
  <c r="K125" i="5"/>
  <c r="J125" i="5"/>
  <c r="I125" i="5"/>
  <c r="H125" i="5"/>
  <c r="G125" i="5"/>
  <c r="F125" i="5"/>
  <c r="E125" i="5"/>
  <c r="D125" i="5"/>
  <c r="C125" i="5"/>
  <c r="B125" i="5"/>
  <c r="K124" i="5"/>
  <c r="J124" i="5"/>
  <c r="I124" i="5"/>
  <c r="H124" i="5"/>
  <c r="G124" i="5"/>
  <c r="F124" i="5"/>
  <c r="E124" i="5"/>
  <c r="D124" i="5"/>
  <c r="C124" i="5"/>
  <c r="B124" i="5"/>
  <c r="K123" i="5"/>
  <c r="J123" i="5"/>
  <c r="I123" i="5"/>
  <c r="H123" i="5"/>
  <c r="G123" i="5"/>
  <c r="F123" i="5"/>
  <c r="E123" i="5"/>
  <c r="D123" i="5"/>
  <c r="C123" i="5"/>
  <c r="B123" i="5"/>
  <c r="K122" i="5"/>
  <c r="J122" i="5"/>
  <c r="I122" i="5"/>
  <c r="H122" i="5"/>
  <c r="G122" i="5"/>
  <c r="F122" i="5"/>
  <c r="E122" i="5"/>
  <c r="D122" i="5"/>
  <c r="C122" i="5"/>
  <c r="B122" i="5"/>
  <c r="K121" i="5"/>
  <c r="J121" i="5"/>
  <c r="I121" i="5"/>
  <c r="H121" i="5"/>
  <c r="G121" i="5"/>
  <c r="F121" i="5"/>
  <c r="E121" i="5"/>
  <c r="D121" i="5"/>
  <c r="C121" i="5"/>
  <c r="B121" i="5"/>
  <c r="K120" i="5"/>
  <c r="J120" i="5"/>
  <c r="I120" i="5"/>
  <c r="H120" i="5"/>
  <c r="G120" i="5"/>
  <c r="F120" i="5"/>
  <c r="E120" i="5"/>
  <c r="D120" i="5"/>
  <c r="C120" i="5"/>
  <c r="B120" i="5"/>
  <c r="K119" i="5"/>
  <c r="J119" i="5"/>
  <c r="I119" i="5"/>
  <c r="H119" i="5"/>
  <c r="G119" i="5"/>
  <c r="F119" i="5"/>
  <c r="E119" i="5"/>
  <c r="D119" i="5"/>
  <c r="C119" i="5"/>
  <c r="B119" i="5"/>
  <c r="K118" i="5"/>
  <c r="J118" i="5"/>
  <c r="I118" i="5"/>
  <c r="H118" i="5"/>
  <c r="G118" i="5"/>
  <c r="F118" i="5"/>
  <c r="E118" i="5"/>
  <c r="D118" i="5"/>
  <c r="C118" i="5"/>
  <c r="B118" i="5"/>
  <c r="K117" i="5"/>
  <c r="J117" i="5"/>
  <c r="I117" i="5"/>
  <c r="H117" i="5"/>
  <c r="G117" i="5"/>
  <c r="F117" i="5"/>
  <c r="E117" i="5"/>
  <c r="D117" i="5"/>
  <c r="C117" i="5"/>
  <c r="B117" i="5"/>
  <c r="K116" i="5"/>
  <c r="J116" i="5"/>
  <c r="I116" i="5"/>
  <c r="H116" i="5"/>
  <c r="G116" i="5"/>
  <c r="F116" i="5"/>
  <c r="E116" i="5"/>
  <c r="D116" i="5"/>
  <c r="C116" i="5"/>
  <c r="B116" i="5"/>
  <c r="K115" i="5"/>
  <c r="J115" i="5"/>
  <c r="I115" i="5"/>
  <c r="H115" i="5"/>
  <c r="G115" i="5"/>
  <c r="F115" i="5"/>
  <c r="E115" i="5"/>
  <c r="D115" i="5"/>
  <c r="C115" i="5"/>
  <c r="B115" i="5"/>
  <c r="K114" i="5"/>
  <c r="J114" i="5"/>
  <c r="I114" i="5"/>
  <c r="H114" i="5"/>
  <c r="G114" i="5"/>
  <c r="F114" i="5"/>
  <c r="E114" i="5"/>
  <c r="D114" i="5"/>
  <c r="C114" i="5"/>
  <c r="B114" i="5"/>
  <c r="K113" i="5"/>
  <c r="J113" i="5"/>
  <c r="I113" i="5"/>
  <c r="H113" i="5"/>
  <c r="G113" i="5"/>
  <c r="F113" i="5"/>
  <c r="E113" i="5"/>
  <c r="D113" i="5"/>
  <c r="C113" i="5"/>
  <c r="B113" i="5"/>
  <c r="K112" i="5"/>
  <c r="J112" i="5"/>
  <c r="I112" i="5"/>
  <c r="H112" i="5"/>
  <c r="G112" i="5"/>
  <c r="F112" i="5"/>
  <c r="E112" i="5"/>
  <c r="D112" i="5"/>
  <c r="C112" i="5"/>
  <c r="B112" i="5"/>
  <c r="K111" i="5"/>
  <c r="J111" i="5"/>
  <c r="I111" i="5"/>
  <c r="H111" i="5"/>
  <c r="G111" i="5"/>
  <c r="F111" i="5"/>
  <c r="E111" i="5"/>
  <c r="D111" i="5"/>
  <c r="C111" i="5"/>
  <c r="B111" i="5"/>
  <c r="K110" i="5"/>
  <c r="J110" i="5"/>
  <c r="I110" i="5"/>
  <c r="H110" i="5"/>
  <c r="G110" i="5"/>
  <c r="F110" i="5"/>
  <c r="E110" i="5"/>
  <c r="D110" i="5"/>
  <c r="C110" i="5"/>
  <c r="B110" i="5"/>
  <c r="K109" i="5"/>
  <c r="J109" i="5"/>
  <c r="I109" i="5"/>
  <c r="H109" i="5"/>
  <c r="G109" i="5"/>
  <c r="F109" i="5"/>
  <c r="E109" i="5"/>
  <c r="D109" i="5"/>
  <c r="C109" i="5"/>
  <c r="B109" i="5"/>
  <c r="K108" i="5"/>
  <c r="J108" i="5"/>
  <c r="I108" i="5"/>
  <c r="H108" i="5"/>
  <c r="G108" i="5"/>
  <c r="F108" i="5"/>
  <c r="E108" i="5"/>
  <c r="D108" i="5"/>
  <c r="C108" i="5"/>
  <c r="B108" i="5"/>
  <c r="K107" i="5"/>
  <c r="J107" i="5"/>
  <c r="I107" i="5"/>
  <c r="H107" i="5"/>
  <c r="G107" i="5"/>
  <c r="F107" i="5"/>
  <c r="E107" i="5"/>
  <c r="D107" i="5"/>
  <c r="C107" i="5"/>
  <c r="B107" i="5"/>
  <c r="K106" i="5"/>
  <c r="J106" i="5"/>
  <c r="I106" i="5"/>
  <c r="H106" i="5"/>
  <c r="G106" i="5"/>
  <c r="F106" i="5"/>
  <c r="E106" i="5"/>
  <c r="D106" i="5"/>
  <c r="C106" i="5"/>
  <c r="B106" i="5"/>
  <c r="K105" i="5"/>
  <c r="J105" i="5"/>
  <c r="I105" i="5"/>
  <c r="H105" i="5"/>
  <c r="G105" i="5"/>
  <c r="F105" i="5"/>
  <c r="E105" i="5"/>
  <c r="D105" i="5"/>
  <c r="C105" i="5"/>
  <c r="B105" i="5"/>
  <c r="K104" i="5"/>
  <c r="J104" i="5"/>
  <c r="I104" i="5"/>
  <c r="H104" i="5"/>
  <c r="G104" i="5"/>
  <c r="F104" i="5"/>
  <c r="E104" i="5"/>
  <c r="D104" i="5"/>
  <c r="C104" i="5"/>
  <c r="B104" i="5"/>
  <c r="K103" i="5"/>
  <c r="J103" i="5"/>
  <c r="I103" i="5"/>
  <c r="H103" i="5"/>
  <c r="G103" i="5"/>
  <c r="F103" i="5"/>
  <c r="E103" i="5"/>
  <c r="D103" i="5"/>
  <c r="C103" i="5"/>
  <c r="B103" i="5"/>
  <c r="K102" i="5"/>
  <c r="J102" i="5"/>
  <c r="I102" i="5"/>
  <c r="H102" i="5"/>
  <c r="G102" i="5"/>
  <c r="F102" i="5"/>
  <c r="E102" i="5"/>
  <c r="D102" i="5"/>
  <c r="C102" i="5"/>
  <c r="B102" i="5"/>
  <c r="K101" i="5"/>
  <c r="J101" i="5"/>
  <c r="I101" i="5"/>
  <c r="H101" i="5"/>
  <c r="G101" i="5"/>
  <c r="F101" i="5"/>
  <c r="E101" i="5"/>
  <c r="D101" i="5"/>
  <c r="C101" i="5"/>
  <c r="B101" i="5"/>
  <c r="K100" i="5"/>
  <c r="J100" i="5"/>
  <c r="I100" i="5"/>
  <c r="H100" i="5"/>
  <c r="G100" i="5"/>
  <c r="F100" i="5"/>
  <c r="E100" i="5"/>
  <c r="D100" i="5"/>
  <c r="C100" i="5"/>
  <c r="B100" i="5"/>
  <c r="K99" i="5"/>
  <c r="J99" i="5"/>
  <c r="I99" i="5"/>
  <c r="H99" i="5"/>
  <c r="G99" i="5"/>
  <c r="F99" i="5"/>
  <c r="E99" i="5"/>
  <c r="D99" i="5"/>
  <c r="C99" i="5"/>
  <c r="B99" i="5"/>
  <c r="K98" i="5"/>
  <c r="J98" i="5"/>
  <c r="I98" i="5"/>
  <c r="H98" i="5"/>
  <c r="G98" i="5"/>
  <c r="F98" i="5"/>
  <c r="E98" i="5"/>
  <c r="D98" i="5"/>
  <c r="C98" i="5"/>
  <c r="B98" i="5"/>
  <c r="K97" i="5"/>
  <c r="J97" i="5"/>
  <c r="I97" i="5"/>
  <c r="H97" i="5"/>
  <c r="G97" i="5"/>
  <c r="F97" i="5"/>
  <c r="E97" i="5"/>
  <c r="D97" i="5"/>
  <c r="C97" i="5"/>
  <c r="B97" i="5"/>
  <c r="K96" i="5"/>
  <c r="J96" i="5"/>
  <c r="I96" i="5"/>
  <c r="H96" i="5"/>
  <c r="G96" i="5"/>
  <c r="F96" i="5"/>
  <c r="E96" i="5"/>
  <c r="D96" i="5"/>
  <c r="C96" i="5"/>
  <c r="B96" i="5"/>
  <c r="K95" i="5"/>
  <c r="J95" i="5"/>
  <c r="I95" i="5"/>
  <c r="H95" i="5"/>
  <c r="G95" i="5"/>
  <c r="F95" i="5"/>
  <c r="E95" i="5"/>
  <c r="D95" i="5"/>
  <c r="C95" i="5"/>
  <c r="B95" i="5"/>
  <c r="K94" i="5"/>
  <c r="J94" i="5"/>
  <c r="I94" i="5"/>
  <c r="H94" i="5"/>
  <c r="G94" i="5"/>
  <c r="F94" i="5"/>
  <c r="E94" i="5"/>
  <c r="D94" i="5"/>
  <c r="C94" i="5"/>
  <c r="B94" i="5"/>
  <c r="K93" i="5"/>
  <c r="J93" i="5"/>
  <c r="I93" i="5"/>
  <c r="H93" i="5"/>
  <c r="G93" i="5"/>
  <c r="F93" i="5"/>
  <c r="E93" i="5"/>
  <c r="D93" i="5"/>
  <c r="C93" i="5"/>
  <c r="B93" i="5"/>
  <c r="K92" i="5"/>
  <c r="J92" i="5"/>
  <c r="I92" i="5"/>
  <c r="H92" i="5"/>
  <c r="G92" i="5"/>
  <c r="F92" i="5"/>
  <c r="E92" i="5"/>
  <c r="D92" i="5"/>
  <c r="C92" i="5"/>
  <c r="B92" i="5"/>
  <c r="K91" i="5"/>
  <c r="J91" i="5"/>
  <c r="I91" i="5"/>
  <c r="H91" i="5"/>
  <c r="G91" i="5"/>
  <c r="F91" i="5"/>
  <c r="E91" i="5"/>
  <c r="D91" i="5"/>
  <c r="C91" i="5"/>
  <c r="B91" i="5"/>
  <c r="K90" i="5"/>
  <c r="J90" i="5"/>
  <c r="I90" i="5"/>
  <c r="H90" i="5"/>
  <c r="G90" i="5"/>
  <c r="F90" i="5"/>
  <c r="E90" i="5"/>
  <c r="D90" i="5"/>
  <c r="C90" i="5"/>
  <c r="B90" i="5"/>
  <c r="K89" i="5"/>
  <c r="J89" i="5"/>
  <c r="I89" i="5"/>
  <c r="H89" i="5"/>
  <c r="G89" i="5"/>
  <c r="F89" i="5"/>
  <c r="E89" i="5"/>
  <c r="D89" i="5"/>
  <c r="C89" i="5"/>
  <c r="B89" i="5"/>
  <c r="K88" i="5"/>
  <c r="J88" i="5"/>
  <c r="I88" i="5"/>
  <c r="H88" i="5"/>
  <c r="G88" i="5"/>
  <c r="F88" i="5"/>
  <c r="E88" i="5"/>
  <c r="D88" i="5"/>
  <c r="C88" i="5"/>
  <c r="B88" i="5"/>
  <c r="K87" i="5"/>
  <c r="J87" i="5"/>
  <c r="I87" i="5"/>
  <c r="H87" i="5"/>
  <c r="G87" i="5"/>
  <c r="F87" i="5"/>
  <c r="E87" i="5"/>
  <c r="D87" i="5"/>
  <c r="C87" i="5"/>
  <c r="B87" i="5"/>
  <c r="K86" i="5"/>
  <c r="J86" i="5"/>
  <c r="I86" i="5"/>
  <c r="H86" i="5"/>
  <c r="G86" i="5"/>
  <c r="F86" i="5"/>
  <c r="E86" i="5"/>
  <c r="D86" i="5"/>
  <c r="C86" i="5"/>
  <c r="B86" i="5"/>
  <c r="K85" i="5"/>
  <c r="J85" i="5"/>
  <c r="I85" i="5"/>
  <c r="H85" i="5"/>
  <c r="G85" i="5"/>
  <c r="F85" i="5"/>
  <c r="E85" i="5"/>
  <c r="D85" i="5"/>
  <c r="C85" i="5"/>
  <c r="B85" i="5"/>
  <c r="K84" i="5"/>
  <c r="J84" i="5"/>
  <c r="I84" i="5"/>
  <c r="H84" i="5"/>
  <c r="G84" i="5"/>
  <c r="F84" i="5"/>
  <c r="E84" i="5"/>
  <c r="D84" i="5"/>
  <c r="C84" i="5"/>
  <c r="B84" i="5"/>
  <c r="K83" i="5"/>
  <c r="J83" i="5"/>
  <c r="I83" i="5"/>
  <c r="H83" i="5"/>
  <c r="G83" i="5"/>
  <c r="F83" i="5"/>
  <c r="E83" i="5"/>
  <c r="D83" i="5"/>
  <c r="C83" i="5"/>
  <c r="B83" i="5"/>
  <c r="K82" i="5"/>
  <c r="J82" i="5"/>
  <c r="I82" i="5"/>
  <c r="H82" i="5"/>
  <c r="G82" i="5"/>
  <c r="F82" i="5"/>
  <c r="E82" i="5"/>
  <c r="D82" i="5"/>
  <c r="C82" i="5"/>
  <c r="B82" i="5"/>
  <c r="K81" i="5"/>
  <c r="J81" i="5"/>
  <c r="I81" i="5"/>
  <c r="H81" i="5"/>
  <c r="G81" i="5"/>
  <c r="F81" i="5"/>
  <c r="E81" i="5"/>
  <c r="D81" i="5"/>
  <c r="C81" i="5"/>
  <c r="B81" i="5"/>
  <c r="K80" i="5"/>
  <c r="J80" i="5"/>
  <c r="I80" i="5"/>
  <c r="H80" i="5"/>
  <c r="G80" i="5"/>
  <c r="F80" i="5"/>
  <c r="E80" i="5"/>
  <c r="D80" i="5"/>
  <c r="C80" i="5"/>
  <c r="B80" i="5"/>
  <c r="K79" i="5"/>
  <c r="J79" i="5"/>
  <c r="I79" i="5"/>
  <c r="H79" i="5"/>
  <c r="G79" i="5"/>
  <c r="F79" i="5"/>
  <c r="E79" i="5"/>
  <c r="D79" i="5"/>
  <c r="C79" i="5"/>
  <c r="B79" i="5"/>
  <c r="K78" i="5"/>
  <c r="J78" i="5"/>
  <c r="I78" i="5"/>
  <c r="H78" i="5"/>
  <c r="G78" i="5"/>
  <c r="F78" i="5"/>
  <c r="E78" i="5"/>
  <c r="D78" i="5"/>
  <c r="C78" i="5"/>
  <c r="B78" i="5"/>
  <c r="K77" i="5"/>
  <c r="J77" i="5"/>
  <c r="I77" i="5"/>
  <c r="H77" i="5"/>
  <c r="G77" i="5"/>
  <c r="F77" i="5"/>
  <c r="E77" i="5"/>
  <c r="D77" i="5"/>
  <c r="C77" i="5"/>
  <c r="B77" i="5"/>
  <c r="K76" i="5"/>
  <c r="J76" i="5"/>
  <c r="I76" i="5"/>
  <c r="H76" i="5"/>
  <c r="G76" i="5"/>
  <c r="F76" i="5"/>
  <c r="E76" i="5"/>
  <c r="D76" i="5"/>
  <c r="C76" i="5"/>
  <c r="B76" i="5"/>
  <c r="K75" i="5"/>
  <c r="J75" i="5"/>
  <c r="I75" i="5"/>
  <c r="H75" i="5"/>
  <c r="G75" i="5"/>
  <c r="F75" i="5"/>
  <c r="E75" i="5"/>
  <c r="D75" i="5"/>
  <c r="C75" i="5"/>
  <c r="B75" i="5"/>
  <c r="K74" i="5"/>
  <c r="J74" i="5"/>
  <c r="I74" i="5"/>
  <c r="H74" i="5"/>
  <c r="G74" i="5"/>
  <c r="F74" i="5"/>
  <c r="E74" i="5"/>
  <c r="D74" i="5"/>
  <c r="C74" i="5"/>
  <c r="B74" i="5"/>
  <c r="K73" i="5"/>
  <c r="J73" i="5"/>
  <c r="I73" i="5"/>
  <c r="H73" i="5"/>
  <c r="G73" i="5"/>
  <c r="F73" i="5"/>
  <c r="E73" i="5"/>
  <c r="D73" i="5"/>
  <c r="C73" i="5"/>
  <c r="B73" i="5"/>
  <c r="K72" i="5"/>
  <c r="J72" i="5"/>
  <c r="I72" i="5"/>
  <c r="H72" i="5"/>
  <c r="G72" i="5"/>
  <c r="F72" i="5"/>
  <c r="E72" i="5"/>
  <c r="D72" i="5"/>
  <c r="C72" i="5"/>
  <c r="B72" i="5"/>
  <c r="K71" i="5"/>
  <c r="J71" i="5"/>
  <c r="I71" i="5"/>
  <c r="H71" i="5"/>
  <c r="G71" i="5"/>
  <c r="F71" i="5"/>
  <c r="E71" i="5"/>
  <c r="D71" i="5"/>
  <c r="C71" i="5"/>
  <c r="B71" i="5"/>
  <c r="K70" i="5"/>
  <c r="J70" i="5"/>
  <c r="I70" i="5"/>
  <c r="H70" i="5"/>
  <c r="G70" i="5"/>
  <c r="F70" i="5"/>
  <c r="E70" i="5"/>
  <c r="D70" i="5"/>
  <c r="C70" i="5"/>
  <c r="B70" i="5"/>
  <c r="K69" i="5"/>
  <c r="J69" i="5"/>
  <c r="I69" i="5"/>
  <c r="H69" i="5"/>
  <c r="G69" i="5"/>
  <c r="F69" i="5"/>
  <c r="E69" i="5"/>
  <c r="D69" i="5"/>
  <c r="C69" i="5"/>
  <c r="B69" i="5"/>
  <c r="K68" i="5"/>
  <c r="J68" i="5"/>
  <c r="I68" i="5"/>
  <c r="H68" i="5"/>
  <c r="G68" i="5"/>
  <c r="F68" i="5"/>
  <c r="E68" i="5"/>
  <c r="D68" i="5"/>
  <c r="C68" i="5"/>
  <c r="B68" i="5"/>
  <c r="K67" i="5"/>
  <c r="J67" i="5"/>
  <c r="I67" i="5"/>
  <c r="H67" i="5"/>
  <c r="G67" i="5"/>
  <c r="F67" i="5"/>
  <c r="E67" i="5"/>
  <c r="D67" i="5"/>
  <c r="C67" i="5"/>
  <c r="B67" i="5"/>
  <c r="L103" i="4"/>
  <c r="K103" i="4"/>
  <c r="J103" i="4"/>
  <c r="I103" i="4"/>
  <c r="H103" i="4"/>
  <c r="G103" i="4"/>
  <c r="F103" i="4"/>
  <c r="E103" i="4"/>
  <c r="D103" i="4"/>
  <c r="C103" i="4"/>
  <c r="L102" i="4"/>
  <c r="K102" i="4"/>
  <c r="J102" i="4"/>
  <c r="I102" i="4"/>
  <c r="H102" i="4"/>
  <c r="G102" i="4"/>
  <c r="F102" i="4"/>
  <c r="E102" i="4"/>
  <c r="D102" i="4"/>
  <c r="C102" i="4"/>
  <c r="L101" i="4"/>
  <c r="K101" i="4"/>
  <c r="J101" i="4"/>
  <c r="I101" i="4"/>
  <c r="H101" i="4"/>
  <c r="G101" i="4"/>
  <c r="F101" i="4"/>
  <c r="E101" i="4"/>
  <c r="D101" i="4"/>
  <c r="C101" i="4"/>
  <c r="Q100" i="4"/>
  <c r="L100" i="4"/>
  <c r="K100" i="4"/>
  <c r="J100" i="4"/>
  <c r="I100" i="4"/>
  <c r="H100" i="4"/>
  <c r="G100" i="4"/>
  <c r="F100" i="4"/>
  <c r="E100" i="4"/>
  <c r="D100" i="4"/>
  <c r="C100" i="4"/>
  <c r="L95" i="4"/>
  <c r="K95" i="4"/>
  <c r="J95" i="4"/>
  <c r="I95" i="4"/>
  <c r="H95" i="4"/>
  <c r="G95" i="4"/>
  <c r="F95" i="4"/>
  <c r="E95" i="4"/>
  <c r="D95" i="4"/>
  <c r="C95" i="4"/>
  <c r="L90" i="4"/>
  <c r="K90" i="4"/>
  <c r="J90" i="4"/>
  <c r="I90" i="4"/>
  <c r="H90" i="4"/>
  <c r="G90" i="4"/>
  <c r="F90" i="4"/>
  <c r="E90" i="4"/>
  <c r="D90" i="4"/>
  <c r="C90" i="4"/>
  <c r="F86" i="4"/>
  <c r="E86" i="4"/>
  <c r="D86" i="4"/>
  <c r="C86" i="4"/>
  <c r="K85" i="4"/>
  <c r="J85" i="4"/>
  <c r="I85" i="4"/>
  <c r="H85" i="4"/>
  <c r="G85" i="4"/>
  <c r="F85" i="4"/>
  <c r="E85" i="4"/>
  <c r="D85" i="4"/>
  <c r="C85" i="4"/>
  <c r="K84" i="4"/>
  <c r="J84" i="4"/>
  <c r="I84" i="4"/>
  <c r="H84" i="4"/>
  <c r="G84" i="4"/>
  <c r="F84" i="4"/>
  <c r="E84" i="4"/>
  <c r="D84" i="4"/>
  <c r="C84" i="4"/>
  <c r="K83" i="4"/>
  <c r="J83" i="4"/>
  <c r="I83" i="4"/>
  <c r="H83" i="4"/>
  <c r="G83" i="4"/>
  <c r="F83" i="4"/>
  <c r="E83" i="4"/>
  <c r="D83" i="4"/>
  <c r="C83" i="4"/>
  <c r="K82" i="4"/>
  <c r="J82" i="4"/>
  <c r="I82" i="4"/>
  <c r="H82" i="4"/>
  <c r="G82" i="4"/>
  <c r="F82" i="4"/>
  <c r="E82" i="4"/>
  <c r="D82" i="4"/>
  <c r="C82" i="4"/>
  <c r="K81" i="4"/>
  <c r="J81" i="4"/>
  <c r="I81" i="4"/>
  <c r="H81" i="4"/>
  <c r="G81" i="4"/>
  <c r="F81" i="4"/>
  <c r="E81" i="4"/>
  <c r="D81" i="4"/>
  <c r="C81" i="4"/>
  <c r="K80" i="4"/>
  <c r="J80" i="4"/>
  <c r="I80" i="4"/>
  <c r="H80" i="4"/>
  <c r="G80" i="4"/>
  <c r="F80" i="4"/>
  <c r="E80" i="4"/>
  <c r="D80" i="4"/>
  <c r="C80" i="4"/>
  <c r="K79" i="4"/>
  <c r="J79" i="4"/>
  <c r="I79" i="4"/>
  <c r="H79" i="4"/>
  <c r="G79" i="4"/>
  <c r="F79" i="4"/>
  <c r="E79" i="4"/>
  <c r="D79" i="4"/>
  <c r="C79" i="4"/>
  <c r="K78" i="4"/>
  <c r="J78" i="4"/>
  <c r="I78" i="4"/>
  <c r="H78" i="4"/>
  <c r="G78" i="4"/>
  <c r="F78" i="4"/>
  <c r="E78" i="4"/>
  <c r="D78" i="4"/>
  <c r="C78" i="4"/>
  <c r="K77" i="4"/>
  <c r="J77" i="4"/>
  <c r="I77" i="4"/>
  <c r="H77" i="4"/>
  <c r="G77" i="4"/>
  <c r="F77" i="4"/>
  <c r="E77" i="4"/>
  <c r="D77" i="4"/>
  <c r="C77" i="4"/>
  <c r="K75" i="4"/>
  <c r="J75" i="4"/>
  <c r="I75" i="4"/>
  <c r="H75" i="4"/>
  <c r="G75" i="4"/>
  <c r="F75" i="4"/>
  <c r="E75" i="4"/>
  <c r="D75" i="4"/>
  <c r="C75" i="4"/>
  <c r="K73" i="4"/>
  <c r="J73" i="4"/>
  <c r="I73" i="4"/>
  <c r="H73" i="4"/>
  <c r="G73" i="4"/>
  <c r="F73" i="4"/>
  <c r="E73" i="4"/>
  <c r="D73" i="4"/>
  <c r="C73" i="4"/>
  <c r="K72" i="4"/>
  <c r="J72" i="4"/>
  <c r="K70" i="4"/>
  <c r="J70" i="4"/>
  <c r="I70" i="4"/>
  <c r="H70" i="4"/>
  <c r="G70" i="4"/>
  <c r="F70" i="4"/>
  <c r="E70" i="4"/>
  <c r="D70" i="4"/>
  <c r="C70" i="4"/>
  <c r="K69" i="4"/>
  <c r="J69" i="4"/>
  <c r="I69" i="4"/>
  <c r="H69" i="4"/>
  <c r="G69" i="4"/>
  <c r="F69" i="4"/>
  <c r="E69" i="4"/>
  <c r="D69" i="4"/>
  <c r="C69" i="4"/>
  <c r="K68" i="4"/>
  <c r="J68" i="4"/>
  <c r="I68" i="4"/>
  <c r="H68" i="4"/>
  <c r="G68" i="4"/>
  <c r="F68" i="4"/>
  <c r="E68" i="4"/>
  <c r="D68" i="4"/>
  <c r="C68" i="4"/>
  <c r="K66" i="4"/>
  <c r="J66" i="4"/>
  <c r="I66" i="4"/>
  <c r="H66" i="4"/>
  <c r="G66" i="4"/>
  <c r="F66" i="4"/>
  <c r="E66" i="4"/>
  <c r="D66" i="4"/>
  <c r="C66" i="4"/>
  <c r="K65" i="4"/>
  <c r="J65" i="4"/>
  <c r="I65" i="4"/>
  <c r="H65" i="4"/>
  <c r="G65" i="4"/>
  <c r="F65" i="4"/>
  <c r="E65" i="4"/>
  <c r="D65" i="4"/>
  <c r="C65" i="4"/>
  <c r="K64" i="4"/>
  <c r="J64" i="4"/>
  <c r="I64" i="4"/>
  <c r="H64" i="4"/>
  <c r="G64" i="4"/>
  <c r="F64" i="4"/>
  <c r="E64" i="4"/>
  <c r="D64" i="4"/>
  <c r="C64" i="4"/>
  <c r="K60" i="4"/>
  <c r="J60" i="4"/>
  <c r="I60" i="4"/>
  <c r="H60" i="4"/>
  <c r="G60" i="4"/>
  <c r="F60" i="4"/>
  <c r="E60" i="4"/>
  <c r="D60" i="4"/>
  <c r="C60" i="4"/>
  <c r="B60" i="4"/>
  <c r="K59" i="4"/>
  <c r="J59" i="4"/>
  <c r="I59" i="4"/>
  <c r="H59" i="4"/>
  <c r="G59" i="4"/>
  <c r="F59" i="4"/>
  <c r="E59" i="4"/>
  <c r="D59" i="4"/>
  <c r="C59" i="4"/>
  <c r="B59" i="4"/>
  <c r="K58" i="4"/>
  <c r="J58" i="4"/>
  <c r="I58" i="4"/>
  <c r="H58" i="4"/>
  <c r="G58" i="4"/>
  <c r="F58" i="4"/>
  <c r="E58" i="4"/>
  <c r="D58" i="4"/>
  <c r="C58" i="4"/>
  <c r="B58" i="4"/>
  <c r="K57" i="4"/>
  <c r="J57" i="4"/>
  <c r="I57" i="4"/>
  <c r="H57" i="4"/>
  <c r="G57" i="4"/>
  <c r="F57" i="4"/>
  <c r="E57" i="4"/>
  <c r="D57" i="4"/>
  <c r="C57" i="4"/>
  <c r="B57" i="4"/>
  <c r="K56" i="4"/>
  <c r="J56" i="4"/>
  <c r="I56" i="4"/>
  <c r="H56" i="4"/>
  <c r="G56" i="4"/>
  <c r="F56" i="4"/>
  <c r="E56" i="4"/>
  <c r="D56" i="4"/>
  <c r="C56" i="4"/>
  <c r="B56" i="4"/>
  <c r="K55" i="4"/>
  <c r="J55" i="4"/>
  <c r="I55" i="4"/>
  <c r="H55" i="4"/>
  <c r="G55" i="4"/>
  <c r="F55" i="4"/>
  <c r="E55" i="4"/>
  <c r="D55" i="4"/>
  <c r="C55" i="4"/>
  <c r="B55" i="4"/>
  <c r="K54" i="4"/>
  <c r="J54" i="4"/>
  <c r="I54" i="4"/>
  <c r="H54" i="4"/>
  <c r="G54" i="4"/>
  <c r="F54" i="4"/>
  <c r="E54" i="4"/>
  <c r="D54" i="4"/>
  <c r="C54" i="4"/>
  <c r="B54" i="4"/>
  <c r="K53" i="4"/>
  <c r="J53" i="4"/>
  <c r="I53" i="4"/>
  <c r="H53" i="4"/>
  <c r="G53" i="4"/>
  <c r="F53" i="4"/>
  <c r="E53" i="4"/>
  <c r="D53" i="4"/>
  <c r="C53" i="4"/>
  <c r="B53" i="4"/>
  <c r="K52" i="4"/>
  <c r="J52" i="4"/>
  <c r="I52" i="4"/>
  <c r="H52" i="4"/>
  <c r="G52" i="4"/>
  <c r="F52" i="4"/>
  <c r="E52" i="4"/>
  <c r="D52" i="4"/>
  <c r="C52" i="4"/>
  <c r="B52" i="4"/>
  <c r="K51" i="4"/>
  <c r="J51" i="4"/>
  <c r="I51" i="4"/>
  <c r="H51" i="4"/>
  <c r="G51" i="4"/>
  <c r="F51" i="4"/>
  <c r="E51" i="4"/>
  <c r="D51" i="4"/>
  <c r="C51" i="4"/>
  <c r="B51" i="4"/>
  <c r="K49" i="4"/>
  <c r="J49" i="4"/>
  <c r="I49" i="4"/>
  <c r="H49" i="4"/>
  <c r="G49" i="4"/>
  <c r="F49" i="4"/>
  <c r="E49" i="4"/>
  <c r="D49" i="4"/>
  <c r="C49" i="4"/>
  <c r="B49" i="4"/>
  <c r="K47" i="4"/>
  <c r="J47" i="4"/>
  <c r="I47" i="4"/>
  <c r="H47" i="4"/>
  <c r="G47" i="4"/>
  <c r="F47" i="4"/>
  <c r="E47" i="4"/>
  <c r="D47" i="4"/>
  <c r="C47" i="4"/>
  <c r="B47" i="4"/>
  <c r="K46" i="4"/>
  <c r="J46" i="4"/>
  <c r="I46" i="4"/>
  <c r="H46" i="4"/>
  <c r="G46" i="4"/>
  <c r="F46" i="4"/>
  <c r="E46" i="4"/>
  <c r="D46" i="4"/>
  <c r="C46" i="4"/>
  <c r="B46" i="4"/>
  <c r="K44" i="4"/>
  <c r="J44" i="4"/>
  <c r="I44" i="4"/>
  <c r="H44" i="4"/>
  <c r="G44" i="4"/>
  <c r="F44" i="4"/>
  <c r="E44" i="4"/>
  <c r="D44" i="4"/>
  <c r="C44" i="4"/>
  <c r="B44" i="4"/>
  <c r="K43" i="4"/>
  <c r="J43" i="4"/>
  <c r="I43" i="4"/>
  <c r="H43" i="4"/>
  <c r="G43" i="4"/>
  <c r="F43" i="4"/>
  <c r="E43" i="4"/>
  <c r="D43" i="4"/>
  <c r="C43" i="4"/>
  <c r="B43" i="4"/>
  <c r="K42" i="4"/>
  <c r="J42" i="4"/>
  <c r="I42" i="4"/>
  <c r="H42" i="4"/>
  <c r="G42" i="4"/>
  <c r="F42" i="4"/>
  <c r="E42" i="4"/>
  <c r="D42" i="4"/>
  <c r="C42" i="4"/>
  <c r="B42" i="4"/>
  <c r="B41" i="4"/>
  <c r="K40" i="4"/>
  <c r="J40" i="4"/>
  <c r="I40" i="4"/>
  <c r="H40" i="4"/>
  <c r="G40" i="4"/>
  <c r="F40" i="4"/>
  <c r="E40" i="4"/>
  <c r="D40" i="4"/>
  <c r="C40" i="4"/>
  <c r="B40" i="4"/>
  <c r="K39" i="4"/>
  <c r="J39" i="4"/>
  <c r="I39" i="4"/>
  <c r="H39" i="4"/>
  <c r="G39" i="4"/>
  <c r="F39" i="4"/>
  <c r="E39" i="4"/>
  <c r="D39" i="4"/>
  <c r="C39" i="4"/>
  <c r="B39" i="4"/>
  <c r="K38" i="4"/>
  <c r="J38" i="4"/>
  <c r="I38" i="4"/>
  <c r="H38" i="4"/>
  <c r="G38" i="4"/>
  <c r="F38" i="4"/>
  <c r="E38" i="4"/>
  <c r="D38" i="4"/>
  <c r="C38" i="4"/>
  <c r="B38" i="4"/>
  <c r="K28" i="4"/>
  <c r="J28" i="4"/>
  <c r="J9" i="6" s="1"/>
  <c r="I28" i="4"/>
  <c r="I9" i="6" s="1"/>
  <c r="H28" i="4"/>
  <c r="H9" i="6" s="1"/>
  <c r="G28" i="4"/>
  <c r="H104" i="4" s="1"/>
  <c r="F28" i="4"/>
  <c r="E28" i="4"/>
  <c r="E9" i="6" s="1"/>
  <c r="D28" i="4"/>
  <c r="D9" i="6" s="1"/>
  <c r="C28" i="4"/>
  <c r="B28" i="4"/>
  <c r="B9" i="6" s="1"/>
  <c r="K12" i="4"/>
  <c r="K17" i="4" s="1"/>
  <c r="J12" i="4"/>
  <c r="J17" i="4" s="1"/>
  <c r="I12" i="4"/>
  <c r="I45" i="4" s="1"/>
  <c r="H12" i="4"/>
  <c r="G12" i="4"/>
  <c r="G5" i="6" s="1"/>
  <c r="F12" i="4"/>
  <c r="F15" i="4" s="1"/>
  <c r="E12" i="4"/>
  <c r="E5" i="6" s="1"/>
  <c r="D12" i="4"/>
  <c r="D5" i="6" s="1"/>
  <c r="C12" i="4"/>
  <c r="C45" i="4" s="1"/>
  <c r="B12" i="4"/>
  <c r="B15" i="4" s="1"/>
  <c r="B48" i="4" s="1"/>
  <c r="B42" i="3"/>
  <c r="E25" i="3"/>
  <c r="J158" i="2"/>
  <c r="G158" i="2"/>
  <c r="E158" i="2"/>
  <c r="D158" i="2"/>
  <c r="B158" i="2"/>
  <c r="M153" i="2"/>
  <c r="K153" i="2"/>
  <c r="K158" i="2" s="1"/>
  <c r="J153" i="2"/>
  <c r="I153" i="2"/>
  <c r="L153" i="2" s="1"/>
  <c r="H153" i="2"/>
  <c r="H158" i="2" s="1"/>
  <c r="G153" i="2"/>
  <c r="F153" i="2"/>
  <c r="F158" i="2" s="1"/>
  <c r="E153" i="2"/>
  <c r="D153" i="2"/>
  <c r="C153" i="2"/>
  <c r="C158" i="2" s="1"/>
  <c r="B153" i="2"/>
  <c r="K152" i="2"/>
  <c r="J152" i="2"/>
  <c r="I152" i="2"/>
  <c r="H152" i="2"/>
  <c r="G152" i="2"/>
  <c r="F152" i="2"/>
  <c r="E152" i="2"/>
  <c r="D152" i="2"/>
  <c r="C152" i="2"/>
  <c r="B152" i="2"/>
  <c r="L150" i="2"/>
  <c r="K146" i="2"/>
  <c r="L146" i="2" s="1"/>
  <c r="M146" i="2" s="1"/>
  <c r="J146" i="2"/>
  <c r="I146" i="2"/>
  <c r="H146" i="2"/>
  <c r="G146" i="2"/>
  <c r="F146" i="2"/>
  <c r="E146" i="2"/>
  <c r="D146" i="2"/>
  <c r="C146" i="2"/>
  <c r="B146" i="2"/>
  <c r="K145" i="2"/>
  <c r="J145" i="2"/>
  <c r="I145" i="2"/>
  <c r="H145" i="2"/>
  <c r="G145" i="2"/>
  <c r="F145" i="2"/>
  <c r="E145" i="2"/>
  <c r="D145" i="2"/>
  <c r="C145" i="2"/>
  <c r="B145" i="2"/>
  <c r="K144" i="2"/>
  <c r="J144" i="2"/>
  <c r="I144" i="2"/>
  <c r="H144" i="2"/>
  <c r="G144" i="2"/>
  <c r="F144" i="2"/>
  <c r="E144" i="2"/>
  <c r="D144" i="2"/>
  <c r="C144" i="2"/>
  <c r="B144" i="2"/>
  <c r="K143" i="2"/>
  <c r="J143" i="2"/>
  <c r="I143" i="2"/>
  <c r="H143" i="2"/>
  <c r="G143" i="2"/>
  <c r="F143" i="2"/>
  <c r="E143" i="2"/>
  <c r="D143" i="2"/>
  <c r="C143" i="2"/>
  <c r="B143" i="2"/>
  <c r="K142" i="2"/>
  <c r="L142" i="2" s="1"/>
  <c r="M142" i="2" s="1"/>
  <c r="J142" i="2"/>
  <c r="I142" i="2"/>
  <c r="H142" i="2"/>
  <c r="G142" i="2"/>
  <c r="F142" i="2"/>
  <c r="E142" i="2"/>
  <c r="D142" i="2"/>
  <c r="C142" i="2"/>
  <c r="B142" i="2"/>
  <c r="K141" i="2"/>
  <c r="L141" i="2" s="1"/>
  <c r="M141" i="2" s="1"/>
  <c r="J141" i="2"/>
  <c r="I141" i="2"/>
  <c r="H141" i="2"/>
  <c r="G141" i="2"/>
  <c r="F141" i="2"/>
  <c r="E141" i="2"/>
  <c r="D141" i="2"/>
  <c r="C141" i="2"/>
  <c r="B141" i="2"/>
  <c r="K140" i="2"/>
  <c r="L140" i="2" s="1"/>
  <c r="M140" i="2" s="1"/>
  <c r="N140" i="2" s="1"/>
  <c r="O140" i="2" s="1"/>
  <c r="J140" i="2"/>
  <c r="I140" i="2"/>
  <c r="H140" i="2"/>
  <c r="G140" i="2"/>
  <c r="F140" i="2"/>
  <c r="E140" i="2"/>
  <c r="D140" i="2"/>
  <c r="C140" i="2"/>
  <c r="B140" i="2"/>
  <c r="K139" i="2"/>
  <c r="L139" i="2" s="1"/>
  <c r="J139" i="2"/>
  <c r="I139" i="2"/>
  <c r="H139" i="2"/>
  <c r="G139" i="2"/>
  <c r="F139" i="2"/>
  <c r="E139" i="2"/>
  <c r="D139" i="2"/>
  <c r="C139" i="2"/>
  <c r="B139" i="2"/>
  <c r="P138" i="2"/>
  <c r="O138" i="2"/>
  <c r="K138" i="2"/>
  <c r="J138" i="2"/>
  <c r="I138" i="2"/>
  <c r="H138" i="2"/>
  <c r="G138" i="2"/>
  <c r="F138" i="2"/>
  <c r="E138" i="2"/>
  <c r="D138" i="2"/>
  <c r="C138" i="2"/>
  <c r="B138" i="2"/>
  <c r="K137" i="2"/>
  <c r="L137" i="2" s="1"/>
  <c r="M137" i="2" s="1"/>
  <c r="N137" i="2" s="1"/>
  <c r="O137" i="2" s="1"/>
  <c r="J137" i="2"/>
  <c r="I137" i="2"/>
  <c r="H137" i="2"/>
  <c r="G137" i="2"/>
  <c r="F137" i="2"/>
  <c r="E137" i="2"/>
  <c r="D137" i="2"/>
  <c r="C137" i="2"/>
  <c r="B137" i="2"/>
  <c r="K136" i="2"/>
  <c r="J136" i="2"/>
  <c r="I136" i="2"/>
  <c r="H136" i="2"/>
  <c r="G136" i="2"/>
  <c r="F136" i="2"/>
  <c r="E136" i="2"/>
  <c r="D136" i="2"/>
  <c r="C136" i="2"/>
  <c r="B136" i="2"/>
  <c r="K135" i="2"/>
  <c r="L135" i="2" s="1"/>
  <c r="M135" i="2" s="1"/>
  <c r="N135" i="2" s="1"/>
  <c r="J135" i="2"/>
  <c r="I135" i="2"/>
  <c r="H135" i="2"/>
  <c r="G135" i="2"/>
  <c r="F135" i="2"/>
  <c r="E135" i="2"/>
  <c r="D135" i="2"/>
  <c r="C135" i="2"/>
  <c r="B135" i="2"/>
  <c r="N134" i="2"/>
  <c r="M134" i="2"/>
  <c r="K134" i="2"/>
  <c r="J134" i="2"/>
  <c r="I134" i="2"/>
  <c r="H134" i="2"/>
  <c r="G134" i="2"/>
  <c r="F134" i="2"/>
  <c r="E134" i="2"/>
  <c r="D134" i="2"/>
  <c r="C134" i="2"/>
  <c r="B134" i="2"/>
  <c r="K133" i="2"/>
  <c r="L133" i="2" s="1"/>
  <c r="J133" i="2"/>
  <c r="I133" i="2"/>
  <c r="H133" i="2"/>
  <c r="G133" i="2"/>
  <c r="F133" i="2"/>
  <c r="E133" i="2"/>
  <c r="D133" i="2"/>
  <c r="C133" i="2"/>
  <c r="K132" i="2"/>
  <c r="J132" i="2"/>
  <c r="I132" i="2"/>
  <c r="H132" i="2"/>
  <c r="G132" i="2"/>
  <c r="F132" i="2"/>
  <c r="E132" i="2"/>
  <c r="D132" i="2"/>
  <c r="C132" i="2"/>
  <c r="K131" i="2"/>
  <c r="J131" i="2"/>
  <c r="I131" i="2"/>
  <c r="H131" i="2"/>
  <c r="G131" i="2"/>
  <c r="F131" i="2"/>
  <c r="E131" i="2"/>
  <c r="D131" i="2"/>
  <c r="C131" i="2"/>
  <c r="K130" i="2"/>
  <c r="J130" i="2"/>
  <c r="I130" i="2"/>
  <c r="H130" i="2"/>
  <c r="G130" i="2"/>
  <c r="F130" i="2"/>
  <c r="E130" i="2"/>
  <c r="D130" i="2"/>
  <c r="C130" i="2"/>
  <c r="K129" i="2"/>
  <c r="J129" i="2"/>
  <c r="I129" i="2"/>
  <c r="H129" i="2"/>
  <c r="G129" i="2"/>
  <c r="F129" i="2"/>
  <c r="E129" i="2"/>
  <c r="D129" i="2"/>
  <c r="C129" i="2"/>
  <c r="K128" i="2"/>
  <c r="J128" i="2"/>
  <c r="I128" i="2"/>
  <c r="H128" i="2"/>
  <c r="G128" i="2"/>
  <c r="F128" i="2"/>
  <c r="E128" i="2"/>
  <c r="D128" i="2"/>
  <c r="C128" i="2"/>
  <c r="B128" i="2"/>
  <c r="K124" i="2"/>
  <c r="J124" i="2"/>
  <c r="I124" i="2"/>
  <c r="H124" i="2"/>
  <c r="G124" i="2"/>
  <c r="F124" i="2"/>
  <c r="E124" i="2"/>
  <c r="D124" i="2"/>
  <c r="C124" i="2"/>
  <c r="K123" i="2"/>
  <c r="J123" i="2"/>
  <c r="I123" i="2"/>
  <c r="H123" i="2"/>
  <c r="G123" i="2"/>
  <c r="F123" i="2"/>
  <c r="E123" i="2"/>
  <c r="D123" i="2"/>
  <c r="C123" i="2"/>
  <c r="K122" i="2"/>
  <c r="J122" i="2"/>
  <c r="I122" i="2"/>
  <c r="H122" i="2"/>
  <c r="G122" i="2"/>
  <c r="F122" i="2"/>
  <c r="E122" i="2"/>
  <c r="D122" i="2"/>
  <c r="C122" i="2"/>
  <c r="K121" i="2"/>
  <c r="J121" i="2"/>
  <c r="I121" i="2"/>
  <c r="H121" i="2"/>
  <c r="G121" i="2"/>
  <c r="F121" i="2"/>
  <c r="E121" i="2"/>
  <c r="D121" i="2"/>
  <c r="C121" i="2"/>
  <c r="K120" i="2"/>
  <c r="J120" i="2"/>
  <c r="I120" i="2"/>
  <c r="H120" i="2"/>
  <c r="G120" i="2"/>
  <c r="F120" i="2"/>
  <c r="E120" i="2"/>
  <c r="D120" i="2"/>
  <c r="C120" i="2"/>
  <c r="K119" i="2"/>
  <c r="J119" i="2"/>
  <c r="I119" i="2"/>
  <c r="H119" i="2"/>
  <c r="G119" i="2"/>
  <c r="F119" i="2"/>
  <c r="E119" i="2"/>
  <c r="D119" i="2"/>
  <c r="C119" i="2"/>
  <c r="K118" i="2"/>
  <c r="J118" i="2"/>
  <c r="I118" i="2"/>
  <c r="H118" i="2"/>
  <c r="G118" i="2"/>
  <c r="F118" i="2"/>
  <c r="E118" i="2"/>
  <c r="D118" i="2"/>
  <c r="C118" i="2"/>
  <c r="K117" i="2"/>
  <c r="J117" i="2"/>
  <c r="I117" i="2"/>
  <c r="H117" i="2"/>
  <c r="G117" i="2"/>
  <c r="F117" i="2"/>
  <c r="E117" i="2"/>
  <c r="D117" i="2"/>
  <c r="C117" i="2"/>
  <c r="K116" i="2"/>
  <c r="J116" i="2"/>
  <c r="I116" i="2"/>
  <c r="H116" i="2"/>
  <c r="G116" i="2"/>
  <c r="F116" i="2"/>
  <c r="E116" i="2"/>
  <c r="D116" i="2"/>
  <c r="C116" i="2"/>
  <c r="K114" i="2"/>
  <c r="J114" i="2"/>
  <c r="I114" i="2"/>
  <c r="H114" i="2"/>
  <c r="G114" i="2"/>
  <c r="F114" i="2"/>
  <c r="E114" i="2"/>
  <c r="K113" i="2"/>
  <c r="J113" i="2"/>
  <c r="I113" i="2"/>
  <c r="H113" i="2"/>
  <c r="G113" i="2"/>
  <c r="F113" i="2"/>
  <c r="E113" i="2"/>
  <c r="D113" i="2"/>
  <c r="C113" i="2"/>
  <c r="K112" i="2"/>
  <c r="J112" i="2"/>
  <c r="I112" i="2"/>
  <c r="H112" i="2"/>
  <c r="G112" i="2"/>
  <c r="F112" i="2"/>
  <c r="E112" i="2"/>
  <c r="D112" i="2"/>
  <c r="C112" i="2"/>
  <c r="K111" i="2"/>
  <c r="J111" i="2"/>
  <c r="I111" i="2"/>
  <c r="H111" i="2"/>
  <c r="G111" i="2"/>
  <c r="F111" i="2"/>
  <c r="E111" i="2"/>
  <c r="D111" i="2"/>
  <c r="C111" i="2"/>
  <c r="K110" i="2"/>
  <c r="J110" i="2"/>
  <c r="I110" i="2"/>
  <c r="H110" i="2"/>
  <c r="G110" i="2"/>
  <c r="F110" i="2"/>
  <c r="E110" i="2"/>
  <c r="D110" i="2"/>
  <c r="C110" i="2"/>
  <c r="K109" i="2"/>
  <c r="J109" i="2"/>
  <c r="I109" i="2"/>
  <c r="H109" i="2"/>
  <c r="G109" i="2"/>
  <c r="F109" i="2"/>
  <c r="E109" i="2"/>
  <c r="D109" i="2"/>
  <c r="C109" i="2"/>
  <c r="K108" i="2"/>
  <c r="J108" i="2"/>
  <c r="I108" i="2"/>
  <c r="H108" i="2"/>
  <c r="G108" i="2"/>
  <c r="F108" i="2"/>
  <c r="E108" i="2"/>
  <c r="D108" i="2"/>
  <c r="C108" i="2"/>
  <c r="K107" i="2"/>
  <c r="J107" i="2"/>
  <c r="I107" i="2"/>
  <c r="H107" i="2"/>
  <c r="G107" i="2"/>
  <c r="F107" i="2"/>
  <c r="E107" i="2"/>
  <c r="D107" i="2"/>
  <c r="C107" i="2"/>
  <c r="K106" i="2"/>
  <c r="J106" i="2"/>
  <c r="I106" i="2"/>
  <c r="H106" i="2"/>
  <c r="G106" i="2"/>
  <c r="F106" i="2"/>
  <c r="E106" i="2"/>
  <c r="D106" i="2"/>
  <c r="C106" i="2"/>
  <c r="K105" i="2"/>
  <c r="J105" i="2"/>
  <c r="I105" i="2"/>
  <c r="H105" i="2"/>
  <c r="G105" i="2"/>
  <c r="F105" i="2"/>
  <c r="E105" i="2"/>
  <c r="D105" i="2"/>
  <c r="C105" i="2"/>
  <c r="K104" i="2"/>
  <c r="J104" i="2"/>
  <c r="I104" i="2"/>
  <c r="H104" i="2"/>
  <c r="G104" i="2"/>
  <c r="F104" i="2"/>
  <c r="E104" i="2"/>
  <c r="D104" i="2"/>
  <c r="C104" i="2"/>
  <c r="K101" i="2"/>
  <c r="J101" i="2"/>
  <c r="I101" i="2"/>
  <c r="H101" i="2"/>
  <c r="G101" i="2"/>
  <c r="F101" i="2"/>
  <c r="E101" i="2"/>
  <c r="D101" i="2"/>
  <c r="C101" i="2"/>
  <c r="K100" i="2"/>
  <c r="J100" i="2"/>
  <c r="I100" i="2"/>
  <c r="H100" i="2"/>
  <c r="G100" i="2"/>
  <c r="F100" i="2"/>
  <c r="E100" i="2"/>
  <c r="D100" i="2"/>
  <c r="C100" i="2"/>
  <c r="K99" i="2"/>
  <c r="J99" i="2"/>
  <c r="I99" i="2"/>
  <c r="H99" i="2"/>
  <c r="G99" i="2"/>
  <c r="F99" i="2"/>
  <c r="E99" i="2"/>
  <c r="D99" i="2"/>
  <c r="C99" i="2"/>
  <c r="K98" i="2"/>
  <c r="J98" i="2"/>
  <c r="I98" i="2"/>
  <c r="H98" i="2"/>
  <c r="G98" i="2"/>
  <c r="F98" i="2"/>
  <c r="E98" i="2"/>
  <c r="D98" i="2"/>
  <c r="C98" i="2"/>
  <c r="K97" i="2"/>
  <c r="J97" i="2"/>
  <c r="I97" i="2"/>
  <c r="H97" i="2"/>
  <c r="G97" i="2"/>
  <c r="F97" i="2"/>
  <c r="E97" i="2"/>
  <c r="D97" i="2"/>
  <c r="C97" i="2"/>
  <c r="K96" i="2"/>
  <c r="J96" i="2"/>
  <c r="I96" i="2"/>
  <c r="H96" i="2"/>
  <c r="G96" i="2"/>
  <c r="F96" i="2"/>
  <c r="E96" i="2"/>
  <c r="D96" i="2"/>
  <c r="C96" i="2"/>
  <c r="K95" i="2"/>
  <c r="J95" i="2"/>
  <c r="I95" i="2"/>
  <c r="H95" i="2"/>
  <c r="G95" i="2"/>
  <c r="F95" i="2"/>
  <c r="E95" i="2"/>
  <c r="D95" i="2"/>
  <c r="K94" i="2"/>
  <c r="J94" i="2"/>
  <c r="I94" i="2"/>
  <c r="H94" i="2"/>
  <c r="G94" i="2"/>
  <c r="F94" i="2"/>
  <c r="E94" i="2"/>
  <c r="D94" i="2"/>
  <c r="C94" i="2"/>
  <c r="K93" i="2"/>
  <c r="J93" i="2"/>
  <c r="I93" i="2"/>
  <c r="H93" i="2"/>
  <c r="G93" i="2"/>
  <c r="F93" i="2"/>
  <c r="E93" i="2"/>
  <c r="D93" i="2"/>
  <c r="C93" i="2"/>
  <c r="K92" i="2"/>
  <c r="J92" i="2"/>
  <c r="I92" i="2"/>
  <c r="H92" i="2"/>
  <c r="G92" i="2"/>
  <c r="F92" i="2"/>
  <c r="E92" i="2"/>
  <c r="D92" i="2"/>
  <c r="K91" i="2"/>
  <c r="J91" i="2"/>
  <c r="I91" i="2"/>
  <c r="H91" i="2"/>
  <c r="G91" i="2"/>
  <c r="F91" i="2"/>
  <c r="E91" i="2"/>
  <c r="D91" i="2"/>
  <c r="K90" i="2"/>
  <c r="J90" i="2"/>
  <c r="I90" i="2"/>
  <c r="H90" i="2"/>
  <c r="G90" i="2"/>
  <c r="F90" i="2"/>
  <c r="E90" i="2"/>
  <c r="D90" i="2"/>
  <c r="C90" i="2"/>
  <c r="K89" i="2"/>
  <c r="J89" i="2"/>
  <c r="I89" i="2"/>
  <c r="H89" i="2"/>
  <c r="G89" i="2"/>
  <c r="F89" i="2"/>
  <c r="E89" i="2"/>
  <c r="D89" i="2"/>
  <c r="C89" i="2"/>
  <c r="K88" i="2"/>
  <c r="J88" i="2"/>
  <c r="I88" i="2"/>
  <c r="H88" i="2"/>
  <c r="G88" i="2"/>
  <c r="F88" i="2"/>
  <c r="E88" i="2"/>
  <c r="D88" i="2"/>
  <c r="K84" i="2"/>
  <c r="J84" i="2"/>
  <c r="I84" i="2"/>
  <c r="H84" i="2"/>
  <c r="G84" i="2"/>
  <c r="F84" i="2"/>
  <c r="E84" i="2"/>
  <c r="D84" i="2"/>
  <c r="C84" i="2"/>
  <c r="B84" i="2"/>
  <c r="K83" i="2"/>
  <c r="K20" i="6" s="1"/>
  <c r="J83" i="2"/>
  <c r="J20" i="6" s="1"/>
  <c r="I83" i="2"/>
  <c r="I20" i="6" s="1"/>
  <c r="H83" i="2"/>
  <c r="H20" i="6" s="1"/>
  <c r="G83" i="2"/>
  <c r="G20" i="6" s="1"/>
  <c r="F83" i="2"/>
  <c r="F20" i="6" s="1"/>
  <c r="E83" i="2"/>
  <c r="E20" i="6" s="1"/>
  <c r="D83" i="2"/>
  <c r="D20" i="6" s="1"/>
  <c r="C83" i="2"/>
  <c r="C20" i="6" s="1"/>
  <c r="B83" i="2"/>
  <c r="B20" i="6" s="1"/>
  <c r="K82" i="2"/>
  <c r="J82" i="2"/>
  <c r="I82" i="2"/>
  <c r="H82" i="2"/>
  <c r="G82" i="2"/>
  <c r="F82" i="2"/>
  <c r="E82" i="2"/>
  <c r="D82" i="2"/>
  <c r="C82" i="2"/>
  <c r="B82" i="2"/>
  <c r="K81" i="2"/>
  <c r="J81" i="2"/>
  <c r="I81" i="2"/>
  <c r="H81" i="2"/>
  <c r="G81" i="2"/>
  <c r="F81" i="2"/>
  <c r="E81" i="2"/>
  <c r="D81" i="2"/>
  <c r="C81" i="2"/>
  <c r="B81" i="2"/>
  <c r="K80" i="2"/>
  <c r="J80" i="2"/>
  <c r="I80" i="2"/>
  <c r="H80" i="2"/>
  <c r="G80" i="2"/>
  <c r="F80" i="2"/>
  <c r="E80" i="2"/>
  <c r="D80" i="2"/>
  <c r="C80" i="2"/>
  <c r="B80" i="2"/>
  <c r="K79" i="2"/>
  <c r="J79" i="2"/>
  <c r="I79" i="2"/>
  <c r="H79" i="2"/>
  <c r="G79" i="2"/>
  <c r="F79" i="2"/>
  <c r="E79" i="2"/>
  <c r="D79" i="2"/>
  <c r="C79" i="2"/>
  <c r="B79" i="2"/>
  <c r="K78" i="2"/>
  <c r="J78" i="2"/>
  <c r="I78" i="2"/>
  <c r="H78" i="2"/>
  <c r="G78" i="2"/>
  <c r="F78" i="2"/>
  <c r="E78" i="2"/>
  <c r="D78" i="2"/>
  <c r="C78" i="2"/>
  <c r="B78" i="2"/>
  <c r="K77" i="2"/>
  <c r="J77" i="2"/>
  <c r="I77" i="2"/>
  <c r="H77" i="2"/>
  <c r="G77" i="2"/>
  <c r="F77" i="2"/>
  <c r="E77" i="2"/>
  <c r="D77" i="2"/>
  <c r="C77" i="2"/>
  <c r="B77" i="2"/>
  <c r="K76" i="2"/>
  <c r="J76" i="2"/>
  <c r="I76" i="2"/>
  <c r="H76" i="2"/>
  <c r="G76" i="2"/>
  <c r="F76" i="2"/>
  <c r="E76" i="2"/>
  <c r="D76" i="2"/>
  <c r="C76" i="2"/>
  <c r="B76" i="2"/>
  <c r="K75" i="2"/>
  <c r="J75" i="2"/>
  <c r="I75" i="2"/>
  <c r="H75" i="2"/>
  <c r="G75" i="2"/>
  <c r="F75" i="2"/>
  <c r="E75" i="2"/>
  <c r="D75" i="2"/>
  <c r="C75" i="2"/>
  <c r="B75" i="2"/>
  <c r="J74" i="2"/>
  <c r="F74" i="2"/>
  <c r="E74" i="2"/>
  <c r="B74" i="2"/>
  <c r="K73" i="2"/>
  <c r="J73" i="2"/>
  <c r="I73" i="2"/>
  <c r="H73" i="2"/>
  <c r="G73" i="2"/>
  <c r="F73" i="2"/>
  <c r="E73" i="2"/>
  <c r="D73" i="2"/>
  <c r="B73" i="2"/>
  <c r="K72" i="2"/>
  <c r="J72" i="2"/>
  <c r="I72" i="2"/>
  <c r="H72" i="2"/>
  <c r="G72" i="2"/>
  <c r="F72" i="2"/>
  <c r="E72" i="2"/>
  <c r="D72" i="2"/>
  <c r="C72" i="2"/>
  <c r="B72" i="2"/>
  <c r="K71" i="2"/>
  <c r="J71" i="2"/>
  <c r="I71" i="2"/>
  <c r="H71" i="2"/>
  <c r="G71" i="2"/>
  <c r="F71" i="2"/>
  <c r="E71" i="2"/>
  <c r="D71" i="2"/>
  <c r="C71" i="2"/>
  <c r="B71" i="2"/>
  <c r="K70" i="2"/>
  <c r="J70" i="2"/>
  <c r="I70" i="2"/>
  <c r="H70" i="2"/>
  <c r="G70" i="2"/>
  <c r="F70" i="2"/>
  <c r="E70" i="2"/>
  <c r="D70" i="2"/>
  <c r="C70" i="2"/>
  <c r="B70" i="2"/>
  <c r="K69" i="2"/>
  <c r="J69" i="2"/>
  <c r="I69" i="2"/>
  <c r="H69" i="2"/>
  <c r="G69" i="2"/>
  <c r="F69" i="2"/>
  <c r="E69" i="2"/>
  <c r="D69" i="2"/>
  <c r="C69" i="2"/>
  <c r="B69" i="2"/>
  <c r="K68" i="2"/>
  <c r="J68" i="2"/>
  <c r="I68" i="2"/>
  <c r="H68" i="2"/>
  <c r="G68" i="2"/>
  <c r="F68" i="2"/>
  <c r="E68" i="2"/>
  <c r="D68" i="2"/>
  <c r="C68" i="2"/>
  <c r="B68" i="2"/>
  <c r="K67" i="2"/>
  <c r="J67" i="2"/>
  <c r="I67" i="2"/>
  <c r="H67" i="2"/>
  <c r="G67" i="2"/>
  <c r="F67" i="2"/>
  <c r="E67" i="2"/>
  <c r="D67" i="2"/>
  <c r="C67" i="2"/>
  <c r="B67" i="2"/>
  <c r="K66" i="2"/>
  <c r="J66" i="2"/>
  <c r="I66" i="2"/>
  <c r="H66" i="2"/>
  <c r="G66" i="2"/>
  <c r="F66" i="2"/>
  <c r="E66" i="2"/>
  <c r="D66" i="2"/>
  <c r="C66" i="2"/>
  <c r="B66" i="2"/>
  <c r="K65" i="2"/>
  <c r="J65" i="2"/>
  <c r="I65" i="2"/>
  <c r="H65" i="2"/>
  <c r="G65" i="2"/>
  <c r="F65" i="2"/>
  <c r="E65" i="2"/>
  <c r="D65" i="2"/>
  <c r="C65" i="2"/>
  <c r="B65" i="2"/>
  <c r="K64" i="2"/>
  <c r="J64" i="2"/>
  <c r="I64" i="2"/>
  <c r="H64" i="2"/>
  <c r="G64" i="2"/>
  <c r="F64" i="2"/>
  <c r="E64" i="2"/>
  <c r="D64" i="2"/>
  <c r="C64" i="2"/>
  <c r="B64" i="2"/>
  <c r="K63" i="2"/>
  <c r="J63" i="2"/>
  <c r="I63" i="2"/>
  <c r="H63" i="2"/>
  <c r="G63" i="2"/>
  <c r="F63" i="2"/>
  <c r="E63" i="2"/>
  <c r="D63" i="2"/>
  <c r="C63" i="2"/>
  <c r="B63" i="2"/>
  <c r="K60" i="2"/>
  <c r="J60" i="2"/>
  <c r="I60" i="2"/>
  <c r="H60" i="2"/>
  <c r="G60" i="2"/>
  <c r="F60" i="2"/>
  <c r="E60" i="2"/>
  <c r="D60" i="2"/>
  <c r="C60" i="2"/>
  <c r="B60" i="2"/>
  <c r="K59" i="2"/>
  <c r="J59" i="2"/>
  <c r="I59" i="2"/>
  <c r="H59" i="2"/>
  <c r="G59" i="2"/>
  <c r="F59" i="2"/>
  <c r="E59" i="2"/>
  <c r="D59" i="2"/>
  <c r="C59" i="2"/>
  <c r="B59" i="2"/>
  <c r="K58" i="2"/>
  <c r="J58" i="2"/>
  <c r="I58" i="2"/>
  <c r="H58" i="2"/>
  <c r="G58" i="2"/>
  <c r="F58" i="2"/>
  <c r="E58" i="2"/>
  <c r="D58" i="2"/>
  <c r="C58" i="2"/>
  <c r="B58" i="2"/>
  <c r="K57" i="2"/>
  <c r="J57" i="2"/>
  <c r="I57" i="2"/>
  <c r="H57" i="2"/>
  <c r="G57" i="2"/>
  <c r="F57" i="2"/>
  <c r="E57" i="2"/>
  <c r="D57" i="2"/>
  <c r="C57" i="2"/>
  <c r="B57" i="2"/>
  <c r="K56" i="2"/>
  <c r="J56" i="2"/>
  <c r="I56" i="2"/>
  <c r="H56" i="2"/>
  <c r="G56" i="2"/>
  <c r="F56" i="2"/>
  <c r="E56" i="2"/>
  <c r="D56" i="2"/>
  <c r="C56" i="2"/>
  <c r="B56" i="2"/>
  <c r="K55" i="2"/>
  <c r="J55" i="2"/>
  <c r="I55" i="2"/>
  <c r="H55" i="2"/>
  <c r="G55" i="2"/>
  <c r="F55" i="2"/>
  <c r="E55" i="2"/>
  <c r="D55" i="2"/>
  <c r="C55" i="2"/>
  <c r="B55" i="2"/>
  <c r="K54" i="2"/>
  <c r="J54" i="2"/>
  <c r="I54" i="2"/>
  <c r="H54" i="2"/>
  <c r="G54" i="2"/>
  <c r="F54" i="2"/>
  <c r="E54" i="2"/>
  <c r="D54" i="2"/>
  <c r="C54" i="2"/>
  <c r="B54" i="2"/>
  <c r="K53" i="2"/>
  <c r="J53" i="2"/>
  <c r="I53" i="2"/>
  <c r="H53" i="2"/>
  <c r="G53" i="2"/>
  <c r="F53" i="2"/>
  <c r="E53" i="2"/>
  <c r="D53" i="2"/>
  <c r="C53" i="2"/>
  <c r="K52" i="2"/>
  <c r="J52" i="2"/>
  <c r="I52" i="2"/>
  <c r="H52" i="2"/>
  <c r="G52" i="2"/>
  <c r="F52" i="2"/>
  <c r="E52" i="2"/>
  <c r="D52" i="2"/>
  <c r="C52" i="2"/>
  <c r="B52" i="2"/>
  <c r="K51" i="2"/>
  <c r="J51" i="2"/>
  <c r="I51" i="2"/>
  <c r="H51" i="2"/>
  <c r="G51" i="2"/>
  <c r="F51" i="2"/>
  <c r="E51" i="2"/>
  <c r="D51" i="2"/>
  <c r="C51" i="2"/>
  <c r="K50" i="2"/>
  <c r="J50" i="2"/>
  <c r="I50" i="2"/>
  <c r="H50" i="2"/>
  <c r="G50" i="2"/>
  <c r="F50" i="2"/>
  <c r="E50" i="2"/>
  <c r="D50" i="2"/>
  <c r="C50" i="2"/>
  <c r="B50" i="2"/>
  <c r="K49" i="2"/>
  <c r="J49" i="2"/>
  <c r="I49" i="2"/>
  <c r="H49" i="2"/>
  <c r="G49" i="2"/>
  <c r="F49" i="2"/>
  <c r="E49" i="2"/>
  <c r="D49" i="2"/>
  <c r="C49" i="2"/>
  <c r="K48" i="2"/>
  <c r="J48" i="2"/>
  <c r="I48" i="2"/>
  <c r="H48" i="2"/>
  <c r="G48" i="2"/>
  <c r="F48" i="2"/>
  <c r="E48" i="2"/>
  <c r="D48" i="2"/>
  <c r="C48" i="2"/>
  <c r="B48" i="2"/>
  <c r="K47" i="2"/>
  <c r="J47" i="2"/>
  <c r="I47" i="2"/>
  <c r="H47" i="2"/>
  <c r="G47" i="2"/>
  <c r="F47" i="2"/>
  <c r="E47" i="2"/>
  <c r="D47" i="2"/>
  <c r="C47" i="2"/>
  <c r="L41" i="2"/>
  <c r="P38" i="2"/>
  <c r="O38" i="2"/>
  <c r="N38" i="2"/>
  <c r="M38" i="2"/>
  <c r="L36" i="2"/>
  <c r="K33" i="2"/>
  <c r="K21" i="6" s="1"/>
  <c r="J33" i="2"/>
  <c r="J26" i="6" s="1"/>
  <c r="I33" i="2"/>
  <c r="H33" i="2"/>
  <c r="H74" i="2" s="1"/>
  <c r="G33" i="2"/>
  <c r="G74" i="2" s="1"/>
  <c r="F33" i="2"/>
  <c r="E33" i="2"/>
  <c r="D33" i="2"/>
  <c r="B33" i="2"/>
  <c r="B26" i="6" s="1"/>
  <c r="L32" i="2"/>
  <c r="M32" i="2" s="1"/>
  <c r="C32" i="2"/>
  <c r="O30" i="2"/>
  <c r="P30" i="2" s="1"/>
  <c r="F25" i="3" s="1"/>
  <c r="N30" i="2"/>
  <c r="D25" i="3" s="1"/>
  <c r="M30" i="2"/>
  <c r="C25" i="3" s="1"/>
  <c r="L30" i="2"/>
  <c r="B25" i="3" s="1"/>
  <c r="L29" i="2"/>
  <c r="M28" i="2"/>
  <c r="L28" i="2"/>
  <c r="B23" i="3" s="1"/>
  <c r="M27" i="2"/>
  <c r="C22" i="3" s="1"/>
  <c r="L27" i="2"/>
  <c r="B22" i="3" s="1"/>
  <c r="B13" i="2"/>
  <c r="C95" i="2" s="1"/>
  <c r="B12" i="2"/>
  <c r="B53" i="2" s="1"/>
  <c r="B11" i="2"/>
  <c r="B10" i="2"/>
  <c r="B9" i="2"/>
  <c r="C37" i="6" s="1"/>
  <c r="C40" i="6" s="1"/>
  <c r="B8" i="2"/>
  <c r="B129" i="2" s="1"/>
  <c r="L7" i="2"/>
  <c r="B5" i="3" s="1"/>
  <c r="B7" i="2"/>
  <c r="B6" i="2"/>
  <c r="K58" i="1"/>
  <c r="J58" i="1"/>
  <c r="I58" i="1"/>
  <c r="H58" i="1"/>
  <c r="G58" i="1"/>
  <c r="F58" i="1"/>
  <c r="E58" i="1"/>
  <c r="D58" i="1"/>
  <c r="K56" i="1"/>
  <c r="J56" i="1"/>
  <c r="I56" i="1"/>
  <c r="H56" i="1"/>
  <c r="G56" i="1"/>
  <c r="K55" i="1"/>
  <c r="L55" i="1" s="1"/>
  <c r="L26" i="1" s="1"/>
  <c r="M26" i="1" s="1"/>
  <c r="N26" i="1" s="1"/>
  <c r="O26" i="1" s="1"/>
  <c r="P26" i="1" s="1"/>
  <c r="J55" i="1"/>
  <c r="I55" i="1"/>
  <c r="H55" i="1"/>
  <c r="G55" i="1"/>
  <c r="F55" i="1"/>
  <c r="E55" i="1"/>
  <c r="D55" i="1"/>
  <c r="K54" i="1"/>
  <c r="J54" i="1"/>
  <c r="I54" i="1"/>
  <c r="H54" i="1"/>
  <c r="G54" i="1"/>
  <c r="F54" i="1"/>
  <c r="E54" i="1"/>
  <c r="D54" i="1"/>
  <c r="K52" i="1"/>
  <c r="J52" i="1"/>
  <c r="E52" i="1"/>
  <c r="D52" i="1"/>
  <c r="K51" i="1"/>
  <c r="J51" i="1"/>
  <c r="I51" i="1"/>
  <c r="H51" i="1"/>
  <c r="G51" i="1"/>
  <c r="F51" i="1"/>
  <c r="E51" i="1"/>
  <c r="D51" i="1"/>
  <c r="K50" i="1"/>
  <c r="J50" i="1"/>
  <c r="I50" i="1"/>
  <c r="H50" i="1"/>
  <c r="G50" i="1"/>
  <c r="F50" i="1"/>
  <c r="E50" i="1"/>
  <c r="D50" i="1"/>
  <c r="K48" i="1"/>
  <c r="J48" i="1"/>
  <c r="I48" i="1"/>
  <c r="H48" i="1"/>
  <c r="G48" i="1"/>
  <c r="K47" i="1"/>
  <c r="J47" i="1"/>
  <c r="I47" i="1"/>
  <c r="H47" i="1"/>
  <c r="G47" i="1"/>
  <c r="F47" i="1"/>
  <c r="E47" i="1"/>
  <c r="D47" i="1"/>
  <c r="K45" i="1"/>
  <c r="J45" i="1"/>
  <c r="I45" i="1"/>
  <c r="H45" i="1"/>
  <c r="G45" i="1"/>
  <c r="F45" i="1"/>
  <c r="E45" i="1"/>
  <c r="D45" i="1"/>
  <c r="K40" i="1"/>
  <c r="J40" i="1"/>
  <c r="I40" i="1"/>
  <c r="H40" i="1"/>
  <c r="G40" i="1"/>
  <c r="F40" i="1"/>
  <c r="E40" i="1"/>
  <c r="D40" i="1"/>
  <c r="K35" i="1"/>
  <c r="J35" i="1"/>
  <c r="I35" i="1"/>
  <c r="H35" i="1"/>
  <c r="G35" i="1"/>
  <c r="F35" i="1"/>
  <c r="E35" i="1"/>
  <c r="D35" i="1"/>
  <c r="L25" i="1"/>
  <c r="M25" i="1" s="1"/>
  <c r="N25" i="1" s="1"/>
  <c r="L19" i="1"/>
  <c r="M19" i="1" s="1"/>
  <c r="H19" i="1"/>
  <c r="I52" i="1" s="1"/>
  <c r="G19" i="1"/>
  <c r="F19" i="1"/>
  <c r="F52" i="1" s="1"/>
  <c r="L18" i="1"/>
  <c r="L17" i="1"/>
  <c r="M17" i="1" s="1"/>
  <c r="N17" i="1" s="1"/>
  <c r="O17" i="1" s="1"/>
  <c r="L6" i="1"/>
  <c r="M6" i="1" s="1"/>
  <c r="N6" i="1" s="1"/>
  <c r="O6" i="1" s="1"/>
  <c r="P6" i="1" s="1"/>
  <c r="I17" i="4" l="1"/>
  <c r="J76" i="4" s="1"/>
  <c r="M100" i="4"/>
  <c r="M102" i="4"/>
  <c r="L129" i="2"/>
  <c r="H71" i="4"/>
  <c r="M95" i="4"/>
  <c r="D15" i="4"/>
  <c r="D48" i="4" s="1"/>
  <c r="G15" i="4"/>
  <c r="G74" i="4" s="1"/>
  <c r="G32" i="6" s="1"/>
  <c r="F17" i="4"/>
  <c r="F29" i="6" s="1"/>
  <c r="J50" i="4"/>
  <c r="J15" i="4"/>
  <c r="M7" i="2"/>
  <c r="N7" i="2" s="1"/>
  <c r="O7" i="2" s="1"/>
  <c r="L136" i="2"/>
  <c r="M136" i="2" s="1"/>
  <c r="E17" i="4"/>
  <c r="E50" i="4" s="1"/>
  <c r="L145" i="2"/>
  <c r="M145" i="2" s="1"/>
  <c r="E15" i="4"/>
  <c r="I104" i="4"/>
  <c r="L138" i="2"/>
  <c r="D45" i="4"/>
  <c r="E45" i="4"/>
  <c r="I15" i="4"/>
  <c r="G52" i="1"/>
  <c r="L22" i="1"/>
  <c r="N47" i="1"/>
  <c r="O47" i="1" s="1"/>
  <c r="P47" i="1" s="1"/>
  <c r="L8" i="1"/>
  <c r="M18" i="1"/>
  <c r="N18" i="1" s="1"/>
  <c r="O18" i="1" s="1"/>
  <c r="P18" i="1" s="1"/>
  <c r="G5" i="8"/>
  <c r="G6" i="8" s="1"/>
  <c r="C16" i="8"/>
  <c r="F16" i="8"/>
  <c r="C40" i="8"/>
  <c r="O134" i="2"/>
  <c r="N146" i="2"/>
  <c r="O25" i="1"/>
  <c r="M8" i="1"/>
  <c r="B24" i="3"/>
  <c r="M29" i="2"/>
  <c r="N32" i="2"/>
  <c r="C27" i="3"/>
  <c r="I26" i="6"/>
  <c r="I74" i="2"/>
  <c r="I21" i="6"/>
  <c r="P137" i="2"/>
  <c r="M139" i="2"/>
  <c r="N141" i="2"/>
  <c r="B31" i="8"/>
  <c r="B53" i="8"/>
  <c r="B4" i="8"/>
  <c r="P17" i="1"/>
  <c r="D114" i="2"/>
  <c r="C73" i="2"/>
  <c r="C114" i="2"/>
  <c r="C33" i="2"/>
  <c r="K29" i="6"/>
  <c r="K6" i="6"/>
  <c r="K76" i="4"/>
  <c r="K50" i="4"/>
  <c r="L47" i="1"/>
  <c r="L12" i="1" s="1"/>
  <c r="H52" i="1"/>
  <c r="L56" i="1"/>
  <c r="L27" i="1" s="1"/>
  <c r="M27" i="1" s="1"/>
  <c r="N27" i="1" s="1"/>
  <c r="O27" i="1" s="1"/>
  <c r="P27" i="1" s="1"/>
  <c r="B131" i="2"/>
  <c r="B51" i="2"/>
  <c r="C92" i="2"/>
  <c r="B27" i="3"/>
  <c r="N19" i="1"/>
  <c r="O19" i="1" s="1"/>
  <c r="P19" i="1" s="1"/>
  <c r="D21" i="6"/>
  <c r="D26" i="6"/>
  <c r="D74" i="2"/>
  <c r="L144" i="2"/>
  <c r="M144" i="2" s="1"/>
  <c r="C38" i="3"/>
  <c r="L48" i="1"/>
  <c r="L14" i="1" s="1"/>
  <c r="M14" i="1" s="1"/>
  <c r="N14" i="1" s="1"/>
  <c r="O14" i="1" s="1"/>
  <c r="P14" i="1" s="1"/>
  <c r="B15" i="6"/>
  <c r="C88" i="2"/>
  <c r="B47" i="2"/>
  <c r="N27" i="2"/>
  <c r="E21" i="6"/>
  <c r="E26" i="6"/>
  <c r="N142" i="2"/>
  <c r="N153" i="2"/>
  <c r="I158" i="2"/>
  <c r="B38" i="3"/>
  <c r="F48" i="4"/>
  <c r="M101" i="4"/>
  <c r="P35" i="9"/>
  <c r="O35" i="9"/>
  <c r="N35" i="9"/>
  <c r="H17" i="4"/>
  <c r="H15" i="4"/>
  <c r="H45" i="4"/>
  <c r="H5" i="6"/>
  <c r="M36" i="2"/>
  <c r="M133" i="2"/>
  <c r="N133" i="2" s="1"/>
  <c r="O133" i="2" s="1"/>
  <c r="P133" i="2" s="1"/>
  <c r="P140" i="2"/>
  <c r="L158" i="2"/>
  <c r="M158" i="2" s="1"/>
  <c r="N158" i="2" s="1"/>
  <c r="O158" i="2" s="1"/>
  <c r="P158" i="2" s="1"/>
  <c r="C23" i="3"/>
  <c r="N28" i="2"/>
  <c r="O135" i="2"/>
  <c r="B14" i="6"/>
  <c r="B23" i="6"/>
  <c r="K74" i="2"/>
  <c r="C91" i="2"/>
  <c r="B132" i="2"/>
  <c r="L143" i="2"/>
  <c r="F5" i="6"/>
  <c r="F71" i="4"/>
  <c r="F45" i="4"/>
  <c r="G9" i="6"/>
  <c r="J21" i="6"/>
  <c r="C36" i="6"/>
  <c r="C39" i="6" s="1"/>
  <c r="I41" i="9"/>
  <c r="I44" i="9" s="1"/>
  <c r="L32" i="9"/>
  <c r="B49" i="2"/>
  <c r="G17" i="4"/>
  <c r="G45" i="4"/>
  <c r="J29" i="6"/>
  <c r="J6" i="6"/>
  <c r="C9" i="6"/>
  <c r="D104" i="4"/>
  <c r="K9" i="6"/>
  <c r="L104" i="4"/>
  <c r="G71" i="4"/>
  <c r="J41" i="9"/>
  <c r="J44" i="9" s="1"/>
  <c r="M32" i="9"/>
  <c r="J40" i="9"/>
  <c r="J43" i="9" s="1"/>
  <c r="F21" i="6"/>
  <c r="F26" i="6"/>
  <c r="B130" i="2"/>
  <c r="B45" i="4"/>
  <c r="B5" i="6"/>
  <c r="J45" i="4"/>
  <c r="J5" i="6"/>
  <c r="J71" i="4"/>
  <c r="B17" i="4"/>
  <c r="F9" i="6"/>
  <c r="G104" i="4"/>
  <c r="D32" i="9"/>
  <c r="D41" i="9" s="1"/>
  <c r="D44" i="9" s="1"/>
  <c r="I10" i="9"/>
  <c r="E40" i="9"/>
  <c r="E43" i="9" s="1"/>
  <c r="I40" i="9"/>
  <c r="I43" i="9" s="1"/>
  <c r="D38" i="9"/>
  <c r="I16" i="9"/>
  <c r="G21" i="6"/>
  <c r="G26" i="6"/>
  <c r="C15" i="4"/>
  <c r="C5" i="6"/>
  <c r="C71" i="4"/>
  <c r="K15" i="4"/>
  <c r="K5" i="6"/>
  <c r="K71" i="4"/>
  <c r="C17" i="4"/>
  <c r="K45" i="4"/>
  <c r="G40" i="9"/>
  <c r="G43" i="9" s="1"/>
  <c r="G41" i="9"/>
  <c r="G44" i="9" s="1"/>
  <c r="H21" i="6"/>
  <c r="H26" i="6"/>
  <c r="B21" i="6"/>
  <c r="K26" i="6"/>
  <c r="D17" i="4"/>
  <c r="I71" i="4"/>
  <c r="J104" i="4"/>
  <c r="I5" i="6"/>
  <c r="D16" i="8"/>
  <c r="K32" i="9"/>
  <c r="N33" i="9"/>
  <c r="E41" i="9"/>
  <c r="E44" i="9" s="1"/>
  <c r="C104" i="4"/>
  <c r="K104" i="4"/>
  <c r="E16" i="8"/>
  <c r="O33" i="9"/>
  <c r="F41" i="9"/>
  <c r="F44" i="9" s="1"/>
  <c r="D71" i="4"/>
  <c r="E104" i="4"/>
  <c r="E71" i="4"/>
  <c r="F104" i="4"/>
  <c r="M157" i="2" l="1"/>
  <c r="L157" i="2"/>
  <c r="L34" i="4" s="1"/>
  <c r="O95" i="4"/>
  <c r="M98" i="4"/>
  <c r="I6" i="6"/>
  <c r="I29" i="6"/>
  <c r="I50" i="4"/>
  <c r="M104" i="4"/>
  <c r="F6" i="6"/>
  <c r="F50" i="4"/>
  <c r="F76" i="4"/>
  <c r="I74" i="4"/>
  <c r="I32" i="6" s="1"/>
  <c r="G48" i="4"/>
  <c r="E76" i="4"/>
  <c r="I48" i="4"/>
  <c r="D5" i="3"/>
  <c r="E74" i="4"/>
  <c r="E32" i="6" s="1"/>
  <c r="E48" i="4"/>
  <c r="C5" i="3"/>
  <c r="F74" i="4"/>
  <c r="F32" i="6" s="1"/>
  <c r="E29" i="6"/>
  <c r="E6" i="6"/>
  <c r="J74" i="4"/>
  <c r="J32" i="6" s="1"/>
  <c r="J48" i="4"/>
  <c r="N145" i="2"/>
  <c r="O145" i="2" s="1"/>
  <c r="M22" i="1"/>
  <c r="D40" i="8"/>
  <c r="F40" i="8"/>
  <c r="E40" i="8"/>
  <c r="G40" i="8"/>
  <c r="N144" i="2"/>
  <c r="M29" i="1"/>
  <c r="O153" i="2"/>
  <c r="D38" i="3"/>
  <c r="N157" i="2"/>
  <c r="D22" i="3"/>
  <c r="O27" i="2"/>
  <c r="M12" i="1"/>
  <c r="L15" i="1"/>
  <c r="N136" i="2"/>
  <c r="O136" i="2" s="1"/>
  <c r="P22" i="1"/>
  <c r="N139" i="2"/>
  <c r="O146" i="2"/>
  <c r="L152" i="2"/>
  <c r="B37" i="3" s="1"/>
  <c r="L35" i="4"/>
  <c r="M34" i="4"/>
  <c r="N29" i="1"/>
  <c r="O29" i="1"/>
  <c r="P25" i="1"/>
  <c r="P29" i="1" s="1"/>
  <c r="P38" i="9"/>
  <c r="O38" i="9"/>
  <c r="N38" i="9"/>
  <c r="G76" i="4"/>
  <c r="G50" i="4"/>
  <c r="G29" i="6"/>
  <c r="G6" i="6"/>
  <c r="D23" i="3"/>
  <c r="O28" i="2"/>
  <c r="K48" i="4"/>
  <c r="K74" i="4"/>
  <c r="K32" i="6" s="1"/>
  <c r="B29" i="6"/>
  <c r="B6" i="6"/>
  <c r="B50" i="4"/>
  <c r="N22" i="1"/>
  <c r="C21" i="6"/>
  <c r="C26" i="6"/>
  <c r="C74" i="2"/>
  <c r="O22" i="1"/>
  <c r="O32" i="2"/>
  <c r="D27" i="3"/>
  <c r="D29" i="6"/>
  <c r="D6" i="6"/>
  <c r="D76" i="4"/>
  <c r="D50" i="4"/>
  <c r="D40" i="9"/>
  <c r="D43" i="9" s="1"/>
  <c r="H74" i="4"/>
  <c r="H32" i="6" s="1"/>
  <c r="H48" i="4"/>
  <c r="N8" i="1"/>
  <c r="C29" i="6"/>
  <c r="C6" i="6"/>
  <c r="C76" i="4"/>
  <c r="C50" i="4"/>
  <c r="M40" i="9"/>
  <c r="M43" i="9" s="1"/>
  <c r="M41" i="9"/>
  <c r="M44" i="9" s="1"/>
  <c r="P135" i="2"/>
  <c r="L29" i="1"/>
  <c r="O141" i="2"/>
  <c r="C24" i="3"/>
  <c r="N29" i="2"/>
  <c r="L40" i="9"/>
  <c r="L43" i="9" s="1"/>
  <c r="L41" i="9"/>
  <c r="L44" i="9" s="1"/>
  <c r="H76" i="4"/>
  <c r="H50" i="4"/>
  <c r="H29" i="6"/>
  <c r="H6" i="6"/>
  <c r="I76" i="4"/>
  <c r="O142" i="2"/>
  <c r="B54" i="8"/>
  <c r="B55" i="8" s="1"/>
  <c r="B56" i="8" s="1"/>
  <c r="B52" i="8"/>
  <c r="B51" i="8" s="1"/>
  <c r="B50" i="8" s="1"/>
  <c r="P134" i="2"/>
  <c r="C48" i="4"/>
  <c r="C74" i="4"/>
  <c r="C32" i="6" s="1"/>
  <c r="D74" i="4"/>
  <c r="D32" i="6" s="1"/>
  <c r="P32" i="9"/>
  <c r="O32" i="9"/>
  <c r="N32" i="9"/>
  <c r="M143" i="2"/>
  <c r="N143" i="2" s="1"/>
  <c r="B30" i="8"/>
  <c r="B29" i="8" s="1"/>
  <c r="B28" i="8" s="1"/>
  <c r="B32" i="8"/>
  <c r="B33" i="8" s="1"/>
  <c r="B34" i="8" s="1"/>
  <c r="P7" i="2"/>
  <c r="F5" i="3" s="1"/>
  <c r="K40" i="9"/>
  <c r="K43" i="9" s="1"/>
  <c r="K41" i="9"/>
  <c r="K44" i="9" s="1"/>
  <c r="N36" i="2"/>
  <c r="E5" i="3"/>
  <c r="Q95" i="4" l="1"/>
  <c r="Q98" i="4" s="1"/>
  <c r="O98" i="4"/>
  <c r="P145" i="2"/>
  <c r="N40" i="9"/>
  <c r="N43" i="9" s="1"/>
  <c r="N41" i="9"/>
  <c r="N44" i="9" s="1"/>
  <c r="O40" i="9"/>
  <c r="O43" i="9" s="1"/>
  <c r="O41" i="9"/>
  <c r="O44" i="9" s="1"/>
  <c r="O139" i="2"/>
  <c r="P142" i="2"/>
  <c r="P8" i="1"/>
  <c r="O8" i="1"/>
  <c r="O143" i="2"/>
  <c r="P143" i="2" s="1"/>
  <c r="D24" i="3"/>
  <c r="O29" i="2"/>
  <c r="I4" i="8"/>
  <c r="B5" i="8" s="1"/>
  <c r="I5" i="8"/>
  <c r="L31" i="1"/>
  <c r="L58" i="1" s="1"/>
  <c r="P41" i="9"/>
  <c r="P44" i="9" s="1"/>
  <c r="P40" i="9"/>
  <c r="P43" i="9" s="1"/>
  <c r="E27" i="3"/>
  <c r="P32" i="2"/>
  <c r="F27" i="3" s="1"/>
  <c r="E23" i="3"/>
  <c r="P28" i="2"/>
  <c r="F23" i="3" s="1"/>
  <c r="M15" i="1"/>
  <c r="M31" i="1" s="1"/>
  <c r="N12" i="1"/>
  <c r="O144" i="2"/>
  <c r="P144" i="2" s="1"/>
  <c r="P153" i="2"/>
  <c r="E38" i="3"/>
  <c r="O157" i="2"/>
  <c r="M35" i="4"/>
  <c r="M152" i="2"/>
  <c r="C37" i="3" s="1"/>
  <c r="N34" i="4"/>
  <c r="O36" i="2"/>
  <c r="P141" i="2"/>
  <c r="P136" i="2"/>
  <c r="P27" i="2"/>
  <c r="F22" i="3" s="1"/>
  <c r="E22" i="3"/>
  <c r="P146" i="2"/>
  <c r="E24" i="3" l="1"/>
  <c r="P29" i="2"/>
  <c r="F24" i="3" s="1"/>
  <c r="P36" i="2"/>
  <c r="P139" i="2"/>
  <c r="F38" i="3"/>
  <c r="P157" i="2"/>
  <c r="N35" i="4"/>
  <c r="I6" i="8" s="1"/>
  <c r="N152" i="2"/>
  <c r="D37" i="3" s="1"/>
  <c r="O34" i="4"/>
  <c r="M7" i="4"/>
  <c r="M10" i="4" s="1"/>
  <c r="M58" i="1"/>
  <c r="N15" i="1"/>
  <c r="N31" i="1" s="1"/>
  <c r="O12" i="1"/>
  <c r="L7" i="4"/>
  <c r="L9" i="4" l="1"/>
  <c r="M9" i="4"/>
  <c r="N9" i="4"/>
  <c r="P9" i="4"/>
  <c r="L10" i="4"/>
  <c r="O9" i="4"/>
  <c r="M9" i="2"/>
  <c r="M14" i="4"/>
  <c r="M16" i="2" s="1"/>
  <c r="M10" i="2"/>
  <c r="M13" i="4"/>
  <c r="M12" i="2"/>
  <c r="M8" i="2"/>
  <c r="M14" i="2"/>
  <c r="M18" i="2"/>
  <c r="M16" i="4"/>
  <c r="M15" i="2"/>
  <c r="P34" i="4"/>
  <c r="O152" i="2"/>
  <c r="E37" i="3" s="1"/>
  <c r="O35" i="4"/>
  <c r="L9" i="2"/>
  <c r="L14" i="2"/>
  <c r="L10" i="2"/>
  <c r="L15" i="2"/>
  <c r="L12" i="2"/>
  <c r="L8" i="2"/>
  <c r="L16" i="4"/>
  <c r="L13" i="2"/>
  <c r="L13" i="4"/>
  <c r="L18" i="2"/>
  <c r="L14" i="4"/>
  <c r="L16" i="2" s="1"/>
  <c r="P12" i="1"/>
  <c r="P15" i="1" s="1"/>
  <c r="P31" i="1" s="1"/>
  <c r="O15" i="1"/>
  <c r="O31" i="1" s="1"/>
  <c r="N7" i="4"/>
  <c r="N10" i="4" s="1"/>
  <c r="N58" i="1"/>
  <c r="L11" i="4" l="1"/>
  <c r="L25" i="2" s="1"/>
  <c r="B20" i="3" s="1"/>
  <c r="M11" i="4"/>
  <c r="M12" i="4" s="1"/>
  <c r="M15" i="4" s="1"/>
  <c r="M17" i="4" s="1"/>
  <c r="C8" i="3"/>
  <c r="B8" i="3"/>
  <c r="C12" i="3"/>
  <c r="B12" i="3"/>
  <c r="B13" i="3"/>
  <c r="C13" i="3"/>
  <c r="B11" i="3"/>
  <c r="M13" i="2"/>
  <c r="C11" i="3" s="1"/>
  <c r="C7" i="3"/>
  <c r="B7" i="3"/>
  <c r="P35" i="4"/>
  <c r="P152" i="2"/>
  <c r="F37" i="3" s="1"/>
  <c r="N16" i="4"/>
  <c r="N14" i="4"/>
  <c r="N16" i="2" s="1"/>
  <c r="N10" i="2"/>
  <c r="D8" i="3" s="1"/>
  <c r="N12" i="2"/>
  <c r="D10" i="3" s="1"/>
  <c r="N8" i="2"/>
  <c r="D6" i="3" s="1"/>
  <c r="N18" i="2"/>
  <c r="N13" i="4"/>
  <c r="N9" i="2"/>
  <c r="N14" i="2"/>
  <c r="D12" i="3" s="1"/>
  <c r="N15" i="2"/>
  <c r="D13" i="3" s="1"/>
  <c r="B6" i="3"/>
  <c r="C6" i="3"/>
  <c r="P58" i="1"/>
  <c r="P7" i="4"/>
  <c r="P10" i="4" s="1"/>
  <c r="O7" i="4"/>
  <c r="O10" i="4" s="1"/>
  <c r="O58" i="1"/>
  <c r="C10" i="3"/>
  <c r="B10" i="3"/>
  <c r="N11" i="4" l="1"/>
  <c r="N12" i="4" s="1"/>
  <c r="N15" i="4" s="1"/>
  <c r="N17" i="4" s="1"/>
  <c r="L12" i="4"/>
  <c r="L15" i="4" s="1"/>
  <c r="L17" i="4" s="1"/>
  <c r="M24" i="2"/>
  <c r="L24" i="2"/>
  <c r="B19" i="3" s="1"/>
  <c r="M22" i="2"/>
  <c r="L22" i="2"/>
  <c r="B17" i="3" s="1"/>
  <c r="L31" i="2"/>
  <c r="B26" i="3" s="1"/>
  <c r="M31" i="2"/>
  <c r="M25" i="2"/>
  <c r="C20" i="3" s="1"/>
  <c r="L23" i="2"/>
  <c r="B18" i="3" s="1"/>
  <c r="M23" i="2"/>
  <c r="O16" i="4"/>
  <c r="O13" i="4"/>
  <c r="O14" i="4"/>
  <c r="O16" i="2" s="1"/>
  <c r="O10" i="2"/>
  <c r="O9" i="2"/>
  <c r="E7" i="3" s="1"/>
  <c r="O8" i="2"/>
  <c r="E6" i="3" s="1"/>
  <c r="O12" i="2"/>
  <c r="O18" i="2"/>
  <c r="O14" i="2"/>
  <c r="O15" i="2"/>
  <c r="E13" i="3" s="1"/>
  <c r="N13" i="2"/>
  <c r="D11" i="3" s="1"/>
  <c r="P13" i="4"/>
  <c r="P14" i="4"/>
  <c r="P16" i="2" s="1"/>
  <c r="P9" i="2"/>
  <c r="P18" i="2"/>
  <c r="P8" i="2"/>
  <c r="P16" i="4"/>
  <c r="P10" i="2"/>
  <c r="P12" i="2"/>
  <c r="P15" i="2"/>
  <c r="P14" i="2"/>
  <c r="D7" i="3"/>
  <c r="L18" i="4" l="1"/>
  <c r="L20" i="4" s="1"/>
  <c r="L17" i="2" s="1"/>
  <c r="B14" i="3" s="1"/>
  <c r="N24" i="2"/>
  <c r="N18" i="4" s="1"/>
  <c r="N20" i="4" s="1"/>
  <c r="N31" i="2"/>
  <c r="D26" i="3" s="1"/>
  <c r="N23" i="2"/>
  <c r="D18" i="3" s="1"/>
  <c r="N22" i="2"/>
  <c r="D17" i="3" s="1"/>
  <c r="N25" i="2"/>
  <c r="D20" i="3" s="1"/>
  <c r="C19" i="3"/>
  <c r="M18" i="4"/>
  <c r="M20" i="4" s="1"/>
  <c r="M17" i="2" s="1"/>
  <c r="C14" i="3" s="1"/>
  <c r="F8" i="3"/>
  <c r="C17" i="3"/>
  <c r="C18" i="3"/>
  <c r="L26" i="2"/>
  <c r="L33" i="2" s="1"/>
  <c r="C26" i="3"/>
  <c r="M26" i="2"/>
  <c r="M33" i="2" s="1"/>
  <c r="F12" i="3"/>
  <c r="O11" i="4"/>
  <c r="O12" i="4" s="1"/>
  <c r="O15" i="4" s="1"/>
  <c r="O17" i="4" s="1"/>
  <c r="F13" i="3"/>
  <c r="F7" i="3"/>
  <c r="P11" i="4"/>
  <c r="E12" i="3"/>
  <c r="F10" i="3"/>
  <c r="O13" i="2"/>
  <c r="E11" i="3" s="1"/>
  <c r="E10" i="3"/>
  <c r="E8" i="3"/>
  <c r="F6" i="3"/>
  <c r="D19" i="3" l="1"/>
  <c r="O22" i="2"/>
  <c r="E17" i="3" s="1"/>
  <c r="N26" i="2"/>
  <c r="N33" i="2" s="1"/>
  <c r="L21" i="4"/>
  <c r="L22" i="4" s="1"/>
  <c r="L31" i="4" s="1"/>
  <c r="M21" i="4"/>
  <c r="M22" i="4" s="1"/>
  <c r="M151" i="2" s="1"/>
  <c r="O24" i="2"/>
  <c r="O18" i="4" s="1"/>
  <c r="O20" i="4" s="1"/>
  <c r="O31" i="2"/>
  <c r="E26" i="3" s="1"/>
  <c r="O25" i="2"/>
  <c r="E20" i="3" s="1"/>
  <c r="O23" i="2"/>
  <c r="E18" i="3" s="1"/>
  <c r="N21" i="4"/>
  <c r="N22" i="4" s="1"/>
  <c r="N17" i="2"/>
  <c r="D14" i="3" s="1"/>
  <c r="P13" i="2"/>
  <c r="F11" i="3" s="1"/>
  <c r="P23" i="2"/>
  <c r="P31" i="2"/>
  <c r="P25" i="2"/>
  <c r="P24" i="2"/>
  <c r="P22" i="2"/>
  <c r="P12" i="4"/>
  <c r="P15" i="4" s="1"/>
  <c r="P17" i="4" s="1"/>
  <c r="F20" i="3" l="1"/>
  <c r="E19" i="3"/>
  <c r="B2" i="3"/>
  <c r="B40" i="3" s="1"/>
  <c r="B43" i="3" s="1"/>
  <c r="L6" i="2" s="1"/>
  <c r="L151" i="2"/>
  <c r="L154" i="2" s="1"/>
  <c r="L39" i="2" s="1"/>
  <c r="M150" i="2" s="1"/>
  <c r="M154" i="2" s="1"/>
  <c r="L32" i="4"/>
  <c r="C2" i="3"/>
  <c r="C40" i="3" s="1"/>
  <c r="C45" i="3" s="1"/>
  <c r="D17" i="8" s="1"/>
  <c r="M31" i="4"/>
  <c r="M32" i="4"/>
  <c r="F26" i="3"/>
  <c r="F18" i="3"/>
  <c r="O26" i="2"/>
  <c r="O33" i="2" s="1"/>
  <c r="F17" i="3"/>
  <c r="P26" i="2"/>
  <c r="P33" i="2" s="1"/>
  <c r="P18" i="4"/>
  <c r="P20" i="4" s="1"/>
  <c r="F19" i="3"/>
  <c r="O21" i="4"/>
  <c r="O22" i="4" s="1"/>
  <c r="O17" i="2"/>
  <c r="E14" i="3" s="1"/>
  <c r="D2" i="3"/>
  <c r="D40" i="3" s="1"/>
  <c r="N32" i="4"/>
  <c r="N151" i="2"/>
  <c r="N31" i="4"/>
  <c r="L40" i="2" l="1"/>
  <c r="L42" i="2" s="1"/>
  <c r="L43" i="2" s="1"/>
  <c r="B45" i="3"/>
  <c r="C17" i="8" s="1"/>
  <c r="C18" i="8" s="1"/>
  <c r="P21" i="4"/>
  <c r="P22" i="4" s="1"/>
  <c r="P17" i="2"/>
  <c r="F14" i="3" s="1"/>
  <c r="D45" i="3"/>
  <c r="E17" i="8" s="1"/>
  <c r="N150" i="2"/>
  <c r="N154" i="2" s="1"/>
  <c r="M39" i="2"/>
  <c r="O32" i="4"/>
  <c r="O151" i="2"/>
  <c r="E2" i="3"/>
  <c r="E40" i="3" s="1"/>
  <c r="O31" i="4"/>
  <c r="D41" i="8"/>
  <c r="D42" i="8" s="1"/>
  <c r="D18" i="8"/>
  <c r="L11" i="2"/>
  <c r="L19" i="2" s="1"/>
  <c r="C42" i="3"/>
  <c r="C43" i="3" s="1"/>
  <c r="M6" i="2" s="1"/>
  <c r="B47" i="3" l="1"/>
  <c r="C41" i="8"/>
  <c r="C42" i="8" s="1"/>
  <c r="P32" i="4"/>
  <c r="P31" i="4"/>
  <c r="P151" i="2"/>
  <c r="F2" i="3"/>
  <c r="F40" i="3" s="1"/>
  <c r="E41" i="8"/>
  <c r="E42" i="8" s="1"/>
  <c r="E18" i="8"/>
  <c r="D42" i="3"/>
  <c r="D43" i="3" s="1"/>
  <c r="N6" i="2" s="1"/>
  <c r="M11" i="2"/>
  <c r="M19" i="2" s="1"/>
  <c r="O150" i="2"/>
  <c r="O154" i="2" s="1"/>
  <c r="N39" i="2"/>
  <c r="M40" i="2"/>
  <c r="M42" i="2" s="1"/>
  <c r="M43" i="2" s="1"/>
  <c r="E45" i="3"/>
  <c r="F17" i="8" s="1"/>
  <c r="F18" i="8" l="1"/>
  <c r="F41" i="8"/>
  <c r="F42" i="8" s="1"/>
  <c r="P150" i="2"/>
  <c r="P154" i="2" s="1"/>
  <c r="P39" i="2" s="1"/>
  <c r="O39" i="2"/>
  <c r="C47" i="3"/>
  <c r="F45" i="3"/>
  <c r="G17" i="8" s="1"/>
  <c r="N40" i="2"/>
  <c r="N42" i="2" s="1"/>
  <c r="N43" i="2" s="1"/>
  <c r="E42" i="3"/>
  <c r="E43" i="3" s="1"/>
  <c r="O6" i="2" s="1"/>
  <c r="N11" i="2"/>
  <c r="N19" i="2" s="1"/>
  <c r="O11" i="2" l="1"/>
  <c r="O19" i="2" s="1"/>
  <c r="F42" i="3"/>
  <c r="F43" i="3" s="1"/>
  <c r="P6" i="2" s="1"/>
  <c r="P11" i="2" s="1"/>
  <c r="P19" i="2" s="1"/>
  <c r="G18" i="8"/>
  <c r="B22" i="8"/>
  <c r="G41" i="8"/>
  <c r="O40" i="2"/>
  <c r="O42" i="2" s="1"/>
  <c r="O43" i="2" s="1"/>
  <c r="D47" i="3"/>
  <c r="P40" i="2"/>
  <c r="P42" i="2" s="1"/>
  <c r="P43" i="2" s="1"/>
  <c r="B44" i="8" l="1"/>
  <c r="B45" i="8" s="1"/>
  <c r="G42" i="8"/>
  <c r="B23" i="8"/>
  <c r="B24" i="8" s="1"/>
  <c r="B25" i="8" s="1"/>
  <c r="E5" i="10" s="1"/>
  <c r="E7" i="10" s="1"/>
  <c r="C22" i="8"/>
  <c r="F47" i="3"/>
  <c r="E47" i="3"/>
  <c r="B46" i="8" l="1"/>
  <c r="B47" i="8" s="1"/>
  <c r="B27" i="8"/>
  <c r="B9" i="8"/>
  <c r="B10" i="8" l="1"/>
  <c r="I9" i="8" s="1"/>
  <c r="E6" i="10"/>
  <c r="E8" i="10" s="1"/>
  <c r="B49" i="8"/>
  <c r="I10" i="8" l="1"/>
</calcChain>
</file>

<file path=xl/sharedStrings.xml><?xml version="1.0" encoding="utf-8"?>
<sst xmlns="http://schemas.openxmlformats.org/spreadsheetml/2006/main" count="855" uniqueCount="410">
  <si>
    <t>Operating Revenues</t>
  </si>
  <si>
    <t>Notes:</t>
  </si>
  <si>
    <t>Aerospace</t>
  </si>
  <si>
    <t>Commercial Aviation Original Equipment</t>
  </si>
  <si>
    <t>Commercial Aviation Aftermarket</t>
  </si>
  <si>
    <t>Defense and Space</t>
  </si>
  <si>
    <t>Transportation Systems</t>
  </si>
  <si>
    <t>—</t>
  </si>
  <si>
    <t>Net Aerospace sales</t>
  </si>
  <si>
    <t>Honeywell Building Technologies</t>
  </si>
  <si>
    <t xml:space="preserve"> </t>
  </si>
  <si>
    <t>Distribution ADI</t>
  </si>
  <si>
    <t>Homeproducts and building software</t>
  </si>
  <si>
    <t>Products</t>
  </si>
  <si>
    <t>Home and Building Distribution</t>
  </si>
  <si>
    <t>Building Solutions</t>
  </si>
  <si>
    <t>Net Honeywell Building Technologies sales</t>
  </si>
  <si>
    <t>Performance Materials and Technologies</t>
  </si>
  <si>
    <t>UOP</t>
  </si>
  <si>
    <t>Process Solutions</t>
  </si>
  <si>
    <t>Advanced Materials</t>
  </si>
  <si>
    <t>Speciality products</t>
  </si>
  <si>
    <t>Fluorine Products</t>
  </si>
  <si>
    <t>Net Performance Materials and Technologies sales</t>
  </si>
  <si>
    <t>Safety and Productivity Solutions</t>
  </si>
  <si>
    <t>Sensing and Safety Technologies</t>
  </si>
  <si>
    <t>-</t>
  </si>
  <si>
    <t>Safety and Retail</t>
  </si>
  <si>
    <t>Productivity Solutions and Services</t>
  </si>
  <si>
    <t>Warehouse and Workflow Solutions</t>
  </si>
  <si>
    <t>Sensing &amp; IoT</t>
  </si>
  <si>
    <t>Net Safety and Productivity Solutions sales</t>
  </si>
  <si>
    <t>Corporate and All Other</t>
  </si>
  <si>
    <t>Net sales</t>
  </si>
  <si>
    <t>Assumptions</t>
  </si>
  <si>
    <t>Net Sales</t>
  </si>
  <si>
    <t>Balance Sheet</t>
  </si>
  <si>
    <t>ASSETS</t>
  </si>
  <si>
    <t>Current assets</t>
  </si>
  <si>
    <t>Cash and cash equivalents</t>
  </si>
  <si>
    <t>from derived cash flow</t>
  </si>
  <si>
    <t>Short-term investments</t>
  </si>
  <si>
    <t>Accounts receivable, less allowances of $323 and $326, respectively</t>
  </si>
  <si>
    <t>% of revenue</t>
  </si>
  <si>
    <t>Inventories</t>
  </si>
  <si>
    <t>Other current assets</t>
  </si>
  <si>
    <t>Total current assets</t>
  </si>
  <si>
    <t>Investments and long-term receivables</t>
  </si>
  <si>
    <t>Property, plant and equipment—net</t>
  </si>
  <si>
    <t>Goodwill</t>
  </si>
  <si>
    <t>Other intangible assets—net</t>
  </si>
  <si>
    <t>Insurance recoveries for asbestos-related liabilities</t>
  </si>
  <si>
    <t>Deferred income taxes</t>
  </si>
  <si>
    <t>Other assets</t>
  </si>
  <si>
    <t>Total assets</t>
  </si>
  <si>
    <t>LIABILITIES</t>
  </si>
  <si>
    <t>Current liabilities</t>
  </si>
  <si>
    <t>Accounts payable</t>
  </si>
  <si>
    <t>Commercial paper and other short-term borrowings</t>
  </si>
  <si>
    <t>Current maturities of long-term debt</t>
  </si>
  <si>
    <t>Accrued liabilities</t>
  </si>
  <si>
    <t>Total current liabilities</t>
  </si>
  <si>
    <t>Long-term debt</t>
  </si>
  <si>
    <t>Postretirement benefit obligations other than pensions</t>
  </si>
  <si>
    <t>Asbestos-related liabilities</t>
  </si>
  <si>
    <t>Other liabilities</t>
  </si>
  <si>
    <t>Redeemable noncontrolling interest</t>
  </si>
  <si>
    <t>Total Liabilities</t>
  </si>
  <si>
    <t>SHAREOWNERS’ EQUITY</t>
  </si>
  <si>
    <t>Capital—common stock issued</t>
  </si>
  <si>
    <t>—additional paid-in capital</t>
  </si>
  <si>
    <t>Common stock held in treasury, at cost</t>
  </si>
  <si>
    <t>Accumulated other comprehensive income (loss)</t>
  </si>
  <si>
    <t>Retained earnings</t>
  </si>
  <si>
    <t>Total Honeywell shareowners’ equity</t>
  </si>
  <si>
    <t>Noncontrolling interest</t>
  </si>
  <si>
    <t>Total shareowners’ equity</t>
  </si>
  <si>
    <t>Total liabilities, redeemable noncontrolling interest and shareowners’ equity</t>
  </si>
  <si>
    <t>Common Size Balance Sheet</t>
  </si>
  <si>
    <t>Percentage Balance Sheet</t>
  </si>
  <si>
    <t>Long term debt</t>
  </si>
  <si>
    <t>Retained Earnings Schedule</t>
  </si>
  <si>
    <t>Beginning RE</t>
  </si>
  <si>
    <t>Add Net Income</t>
  </si>
  <si>
    <t>- Cash dividend</t>
  </si>
  <si>
    <t>- Repurchases</t>
  </si>
  <si>
    <t>Ending Retained Earnings</t>
  </si>
  <si>
    <t>Dividend</t>
  </si>
  <si>
    <t>Declared</t>
  </si>
  <si>
    <t>Shares Repurchased</t>
  </si>
  <si>
    <t>Avg. Share Price</t>
  </si>
  <si>
    <t>price of equity</t>
  </si>
  <si>
    <t>Derived Cash Flows, in millions</t>
  </si>
  <si>
    <t>Net Income</t>
  </si>
  <si>
    <t>= Net Income</t>
  </si>
  <si>
    <t>Current assets:</t>
  </si>
  <si>
    <t>Short-term investment</t>
  </si>
  <si>
    <t>- Change in WC</t>
  </si>
  <si>
    <t>Property, plant and equipment, net</t>
  </si>
  <si>
    <t>- Net Capex</t>
  </si>
  <si>
    <t>Other intangible assets, net</t>
  </si>
  <si>
    <t>Current liabilities:</t>
  </si>
  <si>
    <t>+ Net new debt</t>
  </si>
  <si>
    <t>Total liabilities</t>
  </si>
  <si>
    <t>Shareholders' equity:</t>
  </si>
  <si>
    <t>Common stock, no par value;</t>
  </si>
  <si>
    <t>Accumulated other comprehensive (loss)/income</t>
  </si>
  <si>
    <t>Total shareholders' equity</t>
  </si>
  <si>
    <t>Total liabilities and shareholders' equity</t>
  </si>
  <si>
    <t>Dividends</t>
  </si>
  <si>
    <t>Repurchases</t>
  </si>
  <si>
    <t>Free Cash Flows</t>
  </si>
  <si>
    <t>Cash at beginning of period</t>
  </si>
  <si>
    <t>Cash at end of period</t>
  </si>
  <si>
    <t>FCFE</t>
  </si>
  <si>
    <t>Balance sheet check</t>
  </si>
  <si>
    <t>Honeywell</t>
  </si>
  <si>
    <t xml:space="preserve">Income Statement  </t>
  </si>
  <si>
    <t>Product sales</t>
  </si>
  <si>
    <t>Service sales</t>
  </si>
  <si>
    <t>Revenue Model</t>
  </si>
  <si>
    <t>Costs, expenses and other</t>
  </si>
  <si>
    <t>Cost of products sold</t>
  </si>
  <si>
    <t>Cost of services sold</t>
  </si>
  <si>
    <t>Total Cost of products and services sold</t>
  </si>
  <si>
    <t>Gross Profit</t>
  </si>
  <si>
    <t>Research and development expenses</t>
  </si>
  <si>
    <t>Selling, general and administrative expenses</t>
  </si>
  <si>
    <t>Operating income</t>
  </si>
  <si>
    <t>Other (income) expense</t>
  </si>
  <si>
    <t>EBIT</t>
  </si>
  <si>
    <t>Interest and other financial charges</t>
  </si>
  <si>
    <t>Total costs, expenses and other</t>
  </si>
  <si>
    <t>Income before taxes</t>
  </si>
  <si>
    <t>Tax expense</t>
  </si>
  <si>
    <t>Net income</t>
  </si>
  <si>
    <t>Less: Net income attributable to noncontrolling interest</t>
  </si>
  <si>
    <t>Net income attributable to Honeywell</t>
  </si>
  <si>
    <t>Earnings per share of common stock—basic</t>
  </si>
  <si>
    <t>Earnings per share of common stock—assuming dilution</t>
  </si>
  <si>
    <t>Cash dividends per share of common stock</t>
  </si>
  <si>
    <t>Tax Rate</t>
  </si>
  <si>
    <t>Earnings per common share:</t>
  </si>
  <si>
    <t>Basic</t>
  </si>
  <si>
    <t>Diluted</t>
  </si>
  <si>
    <t>Shares used in computing earnings per share:</t>
  </si>
  <si>
    <t>Common Size Income Statement</t>
  </si>
  <si>
    <t>Percent Change Statement</t>
  </si>
  <si>
    <t>Cash Flow - Standardized (Currency: Standardized)</t>
  </si>
  <si>
    <t>Field Name</t>
  </si>
  <si>
    <t>30-12-2014</t>
  </si>
  <si>
    <t>30-12-2015</t>
  </si>
  <si>
    <t>30-12-2016</t>
  </si>
  <si>
    <t>30-12-2017</t>
  </si>
  <si>
    <t>30-12-2018</t>
  </si>
  <si>
    <t>30-12-2019</t>
  </si>
  <si>
    <t>30-12-2020</t>
  </si>
  <si>
    <t>30-12-2021</t>
  </si>
  <si>
    <t>30-12-2022</t>
  </si>
  <si>
    <t>30-12-2023</t>
  </si>
  <si>
    <t>Operating Cash Flow - Indirect</t>
  </si>
  <si>
    <t>Profit/(Loss) - Starting Line - Cash Flow</t>
  </si>
  <si>
    <t>Non-cash Items &amp; Reconciliation Adjustments - Cash Flow</t>
  </si>
  <si>
    <t>Minority Interest - Cash Flow - to Reconcile</t>
  </si>
  <si>
    <t>Other Non-Cash Items &amp; Reconciliation Adjustments - Cash Flow - to Reconcile</t>
  </si>
  <si>
    <t>Depreciation, Depletion &amp; Amortization including Impairment - Cash Flow - to Reconcile</t>
  </si>
  <si>
    <t>Depreciation &amp; Depletion - Property, Plant &amp; Equipment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</si>
  <si>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</si>
  <si>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</si>
  <si>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</si>
  <si>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</si>
  <si>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</si>
  <si>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</si>
  <si>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</si>
  <si>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</si>
  <si>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</si>
  <si>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</si>
  <si>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</si>
  <si>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Net Cash Flow from Operating Activities</t>
  </si>
  <si>
    <t>Investing Cash Flow</t>
  </si>
  <si>
    <t>Capital Expenditures - Net -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</si>
  <si>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</si>
  <si>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</si>
  <si>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</si>
  <si>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</si>
  <si>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</si>
  <si>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</si>
  <si>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</si>
  <si>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</si>
  <si>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</si>
  <si>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</si>
  <si>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</si>
  <si>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Derivative Financial Instruments - Hedging - Sold/(Purchased) -Total - Cash Flow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</si>
  <si>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</si>
  <si>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</si>
  <si>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</si>
  <si>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</si>
  <si>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</si>
  <si>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</si>
  <si>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</si>
  <si>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</si>
  <si>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</si>
  <si>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</si>
  <si>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</si>
  <si>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</si>
  <si>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</si>
  <si>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</si>
  <si>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</si>
  <si>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</si>
  <si>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</si>
  <si>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</si>
  <si>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</si>
  <si>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</si>
  <si>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</si>
  <si>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</si>
  <si>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</si>
  <si>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Change in Cash - Total</t>
  </si>
  <si>
    <t>Net Cash from Continuing Operations</t>
  </si>
  <si>
    <t>Net Cash - Beginning Balance</t>
  </si>
  <si>
    <t>Net Cash - Ending Balance</t>
  </si>
  <si>
    <t>Common Size</t>
  </si>
  <si>
    <t>Percentage Change</t>
  </si>
  <si>
    <t>Honeywell Ratio Analysis</t>
  </si>
  <si>
    <t>Profitability</t>
  </si>
  <si>
    <t>Formula</t>
  </si>
  <si>
    <t>Gross margin</t>
  </si>
  <si>
    <t>gross profit/sales</t>
  </si>
  <si>
    <t>Pre-tax operating profit margin</t>
  </si>
  <si>
    <t>EBIT/sales</t>
  </si>
  <si>
    <t>EBITDA margin</t>
  </si>
  <si>
    <t>EBITDA / sales</t>
  </si>
  <si>
    <t>Net profit margin</t>
  </si>
  <si>
    <t>Net income/sales</t>
  </si>
  <si>
    <t>ROA</t>
  </si>
  <si>
    <t>(Net profit margin for ROA)(asset turnover) which is also [EBIT(1-t)/assets]</t>
  </si>
  <si>
    <t>ROE</t>
  </si>
  <si>
    <t>Net income/equity</t>
  </si>
  <si>
    <t>ROCE</t>
  </si>
  <si>
    <t>(NI - preferred dividends)/(common equity), which aslo equals: ROA + D/E[ROA-i(1-t)]</t>
  </si>
  <si>
    <t>or ROA(common earnings leverage)(capital structure leverage)</t>
  </si>
  <si>
    <t>Liquidity</t>
  </si>
  <si>
    <t>Current Ratio</t>
  </si>
  <si>
    <t>Quick Ratio</t>
  </si>
  <si>
    <t>Financial leverage</t>
  </si>
  <si>
    <t>Capital Structure Leverage</t>
  </si>
  <si>
    <t>Total debt to Equity</t>
  </si>
  <si>
    <t>Long-term debt ratio</t>
  </si>
  <si>
    <t>Liabilities to Equity</t>
  </si>
  <si>
    <t>Total debt to total capital</t>
  </si>
  <si>
    <t>Working capital to total capital</t>
  </si>
  <si>
    <t>Coverage</t>
  </si>
  <si>
    <t>Operating cash flow to total liabilities</t>
  </si>
  <si>
    <t>Ops CF/total liabilities</t>
  </si>
  <si>
    <t>Operating cash flow to total debt</t>
  </si>
  <si>
    <t>Ops CF/total debt</t>
  </si>
  <si>
    <t>Operating cash flow to capital expenditures</t>
  </si>
  <si>
    <t>Ops CF/capex</t>
  </si>
  <si>
    <t>Interest coverage</t>
  </si>
  <si>
    <t>EBIT/interest or EBITDA/interest</t>
  </si>
  <si>
    <t>Operating Leverage</t>
  </si>
  <si>
    <t>Efficiency/Activity</t>
  </si>
  <si>
    <t>Asset turnover</t>
  </si>
  <si>
    <t>Receivables turnover</t>
  </si>
  <si>
    <t>Inventory turnover</t>
  </si>
  <si>
    <t>Days sales outstanding</t>
  </si>
  <si>
    <t>Days inventory on hand</t>
  </si>
  <si>
    <t>Company name</t>
  </si>
  <si>
    <t>Company ticker</t>
  </si>
  <si>
    <t>Honeywell International Inc.</t>
  </si>
  <si>
    <t>HON</t>
  </si>
  <si>
    <t>Cost of Equity</t>
  </si>
  <si>
    <t>(Blue = input, Black = calculation)</t>
  </si>
  <si>
    <t>S&amp;P 500 data</t>
  </si>
  <si>
    <t>Source</t>
  </si>
  <si>
    <t>S&amp;P500 Forward P/E</t>
  </si>
  <si>
    <t>21.25x</t>
  </si>
  <si>
    <t>WSJ</t>
  </si>
  <si>
    <t>Projected EPS growth rate (g S&amp;P)</t>
  </si>
  <si>
    <t>CapIQ / Bloomberg</t>
  </si>
  <si>
    <t>Risk-free rate (Rf)</t>
  </si>
  <si>
    <t>Market quote</t>
  </si>
  <si>
    <t>Implied required return on equity (Rs&amp;p500)</t>
  </si>
  <si>
    <t>{ (1+ gs&amp;p500 ) / (P/Es&amp;p500) } + gs&amp;p500</t>
  </si>
  <si>
    <t>Implied equity risk premium (Rm)</t>
  </si>
  <si>
    <t>Rs&amp;p500-Rm</t>
  </si>
  <si>
    <t>Forward Beta calculation:</t>
  </si>
  <si>
    <t>Honeywell Data</t>
  </si>
  <si>
    <t>Current Price (P)</t>
  </si>
  <si>
    <t>Yahoo!Finance</t>
  </si>
  <si>
    <t>Forward EPS (E)</t>
  </si>
  <si>
    <t>P/E ratio</t>
  </si>
  <si>
    <t>Projected EPS growth rate (g)</t>
  </si>
  <si>
    <t>Implied required return on equity (Re)</t>
  </si>
  <si>
    <t>Beta</t>
  </si>
  <si>
    <t>Forward (Bf)</t>
  </si>
  <si>
    <t>(Re-Rf)/Rm</t>
  </si>
  <si>
    <t>Historic (Bh)</t>
  </si>
  <si>
    <t>Yahoo</t>
  </si>
  <si>
    <t>Cost of Equity:</t>
  </si>
  <si>
    <t>Historic equity risk premium</t>
  </si>
  <si>
    <t>Using Forward Beta</t>
  </si>
  <si>
    <t>Rf+Rm*Bf</t>
  </si>
  <si>
    <t>Using Historic Beta</t>
  </si>
  <si>
    <t>Rf+Rm*Bh</t>
  </si>
  <si>
    <t>Weighted COE</t>
  </si>
  <si>
    <t>Market COE (beta = 1)</t>
  </si>
  <si>
    <t>Assumes beta of 1.0</t>
  </si>
  <si>
    <t>Honeywell Valuation</t>
  </si>
  <si>
    <t>Share count</t>
  </si>
  <si>
    <t>Today</t>
  </si>
  <si>
    <t>Number of Shares:</t>
  </si>
  <si>
    <t>Q1'24</t>
  </si>
  <si>
    <t>One year</t>
  </si>
  <si>
    <t>Two year</t>
  </si>
  <si>
    <t>Actual Price:</t>
  </si>
  <si>
    <t>Thomson Mean Price Target</t>
  </si>
  <si>
    <t>12 month</t>
  </si>
  <si>
    <t>Model Valuation:</t>
  </si>
  <si>
    <t>Price Appreciation</t>
  </si>
  <si>
    <t>Model 12 Month Price Target:</t>
  </si>
  <si>
    <t>Price Appreciation / current beta</t>
  </si>
  <si>
    <t>Model Current Valuation with Sensitivity of Ke</t>
  </si>
  <si>
    <t>Time period (years)</t>
  </si>
  <si>
    <t>Nominal FCFE:</t>
  </si>
  <si>
    <t>PV FCFE:</t>
  </si>
  <si>
    <t>Terminal Growth Rate</t>
  </si>
  <si>
    <t>Terminal Value in 2027</t>
  </si>
  <si>
    <t>&lt;== Implied terminal value / net income (or P/E) multiple for terminal value</t>
  </si>
  <si>
    <t>PV of Terminal Value</t>
  </si>
  <si>
    <t>Total PV:</t>
  </si>
  <si>
    <t>Valuation per Share ($):</t>
  </si>
  <si>
    <t>Growth step-up/down</t>
  </si>
  <si>
    <t>Ke step-up/down</t>
  </si>
  <si>
    <t>Cost Of Equity Ke</t>
  </si>
  <si>
    <t>Model 12 Month Price Target with Sensitivity of Ke</t>
  </si>
  <si>
    <t>Time period</t>
  </si>
  <si>
    <t>COMPARABLE COMPANY ANALYSIS</t>
  </si>
  <si>
    <t>COMPANY DATA</t>
  </si>
  <si>
    <t>(in millions)</t>
  </si>
  <si>
    <t>Recent</t>
  </si>
  <si>
    <t>52 week</t>
  </si>
  <si>
    <t>Shares</t>
  </si>
  <si>
    <t>Market</t>
  </si>
  <si>
    <t>Total</t>
  </si>
  <si>
    <t>Enterprise</t>
  </si>
  <si>
    <t>Book</t>
  </si>
  <si>
    <t>WS 12-mo</t>
  </si>
  <si>
    <t>Company Name</t>
  </si>
  <si>
    <t>Ticker</t>
  </si>
  <si>
    <t>Price</t>
  </si>
  <si>
    <t>High</t>
  </si>
  <si>
    <t>Out</t>
  </si>
  <si>
    <t>Cap</t>
  </si>
  <si>
    <t>Debt</t>
  </si>
  <si>
    <t>Cash</t>
  </si>
  <si>
    <t>Value</t>
  </si>
  <si>
    <t>Price Target</t>
  </si>
  <si>
    <t>3M CO</t>
  </si>
  <si>
    <t>MMM.N</t>
  </si>
  <si>
    <t>GENERAL ELECTRIC CO</t>
  </si>
  <si>
    <t>GE.N</t>
  </si>
  <si>
    <t>CARRIER GLOBAL CORP</t>
  </si>
  <si>
    <t>CARR.N</t>
  </si>
  <si>
    <t>RTX CORP</t>
  </si>
  <si>
    <t>RTX.N</t>
  </si>
  <si>
    <t>Honeywell Industrials Inc.</t>
  </si>
  <si>
    <t>HON.O</t>
  </si>
  <si>
    <t>I/B/E/S  ESTIMATES</t>
  </si>
  <si>
    <t>SALES</t>
  </si>
  <si>
    <t>EPS</t>
  </si>
  <si>
    <t>EBITDA</t>
  </si>
  <si>
    <t>EPS 5-yr</t>
  </si>
  <si>
    <t>Last FY</t>
  </si>
  <si>
    <t>FYR1</t>
  </si>
  <si>
    <t>FYR2</t>
  </si>
  <si>
    <t>FYR3</t>
  </si>
  <si>
    <t>Growth %</t>
  </si>
  <si>
    <t>VALUATION MULTIPLES</t>
  </si>
  <si>
    <t>Price /</t>
  </si>
  <si>
    <t>Price/Sales</t>
  </si>
  <si>
    <t>P/E</t>
  </si>
  <si>
    <t>PEG</t>
  </si>
  <si>
    <t>EV/EBITDA</t>
  </si>
  <si>
    <t>Average</t>
  </si>
  <si>
    <t>Median</t>
  </si>
  <si>
    <t>RATIO ANALYSIS</t>
  </si>
  <si>
    <t>Gross</t>
  </si>
  <si>
    <t>Operating</t>
  </si>
  <si>
    <t>Net</t>
  </si>
  <si>
    <t>Asset</t>
  </si>
  <si>
    <t>Inventory</t>
  </si>
  <si>
    <t>Receivables</t>
  </si>
  <si>
    <t>Quick</t>
  </si>
  <si>
    <t>Current</t>
  </si>
  <si>
    <t>Interest</t>
  </si>
  <si>
    <t>Margin</t>
  </si>
  <si>
    <t>Turnvover</t>
  </si>
  <si>
    <t>Debt/E</t>
  </si>
  <si>
    <t>LTD/TC</t>
  </si>
  <si>
    <t>Ratio</t>
  </si>
  <si>
    <t>Best</t>
  </si>
  <si>
    <t>Base</t>
  </si>
  <si>
    <t>Worst</t>
  </si>
  <si>
    <t>Current Price</t>
  </si>
  <si>
    <t>Valuation Price</t>
  </si>
  <si>
    <t>12 month Valuation Price</t>
  </si>
  <si>
    <t>Valuation Appreciation</t>
  </si>
  <si>
    <t>12 month valuation appreciation</t>
  </si>
  <si>
    <t>Bull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</si>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</sst>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m/d/yy"/>
    <numFmt numFmtId="167" formatCode="0.0%"/>
    <numFmt numFmtId="168" formatCode="0.0\x"/>
  </numFmts>
  <fonts count="60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0"/>
      <name val="Calibri"/>
      <family val="2"/>
    </font>
    <font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0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rgb="FFFFFFFF"/>
      <name val="Calibri"/>
      <family val="2"/>
    </font>
    <font>
      <sz val="11"/>
      <name val="Aptos Narrow"/>
      <family val="2"/>
    </font>
    <font>
      <b/>
      <sz val="11"/>
      <color theme="1"/>
      <name val="Times New Roman"/>
      <family val="1"/>
    </font>
    <font>
      <sz val="11"/>
      <color rgb="FF252525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Sans-serif"/>
    </font>
    <font>
      <b/>
      <sz val="11"/>
      <color rgb="FF252525"/>
      <name val="Calibri"/>
      <family val="2"/>
    </font>
    <font>
      <sz val="11"/>
      <color theme="1"/>
      <name val="Sans-serif"/>
    </font>
    <font>
      <sz val="11"/>
      <color theme="1"/>
      <name val="aptos narrow"/>
      <family val="2"/>
      <scheme val="minor"/>
    </font>
    <font>
      <sz val="11"/>
      <color rgb="FFF5475B"/>
      <name val="Calibri"/>
      <family val="2"/>
    </font>
    <font>
      <sz val="9"/>
      <color rgb="FF000000"/>
      <name val="&quot;Google Sans Mono&quot;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Sans-serif"/>
    </font>
    <font>
      <b/>
      <sz val="12"/>
      <color rgb="FFFFFFFF"/>
      <name val="Calibri"/>
      <family val="2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1"/>
      <color theme="0"/>
      <name val="Aptos Narrow"/>
      <family val="2"/>
    </font>
    <font>
      <sz val="12"/>
      <color rgb="FF000000"/>
      <name val="Calibri"/>
      <family val="2"/>
    </font>
    <font>
      <b/>
      <sz val="11"/>
      <color rgb="FFF5475B"/>
      <name val="Calibri"/>
      <family val="2"/>
    </font>
    <font>
      <b/>
      <sz val="14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rgb="FFA61D4C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FF"/>
      <name val="Calibri"/>
      <family val="2"/>
    </font>
    <font>
      <i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3366FF"/>
      <name val="Calibri"/>
      <family val="2"/>
    </font>
    <font>
      <u/>
      <sz val="11"/>
      <color rgb="FF467886"/>
      <name val="&quot;aptos narrow&quot;"/>
    </font>
    <font>
      <u/>
      <sz val="11"/>
      <color rgb="FF467886"/>
      <name val="&quot;aptos narrow&quot;"/>
    </font>
    <font>
      <sz val="11"/>
      <color theme="1"/>
      <name val="&quot;aptos narrow&quot;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9"/>
      <color rgb="FF232A31"/>
      <name val="&quot;GT America&quot;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232A31"/>
      <name val="Arial"/>
      <family val="2"/>
    </font>
    <font>
      <sz val="11"/>
      <color rgb="FF000000"/>
      <name val="&quot;GT America&quot;"/>
    </font>
    <font>
      <sz val="11"/>
      <color rgb="FF232A31"/>
      <name val="&quot;GT America&quot;"/>
    </font>
    <font>
      <sz val="11"/>
      <color rgb="FF000000"/>
      <name val="Arial"/>
      <family val="2"/>
    </font>
    <font>
      <b/>
      <sz val="9"/>
      <color rgb="FF000000"/>
      <name val="&quot;GT America&quot;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9375F"/>
        <bgColor rgb="FF19375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5D8DB"/>
        <bgColor rgb="FFD5D8DB"/>
      </patternFill>
    </fill>
    <fill>
      <patternFill patternType="solid">
        <fgColor rgb="FFFFFF00"/>
        <bgColor rgb="FFFFFF00"/>
      </patternFill>
    </fill>
    <fill>
      <patternFill patternType="solid">
        <fgColor rgb="FF45B0E1"/>
        <bgColor rgb="FF45B0E1"/>
      </patternFill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7F7F7F"/>
        <bgColor rgb="FF7F7F7F"/>
      </patternFill>
    </fill>
    <fill>
      <patternFill patternType="solid">
        <fgColor rgb="FF334BFF"/>
        <bgColor rgb="FF334BFF"/>
      </patternFill>
    </fill>
    <fill>
      <patternFill patternType="solid">
        <fgColor rgb="FFB8CCE4"/>
        <bgColor rgb="FFB8CCE4"/>
      </patternFill>
    </fill>
    <fill>
      <patternFill patternType="solid">
        <fgColor rgb="FFFFF2CC"/>
        <bgColor rgb="FFFFF2CC"/>
      </patternFill>
    </fill>
    <fill>
      <patternFill patternType="solid">
        <fgColor rgb="FF99CCFF"/>
        <bgColor rgb="FF99CCFF"/>
      </patternFill>
    </fill>
    <fill>
      <patternFill patternType="solid">
        <fgColor rgb="FFDBE5F1"/>
        <bgColor rgb="FFDBE5F1"/>
      </patternFill>
    </fill>
    <fill>
      <patternFill patternType="solid">
        <fgColor rgb="FF000080"/>
        <bgColor rgb="FF000080"/>
      </patternFill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5D8DB"/>
      </left>
      <right/>
      <top/>
      <bottom style="thin">
        <color rgb="FFD5D8DB"/>
      </bottom>
      <diagonal/>
    </border>
    <border>
      <left/>
      <right style="thin">
        <color rgb="FFD5D8DB"/>
      </right>
      <top/>
      <bottom style="thin">
        <color rgb="FFD5D8DB"/>
      </bottom>
      <diagonal/>
    </border>
    <border>
      <left/>
      <right style="thin">
        <color rgb="FF000000"/>
      </right>
      <top/>
      <bottom style="thin">
        <color rgb="FFD5D8DB"/>
      </bottom>
      <diagonal/>
    </border>
    <border>
      <left style="thin">
        <color rgb="FFD5D8DB"/>
      </left>
      <right/>
      <top/>
      <bottom style="thin">
        <color rgb="FFD5D8DB"/>
      </bottom>
      <diagonal/>
    </border>
    <border>
      <left/>
      <right/>
      <top/>
      <bottom style="thin">
        <color rgb="FFD5D8DB"/>
      </bottom>
      <diagonal/>
    </border>
    <border>
      <left/>
      <right style="thin">
        <color rgb="FF000000"/>
      </right>
      <top/>
      <bottom style="thin">
        <color rgb="FFD5D8DB"/>
      </bottom>
      <diagonal/>
    </border>
    <border>
      <left/>
      <right/>
      <top style="thin">
        <color rgb="FFE2E2E2"/>
      </top>
      <bottom/>
      <diagonal/>
    </border>
    <border>
      <left/>
      <right style="thin">
        <color rgb="FFD5D8DB"/>
      </right>
      <top/>
      <bottom style="thin">
        <color rgb="FFD5D8DB"/>
      </bottom>
      <diagonal/>
    </border>
    <border>
      <left/>
      <right/>
      <top/>
      <bottom style="thin">
        <color rgb="FFD5D8DB"/>
      </bottom>
      <diagonal/>
    </border>
    <border>
      <left style="thin">
        <color rgb="FFD5D8DB"/>
      </left>
      <right style="thin">
        <color rgb="FFD5D8DB"/>
      </right>
      <top/>
      <bottom style="thin">
        <color rgb="FFD5D8DB"/>
      </bottom>
      <diagonal/>
    </border>
    <border>
      <left/>
      <right style="thin">
        <color rgb="FF334BFF"/>
      </right>
      <top/>
      <bottom style="thin">
        <color rgb="FF334B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5D8DB"/>
      </left>
      <right style="thin">
        <color rgb="FFD5D8DB"/>
      </right>
      <top/>
      <bottom style="thin">
        <color rgb="FFD5D8DB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/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334BFF"/>
      </left>
      <right style="thin">
        <color rgb="FF334BFF"/>
      </right>
      <top/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/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8" fillId="0" borderId="0" applyFont="0" applyFill="0" applyBorder="0" applyAlignment="0" applyProtection="0"/>
  </cellStyleXfs>
  <cellXfs count="423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/>
    <xf numFmtId="0" fontId="3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5" fillId="0" borderId="0" xfId="0" applyFont="1"/>
    <xf numFmtId="0" fontId="4" fillId="3" borderId="2" xfId="0" applyFont="1" applyFill="1" applyBorder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164" fontId="5" fillId="0" borderId="1" xfId="0" applyNumberFormat="1" applyFont="1" applyBorder="1"/>
    <xf numFmtId="164" fontId="2" fillId="0" borderId="0" xfId="0" applyNumberFormat="1" applyFont="1"/>
    <xf numFmtId="164" fontId="7" fillId="0" borderId="0" xfId="0" applyNumberFormat="1" applyFont="1"/>
    <xf numFmtId="10" fontId="2" fillId="0" borderId="0" xfId="0" applyNumberFormat="1" applyFont="1"/>
    <xf numFmtId="10" fontId="2" fillId="0" borderId="1" xfId="0" applyNumberFormat="1" applyFont="1" applyBorder="1"/>
    <xf numFmtId="9" fontId="7" fillId="0" borderId="0" xfId="0" applyNumberFormat="1" applyFont="1"/>
    <xf numFmtId="9" fontId="2" fillId="0" borderId="0" xfId="0" applyNumberFormat="1" applyFont="1"/>
    <xf numFmtId="10" fontId="7" fillId="0" borderId="0" xfId="0" applyNumberFormat="1" applyFont="1"/>
    <xf numFmtId="0" fontId="7" fillId="0" borderId="0" xfId="0" applyFont="1"/>
    <xf numFmtId="0" fontId="8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10" fillId="0" borderId="0" xfId="0" applyFont="1"/>
    <xf numFmtId="0" fontId="11" fillId="4" borderId="2" xfId="0" applyFont="1" applyFill="1" applyBorder="1"/>
    <xf numFmtId="0" fontId="11" fillId="4" borderId="3" xfId="0" applyFont="1" applyFill="1" applyBorder="1"/>
    <xf numFmtId="0" fontId="11" fillId="4" borderId="2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wrapText="1"/>
    </xf>
    <xf numFmtId="0" fontId="9" fillId="0" borderId="0" xfId="0" applyFont="1"/>
    <xf numFmtId="0" fontId="6" fillId="4" borderId="2" xfId="0" applyFont="1" applyFill="1" applyBorder="1"/>
    <xf numFmtId="0" fontId="6" fillId="4" borderId="3" xfId="0" applyFont="1" applyFill="1" applyBorder="1"/>
    <xf numFmtId="0" fontId="13" fillId="0" borderId="0" xfId="0" applyFont="1"/>
    <xf numFmtId="0" fontId="6" fillId="4" borderId="9" xfId="0" applyFont="1" applyFill="1" applyBorder="1" applyAlignment="1">
      <alignment horizontal="left" wrapText="1"/>
    </xf>
    <xf numFmtId="164" fontId="5" fillId="0" borderId="0" xfId="0" applyNumberFormat="1" applyFont="1" applyAlignment="1">
      <alignment horizontal="right" vertical="top"/>
    </xf>
    <xf numFmtId="164" fontId="14" fillId="0" borderId="0" xfId="0" applyNumberFormat="1" applyFont="1" applyAlignment="1">
      <alignment horizontal="right"/>
    </xf>
    <xf numFmtId="164" fontId="5" fillId="4" borderId="10" xfId="0" applyNumberFormat="1" applyFont="1" applyFill="1" applyBorder="1"/>
    <xf numFmtId="164" fontId="5" fillId="4" borderId="11" xfId="0" applyNumberFormat="1" applyFont="1" applyFill="1" applyBorder="1"/>
    <xf numFmtId="164" fontId="2" fillId="0" borderId="2" xfId="0" applyNumberFormat="1" applyFont="1" applyBorder="1"/>
    <xf numFmtId="0" fontId="15" fillId="0" borderId="0" xfId="0" applyFont="1"/>
    <xf numFmtId="0" fontId="16" fillId="0" borderId="0" xfId="0" applyFont="1"/>
    <xf numFmtId="0" fontId="2" fillId="0" borderId="0" xfId="0" applyFont="1"/>
    <xf numFmtId="0" fontId="5" fillId="0" borderId="12" xfId="0" applyFont="1" applyBorder="1" applyAlignment="1">
      <alignment wrapText="1"/>
    </xf>
    <xf numFmtId="164" fontId="5" fillId="0" borderId="13" xfId="0" applyNumberFormat="1" applyFont="1" applyBorder="1" applyAlignment="1">
      <alignment horizontal="right"/>
    </xf>
    <xf numFmtId="164" fontId="5" fillId="0" borderId="14" xfId="0" applyNumberFormat="1" applyFont="1" applyBorder="1" applyAlignment="1">
      <alignment horizontal="right"/>
    </xf>
    <xf numFmtId="0" fontId="5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164" fontId="17" fillId="0" borderId="15" xfId="0" applyNumberFormat="1" applyFont="1" applyBorder="1" applyAlignment="1">
      <alignment horizontal="right"/>
    </xf>
    <xf numFmtId="0" fontId="18" fillId="0" borderId="0" xfId="0" applyFont="1"/>
    <xf numFmtId="3" fontId="15" fillId="0" borderId="0" xfId="0" applyNumberFormat="1" applyFont="1"/>
    <xf numFmtId="3" fontId="18" fillId="0" borderId="0" xfId="0" applyNumberFormat="1" applyFont="1" applyAlignment="1">
      <alignment horizontal="right"/>
    </xf>
    <xf numFmtId="164" fontId="19" fillId="0" borderId="0" xfId="0" applyNumberFormat="1" applyFont="1"/>
    <xf numFmtId="0" fontId="18" fillId="0" borderId="0" xfId="0" applyFont="1" applyAlignment="1">
      <alignment horizontal="right"/>
    </xf>
    <xf numFmtId="0" fontId="6" fillId="5" borderId="12" xfId="0" applyFont="1" applyFill="1" applyBorder="1" applyAlignment="1">
      <alignment horizontal="left" wrapText="1"/>
    </xf>
    <xf numFmtId="164" fontId="5" fillId="5" borderId="0" xfId="0" applyNumberFormat="1" applyFont="1" applyFill="1" applyAlignment="1">
      <alignment horizontal="right" vertical="top"/>
    </xf>
    <xf numFmtId="164" fontId="18" fillId="5" borderId="0" xfId="0" applyNumberFormat="1" applyFont="1" applyFill="1" applyAlignment="1">
      <alignment horizontal="right"/>
    </xf>
    <xf numFmtId="164" fontId="2" fillId="5" borderId="0" xfId="0" applyNumberFormat="1" applyFont="1" applyFill="1"/>
    <xf numFmtId="164" fontId="17" fillId="5" borderId="15" xfId="0" applyNumberFormat="1" applyFont="1" applyFill="1" applyBorder="1" applyAlignment="1">
      <alignment horizontal="right"/>
    </xf>
    <xf numFmtId="164" fontId="5" fillId="5" borderId="16" xfId="0" applyNumberFormat="1" applyFont="1" applyFill="1" applyBorder="1" applyAlignment="1">
      <alignment horizontal="right"/>
    </xf>
    <xf numFmtId="164" fontId="20" fillId="5" borderId="14" xfId="0" applyNumberFormat="1" applyFont="1" applyFill="1" applyBorder="1" applyAlignment="1">
      <alignment horizontal="right"/>
    </xf>
    <xf numFmtId="0" fontId="15" fillId="5" borderId="0" xfId="0" applyFont="1" applyFill="1"/>
    <xf numFmtId="0" fontId="2" fillId="5" borderId="0" xfId="0" applyFont="1" applyFill="1"/>
    <xf numFmtId="3" fontId="18" fillId="5" borderId="0" xfId="0" applyNumberFormat="1" applyFont="1" applyFill="1" applyAlignment="1">
      <alignment horizontal="right"/>
    </xf>
    <xf numFmtId="3" fontId="15" fillId="5" borderId="0" xfId="0" applyNumberFormat="1" applyFont="1" applyFill="1"/>
    <xf numFmtId="164" fontId="5" fillId="0" borderId="13" xfId="0" applyNumberFormat="1" applyFont="1" applyBorder="1" applyAlignment="1">
      <alignment horizontal="left" wrapText="1"/>
    </xf>
    <xf numFmtId="164" fontId="20" fillId="0" borderId="13" xfId="0" applyNumberFormat="1" applyFont="1" applyBorder="1" applyAlignment="1">
      <alignment horizontal="right"/>
    </xf>
    <xf numFmtId="164" fontId="20" fillId="0" borderId="16" xfId="0" applyNumberFormat="1" applyFont="1" applyBorder="1" applyAlignment="1">
      <alignment horizontal="right"/>
    </xf>
    <xf numFmtId="164" fontId="20" fillId="0" borderId="14" xfId="0" applyNumberFormat="1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0" fontId="18" fillId="4" borderId="2" xfId="0" applyFont="1" applyFill="1" applyBorder="1"/>
    <xf numFmtId="164" fontId="5" fillId="0" borderId="16" xfId="0" applyNumberFormat="1" applyFont="1" applyBorder="1" applyAlignment="1">
      <alignment horizontal="right"/>
    </xf>
    <xf numFmtId="4" fontId="5" fillId="0" borderId="16" xfId="0" applyNumberFormat="1" applyFont="1" applyBorder="1" applyAlignment="1">
      <alignment horizontal="right"/>
    </xf>
    <xf numFmtId="0" fontId="19" fillId="0" borderId="0" xfId="0" applyFont="1"/>
    <xf numFmtId="164" fontId="6" fillId="0" borderId="13" xfId="0" applyNumberFormat="1" applyFont="1" applyBorder="1" applyAlignment="1">
      <alignment horizontal="right"/>
    </xf>
    <xf numFmtId="164" fontId="6" fillId="0" borderId="14" xfId="0" applyNumberFormat="1" applyFont="1" applyBorder="1" applyAlignment="1">
      <alignment horizontal="right"/>
    </xf>
    <xf numFmtId="0" fontId="5" fillId="4" borderId="9" xfId="0" applyFont="1" applyFill="1" applyBorder="1" applyAlignment="1">
      <alignment horizontal="left" wrapText="1"/>
    </xf>
    <xf numFmtId="164" fontId="5" fillId="4" borderId="17" xfId="0" applyNumberFormat="1" applyFont="1" applyFill="1" applyBorder="1"/>
    <xf numFmtId="0" fontId="6" fillId="0" borderId="12" xfId="0" applyFont="1" applyBorder="1" applyAlignment="1">
      <alignment wrapText="1"/>
    </xf>
    <xf numFmtId="0" fontId="21" fillId="0" borderId="0" xfId="0" applyFont="1"/>
    <xf numFmtId="0" fontId="14" fillId="0" borderId="0" xfId="0" applyFont="1" applyAlignment="1">
      <alignment horizontal="right"/>
    </xf>
    <xf numFmtId="3" fontId="5" fillId="0" borderId="16" xfId="0" applyNumberFormat="1" applyFont="1" applyBorder="1" applyAlignment="1">
      <alignment horizontal="right"/>
    </xf>
    <xf numFmtId="3" fontId="22" fillId="0" borderId="0" xfId="0" applyNumberFormat="1" applyFont="1"/>
    <xf numFmtId="0" fontId="22" fillId="0" borderId="0" xfId="0" applyFont="1"/>
    <xf numFmtId="165" fontId="22" fillId="0" borderId="0" xfId="0" applyNumberFormat="1" applyFont="1"/>
    <xf numFmtId="164" fontId="18" fillId="0" borderId="0" xfId="0" applyNumberFormat="1" applyFont="1" applyAlignment="1">
      <alignment horizontal="right"/>
    </xf>
    <xf numFmtId="164" fontId="14" fillId="5" borderId="0" xfId="0" applyNumberFormat="1" applyFont="1" applyFill="1" applyAlignment="1">
      <alignment horizontal="right"/>
    </xf>
    <xf numFmtId="164" fontId="5" fillId="5" borderId="14" xfId="0" applyNumberFormat="1" applyFont="1" applyFill="1" applyBorder="1" applyAlignment="1">
      <alignment horizontal="right"/>
    </xf>
    <xf numFmtId="164" fontId="19" fillId="5" borderId="0" xfId="0" applyNumberFormat="1" applyFont="1" applyFill="1"/>
    <xf numFmtId="0" fontId="5" fillId="0" borderId="18" xfId="0" applyFont="1" applyBorder="1" applyAlignment="1">
      <alignment wrapText="1"/>
    </xf>
    <xf numFmtId="4" fontId="14" fillId="0" borderId="0" xfId="0" applyNumberFormat="1" applyFont="1" applyAlignment="1">
      <alignment horizontal="right"/>
    </xf>
    <xf numFmtId="4" fontId="5" fillId="0" borderId="14" xfId="0" applyNumberFormat="1" applyFont="1" applyBorder="1" applyAlignment="1">
      <alignment horizontal="right"/>
    </xf>
    <xf numFmtId="0" fontId="5" fillId="0" borderId="18" xfId="0" applyFont="1" applyBorder="1" applyAlignment="1">
      <alignment horizontal="left" wrapText="1"/>
    </xf>
    <xf numFmtId="3" fontId="14" fillId="0" borderId="0" xfId="0" applyNumberFormat="1" applyFont="1" applyAlignment="1">
      <alignment horizontal="right"/>
    </xf>
    <xf numFmtId="0" fontId="5" fillId="0" borderId="14" xfId="0" applyFont="1" applyBorder="1" applyAlignment="1">
      <alignment horizontal="right"/>
    </xf>
    <xf numFmtId="0" fontId="6" fillId="0" borderId="18" xfId="0" applyFont="1" applyBorder="1" applyAlignment="1">
      <alignment horizontal="left" wrapText="1"/>
    </xf>
    <xf numFmtId="0" fontId="23" fillId="0" borderId="0" xfId="0" applyFont="1"/>
    <xf numFmtId="0" fontId="16" fillId="4" borderId="2" xfId="0" applyFont="1" applyFill="1" applyBorder="1"/>
    <xf numFmtId="0" fontId="16" fillId="0" borderId="0" xfId="0" applyFont="1" applyAlignment="1">
      <alignment horizontal="right"/>
    </xf>
    <xf numFmtId="3" fontId="13" fillId="0" borderId="0" xfId="0" applyNumberFormat="1" applyFont="1"/>
    <xf numFmtId="10" fontId="5" fillId="0" borderId="16" xfId="0" applyNumberFormat="1" applyFont="1" applyBorder="1" applyAlignment="1">
      <alignment horizontal="right"/>
    </xf>
    <xf numFmtId="10" fontId="5" fillId="0" borderId="14" xfId="0" applyNumberFormat="1" applyFont="1" applyBorder="1" applyAlignment="1">
      <alignment horizontal="right"/>
    </xf>
    <xf numFmtId="0" fontId="15" fillId="4" borderId="2" xfId="0" applyFont="1" applyFill="1" applyBorder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" fillId="4" borderId="2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10" xfId="0" applyFont="1" applyFill="1" applyBorder="1"/>
    <xf numFmtId="10" fontId="5" fillId="4" borderId="10" xfId="0" applyNumberFormat="1" applyFont="1" applyFill="1" applyBorder="1"/>
    <xf numFmtId="10" fontId="5" fillId="4" borderId="11" xfId="0" applyNumberFormat="1" applyFont="1" applyFill="1" applyBorder="1"/>
    <xf numFmtId="3" fontId="6" fillId="4" borderId="10" xfId="0" applyNumberFormat="1" applyFont="1" applyFill="1" applyBorder="1" applyAlignment="1">
      <alignment horizontal="right"/>
    </xf>
    <xf numFmtId="4" fontId="20" fillId="0" borderId="16" xfId="0" applyNumberFormat="1" applyFont="1" applyBorder="1" applyAlignment="1">
      <alignment horizontal="right"/>
    </xf>
    <xf numFmtId="0" fontId="20" fillId="0" borderId="16" xfId="0" applyFont="1" applyBorder="1" applyAlignment="1">
      <alignment horizontal="right"/>
    </xf>
    <xf numFmtId="0" fontId="5" fillId="6" borderId="10" xfId="0" applyFont="1" applyFill="1" applyBorder="1"/>
    <xf numFmtId="3" fontId="6" fillId="0" borderId="16" xfId="0" applyNumberFormat="1" applyFont="1" applyBorder="1" applyAlignment="1">
      <alignment horizontal="right"/>
    </xf>
    <xf numFmtId="0" fontId="11" fillId="4" borderId="19" xfId="0" applyFont="1" applyFill="1" applyBorder="1" applyAlignme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28" fillId="0" borderId="0" xfId="0" applyFont="1"/>
    <xf numFmtId="0" fontId="5" fillId="0" borderId="12" xfId="0" applyFont="1" applyBorder="1"/>
    <xf numFmtId="10" fontId="28" fillId="0" borderId="0" xfId="0" applyNumberFormat="1" applyFont="1" applyAlignment="1">
      <alignment horizontal="right"/>
    </xf>
    <xf numFmtId="10" fontId="28" fillId="0" borderId="1" xfId="0" applyNumberFormat="1" applyFont="1" applyBorder="1" applyAlignment="1">
      <alignment horizontal="right"/>
    </xf>
    <xf numFmtId="0" fontId="5" fillId="0" borderId="12" xfId="0" applyFont="1" applyBorder="1" applyAlignment="1">
      <alignment horizontal="left"/>
    </xf>
    <xf numFmtId="9" fontId="28" fillId="0" borderId="0" xfId="0" applyNumberFormat="1" applyFont="1" applyAlignment="1">
      <alignment horizontal="right"/>
    </xf>
    <xf numFmtId="10" fontId="27" fillId="0" borderId="0" xfId="0" applyNumberFormat="1" applyFont="1" applyAlignment="1">
      <alignment horizontal="right"/>
    </xf>
    <xf numFmtId="9" fontId="27" fillId="0" borderId="0" xfId="0" applyNumberFormat="1" applyFont="1" applyAlignment="1">
      <alignment horizontal="right"/>
    </xf>
    <xf numFmtId="0" fontId="6" fillId="0" borderId="12" xfId="0" applyFont="1" applyBorder="1"/>
    <xf numFmtId="0" fontId="6" fillId="0" borderId="12" xfId="0" applyFont="1" applyBorder="1" applyAlignment="1">
      <alignment horizontal="left"/>
    </xf>
    <xf numFmtId="0" fontId="5" fillId="0" borderId="5" xfId="0" applyFont="1" applyBorder="1"/>
    <xf numFmtId="0" fontId="5" fillId="0" borderId="20" xfId="0" applyFont="1" applyBorder="1" applyAlignment="1">
      <alignment horizontal="left"/>
    </xf>
    <xf numFmtId="0" fontId="6" fillId="0" borderId="18" xfId="0" applyFont="1" applyBorder="1" applyAlignment="1">
      <alignment wrapText="1"/>
    </xf>
    <xf numFmtId="164" fontId="22" fillId="0" borderId="0" xfId="0" applyNumberFormat="1" applyFont="1"/>
    <xf numFmtId="164" fontId="7" fillId="0" borderId="1" xfId="0" applyNumberFormat="1" applyFont="1" applyBorder="1"/>
    <xf numFmtId="0" fontId="6" fillId="4" borderId="21" xfId="0" applyFont="1" applyFill="1" applyBorder="1" applyAlignment="1">
      <alignment horizontal="left" wrapText="1"/>
    </xf>
    <xf numFmtId="0" fontId="7" fillId="0" borderId="1" xfId="0" applyFont="1" applyBorder="1"/>
    <xf numFmtId="164" fontId="2" fillId="7" borderId="0" xfId="0" applyNumberFormat="1" applyFont="1" applyFill="1"/>
    <xf numFmtId="0" fontId="6" fillId="6" borderId="21" xfId="0" applyFont="1" applyFill="1" applyBorder="1" applyAlignment="1">
      <alignment horizontal="left" wrapText="1"/>
    </xf>
    <xf numFmtId="0" fontId="9" fillId="8" borderId="22" xfId="0" applyFont="1" applyFill="1" applyBorder="1" applyAlignment="1">
      <alignment horizontal="center" wrapText="1"/>
    </xf>
    <xf numFmtId="0" fontId="9" fillId="0" borderId="23" xfId="0" applyFont="1" applyBorder="1" applyAlignment="1">
      <alignment horizontal="left" wrapText="1"/>
    </xf>
    <xf numFmtId="0" fontId="2" fillId="9" borderId="24" xfId="0" quotePrefix="1" applyFont="1" applyFill="1" applyBorder="1"/>
    <xf numFmtId="0" fontId="9" fillId="0" borderId="23" xfId="0" applyFont="1" applyBorder="1" applyAlignment="1">
      <alignment wrapText="1"/>
    </xf>
    <xf numFmtId="0" fontId="2" fillId="10" borderId="25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11" borderId="26" xfId="0" quotePrefix="1" applyFont="1" applyFill="1" applyBorder="1"/>
    <xf numFmtId="0" fontId="2" fillId="11" borderId="26" xfId="0" applyFont="1" applyFill="1" applyBorder="1"/>
    <xf numFmtId="0" fontId="2" fillId="0" borderId="27" xfId="0" applyFont="1" applyBorder="1" applyAlignment="1">
      <alignment wrapText="1"/>
    </xf>
    <xf numFmtId="0" fontId="2" fillId="12" borderId="2" xfId="0" applyFont="1" applyFill="1" applyBorder="1"/>
    <xf numFmtId="0" fontId="2" fillId="13" borderId="25" xfId="0" applyFont="1" applyFill="1" applyBorder="1" applyAlignment="1">
      <alignment wrapText="1"/>
    </xf>
    <xf numFmtId="0" fontId="2" fillId="7" borderId="26" xfId="0" quotePrefix="1" applyFont="1" applyFill="1" applyBorder="1"/>
    <xf numFmtId="0" fontId="2" fillId="10" borderId="22" xfId="0" applyFont="1" applyFill="1" applyBorder="1" applyAlignment="1">
      <alignment wrapText="1"/>
    </xf>
    <xf numFmtId="0" fontId="2" fillId="11" borderId="2" xfId="0" applyFont="1" applyFill="1" applyBorder="1"/>
    <xf numFmtId="0" fontId="5" fillId="13" borderId="9" xfId="0" applyFont="1" applyFill="1" applyBorder="1" applyAlignment="1">
      <alignment wrapText="1"/>
    </xf>
    <xf numFmtId="0" fontId="2" fillId="14" borderId="28" xfId="0" quotePrefix="1" applyFont="1" applyFill="1" applyBorder="1"/>
    <xf numFmtId="0" fontId="2" fillId="10" borderId="25" xfId="0" applyFont="1" applyFill="1" applyBorder="1"/>
    <xf numFmtId="0" fontId="2" fillId="0" borderId="23" xfId="0" applyFont="1" applyBorder="1"/>
    <xf numFmtId="0" fontId="9" fillId="0" borderId="25" xfId="0" applyFont="1" applyBorder="1"/>
    <xf numFmtId="0" fontId="2" fillId="0" borderId="2" xfId="0" applyFont="1" applyBorder="1"/>
    <xf numFmtId="0" fontId="2" fillId="0" borderId="25" xfId="0" applyFont="1" applyBorder="1"/>
    <xf numFmtId="0" fontId="2" fillId="0" borderId="29" xfId="0" applyFont="1" applyBorder="1"/>
    <xf numFmtId="0" fontId="2" fillId="0" borderId="30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7" xfId="0" applyFont="1" applyBorder="1"/>
    <xf numFmtId="0" fontId="9" fillId="0" borderId="30" xfId="0" applyFont="1" applyBorder="1"/>
    <xf numFmtId="0" fontId="2" fillId="9" borderId="32" xfId="0" applyFont="1" applyFill="1" applyBorder="1"/>
    <xf numFmtId="165" fontId="19" fillId="0" borderId="0" xfId="0" applyNumberFormat="1" applyFont="1"/>
    <xf numFmtId="0" fontId="9" fillId="0" borderId="0" xfId="0" applyFont="1" applyAlignment="1">
      <alignment wrapText="1"/>
    </xf>
    <xf numFmtId="44" fontId="2" fillId="0" borderId="0" xfId="0" applyNumberFormat="1" applyFont="1"/>
    <xf numFmtId="44" fontId="2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3" fontId="2" fillId="0" borderId="0" xfId="0" applyNumberFormat="1" applyFont="1"/>
    <xf numFmtId="164" fontId="6" fillId="0" borderId="0" xfId="0" applyNumberFormat="1" applyFont="1" applyAlignment="1">
      <alignment horizontal="right" vertical="top"/>
    </xf>
    <xf numFmtId="44" fontId="9" fillId="0" borderId="0" xfId="0" applyNumberFormat="1" applyFont="1" applyAlignment="1">
      <alignment wrapText="1"/>
    </xf>
    <xf numFmtId="44" fontId="9" fillId="0" borderId="0" xfId="0" applyNumberFormat="1" applyFont="1"/>
    <xf numFmtId="164" fontId="9" fillId="0" borderId="0" xfId="0" applyNumberFormat="1" applyFont="1"/>
    <xf numFmtId="10" fontId="2" fillId="0" borderId="0" xfId="0" applyNumberFormat="1" applyFont="1" applyAlignment="1">
      <alignment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164" fontId="2" fillId="0" borderId="0" xfId="0" applyNumberFormat="1" applyFont="1" applyAlignment="1">
      <alignment wrapText="1"/>
    </xf>
    <xf numFmtId="164" fontId="7" fillId="0" borderId="0" xfId="0" applyNumberFormat="1" applyFont="1" applyAlignment="1">
      <alignment wrapText="1"/>
    </xf>
    <xf numFmtId="2" fontId="19" fillId="0" borderId="0" xfId="0" applyNumberFormat="1" applyFont="1"/>
    <xf numFmtId="0" fontId="8" fillId="15" borderId="2" xfId="0" applyFont="1" applyFill="1" applyBorder="1" applyAlignment="1">
      <alignment vertical="top" wrapText="1"/>
    </xf>
    <xf numFmtId="0" fontId="29" fillId="15" borderId="2" xfId="0" applyFont="1" applyFill="1" applyBorder="1"/>
    <xf numFmtId="0" fontId="26" fillId="3" borderId="2" xfId="0" applyFont="1" applyFill="1" applyBorder="1"/>
    <xf numFmtId="0" fontId="30" fillId="0" borderId="0" xfId="0" applyFont="1"/>
    <xf numFmtId="0" fontId="11" fillId="16" borderId="33" xfId="0" applyFont="1" applyFill="1" applyBorder="1"/>
    <xf numFmtId="0" fontId="11" fillId="16" borderId="34" xfId="0" applyFont="1" applyFill="1" applyBorder="1"/>
    <xf numFmtId="0" fontId="11" fillId="16" borderId="35" xfId="0" applyFont="1" applyFill="1" applyBorder="1"/>
    <xf numFmtId="0" fontId="11" fillId="16" borderId="19" xfId="0" applyFont="1" applyFill="1" applyBorder="1" applyAlignment="1">
      <alignment horizontal="left"/>
    </xf>
    <xf numFmtId="0" fontId="6" fillId="6" borderId="36" xfId="0" applyFont="1" applyFill="1" applyBorder="1" applyAlignment="1">
      <alignment horizontal="left"/>
    </xf>
    <xf numFmtId="0" fontId="5" fillId="6" borderId="37" xfId="0" applyFont="1" applyFill="1" applyBorder="1"/>
    <xf numFmtId="0" fontId="5" fillId="0" borderId="18" xfId="0" applyFont="1" applyBorder="1"/>
    <xf numFmtId="0" fontId="5" fillId="0" borderId="18" xfId="0" applyFont="1" applyBorder="1" applyAlignment="1">
      <alignment horizontal="left"/>
    </xf>
    <xf numFmtId="0" fontId="6" fillId="0" borderId="18" xfId="0" applyFont="1" applyBorder="1"/>
    <xf numFmtId="4" fontId="6" fillId="0" borderId="16" xfId="0" applyNumberFormat="1" applyFont="1" applyBorder="1" applyAlignment="1">
      <alignment horizontal="right"/>
    </xf>
    <xf numFmtId="0" fontId="6" fillId="6" borderId="21" xfId="0" applyFont="1" applyFill="1" applyBorder="1" applyAlignment="1">
      <alignment horizontal="left"/>
    </xf>
    <xf numFmtId="4" fontId="31" fillId="0" borderId="16" xfId="0" applyNumberFormat="1" applyFont="1" applyBorder="1" applyAlignment="1">
      <alignment horizontal="right"/>
    </xf>
    <xf numFmtId="0" fontId="31" fillId="0" borderId="16" xfId="0" applyFont="1" applyBorder="1" applyAlignment="1">
      <alignment horizontal="right"/>
    </xf>
    <xf numFmtId="0" fontId="6" fillId="0" borderId="16" xfId="0" applyFont="1" applyBorder="1" applyAlignment="1">
      <alignment horizontal="right"/>
    </xf>
    <xf numFmtId="0" fontId="32" fillId="17" borderId="38" xfId="0" applyFont="1" applyFill="1" applyBorder="1"/>
    <xf numFmtId="0" fontId="7" fillId="17" borderId="39" xfId="0" applyFont="1" applyFill="1" applyBorder="1"/>
    <xf numFmtId="0" fontId="7" fillId="17" borderId="39" xfId="0" applyFont="1" applyFill="1" applyBorder="1" applyAlignment="1">
      <alignment horizontal="right"/>
    </xf>
    <xf numFmtId="0" fontId="7" fillId="17" borderId="40" xfId="0" applyFont="1" applyFill="1" applyBorder="1"/>
    <xf numFmtId="0" fontId="33" fillId="17" borderId="41" xfId="0" applyFont="1" applyFill="1" applyBorder="1"/>
    <xf numFmtId="0" fontId="10" fillId="17" borderId="2" xfId="0" applyFont="1" applyFill="1" applyBorder="1" applyAlignment="1">
      <alignment horizontal="right"/>
    </xf>
    <xf numFmtId="0" fontId="10" fillId="17" borderId="42" xfId="0" applyFont="1" applyFill="1" applyBorder="1" applyAlignment="1">
      <alignment horizontal="right"/>
    </xf>
    <xf numFmtId="0" fontId="10" fillId="17" borderId="2" xfId="0" applyFont="1" applyFill="1" applyBorder="1"/>
    <xf numFmtId="0" fontId="34" fillId="17" borderId="3" xfId="0" applyFont="1" applyFill="1" applyBorder="1"/>
    <xf numFmtId="0" fontId="7" fillId="0" borderId="5" xfId="0" applyFont="1" applyBorder="1"/>
    <xf numFmtId="4" fontId="5" fillId="0" borderId="36" xfId="0" applyNumberFormat="1" applyFont="1" applyBorder="1" applyAlignment="1">
      <alignment horizontal="right"/>
    </xf>
    <xf numFmtId="4" fontId="5" fillId="0" borderId="18" xfId="0" applyNumberFormat="1" applyFont="1" applyBorder="1" applyAlignment="1">
      <alignment horizontal="right"/>
    </xf>
    <xf numFmtId="0" fontId="5" fillId="0" borderId="18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17" borderId="2" xfId="0" applyFont="1" applyFill="1" applyBorder="1"/>
    <xf numFmtId="4" fontId="7" fillId="17" borderId="2" xfId="0" applyNumberFormat="1" applyFont="1" applyFill="1" applyBorder="1"/>
    <xf numFmtId="4" fontId="7" fillId="17" borderId="3" xfId="0" applyNumberFormat="1" applyFont="1" applyFill="1" applyBorder="1"/>
    <xf numFmtId="2" fontId="2" fillId="0" borderId="0" xfId="0" applyNumberFormat="1" applyFont="1"/>
    <xf numFmtId="0" fontId="7" fillId="17" borderId="3" xfId="0" applyFont="1" applyFill="1" applyBorder="1"/>
    <xf numFmtId="3" fontId="6" fillId="0" borderId="18" xfId="0" applyNumberFormat="1" applyFont="1" applyBorder="1" applyAlignment="1">
      <alignment horizontal="right"/>
    </xf>
    <xf numFmtId="2" fontId="35" fillId="4" borderId="2" xfId="0" applyNumberFormat="1" applyFont="1" applyFill="1" applyBorder="1"/>
    <xf numFmtId="0" fontId="5" fillId="4" borderId="21" xfId="0" applyFont="1" applyFill="1" applyBorder="1"/>
    <xf numFmtId="2" fontId="7" fillId="0" borderId="0" xfId="0" applyNumberFormat="1" applyFont="1" applyAlignment="1">
      <alignment horizontal="right"/>
    </xf>
    <xf numFmtId="4" fontId="7" fillId="0" borderId="1" xfId="0" applyNumberFormat="1" applyFont="1" applyBorder="1"/>
    <xf numFmtId="3" fontId="7" fillId="0" borderId="1" xfId="0" applyNumberFormat="1" applyFont="1" applyBorder="1"/>
    <xf numFmtId="2" fontId="5" fillId="0" borderId="18" xfId="0" applyNumberFormat="1" applyFont="1" applyBorder="1" applyAlignment="1">
      <alignment horizontal="right"/>
    </xf>
    <xf numFmtId="3" fontId="5" fillId="0" borderId="18" xfId="0" applyNumberFormat="1" applyFont="1" applyBorder="1" applyAlignment="1">
      <alignment horizontal="right"/>
    </xf>
    <xf numFmtId="3" fontId="7" fillId="17" borderId="2" xfId="0" applyNumberFormat="1" applyFont="1" applyFill="1" applyBorder="1"/>
    <xf numFmtId="3" fontId="7" fillId="17" borderId="3" xfId="0" applyNumberFormat="1" applyFont="1" applyFill="1" applyBorder="1"/>
    <xf numFmtId="0" fontId="7" fillId="0" borderId="20" xfId="0" applyFont="1" applyBorder="1"/>
    <xf numFmtId="0" fontId="5" fillId="6" borderId="21" xfId="0" applyFont="1" applyFill="1" applyBorder="1"/>
    <xf numFmtId="4" fontId="20" fillId="0" borderId="18" xfId="0" applyNumberFormat="1" applyFont="1" applyBorder="1" applyAlignment="1">
      <alignment horizontal="right"/>
    </xf>
    <xf numFmtId="0" fontId="20" fillId="0" borderId="18" xfId="0" applyFont="1" applyBorder="1" applyAlignment="1">
      <alignment horizontal="right"/>
    </xf>
    <xf numFmtId="0" fontId="36" fillId="0" borderId="0" xfId="0" applyFont="1"/>
    <xf numFmtId="0" fontId="37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0" fontId="36" fillId="0" borderId="0" xfId="0" applyFont="1" applyAlignment="1">
      <alignment horizontal="left"/>
    </xf>
    <xf numFmtId="0" fontId="38" fillId="0" borderId="0" xfId="0" applyFont="1"/>
    <xf numFmtId="0" fontId="38" fillId="0" borderId="0" xfId="0" applyFont="1" applyAlignment="1">
      <alignment horizontal="center"/>
    </xf>
    <xf numFmtId="0" fontId="37" fillId="0" borderId="0" xfId="0" applyFont="1"/>
    <xf numFmtId="0" fontId="39" fillId="0" borderId="0" xfId="0" applyFont="1"/>
    <xf numFmtId="0" fontId="11" fillId="0" borderId="44" xfId="0" applyFont="1" applyBorder="1"/>
    <xf numFmtId="0" fontId="40" fillId="0" borderId="44" xfId="0" applyFont="1" applyBorder="1" applyAlignment="1">
      <alignment horizontal="right"/>
    </xf>
    <xf numFmtId="0" fontId="11" fillId="0" borderId="44" xfId="0" applyFont="1" applyBorder="1" applyAlignment="1">
      <alignment horizontal="right"/>
    </xf>
    <xf numFmtId="0" fontId="11" fillId="0" borderId="45" xfId="0" applyFont="1" applyBorder="1" applyAlignment="1">
      <alignment horizontal="left"/>
    </xf>
    <xf numFmtId="0" fontId="36" fillId="0" borderId="5" xfId="0" applyFont="1" applyBorder="1"/>
    <xf numFmtId="0" fontId="41" fillId="0" borderId="0" xfId="0" applyFont="1" applyAlignment="1">
      <alignment horizontal="right"/>
    </xf>
    <xf numFmtId="0" fontId="42" fillId="0" borderId="1" xfId="0" applyFont="1" applyBorder="1"/>
    <xf numFmtId="10" fontId="38" fillId="0" borderId="0" xfId="0" applyNumberFormat="1" applyFont="1" applyAlignment="1">
      <alignment horizontal="right"/>
    </xf>
    <xf numFmtId="0" fontId="5" fillId="0" borderId="1" xfId="0" applyFont="1" applyBorder="1"/>
    <xf numFmtId="10" fontId="37" fillId="0" borderId="0" xfId="0" applyNumberFormat="1" applyFont="1" applyAlignment="1">
      <alignment horizontal="right"/>
    </xf>
    <xf numFmtId="0" fontId="5" fillId="0" borderId="46" xfId="0" applyFont="1" applyBorder="1" applyAlignment="1">
      <alignment horizontal="left"/>
    </xf>
    <xf numFmtId="0" fontId="36" fillId="0" borderId="1" xfId="0" applyFont="1" applyBorder="1" applyAlignment="1">
      <alignment horizontal="left"/>
    </xf>
    <xf numFmtId="0" fontId="11" fillId="0" borderId="0" xfId="0" applyFont="1"/>
    <xf numFmtId="0" fontId="4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left"/>
    </xf>
    <xf numFmtId="0" fontId="37" fillId="0" borderId="5" xfId="0" applyFont="1" applyBorder="1"/>
    <xf numFmtId="164" fontId="38" fillId="0" borderId="0" xfId="0" applyNumberFormat="1" applyFont="1" applyAlignment="1">
      <alignment horizontal="left"/>
    </xf>
    <xf numFmtId="164" fontId="38" fillId="0" borderId="0" xfId="0" applyNumberFormat="1" applyFont="1" applyAlignment="1">
      <alignment horizontal="right"/>
    </xf>
    <xf numFmtId="10" fontId="37" fillId="18" borderId="0" xfId="0" applyNumberFormat="1" applyFont="1" applyFill="1" applyAlignment="1">
      <alignment horizontal="right"/>
    </xf>
    <xf numFmtId="0" fontId="38" fillId="0" borderId="0" xfId="0" applyFont="1" applyAlignment="1">
      <alignment horizontal="right"/>
    </xf>
    <xf numFmtId="0" fontId="43" fillId="0" borderId="1" xfId="0" applyFont="1" applyBorder="1" applyAlignment="1">
      <alignment horizontal="left"/>
    </xf>
    <xf numFmtId="10" fontId="38" fillId="18" borderId="0" xfId="0" applyNumberFormat="1" applyFont="1" applyFill="1" applyAlignment="1">
      <alignment horizontal="right"/>
    </xf>
    <xf numFmtId="0" fontId="41" fillId="0" borderId="1" xfId="0" applyFont="1" applyBorder="1" applyAlignment="1">
      <alignment horizontal="left"/>
    </xf>
    <xf numFmtId="0" fontId="36" fillId="0" borderId="20" xfId="0" applyFont="1" applyBorder="1"/>
    <xf numFmtId="10" fontId="37" fillId="0" borderId="47" xfId="0" applyNumberFormat="1" applyFont="1" applyBorder="1" applyAlignment="1">
      <alignment horizontal="right"/>
    </xf>
    <xf numFmtId="0" fontId="36" fillId="0" borderId="47" xfId="0" applyFont="1" applyBorder="1" applyAlignment="1">
      <alignment horizontal="right"/>
    </xf>
    <xf numFmtId="0" fontId="5" fillId="0" borderId="48" xfId="0" applyFont="1" applyBorder="1" applyAlignment="1">
      <alignment horizontal="left"/>
    </xf>
    <xf numFmtId="0" fontId="44" fillId="0" borderId="0" xfId="0" applyFont="1"/>
    <xf numFmtId="0" fontId="44" fillId="0" borderId="49" xfId="0" applyFont="1" applyBorder="1"/>
    <xf numFmtId="0" fontId="45" fillId="0" borderId="47" xfId="0" applyFont="1" applyBorder="1" applyAlignment="1">
      <alignment horizontal="right"/>
    </xf>
    <xf numFmtId="0" fontId="45" fillId="0" borderId="23" xfId="0" applyFont="1" applyBorder="1"/>
    <xf numFmtId="10" fontId="45" fillId="0" borderId="0" xfId="0" applyNumberFormat="1" applyFont="1" applyAlignment="1">
      <alignment horizontal="center"/>
    </xf>
    <xf numFmtId="10" fontId="44" fillId="0" borderId="50" xfId="0" applyNumberFormat="1" applyFont="1" applyBorder="1"/>
    <xf numFmtId="14" fontId="46" fillId="0" borderId="0" xfId="0" applyNumberFormat="1" applyFont="1" applyAlignment="1">
      <alignment horizontal="right"/>
    </xf>
    <xf numFmtId="0" fontId="46" fillId="0" borderId="0" xfId="0" applyFont="1"/>
    <xf numFmtId="3" fontId="44" fillId="0" borderId="0" xfId="0" applyNumberFormat="1" applyFont="1"/>
    <xf numFmtId="37" fontId="44" fillId="0" borderId="0" xfId="0" applyNumberFormat="1" applyFont="1"/>
    <xf numFmtId="0" fontId="46" fillId="0" borderId="23" xfId="0" applyFont="1" applyBorder="1"/>
    <xf numFmtId="14" fontId="46" fillId="0" borderId="50" xfId="0" applyNumberFormat="1" applyFont="1" applyBorder="1" applyAlignment="1">
      <alignment horizontal="right"/>
    </xf>
    <xf numFmtId="2" fontId="44" fillId="0" borderId="0" xfId="0" applyNumberFormat="1" applyFont="1"/>
    <xf numFmtId="0" fontId="44" fillId="0" borderId="23" xfId="0" applyFont="1" applyBorder="1"/>
    <xf numFmtId="0" fontId="44" fillId="0" borderId="50" xfId="0" applyFont="1" applyBorder="1"/>
    <xf numFmtId="44" fontId="37" fillId="0" borderId="0" xfId="0" applyNumberFormat="1" applyFont="1" applyAlignment="1">
      <alignment horizontal="right"/>
    </xf>
    <xf numFmtId="164" fontId="44" fillId="0" borderId="0" xfId="0" applyNumberFormat="1" applyFont="1"/>
    <xf numFmtId="2" fontId="45" fillId="0" borderId="0" xfId="0" applyNumberFormat="1" applyFont="1" applyAlignment="1">
      <alignment horizontal="center"/>
    </xf>
    <xf numFmtId="0" fontId="46" fillId="0" borderId="50" xfId="0" applyFont="1" applyBorder="1" applyAlignment="1">
      <alignment horizontal="center"/>
    </xf>
    <xf numFmtId="0" fontId="46" fillId="0" borderId="51" xfId="0" applyFont="1" applyBorder="1"/>
    <xf numFmtId="2" fontId="45" fillId="0" borderId="49" xfId="0" applyNumberFormat="1" applyFont="1" applyBorder="1" applyAlignment="1">
      <alignment horizontal="center"/>
    </xf>
    <xf numFmtId="0" fontId="44" fillId="0" borderId="52" xfId="0" applyFont="1" applyBorder="1"/>
    <xf numFmtId="0" fontId="46" fillId="0" borderId="49" xfId="0" applyFont="1" applyBorder="1"/>
    <xf numFmtId="10" fontId="46" fillId="0" borderId="52" xfId="0" applyNumberFormat="1" applyFont="1" applyBorder="1" applyAlignment="1">
      <alignment horizontal="center"/>
    </xf>
    <xf numFmtId="166" fontId="45" fillId="0" borderId="47" xfId="0" applyNumberFormat="1" applyFont="1" applyBorder="1" applyAlignment="1">
      <alignment horizontal="right"/>
    </xf>
    <xf numFmtId="0" fontId="45" fillId="0" borderId="0" xfId="0" applyFont="1"/>
    <xf numFmtId="2" fontId="46" fillId="0" borderId="0" xfId="0" applyNumberFormat="1" applyFont="1" applyAlignment="1">
      <alignment horizontal="right"/>
    </xf>
    <xf numFmtId="0" fontId="45" fillId="0" borderId="47" xfId="0" applyFont="1" applyBorder="1"/>
    <xf numFmtId="0" fontId="44" fillId="0" borderId="47" xfId="0" applyFont="1" applyBorder="1"/>
    <xf numFmtId="37" fontId="46" fillId="0" borderId="47" xfId="0" applyNumberFormat="1" applyFont="1" applyBorder="1" applyAlignment="1">
      <alignment horizontal="center"/>
    </xf>
    <xf numFmtId="37" fontId="46" fillId="0" borderId="0" xfId="0" applyNumberFormat="1" applyFont="1" applyAlignment="1">
      <alignment horizontal="center"/>
    </xf>
    <xf numFmtId="0" fontId="45" fillId="0" borderId="50" xfId="0" applyFont="1" applyBorder="1"/>
    <xf numFmtId="167" fontId="45" fillId="7" borderId="52" xfId="0" applyNumberFormat="1" applyFont="1" applyFill="1" applyBorder="1" applyAlignment="1">
      <alignment horizontal="right"/>
    </xf>
    <xf numFmtId="167" fontId="44" fillId="0" borderId="0" xfId="0" applyNumberFormat="1" applyFont="1"/>
    <xf numFmtId="3" fontId="46" fillId="0" borderId="0" xfId="0" applyNumberFormat="1" applyFont="1" applyAlignment="1">
      <alignment horizontal="center"/>
    </xf>
    <xf numFmtId="168" fontId="46" fillId="0" borderId="0" xfId="0" applyNumberFormat="1" applyFont="1" applyAlignment="1">
      <alignment horizontal="center"/>
    </xf>
    <xf numFmtId="4" fontId="46" fillId="0" borderId="0" xfId="0" applyNumberFormat="1" applyFont="1"/>
    <xf numFmtId="4" fontId="44" fillId="0" borderId="0" xfId="0" applyNumberFormat="1" applyFont="1"/>
    <xf numFmtId="0" fontId="46" fillId="0" borderId="47" xfId="0" applyFont="1" applyBorder="1"/>
    <xf numFmtId="3" fontId="46" fillId="0" borderId="47" xfId="0" applyNumberFormat="1" applyFont="1" applyBorder="1" applyAlignment="1">
      <alignment horizontal="center"/>
    </xf>
    <xf numFmtId="0" fontId="45" fillId="0" borderId="49" xfId="0" applyFont="1" applyBorder="1"/>
    <xf numFmtId="0" fontId="46" fillId="0" borderId="0" xfId="0" applyFont="1" applyAlignment="1">
      <alignment horizontal="center"/>
    </xf>
    <xf numFmtId="2" fontId="47" fillId="0" borderId="0" xfId="0" applyNumberFormat="1" applyFont="1" applyAlignment="1">
      <alignment horizontal="center"/>
    </xf>
    <xf numFmtId="10" fontId="46" fillId="0" borderId="53" xfId="0" applyNumberFormat="1" applyFont="1" applyBorder="1" applyAlignment="1">
      <alignment horizontal="center"/>
    </xf>
    <xf numFmtId="167" fontId="45" fillId="0" borderId="53" xfId="0" applyNumberFormat="1" applyFont="1" applyBorder="1" applyAlignment="1">
      <alignment horizontal="center"/>
    </xf>
    <xf numFmtId="10" fontId="46" fillId="0" borderId="52" xfId="0" applyNumberFormat="1" applyFont="1" applyBorder="1" applyAlignment="1">
      <alignment horizontal="right"/>
    </xf>
    <xf numFmtId="167" fontId="46" fillId="0" borderId="54" xfId="0" applyNumberFormat="1" applyFont="1" applyBorder="1" applyAlignment="1">
      <alignment horizontal="center"/>
    </xf>
    <xf numFmtId="164" fontId="46" fillId="0" borderId="0" xfId="0" applyNumberFormat="1" applyFont="1" applyAlignment="1">
      <alignment horizontal="center"/>
    </xf>
    <xf numFmtId="164" fontId="46" fillId="20" borderId="0" xfId="0" applyNumberFormat="1" applyFont="1" applyFill="1" applyAlignment="1">
      <alignment horizontal="center"/>
    </xf>
    <xf numFmtId="164" fontId="46" fillId="0" borderId="54" xfId="0" applyNumberFormat="1" applyFont="1" applyBorder="1" applyAlignment="1">
      <alignment horizontal="center"/>
    </xf>
    <xf numFmtId="164" fontId="46" fillId="0" borderId="49" xfId="0" applyNumberFormat="1" applyFont="1" applyBorder="1" applyAlignment="1">
      <alignment horizontal="center"/>
    </xf>
    <xf numFmtId="164" fontId="46" fillId="20" borderId="49" xfId="0" applyNumberFormat="1" applyFont="1" applyFill="1" applyBorder="1" applyAlignment="1">
      <alignment horizontal="center"/>
    </xf>
    <xf numFmtId="164" fontId="46" fillId="0" borderId="50" xfId="0" applyNumberFormat="1" applyFont="1" applyBorder="1" applyAlignment="1">
      <alignment horizontal="center"/>
    </xf>
    <xf numFmtId="164" fontId="46" fillId="19" borderId="0" xfId="0" applyNumberFormat="1" applyFont="1" applyFill="1" applyAlignment="1">
      <alignment horizontal="center"/>
    </xf>
    <xf numFmtId="164" fontId="46" fillId="19" borderId="50" xfId="0" applyNumberFormat="1" applyFont="1" applyFill="1" applyBorder="1" applyAlignment="1">
      <alignment horizontal="center"/>
    </xf>
    <xf numFmtId="10" fontId="44" fillId="0" borderId="0" xfId="0" applyNumberFormat="1" applyFont="1"/>
    <xf numFmtId="167" fontId="45" fillId="0" borderId="54" xfId="0" applyNumberFormat="1" applyFont="1" applyBorder="1" applyAlignment="1">
      <alignment horizontal="center"/>
    </xf>
    <xf numFmtId="164" fontId="46" fillId="20" borderId="50" xfId="0" applyNumberFormat="1" applyFont="1" applyFill="1" applyBorder="1" applyAlignment="1">
      <alignment horizontal="center"/>
    </xf>
    <xf numFmtId="164" fontId="48" fillId="21" borderId="0" xfId="0" applyNumberFormat="1" applyFont="1" applyFill="1" applyAlignment="1">
      <alignment horizontal="center"/>
    </xf>
    <xf numFmtId="164" fontId="46" fillId="20" borderId="54" xfId="0" applyNumberFormat="1" applyFont="1" applyFill="1" applyBorder="1" applyAlignment="1">
      <alignment horizontal="center"/>
    </xf>
    <xf numFmtId="164" fontId="46" fillId="19" borderId="49" xfId="0" applyNumberFormat="1" applyFont="1" applyFill="1" applyBorder="1" applyAlignment="1">
      <alignment horizontal="center"/>
    </xf>
    <xf numFmtId="164" fontId="46" fillId="19" borderId="52" xfId="0" applyNumberFormat="1" applyFont="1" applyFill="1" applyBorder="1" applyAlignment="1">
      <alignment horizontal="center"/>
    </xf>
    <xf numFmtId="164" fontId="46" fillId="0" borderId="53" xfId="0" applyNumberFormat="1" applyFont="1" applyBorder="1" applyAlignment="1">
      <alignment horizontal="center"/>
    </xf>
    <xf numFmtId="164" fontId="46" fillId="20" borderId="53" xfId="0" applyNumberFormat="1" applyFont="1" applyFill="1" applyBorder="1" applyAlignment="1">
      <alignment horizontal="center"/>
    </xf>
    <xf numFmtId="164" fontId="46" fillId="0" borderId="55" xfId="0" applyNumberFormat="1" applyFont="1" applyBorder="1" applyAlignment="1">
      <alignment horizontal="center"/>
    </xf>
    <xf numFmtId="164" fontId="44" fillId="20" borderId="0" xfId="0" applyNumberFormat="1" applyFont="1" applyFill="1"/>
    <xf numFmtId="14" fontId="45" fillId="0" borderId="47" xfId="0" applyNumberFormat="1" applyFont="1" applyBorder="1" applyAlignment="1">
      <alignment horizontal="right"/>
    </xf>
    <xf numFmtId="4" fontId="45" fillId="0" borderId="49" xfId="0" applyNumberFormat="1" applyFont="1" applyBorder="1" applyAlignment="1">
      <alignment horizontal="center"/>
    </xf>
    <xf numFmtId="4" fontId="47" fillId="0" borderId="0" xfId="0" applyNumberFormat="1" applyFont="1" applyAlignment="1">
      <alignment horizontal="center"/>
    </xf>
    <xf numFmtId="10" fontId="45" fillId="0" borderId="54" xfId="0" applyNumberFormat="1" applyFont="1" applyBorder="1" applyAlignment="1">
      <alignment horizontal="center"/>
    </xf>
    <xf numFmtId="0" fontId="49" fillId="0" borderId="0" xfId="0" applyFont="1"/>
    <xf numFmtId="0" fontId="49" fillId="22" borderId="0" xfId="0" applyFont="1" applyFill="1"/>
    <xf numFmtId="0" fontId="22" fillId="22" borderId="0" xfId="0" applyFont="1" applyFill="1"/>
    <xf numFmtId="0" fontId="45" fillId="23" borderId="47" xfId="0" applyFont="1" applyFill="1" applyBorder="1"/>
    <xf numFmtId="0" fontId="22" fillId="23" borderId="47" xfId="0" applyFont="1" applyFill="1" applyBorder="1"/>
    <xf numFmtId="0" fontId="22" fillId="23" borderId="0" xfId="0" applyFont="1" applyFill="1"/>
    <xf numFmtId="0" fontId="46" fillId="0" borderId="46" xfId="0" applyFont="1" applyBorder="1"/>
    <xf numFmtId="0" fontId="22" fillId="0" borderId="1" xfId="0" applyFont="1" applyBorder="1"/>
    <xf numFmtId="0" fontId="45" fillId="0" borderId="0" xfId="0" applyFont="1" applyAlignment="1">
      <alignment horizontal="center"/>
    </xf>
    <xf numFmtId="0" fontId="45" fillId="0" borderId="1" xfId="0" applyFont="1" applyBorder="1" applyAlignment="1">
      <alignment horizontal="center"/>
    </xf>
    <xf numFmtId="0" fontId="45" fillId="0" borderId="48" xfId="0" applyFont="1" applyBorder="1" applyAlignment="1">
      <alignment horizontal="center"/>
    </xf>
    <xf numFmtId="0" fontId="45" fillId="0" borderId="56" xfId="0" applyFont="1" applyBorder="1" applyAlignment="1">
      <alignment horizontal="center"/>
    </xf>
    <xf numFmtId="0" fontId="45" fillId="0" borderId="47" xfId="0" applyFont="1" applyBorder="1" applyAlignment="1">
      <alignment horizontal="center"/>
    </xf>
    <xf numFmtId="0" fontId="22" fillId="0" borderId="0" xfId="0" applyFont="1" applyAlignment="1">
      <alignment horizontal="right"/>
    </xf>
    <xf numFmtId="0" fontId="50" fillId="4" borderId="0" xfId="0" applyFont="1" applyFill="1" applyAlignment="1">
      <alignment horizontal="left"/>
    </xf>
    <xf numFmtId="4" fontId="51" fillId="0" borderId="0" xfId="0" applyNumberFormat="1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2" fillId="0" borderId="47" xfId="0" applyFont="1" applyBorder="1"/>
    <xf numFmtId="0" fontId="22" fillId="0" borderId="46" xfId="0" applyFont="1" applyBorder="1"/>
    <xf numFmtId="0" fontId="52" fillId="0" borderId="57" xfId="0" applyFont="1" applyBorder="1" applyAlignment="1">
      <alignment horizontal="right"/>
    </xf>
    <xf numFmtId="0" fontId="52" fillId="0" borderId="58" xfId="0" applyFont="1" applyBorder="1" applyAlignment="1">
      <alignment horizontal="right"/>
    </xf>
    <xf numFmtId="0" fontId="53" fillId="0" borderId="0" xfId="0" applyFont="1" applyAlignment="1">
      <alignment horizontal="right"/>
    </xf>
    <xf numFmtId="0" fontId="54" fillId="0" borderId="0" xfId="0" applyFont="1"/>
    <xf numFmtId="10" fontId="55" fillId="0" borderId="0" xfId="0" applyNumberFormat="1" applyFont="1" applyAlignment="1">
      <alignment horizontal="right"/>
    </xf>
    <xf numFmtId="0" fontId="22" fillId="0" borderId="56" xfId="0" applyFont="1" applyBorder="1"/>
    <xf numFmtId="0" fontId="22" fillId="0" borderId="48" xfId="0" applyFont="1" applyBorder="1"/>
    <xf numFmtId="0" fontId="56" fillId="0" borderId="48" xfId="0" applyFont="1" applyBorder="1" applyAlignment="1">
      <alignment horizontal="right"/>
    </xf>
    <xf numFmtId="2" fontId="51" fillId="0" borderId="48" xfId="0" applyNumberFormat="1" applyFont="1" applyBorder="1"/>
    <xf numFmtId="2" fontId="51" fillId="0" borderId="20" xfId="0" applyNumberFormat="1" applyFont="1" applyBorder="1"/>
    <xf numFmtId="0" fontId="22" fillId="0" borderId="58" xfId="0" applyFont="1" applyBorder="1"/>
    <xf numFmtId="0" fontId="22" fillId="0" borderId="57" xfId="0" applyFont="1" applyBorder="1"/>
    <xf numFmtId="0" fontId="56" fillId="0" borderId="57" xfId="0" applyFont="1" applyBorder="1" applyAlignment="1">
      <alignment horizontal="right"/>
    </xf>
    <xf numFmtId="2" fontId="51" fillId="0" borderId="57" xfId="0" applyNumberFormat="1" applyFont="1" applyBorder="1"/>
    <xf numFmtId="2" fontId="51" fillId="0" borderId="4" xfId="0" applyNumberFormat="1" applyFont="1" applyBorder="1"/>
    <xf numFmtId="0" fontId="56" fillId="0" borderId="0" xfId="0" applyFont="1" applyAlignment="1">
      <alignment horizontal="right"/>
    </xf>
    <xf numFmtId="0" fontId="56" fillId="0" borderId="0" xfId="0" applyFont="1"/>
    <xf numFmtId="0" fontId="57" fillId="4" borderId="0" xfId="0" applyFont="1" applyFill="1" applyAlignment="1">
      <alignment horizontal="left"/>
    </xf>
    <xf numFmtId="2" fontId="21" fillId="0" borderId="0" xfId="0" applyNumberFormat="1" applyFont="1"/>
    <xf numFmtId="0" fontId="48" fillId="22" borderId="0" xfId="0" applyFont="1" applyFill="1"/>
    <xf numFmtId="2" fontId="22" fillId="0" borderId="0" xfId="0" applyNumberFormat="1" applyFont="1" applyAlignment="1">
      <alignment horizontal="right"/>
    </xf>
    <xf numFmtId="10" fontId="22" fillId="0" borderId="0" xfId="0" applyNumberFormat="1" applyFont="1"/>
    <xf numFmtId="9" fontId="22" fillId="0" borderId="0" xfId="0" applyNumberFormat="1" applyFont="1" applyAlignment="1">
      <alignment horizontal="right"/>
    </xf>
    <xf numFmtId="10" fontId="22" fillId="0" borderId="0" xfId="0" applyNumberFormat="1" applyFont="1" applyAlignment="1">
      <alignment horizontal="right"/>
    </xf>
    <xf numFmtId="167" fontId="22" fillId="0" borderId="0" xfId="0" applyNumberFormat="1" applyFont="1" applyAlignment="1">
      <alignment horizontal="right"/>
    </xf>
    <xf numFmtId="0" fontId="11" fillId="4" borderId="6" xfId="0" applyFont="1" applyFill="1" applyBorder="1" applyAlignment="1">
      <alignment wrapText="1"/>
    </xf>
    <xf numFmtId="0" fontId="12" fillId="0" borderId="7" xfId="0" applyFont="1" applyBorder="1"/>
    <xf numFmtId="0" fontId="12" fillId="0" borderId="8" xfId="0" applyFont="1" applyBorder="1"/>
    <xf numFmtId="0" fontId="36" fillId="0" borderId="0" xfId="0" applyFont="1"/>
    <xf numFmtId="0" fontId="0" fillId="0" borderId="0" xfId="0"/>
    <xf numFmtId="0" fontId="38" fillId="0" borderId="0" xfId="0" applyFont="1"/>
    <xf numFmtId="0" fontId="37" fillId="0" borderId="0" xfId="0" applyFont="1"/>
    <xf numFmtId="0" fontId="11" fillId="0" borderId="43" xfId="0" applyFont="1" applyBorder="1"/>
    <xf numFmtId="0" fontId="12" fillId="0" borderId="44" xfId="0" applyFont="1" applyBorder="1"/>
    <xf numFmtId="0" fontId="40" fillId="0" borderId="5" xfId="0" applyFont="1" applyBorder="1"/>
    <xf numFmtId="0" fontId="37" fillId="0" borderId="47" xfId="0" applyFont="1" applyBorder="1"/>
    <xf numFmtId="0" fontId="12" fillId="0" borderId="47" xfId="0" applyFont="1" applyBorder="1"/>
    <xf numFmtId="0" fontId="37" fillId="0" borderId="5" xfId="0" applyFont="1" applyBorder="1"/>
    <xf numFmtId="0" fontId="45" fillId="19" borderId="0" xfId="0" applyFont="1" applyFill="1" applyAlignment="1">
      <alignment horizontal="center"/>
    </xf>
    <xf numFmtId="0" fontId="45" fillId="0" borderId="49" xfId="0" applyFont="1" applyBorder="1" applyAlignment="1">
      <alignment horizontal="center"/>
    </xf>
    <xf numFmtId="0" fontId="12" fillId="0" borderId="49" xfId="0" applyFont="1" applyBorder="1"/>
    <xf numFmtId="0" fontId="46" fillId="0" borderId="0" xfId="0" applyFont="1" applyAlignment="1">
      <alignment horizontal="center"/>
    </xf>
    <xf numFmtId="0" fontId="45" fillId="0" borderId="47" xfId="0" applyFont="1" applyBorder="1" applyAlignment="1">
      <alignment horizontal="center"/>
    </xf>
    <xf numFmtId="0" fontId="12" fillId="0" borderId="56" xfId="0" applyFont="1" applyBorder="1"/>
    <xf numFmtId="10" fontId="2" fillId="0" borderId="3" xfId="0" applyNumberFormat="1" applyFont="1" applyBorder="1"/>
    <xf numFmtId="0" fontId="59" fillId="24" borderId="59" xfId="0" applyFont="1" applyFill="1" applyBorder="1" applyAlignment="1">
      <alignment horizontal="center"/>
    </xf>
    <xf numFmtId="0" fontId="59" fillId="24" borderId="60" xfId="0" applyFont="1" applyFill="1" applyBorder="1" applyAlignment="1">
      <alignment horizontal="center"/>
    </xf>
    <xf numFmtId="0" fontId="59" fillId="24" borderId="61" xfId="0" applyFont="1" applyFill="1" applyBorder="1" applyAlignment="1">
      <alignment horizontal="center"/>
    </xf>
    <xf numFmtId="0" fontId="0" fillId="25" borderId="62" xfId="0" applyFill="1" applyBorder="1" applyAlignment="1">
      <alignment horizontal="right"/>
    </xf>
    <xf numFmtId="0" fontId="23" fillId="25" borderId="63" xfId="0" applyFont="1" applyFill="1" applyBorder="1"/>
    <xf numFmtId="0" fontId="0" fillId="26" borderId="0" xfId="0" applyFill="1"/>
    <xf numFmtId="0" fontId="0" fillId="26" borderId="64" xfId="0" applyFill="1" applyBorder="1"/>
    <xf numFmtId="0" fontId="0" fillId="26" borderId="62" xfId="0" applyFill="1" applyBorder="1"/>
    <xf numFmtId="0" fontId="0" fillId="26" borderId="65" xfId="0" applyFill="1" applyBorder="1"/>
    <xf numFmtId="0" fontId="0" fillId="26" borderId="66" xfId="0" applyFill="1" applyBorder="1"/>
    <xf numFmtId="0" fontId="0" fillId="26" borderId="67" xfId="0" applyFill="1" applyBorder="1"/>
    <xf numFmtId="0" fontId="1" fillId="0" borderId="68" xfId="0" applyFont="1" applyBorder="1"/>
    <xf numFmtId="0" fontId="0" fillId="0" borderId="68" xfId="0" applyBorder="1"/>
    <xf numFmtId="44" fontId="0" fillId="0" borderId="68" xfId="0" applyNumberFormat="1" applyBorder="1"/>
    <xf numFmtId="2" fontId="0" fillId="0" borderId="68" xfId="0" applyNumberFormat="1" applyBorder="1"/>
    <xf numFmtId="9" fontId="0" fillId="0" borderId="68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28.16%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'Ratio Analysis'!$B$5:$K$5</c:f>
              <c:numCache>
                <c:formatCode>0.00%</c:formatCode>
                <c:ptCount val="10"/>
                <c:pt idx="0">
                  <c:v>0.2815709819877934</c:v>
                </c:pt>
                <c:pt idx="1">
                  <c:v>0.30673129260516835</c:v>
                </c:pt>
                <c:pt idx="2">
                  <c:v>0.30919546079079946</c:v>
                </c:pt>
                <c:pt idx="3">
                  <c:v>0.31970691271525137</c:v>
                </c:pt>
                <c:pt idx="4">
                  <c:v>0.30515286349935411</c:v>
                </c:pt>
                <c:pt idx="5">
                  <c:v>0.3369745838895094</c:v>
                </c:pt>
                <c:pt idx="6">
                  <c:v>0.32074026411741274</c:v>
                </c:pt>
                <c:pt idx="7">
                  <c:v>0.35854268434519654</c:v>
                </c:pt>
                <c:pt idx="8">
                  <c:v>0.36990356961597021</c:v>
                </c:pt>
                <c:pt idx="9">
                  <c:v>0.3727838088483989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4-4897-BFD9-7D477F73B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416190"/>
        <c:axId val="235573172"/>
      </c:lineChart>
      <c:catAx>
        <c:axId val="1355416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5573172"/>
        <c:crosses val="autoZero"/>
        <c:auto val="1"/>
        <c:lblAlgn val="ctr"/>
        <c:lblOffset val="100"/>
        <c:noMultiLvlLbl val="1"/>
      </c:catAx>
      <c:valAx>
        <c:axId val="235573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541619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43</xdr:row>
      <xdr:rowOff>76200</xdr:rowOff>
    </xdr:from>
    <xdr:ext cx="4572000" cy="2876550"/>
    <xdr:graphicFrame macro="">
      <xdr:nvGraphicFramePr>
        <xdr:cNvPr id="524867436" name="Chart 1">
          <a:extLst>
            <a:ext uri="{FF2B5EF4-FFF2-40B4-BE49-F238E27FC236}">
              <a16:creationId xmlns:a16="http://schemas.microsoft.com/office/drawing/2014/main" id="{00000000-0008-0000-0500-00006CD74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finance.yahoo.com/q/ks?s=AAPL+Key+Statistics" TargetMode="External"/><Relationship Id="rId1" Type="http://schemas.openxmlformats.org/officeDocument/2006/relationships/hyperlink" Target="http://www.wsj.com/mdc/public/page/2_3021-peyiel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CFDF-B77F-4047-AA5F-BD11179355B9}">
  <dimension ref="C3:Q12"/>
  <sheetViews>
    <sheetView workbookViewId="0">
      <selection activeCell="N5" sqref="N5"/>
    </sheetView>
  </sheetViews>
  <sheetFormatPr defaultRowHeight="14.5"/>
  <sheetData>
    <row r="3" spans="3:17" ht="15" thickBot="1">
      <c r="C3" s="96" t="s">
        <v>116</v>
      </c>
    </row>
    <row r="4" spans="3:17" ht="15" thickBot="1">
      <c r="C4" s="418" t="s">
        <v>403</v>
      </c>
      <c r="D4" s="419"/>
      <c r="E4" s="420">
        <f>FCFE!B7</f>
        <v>196.85</v>
      </c>
      <c r="G4" s="407" t="s">
        <v>122</v>
      </c>
      <c r="H4" s="408"/>
      <c r="I4" s="408"/>
      <c r="J4" s="408"/>
      <c r="K4" s="409"/>
      <c r="M4" s="407" t="s">
        <v>123</v>
      </c>
      <c r="N4" s="408"/>
      <c r="O4" s="408"/>
      <c r="P4" s="408"/>
      <c r="Q4" s="409"/>
    </row>
    <row r="5" spans="3:17" ht="15" thickBot="1">
      <c r="C5" s="418" t="s">
        <v>404</v>
      </c>
      <c r="D5" s="419"/>
      <c r="E5" s="421">
        <f ca="1">FCFE!B25</f>
        <v>285.36974735613677</v>
      </c>
      <c r="G5" s="410"/>
      <c r="H5" s="411">
        <v>3</v>
      </c>
      <c r="I5" s="412"/>
      <c r="J5" s="412">
        <v>1</v>
      </c>
      <c r="K5" s="413" t="s">
        <v>408</v>
      </c>
      <c r="M5" s="410"/>
      <c r="N5" s="411">
        <v>3</v>
      </c>
      <c r="O5" s="412"/>
      <c r="P5" s="412">
        <v>1</v>
      </c>
      <c r="Q5" s="413" t="s">
        <v>408</v>
      </c>
    </row>
    <row r="6" spans="3:17">
      <c r="C6" s="418" t="s">
        <v>405</v>
      </c>
      <c r="D6" s="419"/>
      <c r="E6" s="421">
        <f ca="1">FCFE!B47</f>
        <v>295.27148530483743</v>
      </c>
      <c r="G6" s="414"/>
      <c r="H6" s="412"/>
      <c r="I6" s="412"/>
      <c r="J6" s="412">
        <v>2</v>
      </c>
      <c r="K6" s="413" t="s">
        <v>401</v>
      </c>
      <c r="M6" s="414"/>
      <c r="N6" s="412"/>
      <c r="O6" s="412"/>
      <c r="P6" s="412">
        <v>2</v>
      </c>
      <c r="Q6" s="413" t="s">
        <v>401</v>
      </c>
    </row>
    <row r="7" spans="3:17" ht="15" thickBot="1">
      <c r="C7" s="418" t="s">
        <v>406</v>
      </c>
      <c r="D7" s="419"/>
      <c r="E7" s="422">
        <f ca="1">E5/E4-1</f>
        <v>0.44968121593160659</v>
      </c>
      <c r="G7" s="415"/>
      <c r="H7" s="416"/>
      <c r="I7" s="416"/>
      <c r="J7" s="416">
        <v>3</v>
      </c>
      <c r="K7" s="417" t="s">
        <v>409</v>
      </c>
      <c r="M7" s="415"/>
      <c r="N7" s="416"/>
      <c r="O7" s="416"/>
      <c r="P7" s="416">
        <v>3</v>
      </c>
      <c r="Q7" s="417" t="s">
        <v>409</v>
      </c>
    </row>
    <row r="8" spans="3:17" ht="15" thickBot="1">
      <c r="C8" s="418" t="s">
        <v>407</v>
      </c>
      <c r="D8" s="419"/>
      <c r="E8" s="422">
        <f ca="1">E6/E4-1</f>
        <v>0.49998214531286478</v>
      </c>
    </row>
    <row r="9" spans="3:17" ht="15" thickBot="1">
      <c r="G9" s="407" t="s">
        <v>3</v>
      </c>
      <c r="H9" s="408"/>
      <c r="I9" s="408"/>
      <c r="J9" s="408"/>
      <c r="K9" s="409"/>
      <c r="M9" s="407" t="s">
        <v>4</v>
      </c>
      <c r="N9" s="408"/>
      <c r="O9" s="408"/>
      <c r="P9" s="408"/>
      <c r="Q9" s="409"/>
    </row>
    <row r="10" spans="3:17" ht="15" thickBot="1">
      <c r="G10" s="410"/>
      <c r="H10" s="411">
        <v>3</v>
      </c>
      <c r="I10" s="412"/>
      <c r="J10" s="412">
        <v>1</v>
      </c>
      <c r="K10" s="413" t="s">
        <v>408</v>
      </c>
      <c r="M10" s="410"/>
      <c r="N10" s="411">
        <v>2</v>
      </c>
      <c r="O10" s="412"/>
      <c r="P10" s="412">
        <v>1</v>
      </c>
      <c r="Q10" s="413" t="s">
        <v>408</v>
      </c>
    </row>
    <row r="11" spans="3:17">
      <c r="G11" s="414"/>
      <c r="H11" s="412"/>
      <c r="I11" s="412"/>
      <c r="J11" s="412">
        <v>2</v>
      </c>
      <c r="K11" s="413" t="s">
        <v>401</v>
      </c>
      <c r="M11" s="414"/>
      <c r="N11" s="412"/>
      <c r="O11" s="412"/>
      <c r="P11" s="412">
        <v>2</v>
      </c>
      <c r="Q11" s="413" t="s">
        <v>401</v>
      </c>
    </row>
    <row r="12" spans="3:17" ht="15" thickBot="1">
      <c r="G12" s="415"/>
      <c r="H12" s="416"/>
      <c r="I12" s="416"/>
      <c r="J12" s="416">
        <v>3</v>
      </c>
      <c r="K12" s="417" t="s">
        <v>409</v>
      </c>
      <c r="M12" s="415"/>
      <c r="N12" s="416"/>
      <c r="O12" s="416"/>
      <c r="P12" s="416">
        <v>3</v>
      </c>
      <c r="Q12" s="417" t="s">
        <v>409</v>
      </c>
    </row>
  </sheetData>
  <mergeCells count="4">
    <mergeCell ref="G4:K4"/>
    <mergeCell ref="G9:K9"/>
    <mergeCell ref="M4:Q4"/>
    <mergeCell ref="M9:Q9"/>
  </mergeCells>
  <dataValidations count="4">
    <dataValidation type="list" allowBlank="1" showInputMessage="1" showErrorMessage="1" sqref="N10" xr:uid="{A3D37675-F70D-41F5-8497-B810F936020C}">
      <formula1>$P$10:$P$12</formula1>
    </dataValidation>
    <dataValidation type="list" allowBlank="1" showInputMessage="1" showErrorMessage="1" sqref="H5" xr:uid="{24DDF833-9CC2-4AC4-8659-FB5BA4CB2F85}">
      <formula1>$J$5:$J$7</formula1>
    </dataValidation>
    <dataValidation type="list" allowBlank="1" showInputMessage="1" showErrorMessage="1" sqref="N5" xr:uid="{E98E2A29-4190-4B4F-8B3D-A6748F0863D6}">
      <formula1>$P$5:$P$7</formula1>
    </dataValidation>
    <dataValidation type="list" allowBlank="1" showInputMessage="1" showErrorMessage="1" sqref="H10" xr:uid="{CA65093F-1B44-4AFB-9546-A8CBCCEFD3CF}">
      <formula1>$J$10:$J$12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15"/>
  <sheetViews>
    <sheetView topLeftCell="A32" workbookViewId="0">
      <selection activeCell="A42" sqref="A42:A44"/>
    </sheetView>
  </sheetViews>
  <sheetFormatPr defaultColWidth="12.6328125" defaultRowHeight="15" customHeight="1"/>
  <cols>
    <col min="1" max="1" width="26.08984375" customWidth="1"/>
  </cols>
  <sheetData>
    <row r="1" spans="1:18" ht="14.5">
      <c r="A1" s="1"/>
      <c r="K1" s="2"/>
    </row>
    <row r="2" spans="1:18" ht="15.5">
      <c r="A2" s="3" t="s">
        <v>0</v>
      </c>
      <c r="B2" s="4">
        <v>2014</v>
      </c>
      <c r="C2" s="4">
        <v>2015</v>
      </c>
      <c r="D2" s="4">
        <v>2016</v>
      </c>
      <c r="E2" s="4">
        <v>2017</v>
      </c>
      <c r="F2" s="4">
        <v>2018</v>
      </c>
      <c r="G2" s="4">
        <v>2019</v>
      </c>
      <c r="H2" s="4">
        <v>2020</v>
      </c>
      <c r="I2" s="4">
        <v>2021</v>
      </c>
      <c r="J2" s="4">
        <v>2022</v>
      </c>
      <c r="K2" s="5">
        <v>2023</v>
      </c>
      <c r="L2" s="4">
        <v>2024</v>
      </c>
      <c r="M2" s="4">
        <v>2025</v>
      </c>
      <c r="N2" s="4">
        <v>2026</v>
      </c>
      <c r="O2" s="4">
        <v>2027</v>
      </c>
      <c r="P2" s="4">
        <v>2028</v>
      </c>
      <c r="Q2" s="6"/>
      <c r="R2" s="7" t="s">
        <v>1</v>
      </c>
    </row>
    <row r="3" spans="1:18" ht="14.5">
      <c r="A3" s="8" t="s">
        <v>2</v>
      </c>
      <c r="K3" s="2"/>
    </row>
    <row r="4" spans="1:18" ht="29">
      <c r="A4" s="9" t="s">
        <v>3</v>
      </c>
      <c r="B4" s="10"/>
      <c r="C4" s="11">
        <v>2905</v>
      </c>
      <c r="D4" s="11">
        <v>2525</v>
      </c>
      <c r="E4" s="11">
        <v>2475</v>
      </c>
      <c r="F4" s="12">
        <v>2833</v>
      </c>
      <c r="G4" s="12">
        <v>2997</v>
      </c>
      <c r="H4" s="12">
        <v>1932</v>
      </c>
      <c r="I4" s="12">
        <v>1720</v>
      </c>
      <c r="J4" s="12">
        <v>2089</v>
      </c>
      <c r="K4" s="13">
        <v>2397</v>
      </c>
      <c r="L4" s="14">
        <f>K4*L36+K4</f>
        <v>2612.73</v>
      </c>
      <c r="M4" s="14">
        <f t="shared" ref="M4:P4" si="0">L4*M36+L4</f>
        <v>2847.8757000000001</v>
      </c>
      <c r="N4" s="14">
        <f t="shared" si="0"/>
        <v>3104.1845130000002</v>
      </c>
      <c r="O4" s="14">
        <f t="shared" si="0"/>
        <v>3383.56111917</v>
      </c>
      <c r="P4" s="14">
        <f t="shared" si="0"/>
        <v>3688.0816198952998</v>
      </c>
    </row>
    <row r="5" spans="1:18" ht="29">
      <c r="A5" s="9" t="s">
        <v>4</v>
      </c>
      <c r="B5" s="10"/>
      <c r="C5" s="11">
        <v>4656</v>
      </c>
      <c r="D5" s="11">
        <v>4796</v>
      </c>
      <c r="E5" s="11">
        <v>5103</v>
      </c>
      <c r="F5" s="12">
        <v>5373</v>
      </c>
      <c r="G5" s="12">
        <v>5731</v>
      </c>
      <c r="H5" s="12">
        <v>3786</v>
      </c>
      <c r="I5" s="12">
        <v>4155</v>
      </c>
      <c r="J5" s="12">
        <v>5108</v>
      </c>
      <c r="K5" s="13">
        <v>6241</v>
      </c>
      <c r="L5" s="14">
        <f>K5*L41+K5</f>
        <v>7114.74</v>
      </c>
      <c r="M5" s="14">
        <f t="shared" ref="M5:P5" si="1">L5*M41+L5</f>
        <v>8110.8036000000002</v>
      </c>
      <c r="N5" s="14">
        <f t="shared" si="1"/>
        <v>9246.3161039999995</v>
      </c>
      <c r="O5" s="14">
        <f t="shared" si="1"/>
        <v>10540.80035856</v>
      </c>
      <c r="P5" s="14">
        <f t="shared" si="1"/>
        <v>12016.512408758401</v>
      </c>
    </row>
    <row r="6" spans="1:18" ht="14.5">
      <c r="A6" s="9" t="s">
        <v>5</v>
      </c>
      <c r="B6" s="10"/>
      <c r="C6" s="11">
        <v>4715</v>
      </c>
      <c r="D6" s="11">
        <v>4375</v>
      </c>
      <c r="E6" s="11">
        <v>4053</v>
      </c>
      <c r="F6" s="12">
        <v>4665</v>
      </c>
      <c r="G6" s="12">
        <v>5326</v>
      </c>
      <c r="H6" s="12">
        <v>5826</v>
      </c>
      <c r="I6" s="12">
        <v>5151</v>
      </c>
      <c r="J6" s="12">
        <v>4630</v>
      </c>
      <c r="K6" s="13">
        <v>4986</v>
      </c>
      <c r="L6" s="14">
        <f>K6*L45+K6</f>
        <v>5135.58</v>
      </c>
      <c r="M6" s="14">
        <f>L6*M45+L6</f>
        <v>5289.6473999999998</v>
      </c>
      <c r="N6" s="14">
        <f>M6*N45+M6</f>
        <v>5448.3368220000002</v>
      </c>
      <c r="O6" s="14">
        <f>N6*O45+N6</f>
        <v>5611.7869266600001</v>
      </c>
      <c r="P6" s="14">
        <f>O6*P45+O6</f>
        <v>5780.1405344597997</v>
      </c>
    </row>
    <row r="7" spans="1:18" ht="14.5">
      <c r="A7" s="6" t="s">
        <v>6</v>
      </c>
      <c r="B7" s="10"/>
      <c r="C7" s="11">
        <v>2961</v>
      </c>
      <c r="D7" s="11">
        <v>3055</v>
      </c>
      <c r="E7" s="11">
        <v>3148</v>
      </c>
      <c r="F7" s="12">
        <v>2622</v>
      </c>
      <c r="G7" s="12" t="s">
        <v>7</v>
      </c>
      <c r="H7" s="12" t="s">
        <v>7</v>
      </c>
      <c r="I7" s="12"/>
      <c r="J7" s="12"/>
      <c r="K7" s="13"/>
    </row>
    <row r="8" spans="1:18" ht="14.5">
      <c r="A8" s="8" t="s">
        <v>8</v>
      </c>
      <c r="B8" s="10"/>
      <c r="C8" s="11">
        <v>15237</v>
      </c>
      <c r="D8" s="11">
        <v>14751</v>
      </c>
      <c r="E8" s="11">
        <v>14779</v>
      </c>
      <c r="F8" s="12">
        <v>15493</v>
      </c>
      <c r="G8" s="12">
        <v>14054</v>
      </c>
      <c r="H8" s="12">
        <v>11544</v>
      </c>
      <c r="I8" s="12">
        <v>11026</v>
      </c>
      <c r="J8" s="12">
        <v>11827</v>
      </c>
      <c r="K8" s="13">
        <v>13624</v>
      </c>
      <c r="L8" s="14">
        <f t="shared" ref="L8:P8" si="2">SUM(L4:L6)</f>
        <v>14863.05</v>
      </c>
      <c r="M8" s="14">
        <f t="shared" si="2"/>
        <v>16248.3267</v>
      </c>
      <c r="N8" s="14">
        <f t="shared" si="2"/>
        <v>17798.837438999999</v>
      </c>
      <c r="O8" s="14">
        <f t="shared" si="2"/>
        <v>19536.148404389998</v>
      </c>
      <c r="P8" s="14">
        <f t="shared" si="2"/>
        <v>21484.734563113499</v>
      </c>
    </row>
    <row r="9" spans="1:18" ht="29">
      <c r="A9" s="8" t="s">
        <v>9</v>
      </c>
      <c r="C9" s="14"/>
      <c r="D9" s="14"/>
      <c r="E9" s="15" t="s">
        <v>10</v>
      </c>
      <c r="F9" s="12"/>
      <c r="G9" s="12"/>
      <c r="H9" s="14"/>
      <c r="I9" s="12"/>
      <c r="J9" s="12"/>
      <c r="K9" s="13"/>
    </row>
    <row r="10" spans="1:18" ht="14.5">
      <c r="A10" s="9" t="s">
        <v>11</v>
      </c>
      <c r="C10" s="14"/>
      <c r="D10" s="14"/>
      <c r="E10" s="14"/>
      <c r="F10" s="12">
        <v>1732</v>
      </c>
      <c r="G10" s="12" t="s">
        <v>7</v>
      </c>
      <c r="H10" s="12" t="s">
        <v>7</v>
      </c>
      <c r="I10" s="12"/>
      <c r="J10" s="12"/>
      <c r="K10" s="13"/>
    </row>
    <row r="11" spans="1:18" ht="29">
      <c r="A11" s="9" t="s">
        <v>12</v>
      </c>
      <c r="C11" s="14"/>
      <c r="D11" s="14"/>
      <c r="E11" s="14"/>
      <c r="F11" s="12">
        <v>2196</v>
      </c>
      <c r="G11" s="12" t="s">
        <v>7</v>
      </c>
      <c r="H11" s="12" t="s">
        <v>7</v>
      </c>
      <c r="I11" s="12"/>
      <c r="J11" s="12"/>
      <c r="K11" s="13"/>
    </row>
    <row r="12" spans="1:18" ht="14.5">
      <c r="A12" s="9" t="s">
        <v>13</v>
      </c>
      <c r="C12" s="11">
        <v>4576</v>
      </c>
      <c r="D12" s="11">
        <v>4803</v>
      </c>
      <c r="E12" s="11">
        <v>4928</v>
      </c>
      <c r="F12" s="12">
        <v>2953</v>
      </c>
      <c r="G12" s="12">
        <v>3314</v>
      </c>
      <c r="H12" s="12">
        <v>2995</v>
      </c>
      <c r="I12" s="12">
        <v>3173</v>
      </c>
      <c r="J12" s="12">
        <v>3638</v>
      </c>
      <c r="K12" s="13">
        <v>3583</v>
      </c>
      <c r="L12" s="14">
        <f>K12+K12*L47</f>
        <v>3534.5015871945302</v>
      </c>
      <c r="M12" s="14">
        <f>L12+L12*M47</f>
        <v>3486.7858157674041</v>
      </c>
      <c r="N12" s="14">
        <f>M12+M12*N47</f>
        <v>3708.6188459889577</v>
      </c>
      <c r="O12" s="14">
        <f>N12+N12*O47</f>
        <v>3944.5651300486875</v>
      </c>
      <c r="P12" s="14">
        <f>O12+O12*P47</f>
        <v>4195.5225681993279</v>
      </c>
    </row>
    <row r="13" spans="1:18" ht="14.5">
      <c r="A13" s="6" t="s">
        <v>14</v>
      </c>
      <c r="C13" s="11">
        <v>4450</v>
      </c>
      <c r="D13" s="11">
        <v>4687</v>
      </c>
      <c r="E13" s="11">
        <v>4849</v>
      </c>
      <c r="F13" s="12"/>
      <c r="G13" s="12"/>
      <c r="H13" s="12"/>
      <c r="I13" s="12"/>
      <c r="J13" s="12"/>
      <c r="K13" s="13"/>
    </row>
    <row r="14" spans="1:18" ht="14.5">
      <c r="A14" s="9" t="s">
        <v>15</v>
      </c>
      <c r="C14" s="14"/>
      <c r="D14" s="14"/>
      <c r="E14" s="14"/>
      <c r="F14" s="12">
        <v>2417</v>
      </c>
      <c r="G14" s="12">
        <v>2403</v>
      </c>
      <c r="H14" s="12">
        <v>2194</v>
      </c>
      <c r="I14" s="12">
        <v>2366</v>
      </c>
      <c r="J14" s="12">
        <v>2362</v>
      </c>
      <c r="K14" s="13">
        <v>2448</v>
      </c>
      <c r="L14" s="14">
        <f>K14+K14*L48</f>
        <v>2457.9623367190579</v>
      </c>
      <c r="M14" s="14">
        <f>L14+L14*M48</f>
        <v>2507.1215834534391</v>
      </c>
      <c r="N14" s="14">
        <f>M14+M14*N48</f>
        <v>2557.2640151225078</v>
      </c>
      <c r="O14" s="14">
        <f>N14+N14*O48</f>
        <v>2608.4092954249581</v>
      </c>
      <c r="P14" s="14">
        <f>O14+O14*P48</f>
        <v>2660.5774813334574</v>
      </c>
    </row>
    <row r="15" spans="1:18" ht="29">
      <c r="A15" s="8" t="s">
        <v>16</v>
      </c>
      <c r="C15" s="11">
        <v>9026</v>
      </c>
      <c r="D15" s="11">
        <v>9490</v>
      </c>
      <c r="E15" s="11">
        <v>9777</v>
      </c>
      <c r="F15" s="12">
        <v>9298</v>
      </c>
      <c r="G15" s="12">
        <v>5717</v>
      </c>
      <c r="H15" s="12">
        <v>5189</v>
      </c>
      <c r="I15" s="12">
        <v>5539</v>
      </c>
      <c r="J15" s="12">
        <v>6000</v>
      </c>
      <c r="K15" s="13">
        <v>6031</v>
      </c>
      <c r="L15" s="14">
        <f t="shared" ref="L15:P15" si="3">SUM(L12:L14)</f>
        <v>5992.4639239135886</v>
      </c>
      <c r="M15" s="14">
        <f t="shared" si="3"/>
        <v>5993.9073992208432</v>
      </c>
      <c r="N15" s="14">
        <f t="shared" si="3"/>
        <v>6265.8828611114659</v>
      </c>
      <c r="O15" s="14">
        <f t="shared" si="3"/>
        <v>6552.9744254736452</v>
      </c>
      <c r="P15" s="14">
        <f t="shared" si="3"/>
        <v>6856.1000495327853</v>
      </c>
    </row>
    <row r="16" spans="1:18" ht="29">
      <c r="A16" s="8" t="s">
        <v>17</v>
      </c>
      <c r="C16" s="14"/>
      <c r="D16" s="14"/>
      <c r="E16" s="14"/>
      <c r="F16" s="12"/>
      <c r="G16" s="12"/>
      <c r="H16" s="14"/>
      <c r="I16" s="12"/>
      <c r="J16" s="12"/>
      <c r="K16" s="13"/>
    </row>
    <row r="17" spans="1:16" ht="14.5">
      <c r="A17" s="9" t="s">
        <v>18</v>
      </c>
      <c r="C17" s="11">
        <v>2976</v>
      </c>
      <c r="D17" s="11">
        <v>2469</v>
      </c>
      <c r="E17" s="11">
        <v>2753</v>
      </c>
      <c r="F17" s="12">
        <v>2845</v>
      </c>
      <c r="G17" s="12">
        <v>2890</v>
      </c>
      <c r="H17" s="12">
        <v>2177</v>
      </c>
      <c r="I17" s="12">
        <v>2348</v>
      </c>
      <c r="J17" s="12">
        <v>2404</v>
      </c>
      <c r="K17" s="13">
        <v>2586</v>
      </c>
      <c r="L17" s="14">
        <f>K17+K17*L50</f>
        <v>2650.65</v>
      </c>
      <c r="M17" s="14">
        <f>L17+L17*M50</f>
        <v>2809.6890000000003</v>
      </c>
      <c r="N17" s="14">
        <f>M17+M17*N50</f>
        <v>2978.2703400000005</v>
      </c>
      <c r="O17" s="14">
        <f>N17+N17*O50</f>
        <v>3156.9665604000006</v>
      </c>
      <c r="P17" s="14">
        <f>O17+O17*P50</f>
        <v>3346.3845540240009</v>
      </c>
    </row>
    <row r="18" spans="1:16" ht="14.5">
      <c r="A18" s="9" t="s">
        <v>19</v>
      </c>
      <c r="C18" s="11">
        <v>3124</v>
      </c>
      <c r="D18" s="11">
        <v>4640</v>
      </c>
      <c r="E18" s="11">
        <v>4795</v>
      </c>
      <c r="F18" s="12">
        <v>4981</v>
      </c>
      <c r="G18" s="12">
        <v>5146</v>
      </c>
      <c r="H18" s="12">
        <v>4590</v>
      </c>
      <c r="I18" s="12">
        <v>4611</v>
      </c>
      <c r="J18" s="12">
        <v>4731</v>
      </c>
      <c r="K18" s="13">
        <v>5267</v>
      </c>
      <c r="L18" s="14">
        <f>K18+K18*L51</f>
        <v>5872.7049999999999</v>
      </c>
      <c r="M18" s="14">
        <f>L18+L18*M51</f>
        <v>6548.0660749999997</v>
      </c>
      <c r="N18" s="14">
        <f>M18+M18*N51</f>
        <v>7301.0936736249996</v>
      </c>
      <c r="O18" s="14">
        <f>N18+N18*O51</f>
        <v>8140.7194460918745</v>
      </c>
      <c r="P18" s="14">
        <f>O18+O18*P51</f>
        <v>9076.9021823924395</v>
      </c>
    </row>
    <row r="19" spans="1:16" ht="14.5">
      <c r="A19" s="9" t="s">
        <v>20</v>
      </c>
      <c r="C19" s="11">
        <v>3510</v>
      </c>
      <c r="D19" s="11">
        <v>3327</v>
      </c>
      <c r="E19" s="11">
        <v>2791</v>
      </c>
      <c r="F19" s="14">
        <f t="shared" ref="F19:H19" si="4">SUM(F20:F21)</f>
        <v>2848</v>
      </c>
      <c r="G19" s="14">
        <f t="shared" si="4"/>
        <v>2798</v>
      </c>
      <c r="H19" s="14">
        <f t="shared" si="4"/>
        <v>2656</v>
      </c>
      <c r="I19" s="12">
        <v>3054</v>
      </c>
      <c r="J19" s="12">
        <v>3592</v>
      </c>
      <c r="K19" s="13">
        <v>3653</v>
      </c>
      <c r="L19" s="14">
        <f>K19+K19*L52</f>
        <v>3715.1010000000001</v>
      </c>
      <c r="M19" s="14">
        <f>L19+L19*M52</f>
        <v>3789.4030200000002</v>
      </c>
      <c r="N19" s="14">
        <f>M19+M19*N52</f>
        <v>3865.1910804000004</v>
      </c>
      <c r="O19" s="14">
        <f>N19+N19*O52</f>
        <v>3942.4949020080003</v>
      </c>
      <c r="P19" s="14">
        <f>O19+O19*P52</f>
        <v>4021.3448000481603</v>
      </c>
    </row>
    <row r="20" spans="1:16" ht="14.5">
      <c r="A20" s="9" t="s">
        <v>21</v>
      </c>
      <c r="C20" s="14"/>
      <c r="D20" s="14"/>
      <c r="E20" s="14"/>
      <c r="F20" s="12">
        <v>1134</v>
      </c>
      <c r="G20" s="12">
        <v>1062</v>
      </c>
      <c r="H20" s="12">
        <v>1075</v>
      </c>
      <c r="I20" s="12"/>
      <c r="J20" s="12"/>
      <c r="K20" s="13"/>
    </row>
    <row r="21" spans="1:16" ht="14.5">
      <c r="A21" s="9" t="s">
        <v>22</v>
      </c>
      <c r="C21" s="14"/>
      <c r="D21" s="14"/>
      <c r="E21" s="14"/>
      <c r="F21" s="12">
        <v>1714</v>
      </c>
      <c r="G21" s="12">
        <v>1736</v>
      </c>
      <c r="H21" s="12">
        <v>1581</v>
      </c>
      <c r="I21" s="12"/>
      <c r="J21" s="12"/>
      <c r="K21" s="13"/>
    </row>
    <row r="22" spans="1:16" ht="29">
      <c r="A22" s="8" t="s">
        <v>23</v>
      </c>
      <c r="C22" s="11">
        <v>9610</v>
      </c>
      <c r="D22" s="11">
        <v>10436</v>
      </c>
      <c r="E22" s="11">
        <v>10339</v>
      </c>
      <c r="F22" s="12">
        <v>10674</v>
      </c>
      <c r="G22" s="12">
        <v>10834</v>
      </c>
      <c r="H22" s="12">
        <v>9423</v>
      </c>
      <c r="I22" s="12">
        <v>10013</v>
      </c>
      <c r="J22" s="12">
        <v>10727</v>
      </c>
      <c r="K22" s="13">
        <v>11506</v>
      </c>
      <c r="L22" s="14">
        <f t="shared" ref="L22:P22" si="5">SUM(L17:L19)</f>
        <v>12238.456</v>
      </c>
      <c r="M22" s="14">
        <f t="shared" si="5"/>
        <v>13147.158095000001</v>
      </c>
      <c r="N22" s="14">
        <f t="shared" si="5"/>
        <v>14144.555094025</v>
      </c>
      <c r="O22" s="14">
        <f t="shared" si="5"/>
        <v>15240.180908499875</v>
      </c>
      <c r="P22" s="14">
        <f t="shared" si="5"/>
        <v>16444.6315364646</v>
      </c>
    </row>
    <row r="23" spans="1:16" ht="29">
      <c r="A23" s="8" t="s">
        <v>24</v>
      </c>
      <c r="C23" s="14"/>
      <c r="D23" s="14"/>
      <c r="E23" s="14"/>
      <c r="F23" s="14"/>
      <c r="G23" s="14"/>
      <c r="H23" s="14"/>
      <c r="I23" s="12"/>
      <c r="J23" s="12"/>
      <c r="K23" s="13"/>
    </row>
    <row r="24" spans="1:16" ht="29">
      <c r="A24" s="9" t="s">
        <v>25</v>
      </c>
      <c r="C24" s="14"/>
      <c r="D24" s="14"/>
      <c r="E24" s="11"/>
      <c r="F24" s="14"/>
      <c r="G24" s="14"/>
      <c r="H24" s="14" t="s">
        <v>26</v>
      </c>
      <c r="K24" s="2"/>
    </row>
    <row r="25" spans="1:16" ht="14.5">
      <c r="A25" s="9" t="s">
        <v>27</v>
      </c>
      <c r="C25" s="11">
        <v>2135</v>
      </c>
      <c r="D25" s="11">
        <v>2075</v>
      </c>
      <c r="E25" s="11">
        <v>2169</v>
      </c>
      <c r="F25" s="12">
        <v>2278</v>
      </c>
      <c r="G25" s="12">
        <v>2215</v>
      </c>
      <c r="H25" s="12">
        <v>2414</v>
      </c>
      <c r="I25" s="12">
        <v>3123</v>
      </c>
      <c r="J25" s="12">
        <v>2860</v>
      </c>
      <c r="K25" s="13">
        <v>2733</v>
      </c>
      <c r="L25" s="14">
        <f>K25+K25*L54</f>
        <v>2623.68</v>
      </c>
      <c r="M25" s="14">
        <f>L25+L25*M54</f>
        <v>2518.7327999999998</v>
      </c>
      <c r="N25" s="14">
        <f>M25+M25*N54</f>
        <v>2417.9834879999999</v>
      </c>
      <c r="O25" s="14">
        <f>N25+N25*O54</f>
        <v>2321.2641484799997</v>
      </c>
      <c r="P25" s="14">
        <f>O25+O25*P54</f>
        <v>2228.4135825407998</v>
      </c>
    </row>
    <row r="26" spans="1:16" ht="29">
      <c r="A26" s="9" t="s">
        <v>28</v>
      </c>
      <c r="C26" s="11">
        <v>2573</v>
      </c>
      <c r="D26" s="11">
        <v>2550</v>
      </c>
      <c r="E26" s="11">
        <v>3470</v>
      </c>
      <c r="F26" s="12">
        <v>1540</v>
      </c>
      <c r="G26" s="12">
        <v>1270</v>
      </c>
      <c r="H26" s="12">
        <v>1256</v>
      </c>
      <c r="I26" s="12">
        <v>1778</v>
      </c>
      <c r="J26" s="12">
        <v>1739</v>
      </c>
      <c r="K26" s="13">
        <v>1313</v>
      </c>
      <c r="L26" s="14">
        <f>K26+K26*L55</f>
        <v>1137.7780946408438</v>
      </c>
      <c r="M26" s="14">
        <f>L26+L26*M55</f>
        <v>1024.0002851767595</v>
      </c>
      <c r="N26" s="14">
        <f>M26+M26*N55</f>
        <v>921.60025665908347</v>
      </c>
      <c r="O26" s="14">
        <f>N26+N26*O55</f>
        <v>829.44023099317508</v>
      </c>
      <c r="P26" s="14">
        <f>O26+O26*P55</f>
        <v>746.49620789385756</v>
      </c>
    </row>
    <row r="27" spans="1:16" ht="29">
      <c r="A27" s="9" t="s">
        <v>29</v>
      </c>
      <c r="C27" s="14"/>
      <c r="D27" s="14"/>
      <c r="E27" s="14"/>
      <c r="F27" s="12">
        <v>1662</v>
      </c>
      <c r="G27" s="12">
        <v>1771</v>
      </c>
      <c r="H27" s="12">
        <v>2018</v>
      </c>
      <c r="I27" s="12">
        <v>2913</v>
      </c>
      <c r="J27" s="12">
        <v>2308</v>
      </c>
      <c r="K27" s="13">
        <v>1443</v>
      </c>
      <c r="L27" s="14">
        <f>K27+K27*L56</f>
        <v>1022.7457094117626</v>
      </c>
      <c r="M27" s="14">
        <f>L27+L27*M56</f>
        <v>726.14945368235146</v>
      </c>
      <c r="N27" s="14">
        <f>M27+M27*N56</f>
        <v>515.56611211446955</v>
      </c>
      <c r="O27" s="14">
        <f>N27+N27*O56</f>
        <v>366.05193960127338</v>
      </c>
      <c r="P27" s="14">
        <f>O27+O27*P56</f>
        <v>259.89687711690408</v>
      </c>
    </row>
    <row r="28" spans="1:16" ht="14.5">
      <c r="A28" s="9" t="s">
        <v>30</v>
      </c>
      <c r="C28" s="14"/>
      <c r="D28" s="14"/>
      <c r="E28" s="14"/>
      <c r="F28" s="12">
        <v>857</v>
      </c>
      <c r="G28" s="12">
        <v>848</v>
      </c>
      <c r="H28" s="12">
        <v>793</v>
      </c>
      <c r="I28" s="12"/>
      <c r="J28" s="12"/>
      <c r="K28" s="13"/>
    </row>
    <row r="29" spans="1:16" ht="29">
      <c r="A29" s="8" t="s">
        <v>31</v>
      </c>
      <c r="C29" s="11">
        <v>4708</v>
      </c>
      <c r="D29" s="11">
        <v>4625</v>
      </c>
      <c r="E29" s="11">
        <v>5639</v>
      </c>
      <c r="F29" s="12">
        <v>6337</v>
      </c>
      <c r="G29" s="12">
        <v>6104</v>
      </c>
      <c r="H29" s="12">
        <v>6481</v>
      </c>
      <c r="I29" s="12">
        <v>7814</v>
      </c>
      <c r="J29" s="12">
        <v>6907</v>
      </c>
      <c r="K29" s="13">
        <v>5489</v>
      </c>
      <c r="L29" s="14">
        <f t="shared" ref="L29:P29" si="6">SUM(L25:L27)</f>
        <v>4784.2038040526058</v>
      </c>
      <c r="M29" s="14">
        <f t="shared" si="6"/>
        <v>4268.8825388591104</v>
      </c>
      <c r="N29" s="14">
        <f t="shared" si="6"/>
        <v>3855.1498567735525</v>
      </c>
      <c r="O29" s="14">
        <f t="shared" si="6"/>
        <v>3516.7563190744481</v>
      </c>
      <c r="P29" s="14">
        <f t="shared" si="6"/>
        <v>3234.8066675515611</v>
      </c>
    </row>
    <row r="30" spans="1:16" ht="14.5">
      <c r="A30" s="9" t="s">
        <v>32</v>
      </c>
      <c r="C30" s="14"/>
      <c r="D30" s="14"/>
      <c r="E30" s="14"/>
      <c r="F30" s="14"/>
      <c r="G30" s="14"/>
      <c r="H30" s="14"/>
      <c r="I30" s="12" t="s">
        <v>7</v>
      </c>
      <c r="J30" s="12">
        <v>5</v>
      </c>
      <c r="K30" s="13">
        <v>12</v>
      </c>
      <c r="L30" s="12">
        <v>12</v>
      </c>
      <c r="M30" s="12">
        <v>12</v>
      </c>
      <c r="N30" s="12">
        <v>12</v>
      </c>
      <c r="O30" s="12">
        <v>12</v>
      </c>
      <c r="P30" s="12">
        <v>12</v>
      </c>
    </row>
    <row r="31" spans="1:16" ht="14.5">
      <c r="A31" s="8" t="s">
        <v>33</v>
      </c>
      <c r="C31" s="11">
        <v>38581</v>
      </c>
      <c r="D31" s="11">
        <v>39302</v>
      </c>
      <c r="E31" s="11">
        <v>40534</v>
      </c>
      <c r="F31" s="11">
        <v>41802</v>
      </c>
      <c r="G31" s="12">
        <v>36709</v>
      </c>
      <c r="H31" s="12">
        <v>32637</v>
      </c>
      <c r="I31" s="12">
        <v>34392</v>
      </c>
      <c r="J31" s="12">
        <v>35466</v>
      </c>
      <c r="K31" s="13">
        <v>36662</v>
      </c>
      <c r="L31" s="14">
        <f t="shared" ref="L31:P31" si="7">SUM(L8+L15+L22+L29)</f>
        <v>37878.17372796619</v>
      </c>
      <c r="M31" s="14">
        <f t="shared" si="7"/>
        <v>39658.274733079947</v>
      </c>
      <c r="N31" s="14">
        <f t="shared" si="7"/>
        <v>42064.425250910019</v>
      </c>
      <c r="O31" s="14">
        <f t="shared" si="7"/>
        <v>44846.060057437964</v>
      </c>
      <c r="P31" s="14">
        <f t="shared" si="7"/>
        <v>48020.272816662444</v>
      </c>
    </row>
    <row r="32" spans="1:16" ht="14.5">
      <c r="A32" s="9"/>
      <c r="K32" s="2"/>
    </row>
    <row r="33" spans="1:16" ht="14.5">
      <c r="A33" s="9"/>
      <c r="K33" s="2"/>
    </row>
    <row r="34" spans="1:16" ht="14.5">
      <c r="A34" s="8" t="s">
        <v>34</v>
      </c>
      <c r="K34" s="2"/>
    </row>
    <row r="35" spans="1:16" ht="29">
      <c r="A35" s="9" t="s">
        <v>3</v>
      </c>
      <c r="D35" s="16">
        <f t="shared" ref="D35:K35" si="8">D4/C4-1</f>
        <v>-0.13080895008605853</v>
      </c>
      <c r="E35" s="16">
        <f t="shared" si="8"/>
        <v>-1.980198019801982E-2</v>
      </c>
      <c r="F35" s="16">
        <f t="shared" si="8"/>
        <v>0.14464646464646469</v>
      </c>
      <c r="G35" s="16">
        <f t="shared" si="8"/>
        <v>5.788916343099193E-2</v>
      </c>
      <c r="H35" s="16">
        <f t="shared" si="8"/>
        <v>-0.35535535535535534</v>
      </c>
      <c r="I35" s="16">
        <f t="shared" si="8"/>
        <v>-0.10973084886128359</v>
      </c>
      <c r="J35" s="16">
        <f t="shared" si="8"/>
        <v>0.21453488372093021</v>
      </c>
      <c r="K35" s="17">
        <f t="shared" si="8"/>
        <v>0.14743896601244622</v>
      </c>
      <c r="L35" s="18">
        <v>0.1</v>
      </c>
      <c r="M35" s="18">
        <v>0.1</v>
      </c>
      <c r="N35" s="18">
        <v>0.1</v>
      </c>
      <c r="O35" s="18">
        <v>0.1</v>
      </c>
      <c r="P35" s="18">
        <v>0.1</v>
      </c>
    </row>
    <row r="36" spans="1:16" ht="14.5">
      <c r="A36" s="9"/>
      <c r="D36" s="16"/>
      <c r="E36" s="16"/>
      <c r="F36" s="16"/>
      <c r="G36" s="16"/>
      <c r="H36" s="16"/>
      <c r="I36" s="16"/>
      <c r="J36" s="16"/>
      <c r="K36" s="406"/>
      <c r="L36" s="18">
        <f>CHOOSE(Cover!$H$10,'Revenue Model'!L37,'Revenue Model'!L38,'Revenue Model'!L39)</f>
        <v>0.09</v>
      </c>
      <c r="M36" s="18">
        <f>CHOOSE(Cover!$H$10,'Revenue Model'!M37,'Revenue Model'!M38,'Revenue Model'!M39)</f>
        <v>0.09</v>
      </c>
      <c r="N36" s="18">
        <f>CHOOSE(Cover!$H$10,'Revenue Model'!N37,'Revenue Model'!N38,'Revenue Model'!N39)</f>
        <v>0.09</v>
      </c>
      <c r="O36" s="18">
        <f>CHOOSE(Cover!$H$10,'Revenue Model'!O37,'Revenue Model'!O38,'Revenue Model'!O39)</f>
        <v>0.09</v>
      </c>
      <c r="P36" s="18">
        <f>CHOOSE(Cover!$H$10,'Revenue Model'!P37,'Revenue Model'!P38,'Revenue Model'!P39)</f>
        <v>0.09</v>
      </c>
    </row>
    <row r="37" spans="1:16" ht="14.5">
      <c r="A37" s="8" t="s">
        <v>400</v>
      </c>
      <c r="D37" s="16"/>
      <c r="E37" s="16"/>
      <c r="F37" s="16"/>
      <c r="G37" s="16"/>
      <c r="H37" s="16"/>
      <c r="I37" s="16"/>
      <c r="J37" s="16"/>
      <c r="K37" s="406"/>
      <c r="L37" s="18">
        <v>0.11</v>
      </c>
      <c r="M37" s="18">
        <v>0.11</v>
      </c>
      <c r="N37" s="18">
        <v>0.11</v>
      </c>
      <c r="O37" s="18">
        <v>0.11</v>
      </c>
      <c r="P37" s="18">
        <v>0.11</v>
      </c>
    </row>
    <row r="38" spans="1:16" ht="14.5">
      <c r="A38" s="8" t="s">
        <v>401</v>
      </c>
      <c r="D38" s="16"/>
      <c r="E38" s="16"/>
      <c r="F38" s="16"/>
      <c r="G38" s="16"/>
      <c r="H38" s="16"/>
      <c r="I38" s="16"/>
      <c r="J38" s="16"/>
      <c r="K38" s="406"/>
      <c r="L38" s="18">
        <v>0.1</v>
      </c>
      <c r="M38" s="18">
        <v>0.1</v>
      </c>
      <c r="N38" s="18">
        <v>0.1</v>
      </c>
      <c r="O38" s="18">
        <v>0.1</v>
      </c>
      <c r="P38" s="18">
        <v>0.1</v>
      </c>
    </row>
    <row r="39" spans="1:16" ht="14.5">
      <c r="A39" s="8" t="s">
        <v>402</v>
      </c>
      <c r="D39" s="16"/>
      <c r="E39" s="16"/>
      <c r="F39" s="16"/>
      <c r="G39" s="16"/>
      <c r="H39" s="16"/>
      <c r="I39" s="16"/>
      <c r="J39" s="16"/>
      <c r="K39" s="406"/>
      <c r="L39" s="18">
        <v>0.09</v>
      </c>
      <c r="M39" s="18">
        <v>0.09</v>
      </c>
      <c r="N39" s="18">
        <v>0.09</v>
      </c>
      <c r="O39" s="18">
        <v>0.09</v>
      </c>
      <c r="P39" s="18">
        <v>0.09</v>
      </c>
    </row>
    <row r="40" spans="1:16" ht="29">
      <c r="A40" s="9" t="s">
        <v>4</v>
      </c>
      <c r="D40" s="16">
        <f>D5/C5-1</f>
        <v>3.0068728522336663E-2</v>
      </c>
      <c r="E40" s="16">
        <f>E5/D5-1</f>
        <v>6.4011676396997563E-2</v>
      </c>
      <c r="F40" s="16">
        <f>F5/E5-1</f>
        <v>5.2910052910053018E-2</v>
      </c>
      <c r="G40" s="16">
        <f>G5/F5-1</f>
        <v>6.6629443513865683E-2</v>
      </c>
      <c r="H40" s="16">
        <f>H5/G5-1</f>
        <v>-0.33938230675274816</v>
      </c>
      <c r="I40" s="16">
        <f>I5/H5-1</f>
        <v>9.7464342313787533E-2</v>
      </c>
      <c r="J40" s="16">
        <f>J5/I5-1</f>
        <v>0.22936221419975933</v>
      </c>
      <c r="K40" s="17">
        <f>K5/J5-1</f>
        <v>0.22180892717306189</v>
      </c>
      <c r="L40" s="18">
        <v>0.15</v>
      </c>
      <c r="M40" s="18">
        <v>0.15</v>
      </c>
      <c r="N40" s="18">
        <v>0.15</v>
      </c>
      <c r="O40" s="18">
        <v>0.15</v>
      </c>
      <c r="P40" s="18">
        <v>0.15</v>
      </c>
    </row>
    <row r="41" spans="1:16" ht="14.5">
      <c r="A41" s="9"/>
      <c r="D41" s="16"/>
      <c r="E41" s="16"/>
      <c r="F41" s="16"/>
      <c r="G41" s="16"/>
      <c r="H41" s="16"/>
      <c r="I41" s="16"/>
      <c r="J41" s="16"/>
      <c r="K41" s="406"/>
      <c r="L41" s="18">
        <f>CHOOSE(Cover!$H$10,'Revenue Model'!L42,'Revenue Model'!L43,'Revenue Model'!L44)</f>
        <v>0.14000000000000001</v>
      </c>
      <c r="M41" s="18">
        <f>CHOOSE(Cover!$H$10,'Revenue Model'!M42,'Revenue Model'!M43,'Revenue Model'!M44)</f>
        <v>0.14000000000000001</v>
      </c>
      <c r="N41" s="18">
        <f>CHOOSE(Cover!$H$10,'Revenue Model'!N42,'Revenue Model'!N43,'Revenue Model'!N44)</f>
        <v>0.14000000000000001</v>
      </c>
      <c r="O41" s="18">
        <f>CHOOSE(Cover!$H$10,'Revenue Model'!O42,'Revenue Model'!O43,'Revenue Model'!O44)</f>
        <v>0.14000000000000001</v>
      </c>
      <c r="P41" s="18">
        <f>CHOOSE(Cover!$H$10,'Revenue Model'!P42,'Revenue Model'!P43,'Revenue Model'!P44)</f>
        <v>0.14000000000000001</v>
      </c>
    </row>
    <row r="42" spans="1:16" ht="14.5">
      <c r="A42" s="8" t="s">
        <v>400</v>
      </c>
      <c r="D42" s="16"/>
      <c r="E42" s="16"/>
      <c r="F42" s="16"/>
      <c r="G42" s="16"/>
      <c r="H42" s="16"/>
      <c r="I42" s="16"/>
      <c r="J42" s="16"/>
      <c r="K42" s="406"/>
      <c r="L42" s="18">
        <v>0.16</v>
      </c>
      <c r="M42" s="18">
        <v>0.16</v>
      </c>
      <c r="N42" s="18">
        <v>0.16</v>
      </c>
      <c r="O42" s="18">
        <v>0.16</v>
      </c>
      <c r="P42" s="18">
        <v>0.16</v>
      </c>
    </row>
    <row r="43" spans="1:16" ht="14.5">
      <c r="A43" s="8" t="s">
        <v>401</v>
      </c>
      <c r="D43" s="16"/>
      <c r="E43" s="16"/>
      <c r="F43" s="16"/>
      <c r="G43" s="16"/>
      <c r="H43" s="16"/>
      <c r="I43" s="16"/>
      <c r="J43" s="16"/>
      <c r="K43" s="406"/>
      <c r="L43" s="18">
        <v>0.15</v>
      </c>
      <c r="M43" s="18">
        <v>0.15</v>
      </c>
      <c r="N43" s="18">
        <v>0.15</v>
      </c>
      <c r="O43" s="18">
        <v>0.15</v>
      </c>
      <c r="P43" s="18">
        <v>0.15</v>
      </c>
    </row>
    <row r="44" spans="1:16" ht="14.5">
      <c r="A44" s="8" t="s">
        <v>402</v>
      </c>
      <c r="D44" s="16"/>
      <c r="E44" s="16"/>
      <c r="F44" s="16"/>
      <c r="G44" s="16"/>
      <c r="H44" s="16"/>
      <c r="I44" s="16"/>
      <c r="J44" s="16"/>
      <c r="K44" s="406"/>
      <c r="L44" s="18">
        <v>0.14000000000000001</v>
      </c>
      <c r="M44" s="18">
        <v>0.14000000000000001</v>
      </c>
      <c r="N44" s="18">
        <v>0.14000000000000001</v>
      </c>
      <c r="O44" s="18">
        <v>0.14000000000000001</v>
      </c>
      <c r="P44" s="18">
        <v>0.14000000000000001</v>
      </c>
    </row>
    <row r="45" spans="1:16" ht="14.5">
      <c r="A45" s="9" t="s">
        <v>5</v>
      </c>
      <c r="D45" s="16">
        <f>D6/C6-1</f>
        <v>-7.2110286320254513E-2</v>
      </c>
      <c r="E45" s="16">
        <f>E6/D6-1</f>
        <v>-7.3599999999999999E-2</v>
      </c>
      <c r="F45" s="16">
        <f>F6/E6-1</f>
        <v>0.15099925980755002</v>
      </c>
      <c r="G45" s="16">
        <f>G6/F6-1</f>
        <v>0.14169346195069665</v>
      </c>
      <c r="H45" s="16">
        <f>H6/G6-1</f>
        <v>9.3879083740142644E-2</v>
      </c>
      <c r="I45" s="16">
        <f>I6/H6-1</f>
        <v>-0.11585993820803298</v>
      </c>
      <c r="J45" s="16">
        <f>J6/I6-1</f>
        <v>-0.10114540865851296</v>
      </c>
      <c r="K45" s="17">
        <f>K6/J6-1</f>
        <v>7.6889848812095041E-2</v>
      </c>
      <c r="L45" s="18">
        <v>0.03</v>
      </c>
      <c r="M45" s="18">
        <v>0.03</v>
      </c>
      <c r="N45" s="18">
        <v>0.03</v>
      </c>
      <c r="O45" s="18">
        <v>0.03</v>
      </c>
      <c r="P45" s="18">
        <v>0.03</v>
      </c>
    </row>
    <row r="46" spans="1:16" ht="14.5">
      <c r="A46" s="8"/>
      <c r="D46" s="16"/>
      <c r="E46" s="16"/>
      <c r="F46" s="16"/>
      <c r="G46" s="16"/>
      <c r="H46" s="16"/>
      <c r="I46" s="16"/>
      <c r="J46" s="16"/>
      <c r="K46" s="17"/>
      <c r="M46" s="19"/>
      <c r="N46" s="19"/>
      <c r="O46" s="19"/>
      <c r="P46" s="19"/>
    </row>
    <row r="47" spans="1:16" ht="14.5">
      <c r="A47" s="9" t="s">
        <v>13</v>
      </c>
      <c r="D47" s="16">
        <f>D12/C12-1</f>
        <v>4.9606643356643332E-2</v>
      </c>
      <c r="E47" s="16">
        <f>E12/D12-1</f>
        <v>2.6025400791172215E-2</v>
      </c>
      <c r="F47" s="16">
        <f>F12/E12-1</f>
        <v>-0.40077110389610393</v>
      </c>
      <c r="G47" s="16">
        <f>G12/F12-1</f>
        <v>0.12224856078564161</v>
      </c>
      <c r="H47" s="16">
        <f>H12/G12-1</f>
        <v>-9.62582981291491E-2</v>
      </c>
      <c r="I47" s="16">
        <f>I12/H12-1</f>
        <v>5.9432387312186918E-2</v>
      </c>
      <c r="J47" s="16">
        <f>J12/I12-1</f>
        <v>0.1465490072486606</v>
      </c>
      <c r="K47" s="17">
        <f>K12/J12-1</f>
        <v>-1.5118196811434892E-2</v>
      </c>
      <c r="L47" s="16">
        <f>AVERAGE(D47:K47)</f>
        <v>-1.3535699917797905E-2</v>
      </c>
      <c r="M47" s="20">
        <v>-1.35E-2</v>
      </c>
      <c r="N47" s="19">
        <f>AVERAGE(I47:K47)</f>
        <v>6.3621065916470876E-2</v>
      </c>
      <c r="O47" s="19">
        <f t="shared" ref="O47:P47" si="9">N47</f>
        <v>6.3621065916470876E-2</v>
      </c>
      <c r="P47" s="19">
        <f t="shared" si="9"/>
        <v>6.3621065916470876E-2</v>
      </c>
    </row>
    <row r="48" spans="1:16" ht="14.5">
      <c r="A48" s="9" t="s">
        <v>15</v>
      </c>
      <c r="D48" s="21">
        <v>0</v>
      </c>
      <c r="E48" s="21">
        <v>0</v>
      </c>
      <c r="F48" s="20">
        <v>0</v>
      </c>
      <c r="G48" s="16">
        <f>G14/F14-1</f>
        <v>-5.7923045097227899E-3</v>
      </c>
      <c r="H48" s="16">
        <f>H14/G14-1</f>
        <v>-8.6974615064502658E-2</v>
      </c>
      <c r="I48" s="16">
        <f>I14/H14-1</f>
        <v>7.8395624430264377E-2</v>
      </c>
      <c r="J48" s="16">
        <f>J14/I14-1</f>
        <v>-1.6906170752324368E-3</v>
      </c>
      <c r="K48" s="17">
        <f>K14/J14-1</f>
        <v>3.6409822184589435E-2</v>
      </c>
      <c r="L48" s="16">
        <f>AVERAGE(G48:K48)</f>
        <v>4.0695819930791858E-3</v>
      </c>
      <c r="M48" s="19">
        <v>0.02</v>
      </c>
      <c r="N48" s="19">
        <v>0.02</v>
      </c>
      <c r="O48" s="19">
        <v>0.02</v>
      </c>
      <c r="P48" s="19">
        <v>0.02</v>
      </c>
    </row>
    <row r="49" spans="1:17" ht="14.5">
      <c r="A49" s="8"/>
      <c r="D49" s="16"/>
      <c r="E49" s="16"/>
      <c r="F49" s="16"/>
      <c r="G49" s="16"/>
      <c r="H49" s="16"/>
      <c r="I49" s="16"/>
      <c r="J49" s="16"/>
      <c r="K49" s="17"/>
      <c r="M49" s="19"/>
      <c r="N49" s="19"/>
      <c r="O49" s="19"/>
      <c r="P49" s="19"/>
    </row>
    <row r="50" spans="1:17" ht="14.5">
      <c r="A50" s="9" t="s">
        <v>18</v>
      </c>
      <c r="D50" s="16">
        <f>D17/C17-1</f>
        <v>-0.17036290322580649</v>
      </c>
      <c r="E50" s="16">
        <f>E17/D17-1</f>
        <v>0.11502632644795474</v>
      </c>
      <c r="F50" s="16">
        <f>F17/E17-1</f>
        <v>3.3418089357065028E-2</v>
      </c>
      <c r="G50" s="16">
        <f>G17/F17-1</f>
        <v>1.5817223198594021E-2</v>
      </c>
      <c r="H50" s="16">
        <f>H17/G17-1</f>
        <v>-0.2467128027681661</v>
      </c>
      <c r="I50" s="16">
        <f>I17/H17-1</f>
        <v>7.8548461185117047E-2</v>
      </c>
      <c r="J50" s="16">
        <f>J17/I17-1</f>
        <v>2.3850085178875657E-2</v>
      </c>
      <c r="K50" s="17">
        <f>K17/J17-1</f>
        <v>7.5707154742096439E-2</v>
      </c>
      <c r="L50" s="20">
        <v>2.5000000000000001E-2</v>
      </c>
      <c r="M50" s="19">
        <v>0.06</v>
      </c>
      <c r="N50" s="19">
        <v>0.06</v>
      </c>
      <c r="O50" s="19">
        <v>0.06</v>
      </c>
      <c r="P50" s="19">
        <v>0.06</v>
      </c>
    </row>
    <row r="51" spans="1:17" ht="14.5">
      <c r="A51" s="9" t="s">
        <v>19</v>
      </c>
      <c r="D51" s="16">
        <f>D18/C18-1</f>
        <v>0.48527528809218956</v>
      </c>
      <c r="E51" s="16">
        <f>E18/D18-1</f>
        <v>3.3405172413793149E-2</v>
      </c>
      <c r="F51" s="16">
        <f>F18/E18-1</f>
        <v>3.8790406673618438E-2</v>
      </c>
      <c r="G51" s="16">
        <f>G18/F18-1</f>
        <v>3.3125878337683101E-2</v>
      </c>
      <c r="H51" s="16">
        <f>H18/G18-1</f>
        <v>-0.10804508356004661</v>
      </c>
      <c r="I51" s="16">
        <f>I18/H18-1</f>
        <v>4.5751633986927942E-3</v>
      </c>
      <c r="J51" s="16">
        <f>J18/I18-1</f>
        <v>2.6024723487312995E-2</v>
      </c>
      <c r="K51" s="17">
        <f>K18/J18-1</f>
        <v>0.11329528640879305</v>
      </c>
      <c r="L51" s="16">
        <v>0.115</v>
      </c>
      <c r="M51" s="16">
        <v>0.115</v>
      </c>
      <c r="N51" s="16">
        <v>0.115</v>
      </c>
      <c r="O51" s="16">
        <v>0.115</v>
      </c>
      <c r="P51" s="16">
        <v>0.115</v>
      </c>
    </row>
    <row r="52" spans="1:17" ht="14.5">
      <c r="A52" s="9" t="s">
        <v>20</v>
      </c>
      <c r="D52" s="16">
        <f>D19/C19-1</f>
        <v>-5.2136752136752174E-2</v>
      </c>
      <c r="E52" s="16">
        <f>E19/D19-1</f>
        <v>-0.16110610159302674</v>
      </c>
      <c r="F52" s="16">
        <f>F19/E19-1</f>
        <v>2.0422787531350739E-2</v>
      </c>
      <c r="G52" s="16">
        <f>G19/F19-1</f>
        <v>-1.75561797752809E-2</v>
      </c>
      <c r="H52" s="16">
        <f>H19/G19-1</f>
        <v>-5.0750536097212251E-2</v>
      </c>
      <c r="I52" s="16">
        <f>I19/H19-1</f>
        <v>0.14984939759036142</v>
      </c>
      <c r="J52" s="16">
        <f>J19/I19-1</f>
        <v>0.17616240995415855</v>
      </c>
      <c r="K52" s="17">
        <f>K19/J19-1</f>
        <v>1.6982182628062281E-2</v>
      </c>
      <c r="L52" s="20">
        <v>1.7000000000000001E-2</v>
      </c>
      <c r="M52" s="19">
        <v>0.02</v>
      </c>
      <c r="N52" s="19">
        <v>0.02</v>
      </c>
      <c r="O52" s="19">
        <v>0.02</v>
      </c>
      <c r="P52" s="19">
        <v>0.02</v>
      </c>
      <c r="Q52" s="19"/>
    </row>
    <row r="53" spans="1:17" ht="14.5">
      <c r="A53" s="8"/>
      <c r="D53" s="16"/>
      <c r="E53" s="16"/>
      <c r="F53" s="16"/>
      <c r="G53" s="16"/>
      <c r="H53" s="16"/>
      <c r="I53" s="16"/>
      <c r="J53" s="16"/>
      <c r="K53" s="17"/>
      <c r="L53" s="16"/>
      <c r="M53" s="16"/>
      <c r="N53" s="16"/>
      <c r="O53" s="16"/>
      <c r="P53" s="16"/>
    </row>
    <row r="54" spans="1:17" ht="14.5">
      <c r="A54" s="9" t="s">
        <v>27</v>
      </c>
      <c r="D54" s="16">
        <f>D25/C25-1</f>
        <v>-2.8103044496487151E-2</v>
      </c>
      <c r="E54" s="16">
        <f>E25/D25-1</f>
        <v>4.530120481927713E-2</v>
      </c>
      <c r="F54" s="16">
        <f>F25/E25-1</f>
        <v>5.0253573075149882E-2</v>
      </c>
      <c r="G54" s="16">
        <f>G25/F25-1</f>
        <v>-2.765583845478492E-2</v>
      </c>
      <c r="H54" s="16">
        <f>H25/G25-1</f>
        <v>8.9841986455981848E-2</v>
      </c>
      <c r="I54" s="16">
        <f>I25/H25-1</f>
        <v>0.29370339685169844</v>
      </c>
      <c r="J54" s="16">
        <f>J25/I25-1</f>
        <v>-8.4213896894012152E-2</v>
      </c>
      <c r="K54" s="17">
        <f>K25/J25-1</f>
        <v>-4.440559440559444E-2</v>
      </c>
      <c r="L54" s="19">
        <v>-0.04</v>
      </c>
      <c r="M54" s="19">
        <v>-0.04</v>
      </c>
      <c r="N54" s="19">
        <v>-0.04</v>
      </c>
      <c r="O54" s="19">
        <v>-0.04</v>
      </c>
      <c r="P54" s="19">
        <v>-0.04</v>
      </c>
    </row>
    <row r="55" spans="1:17" ht="29">
      <c r="A55" s="9" t="s">
        <v>28</v>
      </c>
      <c r="D55" s="16">
        <f>D26/C26-1</f>
        <v>-8.9389817333851429E-3</v>
      </c>
      <c r="E55" s="16">
        <f>E26/D26-1</f>
        <v>0.36078431372549025</v>
      </c>
      <c r="F55" s="16">
        <f>F26/E26-1</f>
        <v>-0.55619596541786742</v>
      </c>
      <c r="G55" s="16">
        <f>G26/F26-1</f>
        <v>-0.17532467532467533</v>
      </c>
      <c r="H55" s="16">
        <f>H26/G26-1</f>
        <v>-1.1023622047244053E-2</v>
      </c>
      <c r="I55" s="16">
        <f>I26/H26-1</f>
        <v>0.41560509554140124</v>
      </c>
      <c r="J55" s="16">
        <f>J26/I26-1</f>
        <v>-2.1934758155230605E-2</v>
      </c>
      <c r="K55" s="17">
        <f>K26/J26-1</f>
        <v>-0.24496837262794713</v>
      </c>
      <c r="L55" s="16">
        <f t="shared" ref="L55:L56" si="10">AVERAGE(J55:K55)</f>
        <v>-0.13345156539158887</v>
      </c>
      <c r="M55" s="19">
        <v>-0.1</v>
      </c>
      <c r="N55" s="19">
        <v>-0.1</v>
      </c>
      <c r="O55" s="19">
        <v>-0.1</v>
      </c>
      <c r="P55" s="19">
        <v>-0.1</v>
      </c>
    </row>
    <row r="56" spans="1:17" ht="29">
      <c r="A56" s="9" t="s">
        <v>29</v>
      </c>
      <c r="D56" s="20">
        <v>0</v>
      </c>
      <c r="E56" s="20">
        <v>0</v>
      </c>
      <c r="F56" s="20">
        <v>0</v>
      </c>
      <c r="G56" s="16">
        <f t="shared" ref="G56:K56" si="11">G27/F27-1</f>
        <v>6.5583634175691907E-2</v>
      </c>
      <c r="H56" s="16">
        <f t="shared" si="11"/>
        <v>0.13946922642574822</v>
      </c>
      <c r="I56" s="16">
        <f t="shared" si="11"/>
        <v>0.44350842418235881</v>
      </c>
      <c r="J56" s="16">
        <f t="shared" si="11"/>
        <v>-0.20768966700995539</v>
      </c>
      <c r="K56" s="17">
        <f t="shared" si="11"/>
        <v>-0.37478336221837083</v>
      </c>
      <c r="L56" s="16">
        <f t="shared" si="10"/>
        <v>-0.29123651461416311</v>
      </c>
      <c r="M56" s="18">
        <v>-0.28999999999999998</v>
      </c>
      <c r="N56" s="18">
        <v>-0.28999999999999998</v>
      </c>
      <c r="O56" s="18">
        <v>-0.28999999999999998</v>
      </c>
      <c r="P56" s="18">
        <v>-0.28999999999999998</v>
      </c>
    </row>
    <row r="57" spans="1:17" ht="14.5">
      <c r="A57" s="9"/>
      <c r="D57" s="20"/>
      <c r="E57" s="20"/>
      <c r="F57" s="20"/>
      <c r="G57" s="16"/>
      <c r="H57" s="16"/>
      <c r="I57" s="16"/>
      <c r="J57" s="16"/>
      <c r="K57" s="17"/>
      <c r="L57" s="16"/>
      <c r="M57" s="18"/>
      <c r="N57" s="18"/>
      <c r="O57" s="18"/>
      <c r="P57" s="18"/>
    </row>
    <row r="58" spans="1:17" ht="14.5">
      <c r="A58" s="9" t="s">
        <v>35</v>
      </c>
      <c r="D58" s="20">
        <f>D31/C31-1</f>
        <v>1.8687955211114327E-2</v>
      </c>
      <c r="E58" s="20">
        <f>E31/D31-1</f>
        <v>3.1347005241463499E-2</v>
      </c>
      <c r="F58" s="20">
        <f>F31/E31-1</f>
        <v>3.1282380224009421E-2</v>
      </c>
      <c r="G58" s="20">
        <f>G31/F31-1</f>
        <v>-0.12183627577627865</v>
      </c>
      <c r="H58" s="20">
        <f>H31/G31-1</f>
        <v>-0.11092647579612624</v>
      </c>
      <c r="I58" s="20">
        <f>I31/H31-1</f>
        <v>5.377332475411345E-2</v>
      </c>
      <c r="J58" s="20">
        <f>J31/I31-1</f>
        <v>3.1228192602930971E-2</v>
      </c>
      <c r="K58" s="20">
        <f>K31/J31-1</f>
        <v>3.3722438391699194E-2</v>
      </c>
      <c r="L58" s="20">
        <f>L31/K31-1</f>
        <v>3.3172596365888207E-2</v>
      </c>
      <c r="M58" s="20">
        <f>M31/L31-1</f>
        <v>4.6995428499222225E-2</v>
      </c>
      <c r="N58" s="20">
        <f>N31/M31-1</f>
        <v>6.06720926218971E-2</v>
      </c>
      <c r="O58" s="20">
        <f>O31/N31-1</f>
        <v>6.6127964186739163E-2</v>
      </c>
      <c r="P58" s="20">
        <f>P31/O31-1</f>
        <v>7.0780192399488628E-2</v>
      </c>
    </row>
    <row r="59" spans="1:17" ht="14.5">
      <c r="A59" s="9"/>
      <c r="D59" s="20"/>
      <c r="E59" s="20"/>
      <c r="F59" s="20"/>
      <c r="G59" s="16"/>
      <c r="H59" s="16"/>
      <c r="I59" s="16"/>
      <c r="J59" s="16"/>
      <c r="K59" s="17"/>
      <c r="L59" s="16"/>
      <c r="M59" s="18"/>
      <c r="N59" s="18"/>
      <c r="O59" s="18"/>
      <c r="P59" s="18"/>
    </row>
    <row r="60" spans="1:17" ht="14.5">
      <c r="A60" s="22"/>
      <c r="D60" s="16"/>
      <c r="E60" s="16"/>
      <c r="F60" s="16"/>
      <c r="G60" s="16"/>
      <c r="H60" s="16"/>
      <c r="I60" s="16"/>
      <c r="J60" s="16"/>
      <c r="K60" s="17"/>
      <c r="M60" s="19"/>
      <c r="N60" s="19"/>
      <c r="O60" s="19"/>
      <c r="P60" s="19"/>
    </row>
    <row r="61" spans="1:17" ht="14.5">
      <c r="A61" s="23"/>
      <c r="K61" s="2"/>
    </row>
    <row r="62" spans="1:17" ht="14.5">
      <c r="A62" s="8"/>
      <c r="D62" s="19"/>
      <c r="K62" s="2"/>
    </row>
    <row r="63" spans="1:17" ht="14.5">
      <c r="A63" s="8"/>
      <c r="K63" s="2"/>
    </row>
    <row r="64" spans="1:17" ht="14.5">
      <c r="A64" s="8"/>
      <c r="K64" s="2"/>
    </row>
    <row r="65" spans="1:11" ht="14.5">
      <c r="A65" s="1"/>
      <c r="K65" s="2"/>
    </row>
    <row r="66" spans="1:11" ht="14.5">
      <c r="A66" s="8"/>
      <c r="K66" s="2"/>
    </row>
    <row r="67" spans="1:11" ht="14.5">
      <c r="A67" s="1"/>
      <c r="K67" s="2"/>
    </row>
    <row r="68" spans="1:11" ht="14.5">
      <c r="A68" s="1"/>
      <c r="K68" s="2"/>
    </row>
    <row r="69" spans="1:11" ht="14.5">
      <c r="A69" s="1"/>
      <c r="K69" s="2"/>
    </row>
    <row r="70" spans="1:11" ht="14.5">
      <c r="A70" s="1"/>
      <c r="K70" s="2"/>
    </row>
    <row r="71" spans="1:11" ht="14.5">
      <c r="A71" s="1"/>
      <c r="K71" s="2"/>
    </row>
    <row r="72" spans="1:11" ht="14.5">
      <c r="A72" s="1"/>
      <c r="K72" s="2"/>
    </row>
    <row r="73" spans="1:11" ht="14.5">
      <c r="A73" s="1"/>
      <c r="K73" s="2"/>
    </row>
    <row r="74" spans="1:11" ht="14.5">
      <c r="A74" s="1"/>
      <c r="K74" s="2"/>
    </row>
    <row r="75" spans="1:11" ht="14.5">
      <c r="A75" s="1"/>
      <c r="K75" s="2"/>
    </row>
    <row r="76" spans="1:11" ht="14.5">
      <c r="A76" s="1"/>
      <c r="K76" s="2"/>
    </row>
    <row r="77" spans="1:11" ht="14.5">
      <c r="A77" s="1"/>
      <c r="K77" s="2"/>
    </row>
    <row r="78" spans="1:11" ht="14.5">
      <c r="A78" s="1"/>
      <c r="K78" s="2"/>
    </row>
    <row r="79" spans="1:11" ht="14.5">
      <c r="A79" s="1"/>
      <c r="K79" s="2"/>
    </row>
    <row r="80" spans="1:11" ht="14.5">
      <c r="A80" s="1"/>
      <c r="K80" s="2"/>
    </row>
    <row r="81" spans="1:11" ht="14.5">
      <c r="A81" s="1"/>
      <c r="K81" s="2"/>
    </row>
    <row r="82" spans="1:11" ht="14.5">
      <c r="A82" s="1"/>
      <c r="K82" s="2"/>
    </row>
    <row r="83" spans="1:11" ht="14.5">
      <c r="A83" s="1"/>
      <c r="K83" s="2"/>
    </row>
    <row r="84" spans="1:11" ht="14.5">
      <c r="A84" s="1"/>
      <c r="K84" s="2"/>
    </row>
    <row r="85" spans="1:11" ht="14.5">
      <c r="A85" s="1"/>
      <c r="K85" s="2"/>
    </row>
    <row r="86" spans="1:11" ht="14.5">
      <c r="A86" s="1"/>
      <c r="K86" s="2"/>
    </row>
    <row r="87" spans="1:11" ht="14.5">
      <c r="A87" s="1"/>
      <c r="K87" s="2"/>
    </row>
    <row r="88" spans="1:11" ht="14.5">
      <c r="A88" s="1"/>
      <c r="K88" s="2"/>
    </row>
    <row r="89" spans="1:11" ht="14.5">
      <c r="A89" s="1"/>
      <c r="K89" s="2"/>
    </row>
    <row r="90" spans="1:11" ht="14.5">
      <c r="A90" s="1"/>
      <c r="K90" s="2"/>
    </row>
    <row r="91" spans="1:11" ht="14.5">
      <c r="A91" s="1"/>
      <c r="K91" s="2"/>
    </row>
    <row r="92" spans="1:11" ht="14.5">
      <c r="A92" s="1"/>
      <c r="K92" s="2"/>
    </row>
    <row r="93" spans="1:11" ht="14.5">
      <c r="A93" s="1"/>
      <c r="K93" s="2"/>
    </row>
    <row r="94" spans="1:11" ht="14.5">
      <c r="A94" s="1"/>
      <c r="K94" s="2"/>
    </row>
    <row r="95" spans="1:11" ht="14.5">
      <c r="A95" s="1"/>
      <c r="K95" s="2"/>
    </row>
    <row r="96" spans="1:11" ht="14.5">
      <c r="A96" s="1"/>
      <c r="K96" s="2"/>
    </row>
    <row r="97" spans="1:11" ht="14.5">
      <c r="A97" s="1"/>
      <c r="K97" s="2"/>
    </row>
    <row r="98" spans="1:11" ht="14.5">
      <c r="A98" s="1"/>
      <c r="K98" s="2"/>
    </row>
    <row r="99" spans="1:11" ht="14.5">
      <c r="A99" s="1"/>
      <c r="K99" s="2"/>
    </row>
    <row r="100" spans="1:11" ht="14.5">
      <c r="A100" s="1"/>
      <c r="K100" s="2"/>
    </row>
    <row r="101" spans="1:11" ht="14.5">
      <c r="A101" s="1"/>
      <c r="K101" s="2"/>
    </row>
    <row r="102" spans="1:11" ht="14.5">
      <c r="A102" s="1"/>
      <c r="K102" s="2"/>
    </row>
    <row r="103" spans="1:11" ht="14.5">
      <c r="A103" s="1"/>
      <c r="K103" s="2"/>
    </row>
    <row r="104" spans="1:11" ht="14.5">
      <c r="A104" s="1"/>
      <c r="K104" s="2"/>
    </row>
    <row r="105" spans="1:11" ht="14.5">
      <c r="A105" s="1"/>
      <c r="K105" s="2"/>
    </row>
    <row r="106" spans="1:11" ht="14.5">
      <c r="A106" s="1"/>
      <c r="K106" s="2"/>
    </row>
    <row r="107" spans="1:11" ht="14.5">
      <c r="A107" s="1"/>
      <c r="K107" s="2"/>
    </row>
    <row r="108" spans="1:11" ht="14.5">
      <c r="A108" s="1"/>
      <c r="K108" s="2"/>
    </row>
    <row r="109" spans="1:11" ht="14.5">
      <c r="A109" s="1"/>
      <c r="K109" s="2"/>
    </row>
    <row r="110" spans="1:11" ht="14.5">
      <c r="A110" s="1"/>
      <c r="K110" s="2"/>
    </row>
    <row r="111" spans="1:11" ht="14.5">
      <c r="A111" s="1"/>
      <c r="K111" s="2"/>
    </row>
    <row r="112" spans="1:11" ht="14.5">
      <c r="A112" s="1"/>
      <c r="K112" s="2"/>
    </row>
    <row r="113" spans="1:11" ht="14.5">
      <c r="A113" s="1"/>
      <c r="K113" s="2"/>
    </row>
    <row r="114" spans="1:11" ht="14.5">
      <c r="A114" s="1"/>
      <c r="K114" s="2"/>
    </row>
    <row r="115" spans="1:11" ht="14.5">
      <c r="A115" s="1"/>
      <c r="K115" s="2"/>
    </row>
    <row r="116" spans="1:11" ht="14.5">
      <c r="A116" s="1"/>
      <c r="K116" s="2"/>
    </row>
    <row r="117" spans="1:11" ht="14.5">
      <c r="A117" s="1"/>
      <c r="K117" s="2"/>
    </row>
    <row r="118" spans="1:11" ht="14.5">
      <c r="A118" s="1"/>
      <c r="K118" s="2"/>
    </row>
    <row r="119" spans="1:11" ht="14.5">
      <c r="A119" s="1"/>
      <c r="K119" s="2"/>
    </row>
    <row r="120" spans="1:11" ht="14.5">
      <c r="A120" s="1"/>
      <c r="K120" s="2"/>
    </row>
    <row r="121" spans="1:11" ht="14.5">
      <c r="A121" s="1"/>
      <c r="K121" s="2"/>
    </row>
    <row r="122" spans="1:11" ht="14.5">
      <c r="A122" s="1"/>
      <c r="K122" s="2"/>
    </row>
    <row r="123" spans="1:11" ht="14.5">
      <c r="A123" s="1"/>
      <c r="K123" s="2"/>
    </row>
    <row r="124" spans="1:11" ht="14.5">
      <c r="A124" s="1"/>
      <c r="K124" s="2"/>
    </row>
    <row r="125" spans="1:11" ht="14.5">
      <c r="A125" s="1"/>
      <c r="K125" s="2"/>
    </row>
    <row r="126" spans="1:11" ht="14.5">
      <c r="A126" s="1"/>
      <c r="K126" s="2"/>
    </row>
    <row r="127" spans="1:11" ht="14.5">
      <c r="A127" s="1"/>
      <c r="K127" s="2"/>
    </row>
    <row r="128" spans="1:11" ht="14.5">
      <c r="A128" s="1"/>
      <c r="K128" s="2"/>
    </row>
    <row r="129" spans="1:11" ht="14.5">
      <c r="A129" s="1"/>
      <c r="K129" s="2"/>
    </row>
    <row r="130" spans="1:11" ht="14.5">
      <c r="A130" s="1"/>
      <c r="K130" s="2"/>
    </row>
    <row r="131" spans="1:11" ht="14.5">
      <c r="A131" s="1"/>
      <c r="K131" s="2"/>
    </row>
    <row r="132" spans="1:11" ht="14.5">
      <c r="A132" s="1"/>
      <c r="K132" s="2"/>
    </row>
    <row r="133" spans="1:11" ht="14.5">
      <c r="A133" s="1"/>
      <c r="K133" s="2"/>
    </row>
    <row r="134" spans="1:11" ht="14.5">
      <c r="A134" s="1"/>
      <c r="K134" s="2"/>
    </row>
    <row r="135" spans="1:11" ht="14.5">
      <c r="A135" s="1"/>
      <c r="K135" s="2"/>
    </row>
    <row r="136" spans="1:11" ht="14.5">
      <c r="A136" s="1"/>
      <c r="K136" s="2"/>
    </row>
    <row r="137" spans="1:11" ht="14.5">
      <c r="A137" s="1"/>
      <c r="K137" s="2"/>
    </row>
    <row r="138" spans="1:11" ht="14.5">
      <c r="A138" s="1"/>
      <c r="K138" s="2"/>
    </row>
    <row r="139" spans="1:11" ht="14.5">
      <c r="A139" s="1"/>
      <c r="K139" s="2"/>
    </row>
    <row r="140" spans="1:11" ht="14.5">
      <c r="A140" s="1"/>
      <c r="K140" s="2"/>
    </row>
    <row r="141" spans="1:11" ht="14.5">
      <c r="A141" s="1"/>
      <c r="K141" s="2"/>
    </row>
    <row r="142" spans="1:11" ht="14.5">
      <c r="A142" s="1"/>
      <c r="K142" s="2"/>
    </row>
    <row r="143" spans="1:11" ht="14.5">
      <c r="A143" s="1"/>
      <c r="K143" s="2"/>
    </row>
    <row r="144" spans="1:11" ht="14.5">
      <c r="A144" s="1"/>
      <c r="K144" s="2"/>
    </row>
    <row r="145" spans="1:11" ht="14.5">
      <c r="A145" s="1"/>
      <c r="K145" s="2"/>
    </row>
    <row r="146" spans="1:11" ht="14.5">
      <c r="A146" s="1"/>
      <c r="K146" s="2"/>
    </row>
    <row r="147" spans="1:11" ht="14.5">
      <c r="A147" s="1"/>
      <c r="K147" s="2"/>
    </row>
    <row r="148" spans="1:11" ht="14.5">
      <c r="A148" s="1"/>
      <c r="K148" s="2"/>
    </row>
    <row r="149" spans="1:11" ht="14.5">
      <c r="A149" s="1"/>
      <c r="K149" s="2"/>
    </row>
    <row r="150" spans="1:11" ht="14.5">
      <c r="A150" s="1"/>
      <c r="K150" s="2"/>
    </row>
    <row r="151" spans="1:11" ht="14.5">
      <c r="A151" s="1"/>
      <c r="K151" s="2"/>
    </row>
    <row r="152" spans="1:11" ht="14.5">
      <c r="A152" s="1"/>
      <c r="K152" s="2"/>
    </row>
    <row r="153" spans="1:11" ht="14.5">
      <c r="A153" s="1"/>
      <c r="K153" s="2"/>
    </row>
    <row r="154" spans="1:11" ht="14.5">
      <c r="A154" s="1"/>
      <c r="K154" s="2"/>
    </row>
    <row r="155" spans="1:11" ht="14.5">
      <c r="A155" s="1"/>
      <c r="K155" s="2"/>
    </row>
    <row r="156" spans="1:11" ht="14.5">
      <c r="A156" s="1"/>
      <c r="K156" s="2"/>
    </row>
    <row r="157" spans="1:11" ht="14.5">
      <c r="A157" s="1"/>
      <c r="K157" s="2"/>
    </row>
    <row r="158" spans="1:11" ht="14.5">
      <c r="A158" s="1"/>
      <c r="K158" s="2"/>
    </row>
    <row r="159" spans="1:11" ht="14.5">
      <c r="A159" s="1"/>
      <c r="K159" s="2"/>
    </row>
    <row r="160" spans="1:11" ht="14.5">
      <c r="A160" s="1"/>
      <c r="K160" s="2"/>
    </row>
    <row r="161" spans="1:11" ht="14.5">
      <c r="A161" s="1"/>
      <c r="K161" s="2"/>
    </row>
    <row r="162" spans="1:11" ht="14.5">
      <c r="A162" s="1"/>
      <c r="K162" s="2"/>
    </row>
    <row r="163" spans="1:11" ht="14.5">
      <c r="A163" s="1"/>
      <c r="K163" s="2"/>
    </row>
    <row r="164" spans="1:11" ht="14.5">
      <c r="A164" s="1"/>
      <c r="K164" s="2"/>
    </row>
    <row r="165" spans="1:11" ht="14.5">
      <c r="A165" s="1"/>
      <c r="K165" s="2"/>
    </row>
    <row r="166" spans="1:11" ht="14.5">
      <c r="A166" s="1"/>
      <c r="K166" s="2"/>
    </row>
    <row r="167" spans="1:11" ht="14.5">
      <c r="A167" s="1"/>
      <c r="K167" s="2"/>
    </row>
    <row r="168" spans="1:11" ht="14.5">
      <c r="A168" s="1"/>
      <c r="K168" s="2"/>
    </row>
    <row r="169" spans="1:11" ht="14.5">
      <c r="A169" s="1"/>
      <c r="K169" s="2"/>
    </row>
    <row r="170" spans="1:11" ht="14.5">
      <c r="A170" s="1"/>
      <c r="K170" s="2"/>
    </row>
    <row r="171" spans="1:11" ht="14.5">
      <c r="A171" s="1"/>
      <c r="K171" s="2"/>
    </row>
    <row r="172" spans="1:11" ht="14.5">
      <c r="A172" s="1"/>
      <c r="K172" s="2"/>
    </row>
    <row r="173" spans="1:11" ht="14.5">
      <c r="A173" s="1"/>
      <c r="K173" s="2"/>
    </row>
    <row r="174" spans="1:11" ht="14.5">
      <c r="A174" s="1"/>
      <c r="K174" s="2"/>
    </row>
    <row r="175" spans="1:11" ht="14.5">
      <c r="A175" s="1"/>
      <c r="K175" s="2"/>
    </row>
    <row r="176" spans="1:11" ht="14.5">
      <c r="A176" s="1"/>
      <c r="K176" s="2"/>
    </row>
    <row r="177" spans="1:11" ht="14.5">
      <c r="A177" s="1"/>
      <c r="K177" s="2"/>
    </row>
    <row r="178" spans="1:11" ht="14.5">
      <c r="A178" s="1"/>
      <c r="K178" s="2"/>
    </row>
    <row r="179" spans="1:11" ht="14.5">
      <c r="A179" s="1"/>
      <c r="K179" s="2"/>
    </row>
    <row r="180" spans="1:11" ht="14.5">
      <c r="A180" s="1"/>
      <c r="K180" s="2"/>
    </row>
    <row r="181" spans="1:11" ht="14.5">
      <c r="A181" s="1"/>
      <c r="K181" s="2"/>
    </row>
    <row r="182" spans="1:11" ht="14.5">
      <c r="A182" s="1"/>
      <c r="K182" s="2"/>
    </row>
    <row r="183" spans="1:11" ht="14.5">
      <c r="A183" s="1"/>
      <c r="K183" s="2"/>
    </row>
    <row r="184" spans="1:11" ht="14.5">
      <c r="A184" s="1"/>
      <c r="K184" s="2"/>
    </row>
    <row r="185" spans="1:11" ht="14.5">
      <c r="A185" s="1"/>
      <c r="K185" s="2"/>
    </row>
    <row r="186" spans="1:11" ht="14.5">
      <c r="A186" s="1"/>
      <c r="K186" s="2"/>
    </row>
    <row r="187" spans="1:11" ht="14.5">
      <c r="A187" s="1"/>
      <c r="K187" s="2"/>
    </row>
    <row r="188" spans="1:11" ht="14.5">
      <c r="A188" s="1"/>
      <c r="K188" s="2"/>
    </row>
    <row r="189" spans="1:11" ht="14.5">
      <c r="A189" s="1"/>
      <c r="K189" s="2"/>
    </row>
    <row r="190" spans="1:11" ht="14.5">
      <c r="A190" s="1"/>
      <c r="K190" s="2"/>
    </row>
    <row r="191" spans="1:11" ht="14.5">
      <c r="A191" s="1"/>
      <c r="K191" s="2"/>
    </row>
    <row r="192" spans="1:11" ht="14.5">
      <c r="A192" s="1"/>
      <c r="K192" s="2"/>
    </row>
    <row r="193" spans="1:11" ht="14.5">
      <c r="A193" s="1"/>
      <c r="K193" s="2"/>
    </row>
    <row r="194" spans="1:11" ht="14.5">
      <c r="A194" s="1"/>
      <c r="K194" s="2"/>
    </row>
    <row r="195" spans="1:11" ht="14.5">
      <c r="A195" s="1"/>
      <c r="K195" s="2"/>
    </row>
    <row r="196" spans="1:11" ht="14.5">
      <c r="A196" s="1"/>
      <c r="K196" s="2"/>
    </row>
    <row r="197" spans="1:11" ht="14.5">
      <c r="A197" s="1"/>
      <c r="K197" s="2"/>
    </row>
    <row r="198" spans="1:11" ht="14.5">
      <c r="A198" s="1"/>
      <c r="K198" s="2"/>
    </row>
    <row r="199" spans="1:11" ht="14.5">
      <c r="A199" s="1"/>
      <c r="K199" s="2"/>
    </row>
    <row r="200" spans="1:11" ht="14.5">
      <c r="A200" s="1"/>
      <c r="K200" s="2"/>
    </row>
    <row r="201" spans="1:11" ht="14.5">
      <c r="A201" s="1"/>
      <c r="K201" s="2"/>
    </row>
    <row r="202" spans="1:11" ht="14.5">
      <c r="A202" s="1"/>
      <c r="K202" s="2"/>
    </row>
    <row r="203" spans="1:11" ht="14.5">
      <c r="A203" s="1"/>
      <c r="K203" s="2"/>
    </row>
    <row r="204" spans="1:11" ht="14.5">
      <c r="A204" s="1"/>
      <c r="K204" s="2"/>
    </row>
    <row r="205" spans="1:11" ht="14.5">
      <c r="A205" s="1"/>
      <c r="K205" s="2"/>
    </row>
    <row r="206" spans="1:11" ht="14.5">
      <c r="A206" s="1"/>
      <c r="K206" s="2"/>
    </row>
    <row r="207" spans="1:11" ht="14.5">
      <c r="A207" s="1"/>
      <c r="K207" s="2"/>
    </row>
    <row r="208" spans="1:11" ht="14.5">
      <c r="A208" s="1"/>
      <c r="K208" s="2"/>
    </row>
    <row r="209" spans="1:11" ht="14.5">
      <c r="A209" s="1"/>
      <c r="K209" s="2"/>
    </row>
    <row r="210" spans="1:11" ht="14.5">
      <c r="A210" s="1"/>
      <c r="K210" s="2"/>
    </row>
    <row r="211" spans="1:11" ht="14.5">
      <c r="A211" s="1"/>
      <c r="K211" s="2"/>
    </row>
    <row r="212" spans="1:11" ht="14.5">
      <c r="A212" s="1"/>
      <c r="K212" s="2"/>
    </row>
    <row r="213" spans="1:11" ht="14.5">
      <c r="A213" s="1"/>
      <c r="K213" s="2"/>
    </row>
    <row r="214" spans="1:11" ht="14.5">
      <c r="A214" s="1"/>
      <c r="K214" s="2"/>
    </row>
    <row r="215" spans="1:11" ht="14.5">
      <c r="A215" s="1"/>
      <c r="K215" s="2"/>
    </row>
    <row r="216" spans="1:11" ht="14.5">
      <c r="A216" s="1"/>
      <c r="K216" s="2"/>
    </row>
    <row r="217" spans="1:11" ht="14.5">
      <c r="A217" s="1"/>
      <c r="K217" s="2"/>
    </row>
    <row r="218" spans="1:11" ht="14.5">
      <c r="A218" s="1"/>
      <c r="K218" s="2"/>
    </row>
    <row r="219" spans="1:11" ht="14.5">
      <c r="A219" s="1"/>
      <c r="K219" s="2"/>
    </row>
    <row r="220" spans="1:11" ht="14.5">
      <c r="A220" s="1"/>
      <c r="K220" s="2"/>
    </row>
    <row r="221" spans="1:11" ht="14.5">
      <c r="A221" s="1"/>
      <c r="K221" s="2"/>
    </row>
    <row r="222" spans="1:11" ht="14.5">
      <c r="A222" s="1"/>
      <c r="K222" s="2"/>
    </row>
    <row r="223" spans="1:11" ht="14.5">
      <c r="A223" s="1"/>
      <c r="K223" s="2"/>
    </row>
    <row r="224" spans="1:11" ht="14.5">
      <c r="A224" s="1"/>
      <c r="K224" s="2"/>
    </row>
    <row r="225" spans="1:11" ht="14.5">
      <c r="A225" s="1"/>
      <c r="K225" s="2"/>
    </row>
    <row r="226" spans="1:11" ht="14.5">
      <c r="A226" s="1"/>
      <c r="K226" s="2"/>
    </row>
    <row r="227" spans="1:11" ht="14.5">
      <c r="A227" s="1"/>
      <c r="K227" s="2"/>
    </row>
    <row r="228" spans="1:11" ht="14.5">
      <c r="A228" s="1"/>
      <c r="K228" s="2"/>
    </row>
    <row r="229" spans="1:11" ht="14.5">
      <c r="A229" s="1"/>
      <c r="K229" s="2"/>
    </row>
    <row r="230" spans="1:11" ht="14.5">
      <c r="A230" s="1"/>
      <c r="K230" s="2"/>
    </row>
    <row r="231" spans="1:11" ht="14.5">
      <c r="A231" s="1"/>
      <c r="K231" s="2"/>
    </row>
    <row r="232" spans="1:11" ht="14.5">
      <c r="A232" s="1"/>
      <c r="K232" s="2"/>
    </row>
    <row r="233" spans="1:11" ht="14.5">
      <c r="A233" s="1"/>
      <c r="K233" s="2"/>
    </row>
    <row r="234" spans="1:11" ht="14.5">
      <c r="A234" s="1"/>
      <c r="K234" s="2"/>
    </row>
    <row r="235" spans="1:11" ht="14.5">
      <c r="A235" s="1"/>
      <c r="K235" s="2"/>
    </row>
    <row r="236" spans="1:11" ht="14.5">
      <c r="A236" s="1"/>
      <c r="K236" s="2"/>
    </row>
    <row r="237" spans="1:11" ht="14.5">
      <c r="A237" s="1"/>
      <c r="K237" s="2"/>
    </row>
    <row r="238" spans="1:11" ht="14.5">
      <c r="A238" s="1"/>
      <c r="K238" s="2"/>
    </row>
    <row r="239" spans="1:11" ht="14.5">
      <c r="A239" s="1"/>
      <c r="K239" s="2"/>
    </row>
    <row r="240" spans="1:11" ht="14.5">
      <c r="A240" s="1"/>
      <c r="K240" s="2"/>
    </row>
    <row r="241" spans="1:11" ht="14.5">
      <c r="A241" s="1"/>
      <c r="K241" s="2"/>
    </row>
    <row r="242" spans="1:11" ht="14.5">
      <c r="A242" s="1"/>
      <c r="K242" s="2"/>
    </row>
    <row r="243" spans="1:11" ht="14.5">
      <c r="A243" s="1"/>
      <c r="K243" s="2"/>
    </row>
    <row r="244" spans="1:11" ht="14.5">
      <c r="A244" s="1"/>
      <c r="K244" s="2"/>
    </row>
    <row r="245" spans="1:11" ht="14.5">
      <c r="A245" s="1"/>
      <c r="K245" s="2"/>
    </row>
    <row r="246" spans="1:11" ht="14.5">
      <c r="A246" s="1"/>
      <c r="K246" s="2"/>
    </row>
    <row r="247" spans="1:11" ht="14.5">
      <c r="A247" s="1"/>
      <c r="K247" s="2"/>
    </row>
    <row r="248" spans="1:11" ht="14.5">
      <c r="A248" s="1"/>
      <c r="K248" s="2"/>
    </row>
    <row r="249" spans="1:11" ht="14.5">
      <c r="A249" s="1"/>
      <c r="K249" s="2"/>
    </row>
    <row r="250" spans="1:11" ht="14.5">
      <c r="A250" s="1"/>
      <c r="K250" s="2"/>
    </row>
    <row r="251" spans="1:11" ht="14.5">
      <c r="A251" s="1"/>
      <c r="K251" s="2"/>
    </row>
    <row r="252" spans="1:11" ht="14.5">
      <c r="A252" s="1"/>
      <c r="K252" s="2"/>
    </row>
    <row r="253" spans="1:11" ht="14.5">
      <c r="A253" s="1"/>
      <c r="K253" s="2"/>
    </row>
    <row r="254" spans="1:11" ht="14.5">
      <c r="A254" s="1"/>
      <c r="K254" s="2"/>
    </row>
    <row r="255" spans="1:11" ht="14.5">
      <c r="A255" s="1"/>
      <c r="K255" s="2"/>
    </row>
    <row r="256" spans="1:11" ht="14.5">
      <c r="A256" s="1"/>
      <c r="K256" s="2"/>
    </row>
    <row r="257" spans="1:11" ht="14.5">
      <c r="A257" s="1"/>
      <c r="K257" s="2"/>
    </row>
    <row r="258" spans="1:11" ht="14.5">
      <c r="A258" s="1"/>
      <c r="K258" s="2"/>
    </row>
    <row r="259" spans="1:11" ht="14.5">
      <c r="A259" s="1"/>
      <c r="K259" s="2"/>
    </row>
    <row r="260" spans="1:11" ht="14.5">
      <c r="A260" s="1"/>
      <c r="K260" s="2"/>
    </row>
    <row r="261" spans="1:11" ht="14.5">
      <c r="A261" s="1"/>
      <c r="K261" s="2"/>
    </row>
    <row r="262" spans="1:11" ht="14.5">
      <c r="A262" s="1"/>
      <c r="K262" s="2"/>
    </row>
    <row r="263" spans="1:11" ht="14.5">
      <c r="A263" s="1"/>
      <c r="K263" s="2"/>
    </row>
    <row r="264" spans="1:11" ht="14.5">
      <c r="A264" s="1"/>
      <c r="K264" s="2"/>
    </row>
    <row r="265" spans="1:11" ht="14.5">
      <c r="A265" s="1"/>
      <c r="K265" s="2"/>
    </row>
    <row r="266" spans="1:11" ht="14.5">
      <c r="A266" s="1"/>
      <c r="K266" s="2"/>
    </row>
    <row r="267" spans="1:11" ht="14.5">
      <c r="A267" s="1"/>
      <c r="K267" s="2"/>
    </row>
    <row r="268" spans="1:11" ht="14.5">
      <c r="A268" s="1"/>
      <c r="K268" s="2"/>
    </row>
    <row r="269" spans="1:11" ht="14.5">
      <c r="A269" s="1"/>
      <c r="K269" s="2"/>
    </row>
    <row r="270" spans="1:11" ht="14.5">
      <c r="A270" s="1"/>
      <c r="K270" s="2"/>
    </row>
    <row r="271" spans="1:11" ht="14.5">
      <c r="A271" s="1"/>
      <c r="K271" s="2"/>
    </row>
    <row r="272" spans="1:11" ht="14.5">
      <c r="A272" s="1"/>
      <c r="K272" s="2"/>
    </row>
    <row r="273" spans="1:11" ht="14.5">
      <c r="A273" s="1"/>
      <c r="K273" s="2"/>
    </row>
    <row r="274" spans="1:11" ht="14.5">
      <c r="A274" s="1"/>
      <c r="K274" s="2"/>
    </row>
    <row r="275" spans="1:11" ht="14.5">
      <c r="A275" s="1"/>
      <c r="K275" s="2"/>
    </row>
    <row r="276" spans="1:11" ht="14.5">
      <c r="A276" s="1"/>
      <c r="K276" s="2"/>
    </row>
    <row r="277" spans="1:11" ht="14.5">
      <c r="A277" s="1"/>
      <c r="K277" s="2"/>
    </row>
    <row r="278" spans="1:11" ht="14.5">
      <c r="A278" s="1"/>
      <c r="K278" s="2"/>
    </row>
    <row r="279" spans="1:11" ht="14.5">
      <c r="A279" s="1"/>
      <c r="K279" s="2"/>
    </row>
    <row r="280" spans="1:11" ht="14.5">
      <c r="A280" s="1"/>
      <c r="K280" s="2"/>
    </row>
    <row r="281" spans="1:11" ht="14.5">
      <c r="A281" s="1"/>
      <c r="K281" s="2"/>
    </row>
    <row r="282" spans="1:11" ht="14.5">
      <c r="A282" s="1"/>
      <c r="K282" s="2"/>
    </row>
    <row r="283" spans="1:11" ht="14.5">
      <c r="A283" s="1"/>
      <c r="K283" s="2"/>
    </row>
    <row r="284" spans="1:11" ht="14.5">
      <c r="A284" s="1"/>
      <c r="K284" s="2"/>
    </row>
    <row r="285" spans="1:11" ht="14.5">
      <c r="A285" s="1"/>
      <c r="K285" s="2"/>
    </row>
    <row r="286" spans="1:11" ht="14.5">
      <c r="A286" s="1"/>
      <c r="K286" s="2"/>
    </row>
    <row r="287" spans="1:11" ht="14.5">
      <c r="A287" s="1"/>
      <c r="K287" s="2"/>
    </row>
    <row r="288" spans="1:11" ht="14.5">
      <c r="A288" s="1"/>
      <c r="K288" s="2"/>
    </row>
    <row r="289" spans="1:11" ht="14.5">
      <c r="A289" s="1"/>
      <c r="K289" s="2"/>
    </row>
    <row r="290" spans="1:11" ht="14.5">
      <c r="A290" s="1"/>
      <c r="K290" s="2"/>
    </row>
    <row r="291" spans="1:11" ht="14.5">
      <c r="A291" s="1"/>
      <c r="K291" s="2"/>
    </row>
    <row r="292" spans="1:11" ht="14.5">
      <c r="A292" s="1"/>
      <c r="K292" s="2"/>
    </row>
    <row r="293" spans="1:11" ht="14.5">
      <c r="A293" s="1"/>
      <c r="K293" s="2"/>
    </row>
    <row r="294" spans="1:11" ht="14.5">
      <c r="A294" s="1"/>
      <c r="K294" s="2"/>
    </row>
    <row r="295" spans="1:11" ht="14.5">
      <c r="A295" s="1"/>
      <c r="K295" s="2"/>
    </row>
    <row r="296" spans="1:11" ht="14.5">
      <c r="A296" s="1"/>
      <c r="K296" s="2"/>
    </row>
    <row r="297" spans="1:11" ht="14.5">
      <c r="A297" s="1"/>
      <c r="K297" s="2"/>
    </row>
    <row r="298" spans="1:11" ht="14.5">
      <c r="A298" s="1"/>
      <c r="K298" s="2"/>
    </row>
    <row r="299" spans="1:11" ht="14.5">
      <c r="A299" s="1"/>
      <c r="K299" s="2"/>
    </row>
    <row r="300" spans="1:11" ht="14.5">
      <c r="A300" s="1"/>
      <c r="K300" s="2"/>
    </row>
    <row r="301" spans="1:11" ht="14.5">
      <c r="A301" s="1"/>
      <c r="K301" s="2"/>
    </row>
    <row r="302" spans="1:11" ht="14.5">
      <c r="A302" s="1"/>
      <c r="K302" s="2"/>
    </row>
    <row r="303" spans="1:11" ht="14.5">
      <c r="A303" s="1"/>
      <c r="K303" s="2"/>
    </row>
    <row r="304" spans="1:11" ht="14.5">
      <c r="A304" s="1"/>
      <c r="K304" s="2"/>
    </row>
    <row r="305" spans="1:11" ht="14.5">
      <c r="A305" s="1"/>
      <c r="K305" s="2"/>
    </row>
    <row r="306" spans="1:11" ht="14.5">
      <c r="A306" s="1"/>
      <c r="K306" s="2"/>
    </row>
    <row r="307" spans="1:11" ht="14.5">
      <c r="A307" s="1"/>
      <c r="K307" s="2"/>
    </row>
    <row r="308" spans="1:11" ht="14.5">
      <c r="A308" s="1"/>
      <c r="K308" s="2"/>
    </row>
    <row r="309" spans="1:11" ht="14.5">
      <c r="A309" s="1"/>
      <c r="K309" s="2"/>
    </row>
    <row r="310" spans="1:11" ht="14.5">
      <c r="A310" s="1"/>
      <c r="K310" s="2"/>
    </row>
    <row r="311" spans="1:11" ht="14.5">
      <c r="A311" s="1"/>
      <c r="K311" s="2"/>
    </row>
    <row r="312" spans="1:11" ht="14.5">
      <c r="A312" s="1"/>
      <c r="K312" s="2"/>
    </row>
    <row r="313" spans="1:11" ht="14.5">
      <c r="A313" s="1"/>
      <c r="K313" s="2"/>
    </row>
    <row r="314" spans="1:11" ht="14.5">
      <c r="A314" s="1"/>
      <c r="K314" s="2"/>
    </row>
    <row r="315" spans="1:11" ht="14.5">
      <c r="A315" s="1"/>
      <c r="K315" s="2"/>
    </row>
    <row r="316" spans="1:11" ht="14.5">
      <c r="A316" s="1"/>
      <c r="K316" s="2"/>
    </row>
    <row r="317" spans="1:11" ht="14.5">
      <c r="A317" s="1"/>
      <c r="K317" s="2"/>
    </row>
    <row r="318" spans="1:11" ht="14.5">
      <c r="A318" s="1"/>
      <c r="K318" s="2"/>
    </row>
    <row r="319" spans="1:11" ht="14.5">
      <c r="A319" s="1"/>
      <c r="K319" s="2"/>
    </row>
    <row r="320" spans="1:11" ht="14.5">
      <c r="A320" s="1"/>
      <c r="K320" s="2"/>
    </row>
    <row r="321" spans="1:11" ht="14.5">
      <c r="A321" s="1"/>
      <c r="K321" s="2"/>
    </row>
    <row r="322" spans="1:11" ht="14.5">
      <c r="A322" s="1"/>
      <c r="K322" s="2"/>
    </row>
    <row r="323" spans="1:11" ht="14.5">
      <c r="A323" s="1"/>
      <c r="K323" s="2"/>
    </row>
    <row r="324" spans="1:11" ht="14.5">
      <c r="A324" s="1"/>
      <c r="K324" s="2"/>
    </row>
    <row r="325" spans="1:11" ht="14.5">
      <c r="A325" s="1"/>
      <c r="K325" s="2"/>
    </row>
    <row r="326" spans="1:11" ht="14.5">
      <c r="A326" s="1"/>
      <c r="K326" s="2"/>
    </row>
    <row r="327" spans="1:11" ht="14.5">
      <c r="A327" s="1"/>
      <c r="K327" s="2"/>
    </row>
    <row r="328" spans="1:11" ht="14.5">
      <c r="A328" s="1"/>
      <c r="K328" s="2"/>
    </row>
    <row r="329" spans="1:11" ht="14.5">
      <c r="A329" s="1"/>
      <c r="K329" s="2"/>
    </row>
    <row r="330" spans="1:11" ht="14.5">
      <c r="A330" s="1"/>
      <c r="K330" s="2"/>
    </row>
    <row r="331" spans="1:11" ht="14.5">
      <c r="A331" s="1"/>
      <c r="K331" s="2"/>
    </row>
    <row r="332" spans="1:11" ht="14.5">
      <c r="A332" s="1"/>
      <c r="K332" s="2"/>
    </row>
    <row r="333" spans="1:11" ht="14.5">
      <c r="A333" s="1"/>
      <c r="K333" s="2"/>
    </row>
    <row r="334" spans="1:11" ht="14.5">
      <c r="A334" s="1"/>
      <c r="K334" s="2"/>
    </row>
    <row r="335" spans="1:11" ht="14.5">
      <c r="A335" s="1"/>
      <c r="K335" s="2"/>
    </row>
    <row r="336" spans="1:11" ht="14.5">
      <c r="A336" s="1"/>
      <c r="K336" s="2"/>
    </row>
    <row r="337" spans="1:11" ht="14.5">
      <c r="A337" s="1"/>
      <c r="K337" s="2"/>
    </row>
    <row r="338" spans="1:11" ht="14.5">
      <c r="A338" s="1"/>
      <c r="K338" s="2"/>
    </row>
    <row r="339" spans="1:11" ht="14.5">
      <c r="A339" s="1"/>
      <c r="K339" s="2"/>
    </row>
    <row r="340" spans="1:11" ht="14.5">
      <c r="A340" s="1"/>
      <c r="K340" s="2"/>
    </row>
    <row r="341" spans="1:11" ht="14.5">
      <c r="A341" s="1"/>
      <c r="K341" s="2"/>
    </row>
    <row r="342" spans="1:11" ht="14.5">
      <c r="A342" s="1"/>
      <c r="K342" s="2"/>
    </row>
    <row r="343" spans="1:11" ht="14.5">
      <c r="A343" s="1"/>
      <c r="K343" s="2"/>
    </row>
    <row r="344" spans="1:11" ht="14.5">
      <c r="A344" s="1"/>
      <c r="K344" s="2"/>
    </row>
    <row r="345" spans="1:11" ht="14.5">
      <c r="A345" s="1"/>
      <c r="K345" s="2"/>
    </row>
    <row r="346" spans="1:11" ht="14.5">
      <c r="A346" s="1"/>
      <c r="K346" s="2"/>
    </row>
    <row r="347" spans="1:11" ht="14.5">
      <c r="A347" s="1"/>
      <c r="K347" s="2"/>
    </row>
    <row r="348" spans="1:11" ht="14.5">
      <c r="A348" s="1"/>
      <c r="K348" s="2"/>
    </row>
    <row r="349" spans="1:11" ht="14.5">
      <c r="A349" s="1"/>
      <c r="K349" s="2"/>
    </row>
    <row r="350" spans="1:11" ht="14.5">
      <c r="A350" s="1"/>
      <c r="K350" s="2"/>
    </row>
    <row r="351" spans="1:11" ht="14.5">
      <c r="A351" s="1"/>
      <c r="K351" s="2"/>
    </row>
    <row r="352" spans="1:11" ht="14.5">
      <c r="A352" s="1"/>
      <c r="K352" s="2"/>
    </row>
    <row r="353" spans="1:11" ht="14.5">
      <c r="A353" s="1"/>
      <c r="K353" s="2"/>
    </row>
    <row r="354" spans="1:11" ht="14.5">
      <c r="A354" s="1"/>
      <c r="K354" s="2"/>
    </row>
    <row r="355" spans="1:11" ht="14.5">
      <c r="A355" s="1"/>
      <c r="K355" s="2"/>
    </row>
    <row r="356" spans="1:11" ht="14.5">
      <c r="A356" s="1"/>
      <c r="K356" s="2"/>
    </row>
    <row r="357" spans="1:11" ht="14.5">
      <c r="A357" s="1"/>
      <c r="K357" s="2"/>
    </row>
    <row r="358" spans="1:11" ht="14.5">
      <c r="A358" s="1"/>
      <c r="K358" s="2"/>
    </row>
    <row r="359" spans="1:11" ht="14.5">
      <c r="A359" s="1"/>
      <c r="K359" s="2"/>
    </row>
    <row r="360" spans="1:11" ht="14.5">
      <c r="A360" s="1"/>
      <c r="K360" s="2"/>
    </row>
    <row r="361" spans="1:11" ht="14.5">
      <c r="A361" s="1"/>
      <c r="K361" s="2"/>
    </row>
    <row r="362" spans="1:11" ht="14.5">
      <c r="A362" s="1"/>
      <c r="K362" s="2"/>
    </row>
    <row r="363" spans="1:11" ht="14.5">
      <c r="A363" s="1"/>
      <c r="K363" s="2"/>
    </row>
    <row r="364" spans="1:11" ht="14.5">
      <c r="A364" s="1"/>
      <c r="K364" s="2"/>
    </row>
    <row r="365" spans="1:11" ht="14.5">
      <c r="A365" s="1"/>
      <c r="K365" s="2"/>
    </row>
    <row r="366" spans="1:11" ht="14.5">
      <c r="A366" s="1"/>
      <c r="K366" s="2"/>
    </row>
    <row r="367" spans="1:11" ht="14.5">
      <c r="A367" s="1"/>
      <c r="K367" s="2"/>
    </row>
    <row r="368" spans="1:11" ht="14.5">
      <c r="A368" s="1"/>
      <c r="K368" s="2"/>
    </row>
    <row r="369" spans="1:11" ht="14.5">
      <c r="A369" s="1"/>
      <c r="K369" s="2"/>
    </row>
    <row r="370" spans="1:11" ht="14.5">
      <c r="A370" s="1"/>
      <c r="K370" s="2"/>
    </row>
    <row r="371" spans="1:11" ht="14.5">
      <c r="A371" s="1"/>
      <c r="K371" s="2"/>
    </row>
    <row r="372" spans="1:11" ht="14.5">
      <c r="A372" s="1"/>
      <c r="K372" s="2"/>
    </row>
    <row r="373" spans="1:11" ht="14.5">
      <c r="A373" s="1"/>
      <c r="K373" s="2"/>
    </row>
    <row r="374" spans="1:11" ht="14.5">
      <c r="A374" s="1"/>
      <c r="K374" s="2"/>
    </row>
    <row r="375" spans="1:11" ht="14.5">
      <c r="A375" s="1"/>
      <c r="K375" s="2"/>
    </row>
    <row r="376" spans="1:11" ht="14.5">
      <c r="A376" s="1"/>
      <c r="K376" s="2"/>
    </row>
    <row r="377" spans="1:11" ht="14.5">
      <c r="A377" s="1"/>
      <c r="K377" s="2"/>
    </row>
    <row r="378" spans="1:11" ht="14.5">
      <c r="A378" s="1"/>
      <c r="K378" s="2"/>
    </row>
    <row r="379" spans="1:11" ht="14.5">
      <c r="A379" s="1"/>
      <c r="K379" s="2"/>
    </row>
    <row r="380" spans="1:11" ht="14.5">
      <c r="A380" s="1"/>
      <c r="K380" s="2"/>
    </row>
    <row r="381" spans="1:11" ht="14.5">
      <c r="A381" s="1"/>
      <c r="K381" s="2"/>
    </row>
    <row r="382" spans="1:11" ht="14.5">
      <c r="A382" s="1"/>
      <c r="K382" s="2"/>
    </row>
    <row r="383" spans="1:11" ht="14.5">
      <c r="A383" s="1"/>
      <c r="K383" s="2"/>
    </row>
    <row r="384" spans="1:11" ht="14.5">
      <c r="A384" s="1"/>
      <c r="K384" s="2"/>
    </row>
    <row r="385" spans="1:11" ht="14.5">
      <c r="A385" s="1"/>
      <c r="K385" s="2"/>
    </row>
    <row r="386" spans="1:11" ht="14.5">
      <c r="A386" s="1"/>
      <c r="K386" s="2"/>
    </row>
    <row r="387" spans="1:11" ht="14.5">
      <c r="A387" s="1"/>
      <c r="K387" s="2"/>
    </row>
    <row r="388" spans="1:11" ht="14.5">
      <c r="A388" s="1"/>
      <c r="K388" s="2"/>
    </row>
    <row r="389" spans="1:11" ht="14.5">
      <c r="A389" s="1"/>
      <c r="K389" s="2"/>
    </row>
    <row r="390" spans="1:11" ht="14.5">
      <c r="A390" s="1"/>
      <c r="K390" s="2"/>
    </row>
    <row r="391" spans="1:11" ht="14.5">
      <c r="A391" s="1"/>
      <c r="K391" s="2"/>
    </row>
    <row r="392" spans="1:11" ht="14.5">
      <c r="A392" s="1"/>
      <c r="K392" s="2"/>
    </row>
    <row r="393" spans="1:11" ht="14.5">
      <c r="A393" s="1"/>
      <c r="K393" s="2"/>
    </row>
    <row r="394" spans="1:11" ht="14.5">
      <c r="A394" s="1"/>
      <c r="K394" s="2"/>
    </row>
    <row r="395" spans="1:11" ht="14.5">
      <c r="A395" s="1"/>
      <c r="K395" s="2"/>
    </row>
    <row r="396" spans="1:11" ht="14.5">
      <c r="A396" s="1"/>
      <c r="K396" s="2"/>
    </row>
    <row r="397" spans="1:11" ht="14.5">
      <c r="A397" s="1"/>
      <c r="K397" s="2"/>
    </row>
    <row r="398" spans="1:11" ht="14.5">
      <c r="A398" s="1"/>
      <c r="K398" s="2"/>
    </row>
    <row r="399" spans="1:11" ht="14.5">
      <c r="A399" s="1"/>
      <c r="K399" s="2"/>
    </row>
    <row r="400" spans="1:11" ht="14.5">
      <c r="A400" s="1"/>
      <c r="K400" s="2"/>
    </row>
    <row r="401" spans="1:11" ht="14.5">
      <c r="A401" s="1"/>
      <c r="K401" s="2"/>
    </row>
    <row r="402" spans="1:11" ht="14.5">
      <c r="A402" s="1"/>
      <c r="K402" s="2"/>
    </row>
    <row r="403" spans="1:11" ht="14.5">
      <c r="A403" s="1"/>
      <c r="K403" s="2"/>
    </row>
    <row r="404" spans="1:11" ht="14.5">
      <c r="A404" s="1"/>
      <c r="K404" s="2"/>
    </row>
    <row r="405" spans="1:11" ht="14.5">
      <c r="A405" s="1"/>
      <c r="K405" s="2"/>
    </row>
    <row r="406" spans="1:11" ht="14.5">
      <c r="A406" s="1"/>
      <c r="K406" s="2"/>
    </row>
    <row r="407" spans="1:11" ht="14.5">
      <c r="A407" s="1"/>
      <c r="K407" s="2"/>
    </row>
    <row r="408" spans="1:11" ht="14.5">
      <c r="A408" s="1"/>
      <c r="K408" s="2"/>
    </row>
    <row r="409" spans="1:11" ht="14.5">
      <c r="A409" s="1"/>
      <c r="K409" s="2"/>
    </row>
    <row r="410" spans="1:11" ht="14.5">
      <c r="A410" s="1"/>
      <c r="K410" s="2"/>
    </row>
    <row r="411" spans="1:11" ht="14.5">
      <c r="A411" s="1"/>
      <c r="K411" s="2"/>
    </row>
    <row r="412" spans="1:11" ht="14.5">
      <c r="A412" s="1"/>
      <c r="K412" s="2"/>
    </row>
    <row r="413" spans="1:11" ht="14.5">
      <c r="A413" s="1"/>
      <c r="K413" s="2"/>
    </row>
    <row r="414" spans="1:11" ht="14.5">
      <c r="A414" s="1"/>
      <c r="K414" s="2"/>
    </row>
    <row r="415" spans="1:11" ht="14.5">
      <c r="A415" s="1"/>
      <c r="K415" s="2"/>
    </row>
    <row r="416" spans="1:11" ht="14.5">
      <c r="A416" s="1"/>
      <c r="K416" s="2"/>
    </row>
    <row r="417" spans="1:11" ht="14.5">
      <c r="A417" s="1"/>
      <c r="K417" s="2"/>
    </row>
    <row r="418" spans="1:11" ht="14.5">
      <c r="A418" s="1"/>
      <c r="K418" s="2"/>
    </row>
    <row r="419" spans="1:11" ht="14.5">
      <c r="A419" s="1"/>
      <c r="K419" s="2"/>
    </row>
    <row r="420" spans="1:11" ht="14.5">
      <c r="A420" s="1"/>
      <c r="K420" s="2"/>
    </row>
    <row r="421" spans="1:11" ht="14.5">
      <c r="A421" s="1"/>
      <c r="K421" s="2"/>
    </row>
    <row r="422" spans="1:11" ht="14.5">
      <c r="A422" s="1"/>
      <c r="K422" s="2"/>
    </row>
    <row r="423" spans="1:11" ht="14.5">
      <c r="A423" s="1"/>
      <c r="K423" s="2"/>
    </row>
    <row r="424" spans="1:11" ht="14.5">
      <c r="A424" s="1"/>
      <c r="K424" s="2"/>
    </row>
    <row r="425" spans="1:11" ht="14.5">
      <c r="A425" s="1"/>
      <c r="K425" s="2"/>
    </row>
    <row r="426" spans="1:11" ht="14.5">
      <c r="A426" s="1"/>
      <c r="K426" s="2"/>
    </row>
    <row r="427" spans="1:11" ht="14.5">
      <c r="A427" s="1"/>
      <c r="K427" s="2"/>
    </row>
    <row r="428" spans="1:11" ht="14.5">
      <c r="A428" s="1"/>
      <c r="K428" s="2"/>
    </row>
    <row r="429" spans="1:11" ht="14.5">
      <c r="A429" s="1"/>
      <c r="K429" s="2"/>
    </row>
    <row r="430" spans="1:11" ht="14.5">
      <c r="A430" s="1"/>
      <c r="K430" s="2"/>
    </row>
    <row r="431" spans="1:11" ht="14.5">
      <c r="A431" s="1"/>
      <c r="K431" s="2"/>
    </row>
    <row r="432" spans="1:11" ht="14.5">
      <c r="A432" s="1"/>
      <c r="K432" s="2"/>
    </row>
    <row r="433" spans="1:11" ht="14.5">
      <c r="A433" s="1"/>
      <c r="K433" s="2"/>
    </row>
    <row r="434" spans="1:11" ht="14.5">
      <c r="A434" s="1"/>
      <c r="K434" s="2"/>
    </row>
    <row r="435" spans="1:11" ht="14.5">
      <c r="A435" s="1"/>
      <c r="K435" s="2"/>
    </row>
    <row r="436" spans="1:11" ht="14.5">
      <c r="A436" s="1"/>
      <c r="K436" s="2"/>
    </row>
    <row r="437" spans="1:11" ht="14.5">
      <c r="A437" s="1"/>
      <c r="K437" s="2"/>
    </row>
    <row r="438" spans="1:11" ht="14.5">
      <c r="A438" s="1"/>
      <c r="K438" s="2"/>
    </row>
    <row r="439" spans="1:11" ht="14.5">
      <c r="A439" s="1"/>
      <c r="K439" s="2"/>
    </row>
    <row r="440" spans="1:11" ht="14.5">
      <c r="A440" s="1"/>
      <c r="K440" s="2"/>
    </row>
    <row r="441" spans="1:11" ht="14.5">
      <c r="A441" s="1"/>
      <c r="K441" s="2"/>
    </row>
    <row r="442" spans="1:11" ht="14.5">
      <c r="A442" s="1"/>
      <c r="K442" s="2"/>
    </row>
    <row r="443" spans="1:11" ht="14.5">
      <c r="A443" s="1"/>
      <c r="K443" s="2"/>
    </row>
    <row r="444" spans="1:11" ht="14.5">
      <c r="A444" s="1"/>
      <c r="K444" s="2"/>
    </row>
    <row r="445" spans="1:11" ht="14.5">
      <c r="A445" s="1"/>
      <c r="K445" s="2"/>
    </row>
    <row r="446" spans="1:11" ht="14.5">
      <c r="A446" s="1"/>
      <c r="K446" s="2"/>
    </row>
    <row r="447" spans="1:11" ht="14.5">
      <c r="A447" s="1"/>
      <c r="K447" s="2"/>
    </row>
    <row r="448" spans="1:11" ht="14.5">
      <c r="A448" s="1"/>
      <c r="K448" s="2"/>
    </row>
    <row r="449" spans="1:11" ht="14.5">
      <c r="A449" s="1"/>
      <c r="K449" s="2"/>
    </row>
    <row r="450" spans="1:11" ht="14.5">
      <c r="A450" s="1"/>
      <c r="K450" s="2"/>
    </row>
    <row r="451" spans="1:11" ht="14.5">
      <c r="A451" s="1"/>
      <c r="K451" s="2"/>
    </row>
    <row r="452" spans="1:11" ht="14.5">
      <c r="A452" s="1"/>
      <c r="K452" s="2"/>
    </row>
    <row r="453" spans="1:11" ht="14.5">
      <c r="A453" s="1"/>
      <c r="K453" s="2"/>
    </row>
    <row r="454" spans="1:11" ht="14.5">
      <c r="A454" s="1"/>
      <c r="K454" s="2"/>
    </row>
    <row r="455" spans="1:11" ht="14.5">
      <c r="A455" s="1"/>
      <c r="K455" s="2"/>
    </row>
    <row r="456" spans="1:11" ht="14.5">
      <c r="A456" s="1"/>
      <c r="K456" s="2"/>
    </row>
    <row r="457" spans="1:11" ht="14.5">
      <c r="A457" s="1"/>
      <c r="K457" s="2"/>
    </row>
    <row r="458" spans="1:11" ht="14.5">
      <c r="A458" s="1"/>
      <c r="K458" s="2"/>
    </row>
    <row r="459" spans="1:11" ht="14.5">
      <c r="A459" s="1"/>
      <c r="K459" s="2"/>
    </row>
    <row r="460" spans="1:11" ht="14.5">
      <c r="A460" s="1"/>
      <c r="K460" s="2"/>
    </row>
    <row r="461" spans="1:11" ht="14.5">
      <c r="A461" s="1"/>
      <c r="K461" s="2"/>
    </row>
    <row r="462" spans="1:11" ht="14.5">
      <c r="A462" s="1"/>
      <c r="K462" s="2"/>
    </row>
    <row r="463" spans="1:11" ht="14.5">
      <c r="A463" s="1"/>
      <c r="K463" s="2"/>
    </row>
    <row r="464" spans="1:11" ht="14.5">
      <c r="A464" s="1"/>
      <c r="K464" s="2"/>
    </row>
    <row r="465" spans="1:11" ht="14.5">
      <c r="A465" s="1"/>
      <c r="K465" s="2"/>
    </row>
    <row r="466" spans="1:11" ht="14.5">
      <c r="A466" s="1"/>
      <c r="K466" s="2"/>
    </row>
    <row r="467" spans="1:11" ht="14.5">
      <c r="A467" s="1"/>
      <c r="K467" s="2"/>
    </row>
    <row r="468" spans="1:11" ht="14.5">
      <c r="A468" s="1"/>
      <c r="K468" s="2"/>
    </row>
    <row r="469" spans="1:11" ht="14.5">
      <c r="A469" s="1"/>
      <c r="K469" s="2"/>
    </row>
    <row r="470" spans="1:11" ht="14.5">
      <c r="A470" s="1"/>
      <c r="K470" s="2"/>
    </row>
    <row r="471" spans="1:11" ht="14.5">
      <c r="A471" s="1"/>
      <c r="K471" s="2"/>
    </row>
    <row r="472" spans="1:11" ht="14.5">
      <c r="A472" s="1"/>
      <c r="K472" s="2"/>
    </row>
    <row r="473" spans="1:11" ht="14.5">
      <c r="A473" s="1"/>
      <c r="K473" s="2"/>
    </row>
    <row r="474" spans="1:11" ht="14.5">
      <c r="A474" s="1"/>
      <c r="K474" s="2"/>
    </row>
    <row r="475" spans="1:11" ht="14.5">
      <c r="A475" s="1"/>
      <c r="K475" s="2"/>
    </row>
    <row r="476" spans="1:11" ht="14.5">
      <c r="A476" s="1"/>
      <c r="K476" s="2"/>
    </row>
    <row r="477" spans="1:11" ht="14.5">
      <c r="A477" s="1"/>
      <c r="K477" s="2"/>
    </row>
    <row r="478" spans="1:11" ht="14.5">
      <c r="A478" s="1"/>
      <c r="K478" s="2"/>
    </row>
    <row r="479" spans="1:11" ht="14.5">
      <c r="A479" s="1"/>
      <c r="K479" s="2"/>
    </row>
    <row r="480" spans="1:11" ht="14.5">
      <c r="A480" s="1"/>
      <c r="K480" s="2"/>
    </row>
    <row r="481" spans="1:11" ht="14.5">
      <c r="A481" s="1"/>
      <c r="K481" s="2"/>
    </row>
    <row r="482" spans="1:11" ht="14.5">
      <c r="A482" s="1"/>
      <c r="K482" s="2"/>
    </row>
    <row r="483" spans="1:11" ht="14.5">
      <c r="A483" s="1"/>
      <c r="K483" s="2"/>
    </row>
    <row r="484" spans="1:11" ht="14.5">
      <c r="A484" s="1"/>
      <c r="K484" s="2"/>
    </row>
    <row r="485" spans="1:11" ht="14.5">
      <c r="A485" s="1"/>
      <c r="K485" s="2"/>
    </row>
    <row r="486" spans="1:11" ht="14.5">
      <c r="A486" s="1"/>
      <c r="K486" s="2"/>
    </row>
    <row r="487" spans="1:11" ht="14.5">
      <c r="A487" s="1"/>
      <c r="K487" s="2"/>
    </row>
    <row r="488" spans="1:11" ht="14.5">
      <c r="A488" s="1"/>
      <c r="K488" s="2"/>
    </row>
    <row r="489" spans="1:11" ht="14.5">
      <c r="A489" s="1"/>
      <c r="K489" s="2"/>
    </row>
    <row r="490" spans="1:11" ht="14.5">
      <c r="A490" s="1"/>
      <c r="K490" s="2"/>
    </row>
    <row r="491" spans="1:11" ht="14.5">
      <c r="A491" s="1"/>
      <c r="K491" s="2"/>
    </row>
    <row r="492" spans="1:11" ht="14.5">
      <c r="A492" s="1"/>
      <c r="K492" s="2"/>
    </row>
    <row r="493" spans="1:11" ht="14.5">
      <c r="A493" s="1"/>
      <c r="K493" s="2"/>
    </row>
    <row r="494" spans="1:11" ht="14.5">
      <c r="A494" s="1"/>
      <c r="K494" s="2"/>
    </row>
    <row r="495" spans="1:11" ht="14.5">
      <c r="A495" s="1"/>
      <c r="K495" s="2"/>
    </row>
    <row r="496" spans="1:11" ht="14.5">
      <c r="A496" s="1"/>
      <c r="K496" s="2"/>
    </row>
    <row r="497" spans="1:11" ht="14.5">
      <c r="A497" s="1"/>
      <c r="K497" s="2"/>
    </row>
    <row r="498" spans="1:11" ht="14.5">
      <c r="A498" s="1"/>
      <c r="K498" s="2"/>
    </row>
    <row r="499" spans="1:11" ht="14.5">
      <c r="A499" s="1"/>
      <c r="K499" s="2"/>
    </row>
    <row r="500" spans="1:11" ht="14.5">
      <c r="A500" s="1"/>
      <c r="K500" s="2"/>
    </row>
    <row r="501" spans="1:11" ht="14.5">
      <c r="A501" s="1"/>
      <c r="K501" s="2"/>
    </row>
    <row r="502" spans="1:11" ht="14.5">
      <c r="A502" s="1"/>
      <c r="K502" s="2"/>
    </row>
    <row r="503" spans="1:11" ht="14.5">
      <c r="A503" s="1"/>
      <c r="K503" s="2"/>
    </row>
    <row r="504" spans="1:11" ht="14.5">
      <c r="A504" s="1"/>
      <c r="K504" s="2"/>
    </row>
    <row r="505" spans="1:11" ht="14.5">
      <c r="A505" s="1"/>
      <c r="K505" s="2"/>
    </row>
    <row r="506" spans="1:11" ht="14.5">
      <c r="A506" s="1"/>
      <c r="K506" s="2"/>
    </row>
    <row r="507" spans="1:11" ht="14.5">
      <c r="A507" s="1"/>
      <c r="K507" s="2"/>
    </row>
    <row r="508" spans="1:11" ht="14.5">
      <c r="A508" s="1"/>
      <c r="K508" s="2"/>
    </row>
    <row r="509" spans="1:11" ht="14.5">
      <c r="A509" s="1"/>
      <c r="K509" s="2"/>
    </row>
    <row r="510" spans="1:11" ht="14.5">
      <c r="A510" s="1"/>
      <c r="K510" s="2"/>
    </row>
    <row r="511" spans="1:11" ht="14.5">
      <c r="A511" s="1"/>
      <c r="K511" s="2"/>
    </row>
    <row r="512" spans="1:11" ht="14.5">
      <c r="A512" s="1"/>
      <c r="K512" s="2"/>
    </row>
    <row r="513" spans="1:11" ht="14.5">
      <c r="A513" s="1"/>
      <c r="K513" s="2"/>
    </row>
    <row r="514" spans="1:11" ht="14.5">
      <c r="A514" s="1"/>
      <c r="K514" s="2"/>
    </row>
    <row r="515" spans="1:11" ht="14.5">
      <c r="A515" s="1"/>
      <c r="K515" s="2"/>
    </row>
    <row r="516" spans="1:11" ht="14.5">
      <c r="A516" s="1"/>
      <c r="K516" s="2"/>
    </row>
    <row r="517" spans="1:11" ht="14.5">
      <c r="A517" s="1"/>
      <c r="K517" s="2"/>
    </row>
    <row r="518" spans="1:11" ht="14.5">
      <c r="A518" s="1"/>
      <c r="K518" s="2"/>
    </row>
    <row r="519" spans="1:11" ht="14.5">
      <c r="A519" s="1"/>
      <c r="K519" s="2"/>
    </row>
    <row r="520" spans="1:11" ht="14.5">
      <c r="A520" s="1"/>
      <c r="K520" s="2"/>
    </row>
    <row r="521" spans="1:11" ht="14.5">
      <c r="A521" s="1"/>
      <c r="K521" s="2"/>
    </row>
    <row r="522" spans="1:11" ht="14.5">
      <c r="A522" s="1"/>
      <c r="K522" s="2"/>
    </row>
    <row r="523" spans="1:11" ht="14.5">
      <c r="A523" s="1"/>
      <c r="K523" s="2"/>
    </row>
    <row r="524" spans="1:11" ht="14.5">
      <c r="A524" s="1"/>
      <c r="K524" s="2"/>
    </row>
    <row r="525" spans="1:11" ht="14.5">
      <c r="A525" s="1"/>
      <c r="K525" s="2"/>
    </row>
    <row r="526" spans="1:11" ht="14.5">
      <c r="A526" s="1"/>
      <c r="K526" s="2"/>
    </row>
    <row r="527" spans="1:11" ht="14.5">
      <c r="A527" s="1"/>
      <c r="K527" s="2"/>
    </row>
    <row r="528" spans="1:11" ht="14.5">
      <c r="A528" s="1"/>
      <c r="K528" s="2"/>
    </row>
    <row r="529" spans="1:11" ht="14.5">
      <c r="A529" s="1"/>
      <c r="K529" s="2"/>
    </row>
    <row r="530" spans="1:11" ht="14.5">
      <c r="A530" s="1"/>
      <c r="K530" s="2"/>
    </row>
    <row r="531" spans="1:11" ht="14.5">
      <c r="A531" s="1"/>
      <c r="K531" s="2"/>
    </row>
    <row r="532" spans="1:11" ht="14.5">
      <c r="A532" s="1"/>
      <c r="K532" s="2"/>
    </row>
    <row r="533" spans="1:11" ht="14.5">
      <c r="A533" s="1"/>
      <c r="K533" s="2"/>
    </row>
    <row r="534" spans="1:11" ht="14.5">
      <c r="A534" s="1"/>
      <c r="K534" s="2"/>
    </row>
    <row r="535" spans="1:11" ht="14.5">
      <c r="A535" s="1"/>
      <c r="K535" s="2"/>
    </row>
    <row r="536" spans="1:11" ht="14.5">
      <c r="A536" s="1"/>
      <c r="K536" s="2"/>
    </row>
    <row r="537" spans="1:11" ht="14.5">
      <c r="A537" s="1"/>
      <c r="K537" s="2"/>
    </row>
    <row r="538" spans="1:11" ht="14.5">
      <c r="A538" s="1"/>
      <c r="K538" s="2"/>
    </row>
    <row r="539" spans="1:11" ht="14.5">
      <c r="A539" s="1"/>
      <c r="K539" s="2"/>
    </row>
    <row r="540" spans="1:11" ht="14.5">
      <c r="A540" s="1"/>
      <c r="K540" s="2"/>
    </row>
    <row r="541" spans="1:11" ht="14.5">
      <c r="A541" s="1"/>
      <c r="K541" s="2"/>
    </row>
    <row r="542" spans="1:11" ht="14.5">
      <c r="A542" s="1"/>
      <c r="K542" s="2"/>
    </row>
    <row r="543" spans="1:11" ht="14.5">
      <c r="A543" s="1"/>
      <c r="K543" s="2"/>
    </row>
    <row r="544" spans="1:11" ht="14.5">
      <c r="A544" s="1"/>
      <c r="K544" s="2"/>
    </row>
    <row r="545" spans="1:11" ht="14.5">
      <c r="A545" s="1"/>
      <c r="K545" s="2"/>
    </row>
    <row r="546" spans="1:11" ht="14.5">
      <c r="A546" s="1"/>
      <c r="K546" s="2"/>
    </row>
    <row r="547" spans="1:11" ht="14.5">
      <c r="A547" s="1"/>
      <c r="K547" s="2"/>
    </row>
    <row r="548" spans="1:11" ht="14.5">
      <c r="A548" s="1"/>
      <c r="K548" s="2"/>
    </row>
    <row r="549" spans="1:11" ht="14.5">
      <c r="A549" s="1"/>
      <c r="K549" s="2"/>
    </row>
    <row r="550" spans="1:11" ht="14.5">
      <c r="A550" s="1"/>
      <c r="K550" s="2"/>
    </row>
    <row r="551" spans="1:11" ht="14.5">
      <c r="A551" s="1"/>
      <c r="K551" s="2"/>
    </row>
    <row r="552" spans="1:11" ht="14.5">
      <c r="A552" s="1"/>
      <c r="K552" s="2"/>
    </row>
    <row r="553" spans="1:11" ht="14.5">
      <c r="A553" s="1"/>
      <c r="K553" s="2"/>
    </row>
    <row r="554" spans="1:11" ht="14.5">
      <c r="A554" s="1"/>
      <c r="K554" s="2"/>
    </row>
    <row r="555" spans="1:11" ht="14.5">
      <c r="A555" s="1"/>
      <c r="K555" s="2"/>
    </row>
    <row r="556" spans="1:11" ht="14.5">
      <c r="A556" s="1"/>
      <c r="K556" s="2"/>
    </row>
    <row r="557" spans="1:11" ht="14.5">
      <c r="A557" s="1"/>
      <c r="K557" s="2"/>
    </row>
    <row r="558" spans="1:11" ht="14.5">
      <c r="A558" s="1"/>
      <c r="K558" s="2"/>
    </row>
    <row r="559" spans="1:11" ht="14.5">
      <c r="A559" s="1"/>
      <c r="K559" s="2"/>
    </row>
    <row r="560" spans="1:11" ht="14.5">
      <c r="A560" s="1"/>
      <c r="K560" s="2"/>
    </row>
    <row r="561" spans="1:11" ht="14.5">
      <c r="A561" s="1"/>
      <c r="K561" s="2"/>
    </row>
    <row r="562" spans="1:11" ht="14.5">
      <c r="A562" s="1"/>
      <c r="K562" s="2"/>
    </row>
    <row r="563" spans="1:11" ht="14.5">
      <c r="A563" s="1"/>
      <c r="K563" s="2"/>
    </row>
    <row r="564" spans="1:11" ht="14.5">
      <c r="A564" s="1"/>
      <c r="K564" s="2"/>
    </row>
    <row r="565" spans="1:11" ht="14.5">
      <c r="A565" s="1"/>
      <c r="K565" s="2"/>
    </row>
    <row r="566" spans="1:11" ht="14.5">
      <c r="A566" s="1"/>
      <c r="K566" s="2"/>
    </row>
    <row r="567" spans="1:11" ht="14.5">
      <c r="A567" s="1"/>
      <c r="K567" s="2"/>
    </row>
    <row r="568" spans="1:11" ht="14.5">
      <c r="A568" s="1"/>
      <c r="K568" s="2"/>
    </row>
    <row r="569" spans="1:11" ht="14.5">
      <c r="A569" s="1"/>
      <c r="K569" s="2"/>
    </row>
    <row r="570" spans="1:11" ht="14.5">
      <c r="A570" s="1"/>
      <c r="K570" s="2"/>
    </row>
    <row r="571" spans="1:11" ht="14.5">
      <c r="A571" s="1"/>
      <c r="K571" s="2"/>
    </row>
    <row r="572" spans="1:11" ht="14.5">
      <c r="A572" s="1"/>
      <c r="K572" s="2"/>
    </row>
    <row r="573" spans="1:11" ht="14.5">
      <c r="A573" s="1"/>
      <c r="K573" s="2"/>
    </row>
    <row r="574" spans="1:11" ht="14.5">
      <c r="A574" s="1"/>
      <c r="K574" s="2"/>
    </row>
    <row r="575" spans="1:11" ht="14.5">
      <c r="A575" s="1"/>
      <c r="K575" s="2"/>
    </row>
    <row r="576" spans="1:11" ht="14.5">
      <c r="A576" s="1"/>
      <c r="K576" s="2"/>
    </row>
    <row r="577" spans="1:11" ht="14.5">
      <c r="A577" s="1"/>
      <c r="K577" s="2"/>
    </row>
    <row r="578" spans="1:11" ht="14.5">
      <c r="A578" s="1"/>
      <c r="K578" s="2"/>
    </row>
    <row r="579" spans="1:11" ht="14.5">
      <c r="A579" s="1"/>
      <c r="K579" s="2"/>
    </row>
    <row r="580" spans="1:11" ht="14.5">
      <c r="A580" s="1"/>
      <c r="K580" s="2"/>
    </row>
    <row r="581" spans="1:11" ht="14.5">
      <c r="A581" s="1"/>
      <c r="K581" s="2"/>
    </row>
    <row r="582" spans="1:11" ht="14.5">
      <c r="A582" s="1"/>
      <c r="K582" s="2"/>
    </row>
    <row r="583" spans="1:11" ht="14.5">
      <c r="A583" s="1"/>
      <c r="K583" s="2"/>
    </row>
    <row r="584" spans="1:11" ht="14.5">
      <c r="A584" s="1"/>
      <c r="K584" s="2"/>
    </row>
    <row r="585" spans="1:11" ht="14.5">
      <c r="A585" s="1"/>
      <c r="K585" s="2"/>
    </row>
    <row r="586" spans="1:11" ht="14.5">
      <c r="A586" s="1"/>
      <c r="K586" s="2"/>
    </row>
    <row r="587" spans="1:11" ht="14.5">
      <c r="A587" s="1"/>
      <c r="K587" s="2"/>
    </row>
    <row r="588" spans="1:11" ht="14.5">
      <c r="A588" s="1"/>
      <c r="K588" s="2"/>
    </row>
    <row r="589" spans="1:11" ht="14.5">
      <c r="A589" s="1"/>
      <c r="K589" s="2"/>
    </row>
    <row r="590" spans="1:11" ht="14.5">
      <c r="A590" s="1"/>
      <c r="K590" s="2"/>
    </row>
    <row r="591" spans="1:11" ht="14.5">
      <c r="A591" s="1"/>
      <c r="K591" s="2"/>
    </row>
    <row r="592" spans="1:11" ht="14.5">
      <c r="A592" s="1"/>
      <c r="K592" s="2"/>
    </row>
    <row r="593" spans="1:11" ht="14.5">
      <c r="A593" s="1"/>
      <c r="K593" s="2"/>
    </row>
    <row r="594" spans="1:11" ht="14.5">
      <c r="A594" s="1"/>
      <c r="K594" s="2"/>
    </row>
    <row r="595" spans="1:11" ht="14.5">
      <c r="A595" s="1"/>
      <c r="K595" s="2"/>
    </row>
    <row r="596" spans="1:11" ht="14.5">
      <c r="A596" s="1"/>
      <c r="K596" s="2"/>
    </row>
    <row r="597" spans="1:11" ht="14.5">
      <c r="A597" s="1"/>
      <c r="K597" s="2"/>
    </row>
    <row r="598" spans="1:11" ht="14.5">
      <c r="A598" s="1"/>
      <c r="K598" s="2"/>
    </row>
    <row r="599" spans="1:11" ht="14.5">
      <c r="A599" s="1"/>
      <c r="K599" s="2"/>
    </row>
    <row r="600" spans="1:11" ht="14.5">
      <c r="A600" s="1"/>
      <c r="K600" s="2"/>
    </row>
    <row r="601" spans="1:11" ht="14.5">
      <c r="A601" s="1"/>
      <c r="K601" s="2"/>
    </row>
    <row r="602" spans="1:11" ht="14.5">
      <c r="A602" s="1"/>
      <c r="K602" s="2"/>
    </row>
    <row r="603" spans="1:11" ht="14.5">
      <c r="A603" s="1"/>
      <c r="K603" s="2"/>
    </row>
    <row r="604" spans="1:11" ht="14.5">
      <c r="A604" s="1"/>
      <c r="K604" s="2"/>
    </row>
    <row r="605" spans="1:11" ht="14.5">
      <c r="A605" s="1"/>
      <c r="K605" s="2"/>
    </row>
    <row r="606" spans="1:11" ht="14.5">
      <c r="A606" s="1"/>
      <c r="K606" s="2"/>
    </row>
    <row r="607" spans="1:11" ht="14.5">
      <c r="A607" s="1"/>
      <c r="K607" s="2"/>
    </row>
    <row r="608" spans="1:11" ht="14.5">
      <c r="A608" s="1"/>
      <c r="K608" s="2"/>
    </row>
    <row r="609" spans="1:11" ht="14.5">
      <c r="A609" s="1"/>
      <c r="K609" s="2"/>
    </row>
    <row r="610" spans="1:11" ht="14.5">
      <c r="A610" s="1"/>
      <c r="K610" s="2"/>
    </row>
    <row r="611" spans="1:11" ht="14.5">
      <c r="A611" s="1"/>
      <c r="K611" s="2"/>
    </row>
    <row r="612" spans="1:11" ht="14.5">
      <c r="A612" s="1"/>
      <c r="K612" s="2"/>
    </row>
    <row r="613" spans="1:11" ht="14.5">
      <c r="A613" s="1"/>
      <c r="K613" s="2"/>
    </row>
    <row r="614" spans="1:11" ht="14.5">
      <c r="A614" s="1"/>
      <c r="K614" s="2"/>
    </row>
    <row r="615" spans="1:11" ht="14.5">
      <c r="A615" s="1"/>
      <c r="K615" s="2"/>
    </row>
    <row r="616" spans="1:11" ht="14.5">
      <c r="A616" s="1"/>
      <c r="K616" s="2"/>
    </row>
    <row r="617" spans="1:11" ht="14.5">
      <c r="A617" s="1"/>
      <c r="K617" s="2"/>
    </row>
    <row r="618" spans="1:11" ht="14.5">
      <c r="A618" s="1"/>
      <c r="K618" s="2"/>
    </row>
    <row r="619" spans="1:11" ht="14.5">
      <c r="A619" s="1"/>
      <c r="K619" s="2"/>
    </row>
    <row r="620" spans="1:11" ht="14.5">
      <c r="A620" s="1"/>
      <c r="K620" s="2"/>
    </row>
    <row r="621" spans="1:11" ht="14.5">
      <c r="A621" s="1"/>
      <c r="K621" s="2"/>
    </row>
    <row r="622" spans="1:11" ht="14.5">
      <c r="A622" s="1"/>
      <c r="K622" s="2"/>
    </row>
    <row r="623" spans="1:11" ht="14.5">
      <c r="A623" s="1"/>
      <c r="K623" s="2"/>
    </row>
    <row r="624" spans="1:11" ht="14.5">
      <c r="A624" s="1"/>
      <c r="K624" s="2"/>
    </row>
    <row r="625" spans="1:11" ht="14.5">
      <c r="A625" s="1"/>
      <c r="K625" s="2"/>
    </row>
    <row r="626" spans="1:11" ht="14.5">
      <c r="A626" s="1"/>
      <c r="K626" s="2"/>
    </row>
    <row r="627" spans="1:11" ht="14.5">
      <c r="A627" s="1"/>
      <c r="K627" s="2"/>
    </row>
    <row r="628" spans="1:11" ht="14.5">
      <c r="A628" s="1"/>
      <c r="K628" s="2"/>
    </row>
    <row r="629" spans="1:11" ht="14.5">
      <c r="A629" s="1"/>
      <c r="K629" s="2"/>
    </row>
    <row r="630" spans="1:11" ht="14.5">
      <c r="A630" s="1"/>
      <c r="K630" s="2"/>
    </row>
    <row r="631" spans="1:11" ht="14.5">
      <c r="A631" s="1"/>
      <c r="K631" s="2"/>
    </row>
    <row r="632" spans="1:11" ht="14.5">
      <c r="A632" s="1"/>
      <c r="K632" s="2"/>
    </row>
    <row r="633" spans="1:11" ht="14.5">
      <c r="A633" s="1"/>
      <c r="K633" s="2"/>
    </row>
    <row r="634" spans="1:11" ht="14.5">
      <c r="A634" s="1"/>
      <c r="K634" s="2"/>
    </row>
    <row r="635" spans="1:11" ht="14.5">
      <c r="A635" s="1"/>
      <c r="K635" s="2"/>
    </row>
    <row r="636" spans="1:11" ht="14.5">
      <c r="A636" s="1"/>
      <c r="K636" s="2"/>
    </row>
    <row r="637" spans="1:11" ht="14.5">
      <c r="A637" s="1"/>
      <c r="K637" s="2"/>
    </row>
    <row r="638" spans="1:11" ht="14.5">
      <c r="A638" s="1"/>
      <c r="K638" s="2"/>
    </row>
    <row r="639" spans="1:11" ht="14.5">
      <c r="A639" s="1"/>
      <c r="K639" s="2"/>
    </row>
    <row r="640" spans="1:11" ht="14.5">
      <c r="A640" s="1"/>
      <c r="K640" s="2"/>
    </row>
    <row r="641" spans="1:11" ht="14.5">
      <c r="A641" s="1"/>
      <c r="K641" s="2"/>
    </row>
    <row r="642" spans="1:11" ht="14.5">
      <c r="A642" s="1"/>
      <c r="K642" s="2"/>
    </row>
    <row r="643" spans="1:11" ht="14.5">
      <c r="A643" s="1"/>
      <c r="K643" s="2"/>
    </row>
    <row r="644" spans="1:11" ht="14.5">
      <c r="A644" s="1"/>
      <c r="K644" s="2"/>
    </row>
    <row r="645" spans="1:11" ht="14.5">
      <c r="A645" s="1"/>
      <c r="K645" s="2"/>
    </row>
    <row r="646" spans="1:11" ht="14.5">
      <c r="A646" s="1"/>
      <c r="K646" s="2"/>
    </row>
    <row r="647" spans="1:11" ht="14.5">
      <c r="A647" s="1"/>
      <c r="K647" s="2"/>
    </row>
    <row r="648" spans="1:11" ht="14.5">
      <c r="A648" s="1"/>
      <c r="K648" s="2"/>
    </row>
    <row r="649" spans="1:11" ht="14.5">
      <c r="A649" s="1"/>
      <c r="K649" s="2"/>
    </row>
    <row r="650" spans="1:11" ht="14.5">
      <c r="A650" s="1"/>
      <c r="K650" s="2"/>
    </row>
    <row r="651" spans="1:11" ht="14.5">
      <c r="A651" s="1"/>
      <c r="K651" s="2"/>
    </row>
    <row r="652" spans="1:11" ht="14.5">
      <c r="A652" s="1"/>
      <c r="K652" s="2"/>
    </row>
    <row r="653" spans="1:11" ht="14.5">
      <c r="A653" s="1"/>
      <c r="K653" s="2"/>
    </row>
    <row r="654" spans="1:11" ht="14.5">
      <c r="A654" s="1"/>
      <c r="K654" s="2"/>
    </row>
    <row r="655" spans="1:11" ht="14.5">
      <c r="A655" s="1"/>
      <c r="K655" s="2"/>
    </row>
    <row r="656" spans="1:11" ht="14.5">
      <c r="A656" s="1"/>
      <c r="K656" s="2"/>
    </row>
    <row r="657" spans="1:11" ht="14.5">
      <c r="A657" s="1"/>
      <c r="K657" s="2"/>
    </row>
    <row r="658" spans="1:11" ht="14.5">
      <c r="A658" s="1"/>
      <c r="K658" s="2"/>
    </row>
    <row r="659" spans="1:11" ht="14.5">
      <c r="A659" s="1"/>
      <c r="K659" s="2"/>
    </row>
    <row r="660" spans="1:11" ht="14.5">
      <c r="A660" s="1"/>
      <c r="K660" s="2"/>
    </row>
    <row r="661" spans="1:11" ht="14.5">
      <c r="A661" s="1"/>
      <c r="K661" s="2"/>
    </row>
    <row r="662" spans="1:11" ht="14.5">
      <c r="A662" s="1"/>
      <c r="K662" s="2"/>
    </row>
    <row r="663" spans="1:11" ht="14.5">
      <c r="A663" s="1"/>
      <c r="K663" s="2"/>
    </row>
    <row r="664" spans="1:11" ht="14.5">
      <c r="A664" s="1"/>
      <c r="K664" s="2"/>
    </row>
    <row r="665" spans="1:11" ht="14.5">
      <c r="A665" s="1"/>
      <c r="K665" s="2"/>
    </row>
    <row r="666" spans="1:11" ht="14.5">
      <c r="A666" s="1"/>
      <c r="K666" s="2"/>
    </row>
    <row r="667" spans="1:11" ht="14.5">
      <c r="A667" s="1"/>
      <c r="K667" s="2"/>
    </row>
    <row r="668" spans="1:11" ht="14.5">
      <c r="A668" s="1"/>
      <c r="K668" s="2"/>
    </row>
    <row r="669" spans="1:11" ht="14.5">
      <c r="A669" s="1"/>
      <c r="K669" s="2"/>
    </row>
    <row r="670" spans="1:11" ht="14.5">
      <c r="A670" s="1"/>
      <c r="K670" s="2"/>
    </row>
    <row r="671" spans="1:11" ht="14.5">
      <c r="A671" s="1"/>
      <c r="K671" s="2"/>
    </row>
    <row r="672" spans="1:11" ht="14.5">
      <c r="A672" s="1"/>
      <c r="K672" s="2"/>
    </row>
    <row r="673" spans="1:11" ht="14.5">
      <c r="A673" s="1"/>
      <c r="K673" s="2"/>
    </row>
    <row r="674" spans="1:11" ht="14.5">
      <c r="A674" s="1"/>
      <c r="K674" s="2"/>
    </row>
    <row r="675" spans="1:11" ht="14.5">
      <c r="A675" s="1"/>
      <c r="K675" s="2"/>
    </row>
    <row r="676" spans="1:11" ht="14.5">
      <c r="A676" s="1"/>
      <c r="K676" s="2"/>
    </row>
    <row r="677" spans="1:11" ht="14.5">
      <c r="A677" s="1"/>
      <c r="K677" s="2"/>
    </row>
    <row r="678" spans="1:11" ht="14.5">
      <c r="A678" s="1"/>
      <c r="K678" s="2"/>
    </row>
    <row r="679" spans="1:11" ht="14.5">
      <c r="A679" s="1"/>
      <c r="K679" s="2"/>
    </row>
    <row r="680" spans="1:11" ht="14.5">
      <c r="A680" s="1"/>
      <c r="K680" s="2"/>
    </row>
    <row r="681" spans="1:11" ht="14.5">
      <c r="A681" s="1"/>
      <c r="K681" s="2"/>
    </row>
    <row r="682" spans="1:11" ht="14.5">
      <c r="A682" s="1"/>
      <c r="K682" s="2"/>
    </row>
    <row r="683" spans="1:11" ht="14.5">
      <c r="A683" s="1"/>
      <c r="K683" s="2"/>
    </row>
    <row r="684" spans="1:11" ht="14.5">
      <c r="A684" s="1"/>
      <c r="K684" s="2"/>
    </row>
    <row r="685" spans="1:11" ht="14.5">
      <c r="A685" s="1"/>
      <c r="K685" s="2"/>
    </row>
    <row r="686" spans="1:11" ht="14.5">
      <c r="A686" s="1"/>
      <c r="K686" s="2"/>
    </row>
    <row r="687" spans="1:11" ht="14.5">
      <c r="A687" s="1"/>
      <c r="K687" s="2"/>
    </row>
    <row r="688" spans="1:11" ht="14.5">
      <c r="A688" s="1"/>
      <c r="K688" s="2"/>
    </row>
    <row r="689" spans="1:11" ht="14.5">
      <c r="A689" s="1"/>
      <c r="K689" s="2"/>
    </row>
    <row r="690" spans="1:11" ht="14.5">
      <c r="A690" s="1"/>
      <c r="K690" s="2"/>
    </row>
    <row r="691" spans="1:11" ht="14.5">
      <c r="A691" s="1"/>
      <c r="K691" s="2"/>
    </row>
    <row r="692" spans="1:11" ht="14.5">
      <c r="A692" s="1"/>
      <c r="K692" s="2"/>
    </row>
    <row r="693" spans="1:11" ht="14.5">
      <c r="A693" s="1"/>
      <c r="K693" s="2"/>
    </row>
    <row r="694" spans="1:11" ht="14.5">
      <c r="A694" s="1"/>
      <c r="K694" s="2"/>
    </row>
    <row r="695" spans="1:11" ht="14.5">
      <c r="A695" s="1"/>
      <c r="K695" s="2"/>
    </row>
    <row r="696" spans="1:11" ht="14.5">
      <c r="A696" s="1"/>
      <c r="K696" s="2"/>
    </row>
    <row r="697" spans="1:11" ht="14.5">
      <c r="A697" s="1"/>
      <c r="K697" s="2"/>
    </row>
    <row r="698" spans="1:11" ht="14.5">
      <c r="A698" s="1"/>
      <c r="K698" s="2"/>
    </row>
    <row r="699" spans="1:11" ht="14.5">
      <c r="A699" s="1"/>
      <c r="K699" s="2"/>
    </row>
    <row r="700" spans="1:11" ht="14.5">
      <c r="A700" s="1"/>
      <c r="K700" s="2"/>
    </row>
    <row r="701" spans="1:11" ht="14.5">
      <c r="A701" s="1"/>
      <c r="K701" s="2"/>
    </row>
    <row r="702" spans="1:11" ht="14.5">
      <c r="A702" s="1"/>
      <c r="K702" s="2"/>
    </row>
    <row r="703" spans="1:11" ht="14.5">
      <c r="A703" s="1"/>
      <c r="K703" s="2"/>
    </row>
    <row r="704" spans="1:11" ht="14.5">
      <c r="A704" s="1"/>
      <c r="K704" s="2"/>
    </row>
    <row r="705" spans="1:11" ht="14.5">
      <c r="A705" s="1"/>
      <c r="K705" s="2"/>
    </row>
    <row r="706" spans="1:11" ht="14.5">
      <c r="A706" s="1"/>
      <c r="K706" s="2"/>
    </row>
    <row r="707" spans="1:11" ht="14.5">
      <c r="A707" s="1"/>
      <c r="K707" s="2"/>
    </row>
    <row r="708" spans="1:11" ht="14.5">
      <c r="A708" s="1"/>
      <c r="K708" s="2"/>
    </row>
    <row r="709" spans="1:11" ht="14.5">
      <c r="A709" s="1"/>
      <c r="K709" s="2"/>
    </row>
    <row r="710" spans="1:11" ht="14.5">
      <c r="A710" s="1"/>
      <c r="K710" s="2"/>
    </row>
    <row r="711" spans="1:11" ht="14.5">
      <c r="A711" s="1"/>
      <c r="K711" s="2"/>
    </row>
    <row r="712" spans="1:11" ht="14.5">
      <c r="A712" s="1"/>
      <c r="K712" s="2"/>
    </row>
    <row r="713" spans="1:11" ht="14.5">
      <c r="A713" s="1"/>
      <c r="K713" s="2"/>
    </row>
    <row r="714" spans="1:11" ht="14.5">
      <c r="A714" s="1"/>
      <c r="K714" s="2"/>
    </row>
    <row r="715" spans="1:11" ht="14.5">
      <c r="A715" s="1"/>
      <c r="K715" s="2"/>
    </row>
    <row r="716" spans="1:11" ht="14.5">
      <c r="A716" s="1"/>
      <c r="K716" s="2"/>
    </row>
    <row r="717" spans="1:11" ht="14.5">
      <c r="A717" s="1"/>
      <c r="K717" s="2"/>
    </row>
    <row r="718" spans="1:11" ht="14.5">
      <c r="A718" s="1"/>
      <c r="K718" s="2"/>
    </row>
    <row r="719" spans="1:11" ht="14.5">
      <c r="A719" s="1"/>
      <c r="K719" s="2"/>
    </row>
    <row r="720" spans="1:11" ht="14.5">
      <c r="A720" s="1"/>
      <c r="K720" s="2"/>
    </row>
    <row r="721" spans="1:11" ht="14.5">
      <c r="A721" s="1"/>
      <c r="K721" s="2"/>
    </row>
    <row r="722" spans="1:11" ht="14.5">
      <c r="A722" s="1"/>
      <c r="K722" s="2"/>
    </row>
    <row r="723" spans="1:11" ht="14.5">
      <c r="A723" s="1"/>
      <c r="K723" s="2"/>
    </row>
    <row r="724" spans="1:11" ht="14.5">
      <c r="A724" s="1"/>
      <c r="K724" s="2"/>
    </row>
    <row r="725" spans="1:11" ht="14.5">
      <c r="A725" s="1"/>
      <c r="K725" s="2"/>
    </row>
    <row r="726" spans="1:11" ht="14.5">
      <c r="A726" s="1"/>
      <c r="K726" s="2"/>
    </row>
    <row r="727" spans="1:11" ht="14.5">
      <c r="A727" s="1"/>
      <c r="K727" s="2"/>
    </row>
    <row r="728" spans="1:11" ht="14.5">
      <c r="A728" s="1"/>
      <c r="K728" s="2"/>
    </row>
    <row r="729" spans="1:11" ht="14.5">
      <c r="A729" s="1"/>
      <c r="K729" s="2"/>
    </row>
    <row r="730" spans="1:11" ht="14.5">
      <c r="A730" s="1"/>
      <c r="K730" s="2"/>
    </row>
    <row r="731" spans="1:11" ht="14.5">
      <c r="A731" s="1"/>
      <c r="K731" s="2"/>
    </row>
    <row r="732" spans="1:11" ht="14.5">
      <c r="A732" s="1"/>
      <c r="K732" s="2"/>
    </row>
    <row r="733" spans="1:11" ht="14.5">
      <c r="A733" s="1"/>
      <c r="K733" s="2"/>
    </row>
    <row r="734" spans="1:11" ht="14.5">
      <c r="A734" s="1"/>
      <c r="K734" s="2"/>
    </row>
    <row r="735" spans="1:11" ht="14.5">
      <c r="A735" s="1"/>
      <c r="K735" s="2"/>
    </row>
    <row r="736" spans="1:11" ht="14.5">
      <c r="A736" s="1"/>
      <c r="K736" s="2"/>
    </row>
    <row r="737" spans="1:11" ht="14.5">
      <c r="A737" s="1"/>
      <c r="K737" s="2"/>
    </row>
    <row r="738" spans="1:11" ht="14.5">
      <c r="A738" s="1"/>
      <c r="K738" s="2"/>
    </row>
    <row r="739" spans="1:11" ht="14.5">
      <c r="A739" s="1"/>
      <c r="K739" s="2"/>
    </row>
    <row r="740" spans="1:11" ht="14.5">
      <c r="A740" s="1"/>
      <c r="K740" s="2"/>
    </row>
    <row r="741" spans="1:11" ht="14.5">
      <c r="A741" s="1"/>
      <c r="K741" s="2"/>
    </row>
    <row r="742" spans="1:11" ht="14.5">
      <c r="A742" s="1"/>
      <c r="K742" s="2"/>
    </row>
    <row r="743" spans="1:11" ht="14.5">
      <c r="A743" s="1"/>
      <c r="K743" s="2"/>
    </row>
    <row r="744" spans="1:11" ht="14.5">
      <c r="A744" s="1"/>
      <c r="K744" s="2"/>
    </row>
    <row r="745" spans="1:11" ht="14.5">
      <c r="A745" s="1"/>
      <c r="K745" s="2"/>
    </row>
    <row r="746" spans="1:11" ht="14.5">
      <c r="A746" s="1"/>
      <c r="K746" s="2"/>
    </row>
    <row r="747" spans="1:11" ht="14.5">
      <c r="A747" s="1"/>
      <c r="K747" s="2"/>
    </row>
    <row r="748" spans="1:11" ht="14.5">
      <c r="A748" s="1"/>
      <c r="K748" s="2"/>
    </row>
    <row r="749" spans="1:11" ht="14.5">
      <c r="A749" s="1"/>
      <c r="K749" s="2"/>
    </row>
    <row r="750" spans="1:11" ht="14.5">
      <c r="A750" s="1"/>
      <c r="K750" s="2"/>
    </row>
    <row r="751" spans="1:11" ht="14.5">
      <c r="A751" s="1"/>
      <c r="K751" s="2"/>
    </row>
    <row r="752" spans="1:11" ht="14.5">
      <c r="A752" s="1"/>
      <c r="K752" s="2"/>
    </row>
    <row r="753" spans="1:11" ht="14.5">
      <c r="A753" s="1"/>
      <c r="K753" s="2"/>
    </row>
    <row r="754" spans="1:11" ht="14.5">
      <c r="A754" s="1"/>
      <c r="K754" s="2"/>
    </row>
    <row r="755" spans="1:11" ht="14.5">
      <c r="A755" s="1"/>
      <c r="K755" s="2"/>
    </row>
    <row r="756" spans="1:11" ht="14.5">
      <c r="A756" s="1"/>
      <c r="K756" s="2"/>
    </row>
    <row r="757" spans="1:11" ht="14.5">
      <c r="A757" s="1"/>
      <c r="K757" s="2"/>
    </row>
    <row r="758" spans="1:11" ht="14.5">
      <c r="A758" s="1"/>
      <c r="K758" s="2"/>
    </row>
    <row r="759" spans="1:11" ht="14.5">
      <c r="A759" s="1"/>
      <c r="K759" s="2"/>
    </row>
    <row r="760" spans="1:11" ht="14.5">
      <c r="A760" s="1"/>
      <c r="K760" s="2"/>
    </row>
    <row r="761" spans="1:11" ht="14.5">
      <c r="A761" s="1"/>
      <c r="K761" s="2"/>
    </row>
    <row r="762" spans="1:11" ht="14.5">
      <c r="A762" s="1"/>
      <c r="K762" s="2"/>
    </row>
    <row r="763" spans="1:11" ht="14.5">
      <c r="A763" s="1"/>
      <c r="K763" s="2"/>
    </row>
    <row r="764" spans="1:11" ht="14.5">
      <c r="A764" s="1"/>
      <c r="K764" s="2"/>
    </row>
    <row r="765" spans="1:11" ht="14.5">
      <c r="A765" s="1"/>
      <c r="K765" s="2"/>
    </row>
    <row r="766" spans="1:11" ht="14.5">
      <c r="A766" s="1"/>
      <c r="K766" s="2"/>
    </row>
    <row r="767" spans="1:11" ht="14.5">
      <c r="A767" s="1"/>
      <c r="K767" s="2"/>
    </row>
    <row r="768" spans="1:11" ht="14.5">
      <c r="A768" s="1"/>
      <c r="K768" s="2"/>
    </row>
    <row r="769" spans="1:11" ht="14.5">
      <c r="A769" s="1"/>
      <c r="K769" s="2"/>
    </row>
    <row r="770" spans="1:11" ht="14.5">
      <c r="A770" s="1"/>
      <c r="K770" s="2"/>
    </row>
    <row r="771" spans="1:11" ht="14.5">
      <c r="A771" s="1"/>
      <c r="K771" s="2"/>
    </row>
    <row r="772" spans="1:11" ht="14.5">
      <c r="A772" s="1"/>
      <c r="K772" s="2"/>
    </row>
    <row r="773" spans="1:11" ht="14.5">
      <c r="A773" s="1"/>
      <c r="K773" s="2"/>
    </row>
    <row r="774" spans="1:11" ht="14.5">
      <c r="A774" s="1"/>
      <c r="K774" s="2"/>
    </row>
    <row r="775" spans="1:11" ht="14.5">
      <c r="A775" s="1"/>
      <c r="K775" s="2"/>
    </row>
    <row r="776" spans="1:11" ht="14.5">
      <c r="A776" s="1"/>
      <c r="K776" s="2"/>
    </row>
    <row r="777" spans="1:11" ht="14.5">
      <c r="A777" s="1"/>
      <c r="K777" s="2"/>
    </row>
    <row r="778" spans="1:11" ht="14.5">
      <c r="A778" s="1"/>
      <c r="K778" s="2"/>
    </row>
    <row r="779" spans="1:11" ht="14.5">
      <c r="A779" s="1"/>
      <c r="K779" s="2"/>
    </row>
    <row r="780" spans="1:11" ht="14.5">
      <c r="A780" s="1"/>
      <c r="K780" s="2"/>
    </row>
    <row r="781" spans="1:11" ht="14.5">
      <c r="A781" s="1"/>
      <c r="K781" s="2"/>
    </row>
    <row r="782" spans="1:11" ht="14.5">
      <c r="A782" s="1"/>
      <c r="K782" s="2"/>
    </row>
    <row r="783" spans="1:11" ht="14.5">
      <c r="A783" s="1"/>
      <c r="K783" s="2"/>
    </row>
    <row r="784" spans="1:11" ht="14.5">
      <c r="A784" s="1"/>
      <c r="K784" s="2"/>
    </row>
    <row r="785" spans="1:11" ht="14.5">
      <c r="A785" s="1"/>
      <c r="K785" s="2"/>
    </row>
    <row r="786" spans="1:11" ht="14.5">
      <c r="A786" s="1"/>
      <c r="K786" s="2"/>
    </row>
    <row r="787" spans="1:11" ht="14.5">
      <c r="A787" s="1"/>
      <c r="K787" s="2"/>
    </row>
    <row r="788" spans="1:11" ht="14.5">
      <c r="A788" s="1"/>
      <c r="K788" s="2"/>
    </row>
    <row r="789" spans="1:11" ht="14.5">
      <c r="A789" s="1"/>
      <c r="K789" s="2"/>
    </row>
    <row r="790" spans="1:11" ht="14.5">
      <c r="A790" s="1"/>
      <c r="K790" s="2"/>
    </row>
    <row r="791" spans="1:11" ht="14.5">
      <c r="A791" s="1"/>
      <c r="K791" s="2"/>
    </row>
    <row r="792" spans="1:11" ht="14.5">
      <c r="A792" s="1"/>
      <c r="K792" s="2"/>
    </row>
    <row r="793" spans="1:11" ht="14.5">
      <c r="A793" s="1"/>
      <c r="K793" s="2"/>
    </row>
    <row r="794" spans="1:11" ht="14.5">
      <c r="A794" s="1"/>
      <c r="K794" s="2"/>
    </row>
    <row r="795" spans="1:11" ht="14.5">
      <c r="A795" s="1"/>
      <c r="K795" s="2"/>
    </row>
    <row r="796" spans="1:11" ht="14.5">
      <c r="A796" s="1"/>
      <c r="K796" s="2"/>
    </row>
    <row r="797" spans="1:11" ht="14.5">
      <c r="A797" s="1"/>
      <c r="K797" s="2"/>
    </row>
    <row r="798" spans="1:11" ht="14.5">
      <c r="A798" s="1"/>
      <c r="K798" s="2"/>
    </row>
    <row r="799" spans="1:11" ht="14.5">
      <c r="A799" s="1"/>
      <c r="K799" s="2"/>
    </row>
    <row r="800" spans="1:11" ht="14.5">
      <c r="A800" s="1"/>
      <c r="K800" s="2"/>
    </row>
    <row r="801" spans="1:11" ht="14.5">
      <c r="A801" s="1"/>
      <c r="K801" s="2"/>
    </row>
    <row r="802" spans="1:11" ht="14.5">
      <c r="A802" s="1"/>
      <c r="K802" s="2"/>
    </row>
    <row r="803" spans="1:11" ht="14.5">
      <c r="A803" s="1"/>
      <c r="K803" s="2"/>
    </row>
    <row r="804" spans="1:11" ht="14.5">
      <c r="A804" s="1"/>
      <c r="K804" s="2"/>
    </row>
    <row r="805" spans="1:11" ht="14.5">
      <c r="A805" s="1"/>
      <c r="K805" s="2"/>
    </row>
    <row r="806" spans="1:11" ht="14.5">
      <c r="A806" s="1"/>
      <c r="K806" s="2"/>
    </row>
    <row r="807" spans="1:11" ht="14.5">
      <c r="A807" s="1"/>
      <c r="K807" s="2"/>
    </row>
    <row r="808" spans="1:11" ht="14.5">
      <c r="A808" s="1"/>
      <c r="K808" s="2"/>
    </row>
    <row r="809" spans="1:11" ht="14.5">
      <c r="A809" s="1"/>
      <c r="K809" s="2"/>
    </row>
    <row r="810" spans="1:11" ht="14.5">
      <c r="A810" s="1"/>
      <c r="K810" s="2"/>
    </row>
    <row r="811" spans="1:11" ht="14.5">
      <c r="A811" s="1"/>
      <c r="K811" s="2"/>
    </row>
    <row r="812" spans="1:11" ht="14.5">
      <c r="A812" s="1"/>
      <c r="K812" s="2"/>
    </row>
    <row r="813" spans="1:11" ht="14.5">
      <c r="A813" s="1"/>
      <c r="K813" s="2"/>
    </row>
    <row r="814" spans="1:11" ht="14.5">
      <c r="A814" s="1"/>
      <c r="K814" s="2"/>
    </row>
    <row r="815" spans="1:11" ht="14.5">
      <c r="A815" s="1"/>
      <c r="K815" s="2"/>
    </row>
    <row r="816" spans="1:11" ht="14.5">
      <c r="A816" s="1"/>
      <c r="K816" s="2"/>
    </row>
    <row r="817" spans="1:11" ht="14.5">
      <c r="A817" s="1"/>
      <c r="K817" s="2"/>
    </row>
    <row r="818" spans="1:11" ht="14.5">
      <c r="A818" s="1"/>
      <c r="K818" s="2"/>
    </row>
    <row r="819" spans="1:11" ht="14.5">
      <c r="A819" s="1"/>
      <c r="K819" s="2"/>
    </row>
    <row r="820" spans="1:11" ht="14.5">
      <c r="A820" s="1"/>
      <c r="K820" s="2"/>
    </row>
    <row r="821" spans="1:11" ht="14.5">
      <c r="A821" s="1"/>
      <c r="K821" s="2"/>
    </row>
    <row r="822" spans="1:11" ht="14.5">
      <c r="A822" s="1"/>
      <c r="K822" s="2"/>
    </row>
    <row r="823" spans="1:11" ht="14.5">
      <c r="A823" s="1"/>
      <c r="K823" s="2"/>
    </row>
    <row r="824" spans="1:11" ht="14.5">
      <c r="A824" s="1"/>
      <c r="K824" s="2"/>
    </row>
    <row r="825" spans="1:11" ht="14.5">
      <c r="A825" s="1"/>
      <c r="K825" s="2"/>
    </row>
    <row r="826" spans="1:11" ht="14.5">
      <c r="A826" s="1"/>
      <c r="K826" s="2"/>
    </row>
    <row r="827" spans="1:11" ht="14.5">
      <c r="A827" s="1"/>
      <c r="K827" s="2"/>
    </row>
    <row r="828" spans="1:11" ht="14.5">
      <c r="A828" s="1"/>
      <c r="K828" s="2"/>
    </row>
    <row r="829" spans="1:11" ht="14.5">
      <c r="A829" s="1"/>
      <c r="K829" s="2"/>
    </row>
    <row r="830" spans="1:11" ht="14.5">
      <c r="A830" s="1"/>
      <c r="K830" s="2"/>
    </row>
    <row r="831" spans="1:11" ht="14.5">
      <c r="A831" s="1"/>
      <c r="K831" s="2"/>
    </row>
    <row r="832" spans="1:11" ht="14.5">
      <c r="A832" s="1"/>
      <c r="K832" s="2"/>
    </row>
    <row r="833" spans="1:11" ht="14.5">
      <c r="A833" s="1"/>
      <c r="K833" s="2"/>
    </row>
    <row r="834" spans="1:11" ht="14.5">
      <c r="A834" s="1"/>
      <c r="K834" s="2"/>
    </row>
    <row r="835" spans="1:11" ht="14.5">
      <c r="A835" s="1"/>
      <c r="K835" s="2"/>
    </row>
    <row r="836" spans="1:11" ht="14.5">
      <c r="A836" s="1"/>
      <c r="K836" s="2"/>
    </row>
    <row r="837" spans="1:11" ht="14.5">
      <c r="A837" s="1"/>
      <c r="K837" s="2"/>
    </row>
    <row r="838" spans="1:11" ht="14.5">
      <c r="A838" s="1"/>
      <c r="K838" s="2"/>
    </row>
    <row r="839" spans="1:11" ht="14.5">
      <c r="A839" s="1"/>
      <c r="K839" s="2"/>
    </row>
    <row r="840" spans="1:11" ht="14.5">
      <c r="A840" s="1"/>
      <c r="K840" s="2"/>
    </row>
    <row r="841" spans="1:11" ht="14.5">
      <c r="A841" s="1"/>
      <c r="K841" s="2"/>
    </row>
    <row r="842" spans="1:11" ht="14.5">
      <c r="A842" s="1"/>
      <c r="K842" s="2"/>
    </row>
    <row r="843" spans="1:11" ht="14.5">
      <c r="A843" s="1"/>
      <c r="K843" s="2"/>
    </row>
    <row r="844" spans="1:11" ht="14.5">
      <c r="A844" s="1"/>
      <c r="K844" s="2"/>
    </row>
    <row r="845" spans="1:11" ht="14.5">
      <c r="A845" s="1"/>
      <c r="K845" s="2"/>
    </row>
    <row r="846" spans="1:11" ht="14.5">
      <c r="A846" s="1"/>
      <c r="K846" s="2"/>
    </row>
    <row r="847" spans="1:11" ht="14.5">
      <c r="A847" s="1"/>
      <c r="K847" s="2"/>
    </row>
    <row r="848" spans="1:11" ht="14.5">
      <c r="A848" s="1"/>
      <c r="K848" s="2"/>
    </row>
    <row r="849" spans="1:11" ht="14.5">
      <c r="A849" s="1"/>
      <c r="K849" s="2"/>
    </row>
    <row r="850" spans="1:11" ht="14.5">
      <c r="A850" s="1"/>
      <c r="K850" s="2"/>
    </row>
    <row r="851" spans="1:11" ht="14.5">
      <c r="A851" s="1"/>
      <c r="K851" s="2"/>
    </row>
    <row r="852" spans="1:11" ht="14.5">
      <c r="A852" s="1"/>
      <c r="K852" s="2"/>
    </row>
    <row r="853" spans="1:11" ht="14.5">
      <c r="A853" s="1"/>
      <c r="K853" s="2"/>
    </row>
    <row r="854" spans="1:11" ht="14.5">
      <c r="A854" s="1"/>
      <c r="K854" s="2"/>
    </row>
    <row r="855" spans="1:11" ht="14.5">
      <c r="A855" s="1"/>
      <c r="K855" s="2"/>
    </row>
    <row r="856" spans="1:11" ht="14.5">
      <c r="A856" s="1"/>
      <c r="K856" s="2"/>
    </row>
    <row r="857" spans="1:11" ht="14.5">
      <c r="A857" s="1"/>
      <c r="K857" s="2"/>
    </row>
    <row r="858" spans="1:11" ht="14.5">
      <c r="A858" s="1"/>
      <c r="K858" s="2"/>
    </row>
    <row r="859" spans="1:11" ht="14.5">
      <c r="A859" s="1"/>
      <c r="K859" s="2"/>
    </row>
    <row r="860" spans="1:11" ht="14.5">
      <c r="A860" s="1"/>
      <c r="K860" s="2"/>
    </row>
    <row r="861" spans="1:11" ht="14.5">
      <c r="A861" s="1"/>
      <c r="K861" s="2"/>
    </row>
    <row r="862" spans="1:11" ht="14.5">
      <c r="A862" s="1"/>
      <c r="K862" s="2"/>
    </row>
    <row r="863" spans="1:11" ht="14.5">
      <c r="A863" s="1"/>
      <c r="K863" s="2"/>
    </row>
    <row r="864" spans="1:11" ht="14.5">
      <c r="A864" s="1"/>
      <c r="K864" s="2"/>
    </row>
    <row r="865" spans="1:11" ht="14.5">
      <c r="A865" s="1"/>
      <c r="K865" s="2"/>
    </row>
    <row r="866" spans="1:11" ht="14.5">
      <c r="A866" s="1"/>
      <c r="K866" s="2"/>
    </row>
    <row r="867" spans="1:11" ht="14.5">
      <c r="A867" s="1"/>
      <c r="K867" s="2"/>
    </row>
    <row r="868" spans="1:11" ht="14.5">
      <c r="A868" s="1"/>
      <c r="K868" s="2"/>
    </row>
    <row r="869" spans="1:11" ht="14.5">
      <c r="A869" s="1"/>
      <c r="K869" s="2"/>
    </row>
    <row r="870" spans="1:11" ht="14.5">
      <c r="A870" s="1"/>
      <c r="K870" s="2"/>
    </row>
    <row r="871" spans="1:11" ht="14.5">
      <c r="A871" s="1"/>
      <c r="K871" s="2"/>
    </row>
    <row r="872" spans="1:11" ht="14.5">
      <c r="A872" s="1"/>
      <c r="K872" s="2"/>
    </row>
    <row r="873" spans="1:11" ht="14.5">
      <c r="A873" s="1"/>
      <c r="K873" s="2"/>
    </row>
    <row r="874" spans="1:11" ht="14.5">
      <c r="A874" s="1"/>
      <c r="K874" s="2"/>
    </row>
    <row r="875" spans="1:11" ht="14.5">
      <c r="A875" s="1"/>
      <c r="K875" s="2"/>
    </row>
    <row r="876" spans="1:11" ht="14.5">
      <c r="A876" s="1"/>
      <c r="K876" s="2"/>
    </row>
    <row r="877" spans="1:11" ht="14.5">
      <c r="A877" s="1"/>
      <c r="K877" s="2"/>
    </row>
    <row r="878" spans="1:11" ht="14.5">
      <c r="A878" s="1"/>
      <c r="K878" s="2"/>
    </row>
    <row r="879" spans="1:11" ht="14.5">
      <c r="A879" s="1"/>
      <c r="K879" s="2"/>
    </row>
    <row r="880" spans="1:11" ht="14.5">
      <c r="A880" s="1"/>
      <c r="K880" s="2"/>
    </row>
    <row r="881" spans="1:11" ht="14.5">
      <c r="A881" s="1"/>
      <c r="K881" s="2"/>
    </row>
    <row r="882" spans="1:11" ht="14.5">
      <c r="A882" s="1"/>
      <c r="K882" s="2"/>
    </row>
    <row r="883" spans="1:11" ht="14.5">
      <c r="A883" s="1"/>
      <c r="K883" s="2"/>
    </row>
    <row r="884" spans="1:11" ht="14.5">
      <c r="A884" s="1"/>
      <c r="K884" s="2"/>
    </row>
    <row r="885" spans="1:11" ht="14.5">
      <c r="A885" s="1"/>
      <c r="K885" s="2"/>
    </row>
    <row r="886" spans="1:11" ht="14.5">
      <c r="A886" s="1"/>
      <c r="K886" s="2"/>
    </row>
    <row r="887" spans="1:11" ht="14.5">
      <c r="A887" s="1"/>
      <c r="K887" s="2"/>
    </row>
    <row r="888" spans="1:11" ht="14.5">
      <c r="A888" s="1"/>
      <c r="K888" s="2"/>
    </row>
    <row r="889" spans="1:11" ht="14.5">
      <c r="A889" s="1"/>
      <c r="K889" s="2"/>
    </row>
    <row r="890" spans="1:11" ht="14.5">
      <c r="A890" s="1"/>
      <c r="K890" s="2"/>
    </row>
    <row r="891" spans="1:11" ht="14.5">
      <c r="A891" s="1"/>
      <c r="K891" s="2"/>
    </row>
    <row r="892" spans="1:11" ht="14.5">
      <c r="A892" s="1"/>
      <c r="K892" s="2"/>
    </row>
    <row r="893" spans="1:11" ht="14.5">
      <c r="A893" s="1"/>
      <c r="K893" s="2"/>
    </row>
    <row r="894" spans="1:11" ht="14.5">
      <c r="A894" s="1"/>
      <c r="K894" s="2"/>
    </row>
    <row r="895" spans="1:11" ht="14.5">
      <c r="A895" s="1"/>
      <c r="K895" s="2"/>
    </row>
    <row r="896" spans="1:11" ht="14.5">
      <c r="A896" s="1"/>
      <c r="K896" s="2"/>
    </row>
    <row r="897" spans="1:11" ht="14.5">
      <c r="A897" s="1"/>
      <c r="K897" s="2"/>
    </row>
    <row r="898" spans="1:11" ht="14.5">
      <c r="A898" s="1"/>
      <c r="K898" s="2"/>
    </row>
    <row r="899" spans="1:11" ht="14.5">
      <c r="A899" s="1"/>
      <c r="K899" s="2"/>
    </row>
    <row r="900" spans="1:11" ht="14.5">
      <c r="A900" s="1"/>
      <c r="K900" s="2"/>
    </row>
    <row r="901" spans="1:11" ht="14.5">
      <c r="A901" s="1"/>
      <c r="K901" s="2"/>
    </row>
    <row r="902" spans="1:11" ht="14.5">
      <c r="A902" s="1"/>
      <c r="K902" s="2"/>
    </row>
    <row r="903" spans="1:11" ht="14.5">
      <c r="A903" s="1"/>
      <c r="K903" s="2"/>
    </row>
    <row r="904" spans="1:11" ht="14.5">
      <c r="A904" s="1"/>
      <c r="K904" s="2"/>
    </row>
    <row r="905" spans="1:11" ht="14.5">
      <c r="A905" s="1"/>
      <c r="K905" s="2"/>
    </row>
    <row r="906" spans="1:11" ht="14.5">
      <c r="A906" s="1"/>
      <c r="K906" s="2"/>
    </row>
    <row r="907" spans="1:11" ht="14.5">
      <c r="A907" s="1"/>
      <c r="K907" s="2"/>
    </row>
    <row r="908" spans="1:11" ht="14.5">
      <c r="A908" s="1"/>
      <c r="K908" s="2"/>
    </row>
    <row r="909" spans="1:11" ht="14.5">
      <c r="A909" s="1"/>
      <c r="K909" s="2"/>
    </row>
    <row r="910" spans="1:11" ht="14.5">
      <c r="A910" s="1"/>
      <c r="K910" s="2"/>
    </row>
    <row r="911" spans="1:11" ht="14.5">
      <c r="A911" s="1"/>
      <c r="K911" s="2"/>
    </row>
    <row r="912" spans="1:11" ht="14.5">
      <c r="A912" s="1"/>
      <c r="K912" s="2"/>
    </row>
    <row r="913" spans="1:11" ht="14.5">
      <c r="A913" s="1"/>
      <c r="K913" s="2"/>
    </row>
    <row r="914" spans="1:11" ht="14.5">
      <c r="A914" s="1"/>
      <c r="K914" s="2"/>
    </row>
    <row r="915" spans="1:11" ht="14.5">
      <c r="A915" s="1"/>
      <c r="K915" s="2"/>
    </row>
    <row r="916" spans="1:11" ht="14.5">
      <c r="A916" s="1"/>
      <c r="K916" s="2"/>
    </row>
    <row r="917" spans="1:11" ht="14.5">
      <c r="A917" s="1"/>
      <c r="K917" s="2"/>
    </row>
    <row r="918" spans="1:11" ht="14.5">
      <c r="A918" s="1"/>
      <c r="K918" s="2"/>
    </row>
    <row r="919" spans="1:11" ht="14.5">
      <c r="A919" s="1"/>
      <c r="K919" s="2"/>
    </row>
    <row r="920" spans="1:11" ht="14.5">
      <c r="A920" s="1"/>
      <c r="K920" s="2"/>
    </row>
    <row r="921" spans="1:11" ht="14.5">
      <c r="A921" s="1"/>
      <c r="K921" s="2"/>
    </row>
    <row r="922" spans="1:11" ht="14.5">
      <c r="A922" s="1"/>
      <c r="K922" s="2"/>
    </row>
    <row r="923" spans="1:11" ht="14.5">
      <c r="A923" s="1"/>
      <c r="K923" s="2"/>
    </row>
    <row r="924" spans="1:11" ht="14.5">
      <c r="A924" s="1"/>
      <c r="K924" s="2"/>
    </row>
    <row r="925" spans="1:11" ht="14.5">
      <c r="A925" s="1"/>
      <c r="K925" s="2"/>
    </row>
    <row r="926" spans="1:11" ht="14.5">
      <c r="A926" s="1"/>
      <c r="K926" s="2"/>
    </row>
    <row r="927" spans="1:11" ht="14.5">
      <c r="A927" s="1"/>
      <c r="K927" s="2"/>
    </row>
    <row r="928" spans="1:11" ht="14.5">
      <c r="A928" s="1"/>
      <c r="K928" s="2"/>
    </row>
    <row r="929" spans="1:11" ht="14.5">
      <c r="A929" s="1"/>
      <c r="K929" s="2"/>
    </row>
    <row r="930" spans="1:11" ht="14.5">
      <c r="A930" s="1"/>
      <c r="K930" s="2"/>
    </row>
    <row r="931" spans="1:11" ht="14.5">
      <c r="A931" s="1"/>
      <c r="K931" s="2"/>
    </row>
    <row r="932" spans="1:11" ht="14.5">
      <c r="A932" s="1"/>
      <c r="K932" s="2"/>
    </row>
    <row r="933" spans="1:11" ht="14.5">
      <c r="A933" s="1"/>
      <c r="K933" s="2"/>
    </row>
    <row r="934" spans="1:11" ht="14.5">
      <c r="A934" s="1"/>
      <c r="K934" s="2"/>
    </row>
    <row r="935" spans="1:11" ht="14.5">
      <c r="A935" s="1"/>
      <c r="K935" s="2"/>
    </row>
    <row r="936" spans="1:11" ht="14.5">
      <c r="A936" s="1"/>
      <c r="K936" s="2"/>
    </row>
    <row r="937" spans="1:11" ht="14.5">
      <c r="A937" s="1"/>
      <c r="K937" s="2"/>
    </row>
    <row r="938" spans="1:11" ht="14.5">
      <c r="A938" s="1"/>
      <c r="K938" s="2"/>
    </row>
    <row r="939" spans="1:11" ht="14.5">
      <c r="A939" s="1"/>
      <c r="K939" s="2"/>
    </row>
    <row r="940" spans="1:11" ht="14.5">
      <c r="A940" s="1"/>
      <c r="K940" s="2"/>
    </row>
    <row r="941" spans="1:11" ht="14.5">
      <c r="A941" s="1"/>
      <c r="K941" s="2"/>
    </row>
    <row r="942" spans="1:11" ht="14.5">
      <c r="A942" s="1"/>
      <c r="K942" s="2"/>
    </row>
    <row r="943" spans="1:11" ht="14.5">
      <c r="A943" s="1"/>
      <c r="K943" s="2"/>
    </row>
    <row r="944" spans="1:11" ht="14.5">
      <c r="A944" s="1"/>
      <c r="K944" s="2"/>
    </row>
    <row r="945" spans="1:11" ht="14.5">
      <c r="A945" s="1"/>
      <c r="K945" s="2"/>
    </row>
    <row r="946" spans="1:11" ht="14.5">
      <c r="A946" s="1"/>
      <c r="K946" s="2"/>
    </row>
    <row r="947" spans="1:11" ht="14.5">
      <c r="A947" s="1"/>
      <c r="K947" s="2"/>
    </row>
    <row r="948" spans="1:11" ht="14.5">
      <c r="A948" s="1"/>
      <c r="K948" s="2"/>
    </row>
    <row r="949" spans="1:11" ht="14.5">
      <c r="A949" s="1"/>
      <c r="K949" s="2"/>
    </row>
    <row r="950" spans="1:11" ht="14.5">
      <c r="A950" s="1"/>
      <c r="K950" s="2"/>
    </row>
    <row r="951" spans="1:11" ht="14.5">
      <c r="A951" s="1"/>
      <c r="K951" s="2"/>
    </row>
    <row r="952" spans="1:11" ht="14.5">
      <c r="A952" s="1"/>
      <c r="K952" s="2"/>
    </row>
    <row r="953" spans="1:11" ht="14.5">
      <c r="A953" s="1"/>
      <c r="K953" s="2"/>
    </row>
    <row r="954" spans="1:11" ht="14.5">
      <c r="A954" s="1"/>
      <c r="K954" s="2"/>
    </row>
    <row r="955" spans="1:11" ht="14.5">
      <c r="A955" s="1"/>
      <c r="K955" s="2"/>
    </row>
    <row r="956" spans="1:11" ht="14.5">
      <c r="A956" s="1"/>
      <c r="K956" s="2"/>
    </row>
    <row r="957" spans="1:11" ht="14.5">
      <c r="A957" s="1"/>
      <c r="K957" s="2"/>
    </row>
    <row r="958" spans="1:11" ht="14.5">
      <c r="A958" s="1"/>
      <c r="K958" s="2"/>
    </row>
    <row r="959" spans="1:11" ht="14.5">
      <c r="A959" s="1"/>
      <c r="K959" s="2"/>
    </row>
    <row r="960" spans="1:11" ht="14.5">
      <c r="A960" s="1"/>
      <c r="K960" s="2"/>
    </row>
    <row r="961" spans="1:11" ht="14.5">
      <c r="A961" s="1"/>
      <c r="K961" s="2"/>
    </row>
    <row r="962" spans="1:11" ht="14.5">
      <c r="A962" s="1"/>
      <c r="K962" s="2"/>
    </row>
    <row r="963" spans="1:11" ht="14.5">
      <c r="A963" s="1"/>
      <c r="K963" s="2"/>
    </row>
    <row r="964" spans="1:11" ht="14.5">
      <c r="A964" s="1"/>
      <c r="K964" s="2"/>
    </row>
    <row r="965" spans="1:11" ht="14.5">
      <c r="A965" s="1"/>
      <c r="K965" s="2"/>
    </row>
    <row r="966" spans="1:11" ht="14.5">
      <c r="A966" s="1"/>
      <c r="K966" s="2"/>
    </row>
    <row r="967" spans="1:11" ht="14.5">
      <c r="A967" s="1"/>
      <c r="K967" s="2"/>
    </row>
    <row r="968" spans="1:11" ht="14.5">
      <c r="A968" s="1"/>
      <c r="K968" s="2"/>
    </row>
    <row r="969" spans="1:11" ht="14.5">
      <c r="A969" s="1"/>
      <c r="K969" s="2"/>
    </row>
    <row r="970" spans="1:11" ht="14.5">
      <c r="A970" s="1"/>
      <c r="K970" s="2"/>
    </row>
    <row r="971" spans="1:11" ht="14.5">
      <c r="A971" s="1"/>
      <c r="K971" s="2"/>
    </row>
    <row r="972" spans="1:11" ht="14.5">
      <c r="A972" s="1"/>
      <c r="K972" s="2"/>
    </row>
    <row r="973" spans="1:11" ht="14.5">
      <c r="A973" s="1"/>
      <c r="K973" s="2"/>
    </row>
    <row r="974" spans="1:11" ht="14.5">
      <c r="A974" s="1"/>
      <c r="K974" s="2"/>
    </row>
    <row r="975" spans="1:11" ht="14.5">
      <c r="A975" s="1"/>
      <c r="K975" s="2"/>
    </row>
    <row r="976" spans="1:11" ht="14.5">
      <c r="A976" s="1"/>
      <c r="K976" s="2"/>
    </row>
    <row r="977" spans="1:11" ht="14.5">
      <c r="A977" s="1"/>
      <c r="K977" s="2"/>
    </row>
    <row r="978" spans="1:11" ht="14.5">
      <c r="A978" s="1"/>
      <c r="K978" s="2"/>
    </row>
    <row r="979" spans="1:11" ht="14.5">
      <c r="A979" s="1"/>
      <c r="K979" s="2"/>
    </row>
    <row r="980" spans="1:11" ht="14.5">
      <c r="A980" s="1"/>
      <c r="K980" s="2"/>
    </row>
    <row r="981" spans="1:11" ht="14.5">
      <c r="A981" s="1"/>
      <c r="K981" s="2"/>
    </row>
    <row r="982" spans="1:11" ht="14.5">
      <c r="A982" s="1"/>
      <c r="K982" s="2"/>
    </row>
    <row r="983" spans="1:11" ht="14.5">
      <c r="A983" s="1"/>
      <c r="K983" s="2"/>
    </row>
    <row r="984" spans="1:11" ht="14.5">
      <c r="A984" s="1"/>
      <c r="K984" s="2"/>
    </row>
    <row r="985" spans="1:11" ht="14.5">
      <c r="A985" s="1"/>
      <c r="K985" s="2"/>
    </row>
    <row r="986" spans="1:11" ht="14.5">
      <c r="A986" s="1"/>
      <c r="K986" s="2"/>
    </row>
    <row r="987" spans="1:11" ht="14.5">
      <c r="A987" s="1"/>
      <c r="K987" s="2"/>
    </row>
    <row r="988" spans="1:11" ht="14.5">
      <c r="A988" s="1"/>
      <c r="K988" s="2"/>
    </row>
    <row r="989" spans="1:11" ht="14.5">
      <c r="A989" s="1"/>
      <c r="K989" s="2"/>
    </row>
    <row r="990" spans="1:11" ht="14.5">
      <c r="A990" s="1"/>
      <c r="K990" s="2"/>
    </row>
    <row r="991" spans="1:11" ht="14.5">
      <c r="A991" s="1"/>
      <c r="K991" s="2"/>
    </row>
    <row r="992" spans="1:11" ht="14.5">
      <c r="A992" s="1"/>
      <c r="K992" s="2"/>
    </row>
    <row r="993" spans="1:11" ht="14.5">
      <c r="A993" s="1"/>
      <c r="K993" s="2"/>
    </row>
    <row r="994" spans="1:11" ht="14.5">
      <c r="A994" s="1"/>
      <c r="K994" s="2"/>
    </row>
    <row r="995" spans="1:11" ht="14.5">
      <c r="A995" s="1"/>
      <c r="K995" s="2"/>
    </row>
    <row r="996" spans="1:11" ht="14.5">
      <c r="A996" s="1"/>
      <c r="K996" s="2"/>
    </row>
    <row r="997" spans="1:11" ht="14.5">
      <c r="A997" s="1"/>
      <c r="K997" s="2"/>
    </row>
    <row r="998" spans="1:11" ht="14.5">
      <c r="A998" s="1"/>
      <c r="K998" s="2"/>
    </row>
    <row r="999" spans="1:11" ht="14.5">
      <c r="A999" s="1"/>
      <c r="K999" s="2"/>
    </row>
    <row r="1000" spans="1:11" ht="14.5">
      <c r="A1000" s="1"/>
      <c r="K1000" s="2"/>
    </row>
    <row r="1001" spans="1:11" ht="14.5">
      <c r="A1001" s="1"/>
      <c r="K1001" s="2"/>
    </row>
    <row r="1002" spans="1:11" ht="14.5">
      <c r="A1002" s="1"/>
      <c r="K1002" s="2"/>
    </row>
    <row r="1003" spans="1:11" ht="14.5">
      <c r="A1003" s="1"/>
      <c r="K1003" s="2"/>
    </row>
    <row r="1004" spans="1:11" ht="14.5">
      <c r="A1004" s="1"/>
      <c r="K1004" s="2"/>
    </row>
    <row r="1005" spans="1:11" ht="14.5">
      <c r="A1005" s="1"/>
      <c r="K1005" s="2"/>
    </row>
    <row r="1006" spans="1:11" ht="14.5">
      <c r="A1006" s="1"/>
      <c r="K1006" s="2"/>
    </row>
    <row r="1007" spans="1:11" ht="14.5">
      <c r="A1007" s="1"/>
      <c r="K1007" s="2"/>
    </row>
    <row r="1008" spans="1:11" ht="14.5">
      <c r="A1008" s="1"/>
      <c r="K1008" s="2"/>
    </row>
    <row r="1009" spans="1:11" ht="14.5">
      <c r="A1009" s="1"/>
      <c r="K1009" s="2"/>
    </row>
    <row r="1010" spans="1:11" ht="14.5">
      <c r="A1010" s="1"/>
      <c r="K1010" s="2"/>
    </row>
    <row r="1011" spans="1:11" ht="14.5">
      <c r="A1011" s="1"/>
      <c r="K1011" s="2"/>
    </row>
    <row r="1012" spans="1:11" ht="14.5">
      <c r="A1012" s="1"/>
      <c r="K1012" s="2"/>
    </row>
    <row r="1013" spans="1:11" ht="14.5">
      <c r="A1013" s="1"/>
      <c r="K1013" s="2"/>
    </row>
    <row r="1014" spans="1:11" ht="15.75" customHeight="1">
      <c r="A1014" s="1"/>
      <c r="K1014" s="2"/>
    </row>
    <row r="1015" spans="1:11" ht="15.75" customHeight="1">
      <c r="A1015" s="1"/>
      <c r="K1015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24"/>
  <sheetViews>
    <sheetView topLeftCell="A62" workbookViewId="0">
      <selection activeCell="A97" sqref="A97:A99"/>
    </sheetView>
  </sheetViews>
  <sheetFormatPr defaultColWidth="12.6328125" defaultRowHeight="15" customHeight="1"/>
  <cols>
    <col min="1" max="1" width="40.6328125" customWidth="1"/>
    <col min="2" max="2" width="10.6328125" customWidth="1"/>
    <col min="3" max="4" width="11.08984375" customWidth="1"/>
    <col min="5" max="5" width="11.36328125" customWidth="1"/>
    <col min="6" max="11" width="11.453125" customWidth="1"/>
    <col min="12" max="12" width="11.08984375" customWidth="1"/>
    <col min="13" max="13" width="10.90625" customWidth="1"/>
    <col min="14" max="16" width="11.08984375" customWidth="1"/>
    <col min="17" max="31" width="8.6328125" customWidth="1"/>
  </cols>
  <sheetData>
    <row r="1" spans="1:29" ht="14.25" customHeight="1">
      <c r="A1" s="171" t="s">
        <v>116</v>
      </c>
      <c r="B1" s="171"/>
      <c r="C1" s="171"/>
      <c r="D1" s="171"/>
      <c r="E1" s="171"/>
    </row>
    <row r="2" spans="1:29" ht="14.25" customHeight="1">
      <c r="A2" s="1"/>
      <c r="B2" s="1"/>
      <c r="C2" s="1"/>
      <c r="D2" s="1"/>
      <c r="E2" s="1"/>
    </row>
    <row r="3" spans="1:29" ht="14.25" customHeight="1">
      <c r="A3" s="1"/>
      <c r="B3" s="1"/>
      <c r="C3" s="1"/>
      <c r="D3" s="1"/>
      <c r="E3" s="1"/>
    </row>
    <row r="4" spans="1:29" ht="15" customHeight="1">
      <c r="A4" s="171" t="s">
        <v>117</v>
      </c>
      <c r="B4" s="24">
        <v>2014</v>
      </c>
      <c r="C4" s="171">
        <v>2015</v>
      </c>
      <c r="D4" s="171">
        <v>2016</v>
      </c>
      <c r="E4" s="171">
        <v>2017</v>
      </c>
      <c r="F4" s="30">
        <v>2018</v>
      </c>
      <c r="G4" s="30">
        <v>2019</v>
      </c>
      <c r="H4" s="30">
        <v>2020</v>
      </c>
      <c r="I4" s="30">
        <v>2021</v>
      </c>
      <c r="J4" s="30">
        <v>2022</v>
      </c>
      <c r="K4" s="30">
        <v>2023</v>
      </c>
      <c r="L4" s="30">
        <v>2024</v>
      </c>
      <c r="M4" s="30">
        <v>2025</v>
      </c>
      <c r="N4" s="30">
        <v>2026</v>
      </c>
      <c r="O4" s="30">
        <v>2027</v>
      </c>
      <c r="P4" s="24">
        <v>2028</v>
      </c>
    </row>
    <row r="5" spans="1:29" ht="14.25" customHeight="1">
      <c r="A5" s="1" t="s">
        <v>118</v>
      </c>
      <c r="B5" s="35">
        <v>32398</v>
      </c>
      <c r="C5" s="172">
        <v>30695</v>
      </c>
      <c r="D5" s="172">
        <v>31362</v>
      </c>
      <c r="E5" s="172">
        <v>32317</v>
      </c>
      <c r="F5" s="14">
        <v>32848</v>
      </c>
      <c r="G5" s="14">
        <v>27629</v>
      </c>
      <c r="H5" s="14">
        <v>24737</v>
      </c>
      <c r="I5" s="14">
        <v>25643</v>
      </c>
      <c r="J5" s="14">
        <v>25960</v>
      </c>
      <c r="K5" s="14">
        <v>25773</v>
      </c>
    </row>
    <row r="6" spans="1:29" ht="14.25" customHeight="1">
      <c r="A6" s="1" t="s">
        <v>119</v>
      </c>
      <c r="B6" s="35">
        <v>7908</v>
      </c>
      <c r="C6" s="172">
        <v>7886</v>
      </c>
      <c r="D6" s="172">
        <v>7940</v>
      </c>
      <c r="E6" s="172">
        <v>8217</v>
      </c>
      <c r="F6" s="14">
        <v>8954</v>
      </c>
      <c r="G6" s="14">
        <v>9080</v>
      </c>
      <c r="H6" s="14">
        <v>7900</v>
      </c>
      <c r="I6" s="14">
        <v>8749</v>
      </c>
      <c r="J6" s="14">
        <v>9506</v>
      </c>
      <c r="K6" s="14">
        <v>10889</v>
      </c>
    </row>
    <row r="7" spans="1:29" ht="14.25" customHeight="1">
      <c r="A7" s="1" t="s">
        <v>33</v>
      </c>
      <c r="B7" s="15">
        <v>40306</v>
      </c>
      <c r="C7" s="172">
        <v>38581</v>
      </c>
      <c r="D7" s="172">
        <v>39302</v>
      </c>
      <c r="E7" s="172">
        <v>40534</v>
      </c>
      <c r="F7" s="172">
        <v>41802</v>
      </c>
      <c r="G7" s="172">
        <v>36709</v>
      </c>
      <c r="H7" s="172">
        <v>32637</v>
      </c>
      <c r="I7" s="172">
        <v>34392</v>
      </c>
      <c r="J7" s="172">
        <v>35466</v>
      </c>
      <c r="K7" s="172">
        <v>36662</v>
      </c>
      <c r="L7" s="14">
        <f>'Revenue Model'!L31</f>
        <v>37878.17372796619</v>
      </c>
      <c r="M7" s="14">
        <f>'Revenue Model'!M31</f>
        <v>39658.274733079947</v>
      </c>
      <c r="N7" s="14">
        <f>'Revenue Model'!N31</f>
        <v>42064.425250910019</v>
      </c>
      <c r="O7" s="14">
        <f>'Revenue Model'!O31</f>
        <v>44846.060057437964</v>
      </c>
      <c r="P7" s="14">
        <f>'Revenue Model'!P31</f>
        <v>48020.272816662444</v>
      </c>
      <c r="Q7" s="42" t="s">
        <v>120</v>
      </c>
    </row>
    <row r="8" spans="1:29" ht="14.25" customHeight="1">
      <c r="A8" s="171" t="s">
        <v>121</v>
      </c>
      <c r="B8" s="12"/>
      <c r="C8" s="1"/>
      <c r="D8" s="1"/>
      <c r="E8" s="1"/>
    </row>
    <row r="9" spans="1:29" ht="14.25" customHeight="1">
      <c r="A9" s="1" t="s">
        <v>122</v>
      </c>
      <c r="B9" s="35">
        <v>23889</v>
      </c>
      <c r="C9" s="173">
        <v>21775</v>
      </c>
      <c r="D9" s="172">
        <v>22170</v>
      </c>
      <c r="E9" s="172">
        <v>22659</v>
      </c>
      <c r="F9" s="172">
        <v>23634</v>
      </c>
      <c r="G9" s="172">
        <v>19269</v>
      </c>
      <c r="H9" s="172">
        <v>17638</v>
      </c>
      <c r="I9" s="172">
        <v>17082</v>
      </c>
      <c r="J9" s="172">
        <v>16955</v>
      </c>
      <c r="K9" s="172">
        <v>16977</v>
      </c>
      <c r="L9" s="14">
        <f>M91*$L$7</f>
        <v>16287.614703025461</v>
      </c>
      <c r="M9" s="14">
        <f t="shared" ref="M9:P9" si="0">N91*$L$7</f>
        <v>17045.178177584785</v>
      </c>
      <c r="N9" s="14">
        <f t="shared" si="0"/>
        <v>17045.178177584785</v>
      </c>
      <c r="O9" s="14">
        <f t="shared" si="0"/>
        <v>17045.178177584785</v>
      </c>
      <c r="P9" s="14">
        <f t="shared" si="0"/>
        <v>17045.178177584785</v>
      </c>
    </row>
    <row r="10" spans="1:29" ht="14.25" customHeight="1">
      <c r="A10" s="1" t="s">
        <v>123</v>
      </c>
      <c r="B10" s="35">
        <v>5068</v>
      </c>
      <c r="C10" s="173">
        <v>4972</v>
      </c>
      <c r="D10" s="172">
        <v>4980</v>
      </c>
      <c r="E10" s="172">
        <v>4916</v>
      </c>
      <c r="F10" s="172">
        <v>5412</v>
      </c>
      <c r="G10" s="172">
        <v>5070</v>
      </c>
      <c r="H10" s="172">
        <v>4531</v>
      </c>
      <c r="I10" s="172">
        <v>4979</v>
      </c>
      <c r="J10" s="172">
        <v>5392</v>
      </c>
      <c r="K10" s="172">
        <v>6018</v>
      </c>
      <c r="L10" s="14">
        <f>M96*L7</f>
        <v>7056.7037655201011</v>
      </c>
      <c r="M10" s="14">
        <f t="shared" ref="M10:P10" si="1">N96*M7</f>
        <v>7535.0721992851895</v>
      </c>
      <c r="N10" s="14">
        <f t="shared" si="1"/>
        <v>8147.8791711012709</v>
      </c>
      <c r="O10" s="14">
        <f t="shared" si="1"/>
        <v>8744.9817112004039</v>
      </c>
      <c r="P10" s="14">
        <f t="shared" si="1"/>
        <v>9426.3795539108378</v>
      </c>
    </row>
    <row r="11" spans="1:29" ht="14.25" customHeight="1">
      <c r="A11" s="1" t="s">
        <v>124</v>
      </c>
      <c r="B11" s="35">
        <v>28957</v>
      </c>
      <c r="C11" s="173">
        <v>26747</v>
      </c>
      <c r="D11" s="172">
        <v>27150</v>
      </c>
      <c r="E11" s="172">
        <v>27575</v>
      </c>
      <c r="F11" s="172">
        <v>29046</v>
      </c>
      <c r="G11" s="172">
        <v>24339</v>
      </c>
      <c r="H11" s="172">
        <v>22169</v>
      </c>
      <c r="I11" s="172">
        <v>22061</v>
      </c>
      <c r="J11" s="172">
        <v>22347</v>
      </c>
      <c r="K11" s="172">
        <v>22995</v>
      </c>
      <c r="L11" s="14">
        <f t="shared" ref="L11:P11" si="2">SUM(L9:L10)</f>
        <v>23344.318468545564</v>
      </c>
      <c r="M11" s="14">
        <f t="shared" si="2"/>
        <v>24580.250376869975</v>
      </c>
      <c r="N11" s="14">
        <f t="shared" si="2"/>
        <v>25193.057348686056</v>
      </c>
      <c r="O11" s="14">
        <f t="shared" si="2"/>
        <v>25790.159888785187</v>
      </c>
      <c r="P11" s="14">
        <f t="shared" si="2"/>
        <v>26471.557731495624</v>
      </c>
    </row>
    <row r="12" spans="1:29" ht="14.25" customHeight="1">
      <c r="A12" s="174" t="s">
        <v>125</v>
      </c>
      <c r="B12" s="14">
        <f t="shared" ref="B12:P12" si="3">B7-B11</f>
        <v>11349</v>
      </c>
      <c r="C12" s="14">
        <f t="shared" si="3"/>
        <v>11834</v>
      </c>
      <c r="D12" s="14">
        <f t="shared" si="3"/>
        <v>12152</v>
      </c>
      <c r="E12" s="14">
        <f t="shared" si="3"/>
        <v>12959</v>
      </c>
      <c r="F12" s="14">
        <f t="shared" si="3"/>
        <v>12756</v>
      </c>
      <c r="G12" s="14">
        <f t="shared" si="3"/>
        <v>12370</v>
      </c>
      <c r="H12" s="14">
        <f t="shared" si="3"/>
        <v>10468</v>
      </c>
      <c r="I12" s="14">
        <f t="shared" si="3"/>
        <v>12331</v>
      </c>
      <c r="J12" s="14">
        <f t="shared" si="3"/>
        <v>13119</v>
      </c>
      <c r="K12" s="14">
        <f t="shared" si="3"/>
        <v>13667</v>
      </c>
      <c r="L12" s="14">
        <f t="shared" si="3"/>
        <v>14533.855259420627</v>
      </c>
      <c r="M12" s="14">
        <f t="shared" si="3"/>
        <v>15078.024356209971</v>
      </c>
      <c r="N12" s="14">
        <f t="shared" si="3"/>
        <v>16871.367902223963</v>
      </c>
      <c r="O12" s="14">
        <f t="shared" si="3"/>
        <v>19055.900168652777</v>
      </c>
      <c r="P12" s="14">
        <f t="shared" si="3"/>
        <v>21548.715085166819</v>
      </c>
    </row>
    <row r="13" spans="1:29" ht="14.25" customHeight="1">
      <c r="A13" s="1" t="s">
        <v>126</v>
      </c>
      <c r="B13" s="14"/>
      <c r="C13" s="173">
        <v>0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2">
        <v>1333</v>
      </c>
      <c r="J13" s="172">
        <v>1478</v>
      </c>
      <c r="K13" s="172">
        <v>1456</v>
      </c>
      <c r="L13" s="14">
        <f>M100*$L$7</f>
        <v>1516.981399254935</v>
      </c>
      <c r="M13" s="14">
        <f>N100*M7</f>
        <v>1586.3309893231979</v>
      </c>
      <c r="N13" s="14">
        <f>O100*N7</f>
        <v>1682.5770100364007</v>
      </c>
      <c r="O13" s="14">
        <f>P100*O7</f>
        <v>1793.8424022975187</v>
      </c>
      <c r="P13" s="14">
        <f>Q100*P7</f>
        <v>1920.8109126664979</v>
      </c>
    </row>
    <row r="14" spans="1:29" ht="14.25" customHeight="1">
      <c r="A14" s="1" t="s">
        <v>127</v>
      </c>
      <c r="B14" s="35">
        <v>5518</v>
      </c>
      <c r="C14" s="173">
        <v>5006</v>
      </c>
      <c r="D14" s="173">
        <v>5469</v>
      </c>
      <c r="E14" s="172">
        <v>5808</v>
      </c>
      <c r="F14" s="172">
        <v>6051</v>
      </c>
      <c r="G14" s="172">
        <v>5519</v>
      </c>
      <c r="H14" s="172">
        <v>4772</v>
      </c>
      <c r="I14" s="172">
        <v>4798</v>
      </c>
      <c r="J14" s="172">
        <v>5214</v>
      </c>
      <c r="K14" s="172">
        <v>5127</v>
      </c>
      <c r="L14" s="14">
        <f>M101*L7</f>
        <v>5366.4932318146039</v>
      </c>
      <c r="M14" s="14">
        <f>N101*M7</f>
        <v>5619.5775296774282</v>
      </c>
      <c r="N14" s="14">
        <f>O101*N7</f>
        <v>5960.5290580539495</v>
      </c>
      <c r="O14" s="14">
        <f>P101*O7</f>
        <v>6354.6867101389589</v>
      </c>
      <c r="P14" s="14">
        <f>Q101*P7</f>
        <v>6804.472658121068</v>
      </c>
      <c r="AC14" s="175"/>
    </row>
    <row r="15" spans="1:29" ht="14.25" customHeight="1">
      <c r="A15" s="174" t="s">
        <v>128</v>
      </c>
      <c r="B15" s="35">
        <f t="shared" ref="B15:P15" si="4">B12-B13-B14</f>
        <v>5831</v>
      </c>
      <c r="C15" s="35">
        <f t="shared" si="4"/>
        <v>6828</v>
      </c>
      <c r="D15" s="35">
        <f t="shared" si="4"/>
        <v>6683</v>
      </c>
      <c r="E15" s="35">
        <f t="shared" si="4"/>
        <v>7151</v>
      </c>
      <c r="F15" s="35">
        <f t="shared" si="4"/>
        <v>6705</v>
      </c>
      <c r="G15" s="35">
        <f t="shared" si="4"/>
        <v>6851</v>
      </c>
      <c r="H15" s="35">
        <f t="shared" si="4"/>
        <v>5696</v>
      </c>
      <c r="I15" s="35">
        <f t="shared" si="4"/>
        <v>6200</v>
      </c>
      <c r="J15" s="35">
        <f t="shared" si="4"/>
        <v>6427</v>
      </c>
      <c r="K15" s="35">
        <f t="shared" si="4"/>
        <v>7084</v>
      </c>
      <c r="L15" s="14">
        <f t="shared" si="4"/>
        <v>7650.3806283510876</v>
      </c>
      <c r="M15" s="14">
        <f t="shared" si="4"/>
        <v>7872.115837209345</v>
      </c>
      <c r="N15" s="14">
        <f t="shared" si="4"/>
        <v>9228.2618341336129</v>
      </c>
      <c r="O15" s="14">
        <f t="shared" si="4"/>
        <v>10907.3710562163</v>
      </c>
      <c r="P15" s="14">
        <f t="shared" si="4"/>
        <v>12823.431514379256</v>
      </c>
      <c r="Z15" s="175"/>
    </row>
    <row r="16" spans="1:29" ht="14.25" customHeight="1">
      <c r="A16" s="1" t="s">
        <v>129</v>
      </c>
      <c r="B16" s="35">
        <v>-305</v>
      </c>
      <c r="C16" s="173">
        <v>-68</v>
      </c>
      <c r="D16" s="173">
        <v>-102</v>
      </c>
      <c r="E16" s="172">
        <v>-67</v>
      </c>
      <c r="F16" s="172">
        <v>-1149</v>
      </c>
      <c r="G16" s="172">
        <v>-1065</v>
      </c>
      <c r="H16" s="172">
        <v>-675</v>
      </c>
      <c r="I16" s="172">
        <v>-1378</v>
      </c>
      <c r="J16" s="172">
        <v>-366</v>
      </c>
      <c r="K16" s="172">
        <v>-840</v>
      </c>
      <c r="L16" s="14">
        <f>M102*L7</f>
        <v>-629.3789967675267</v>
      </c>
      <c r="M16" s="14">
        <f>N102*M7</f>
        <v>-658.32736056912711</v>
      </c>
      <c r="N16" s="14">
        <f>O102*N7</f>
        <v>-698.26945916510635</v>
      </c>
      <c r="O16" s="14">
        <f>P102*O7</f>
        <v>-744.44459695347018</v>
      </c>
      <c r="P16" s="14">
        <f>Q102*P7</f>
        <v>-797.13652875659659</v>
      </c>
      <c r="Z16" s="175"/>
    </row>
    <row r="17" spans="1:31" ht="14.25" customHeight="1">
      <c r="A17" s="174" t="s">
        <v>130</v>
      </c>
      <c r="B17" s="35">
        <f t="shared" ref="B17:K17" si="5">B12-B13-B14-B16</f>
        <v>6136</v>
      </c>
      <c r="C17" s="35">
        <f t="shared" si="5"/>
        <v>6896</v>
      </c>
      <c r="D17" s="35">
        <f t="shared" si="5"/>
        <v>6785</v>
      </c>
      <c r="E17" s="35">
        <f t="shared" si="5"/>
        <v>7218</v>
      </c>
      <c r="F17" s="35">
        <f t="shared" si="5"/>
        <v>7854</v>
      </c>
      <c r="G17" s="35">
        <f t="shared" si="5"/>
        <v>7916</v>
      </c>
      <c r="H17" s="35">
        <f t="shared" si="5"/>
        <v>6371</v>
      </c>
      <c r="I17" s="35">
        <f t="shared" si="5"/>
        <v>7578</v>
      </c>
      <c r="J17" s="35">
        <f t="shared" si="5"/>
        <v>6793</v>
      </c>
      <c r="K17" s="35">
        <f t="shared" si="5"/>
        <v>7924</v>
      </c>
      <c r="L17" s="14">
        <f t="shared" ref="L17:P17" si="6">SUM(L15:L16)</f>
        <v>7021.001631583561</v>
      </c>
      <c r="M17" s="14">
        <f t="shared" si="6"/>
        <v>7213.7884766402176</v>
      </c>
      <c r="N17" s="14">
        <f t="shared" si="6"/>
        <v>8529.9923749685058</v>
      </c>
      <c r="O17" s="14">
        <f t="shared" si="6"/>
        <v>10162.92645926283</v>
      </c>
      <c r="P17" s="14">
        <f t="shared" si="6"/>
        <v>12026.294985622659</v>
      </c>
      <c r="Z17" s="175"/>
    </row>
    <row r="18" spans="1:31" ht="14.25" customHeight="1">
      <c r="A18" s="1" t="s">
        <v>131</v>
      </c>
      <c r="B18" s="35">
        <v>318</v>
      </c>
      <c r="C18" s="173">
        <v>310</v>
      </c>
      <c r="D18" s="173">
        <v>338</v>
      </c>
      <c r="E18" s="172">
        <v>316</v>
      </c>
      <c r="F18" s="172">
        <v>367</v>
      </c>
      <c r="G18" s="172">
        <v>357</v>
      </c>
      <c r="H18" s="172">
        <v>359</v>
      </c>
      <c r="I18" s="172">
        <v>343</v>
      </c>
      <c r="J18" s="172">
        <v>414</v>
      </c>
      <c r="K18" s="172">
        <v>765</v>
      </c>
      <c r="L18" s="14">
        <f>M103*SUM('Balance Sheet'!L24,'Balance Sheet'!L27)</f>
        <v>827.8855182335144</v>
      </c>
      <c r="M18" s="14">
        <f>N103*SUM('Balance Sheet'!M24,'Balance Sheet'!M27)</f>
        <v>832.14365345744329</v>
      </c>
      <c r="N18" s="14">
        <f>O103*SUM('Balance Sheet'!N24,'Balance Sheet'!N27)</f>
        <v>835.01272389424128</v>
      </c>
      <c r="O18" s="14">
        <f>P103*SUM('Balance Sheet'!O24,'Balance Sheet'!O27)</f>
        <v>838.02530479000393</v>
      </c>
      <c r="P18" s="14">
        <f>Q103*SUM('Balance Sheet'!P24,'Balance Sheet'!P27)</f>
        <v>841.46312577086098</v>
      </c>
      <c r="Z18" s="175"/>
    </row>
    <row r="19" spans="1:31" ht="14.25" customHeight="1">
      <c r="A19" s="1" t="s">
        <v>132</v>
      </c>
      <c r="B19" s="35">
        <v>34488</v>
      </c>
      <c r="C19" s="173">
        <v>31995</v>
      </c>
      <c r="D19" s="173">
        <v>32855</v>
      </c>
      <c r="E19" s="172">
        <v>33632</v>
      </c>
      <c r="F19" s="172">
        <v>34315</v>
      </c>
      <c r="G19" s="172">
        <v>29150</v>
      </c>
      <c r="H19" s="172">
        <v>26625</v>
      </c>
      <c r="I19" s="172">
        <v>27157</v>
      </c>
      <c r="J19" s="172">
        <v>28087</v>
      </c>
      <c r="K19" s="172">
        <v>29503</v>
      </c>
    </row>
    <row r="20" spans="1:31" ht="14.25" customHeight="1">
      <c r="A20" s="1" t="s">
        <v>133</v>
      </c>
      <c r="B20" s="35">
        <v>5818</v>
      </c>
      <c r="C20" s="173">
        <v>6586</v>
      </c>
      <c r="D20" s="173">
        <v>6447</v>
      </c>
      <c r="E20" s="172">
        <v>6902</v>
      </c>
      <c r="F20" s="172">
        <v>7487</v>
      </c>
      <c r="G20" s="172">
        <v>7559</v>
      </c>
      <c r="H20" s="172">
        <v>6012</v>
      </c>
      <c r="I20" s="172">
        <v>7235</v>
      </c>
      <c r="J20" s="172">
        <v>6379</v>
      </c>
      <c r="K20" s="172">
        <v>7159</v>
      </c>
      <c r="L20" s="14">
        <f t="shared" ref="L20:P20" si="7">L17-L18</f>
        <v>6193.1161133500464</v>
      </c>
      <c r="M20" s="14">
        <f t="shared" si="7"/>
        <v>6381.6448231827744</v>
      </c>
      <c r="N20" s="14">
        <f t="shared" si="7"/>
        <v>7694.9796510742644</v>
      </c>
      <c r="O20" s="14">
        <f t="shared" si="7"/>
        <v>9324.9011544728255</v>
      </c>
      <c r="P20" s="14">
        <f t="shared" si="7"/>
        <v>11184.831859851798</v>
      </c>
    </row>
    <row r="21" spans="1:31" ht="13.5" customHeight="1">
      <c r="A21" s="1" t="s">
        <v>134</v>
      </c>
      <c r="B21" s="35">
        <v>1489</v>
      </c>
      <c r="C21" s="173">
        <v>1739</v>
      </c>
      <c r="D21" s="173">
        <v>1601</v>
      </c>
      <c r="E21" s="172">
        <v>5204</v>
      </c>
      <c r="F21" s="172">
        <v>659</v>
      </c>
      <c r="G21" s="172">
        <v>1329</v>
      </c>
      <c r="H21" s="172">
        <v>1147</v>
      </c>
      <c r="I21" s="172">
        <v>1625</v>
      </c>
      <c r="J21" s="172">
        <v>1412</v>
      </c>
      <c r="K21" s="172">
        <v>1487</v>
      </c>
      <c r="L21" s="14">
        <f>M104*L20</f>
        <v>1349.4067349006616</v>
      </c>
      <c r="M21" s="14">
        <f>N104*M20</f>
        <v>1390.5604069715266</v>
      </c>
      <c r="N21" s="14">
        <f>O104*N20</f>
        <v>1676.7360659690823</v>
      </c>
      <c r="O21" s="14">
        <f>P104*O20</f>
        <v>2031.8959615596289</v>
      </c>
      <c r="P21" s="14">
        <f>Q104*P20</f>
        <v>2437.1748622617069</v>
      </c>
      <c r="Z21" s="175"/>
    </row>
    <row r="22" spans="1:31" ht="14.25" customHeight="1">
      <c r="A22" s="171" t="s">
        <v>135</v>
      </c>
      <c r="B22" s="176">
        <v>4329</v>
      </c>
      <c r="C22" s="177">
        <v>4847</v>
      </c>
      <c r="D22" s="177">
        <v>4846</v>
      </c>
      <c r="E22" s="178">
        <v>1698</v>
      </c>
      <c r="F22" s="178">
        <v>6828</v>
      </c>
      <c r="G22" s="178">
        <v>6230</v>
      </c>
      <c r="H22" s="178">
        <v>4865</v>
      </c>
      <c r="I22" s="178">
        <v>5610</v>
      </c>
      <c r="J22" s="178">
        <v>4967</v>
      </c>
      <c r="K22" s="178">
        <v>5672</v>
      </c>
      <c r="L22" s="179">
        <f t="shared" ref="L22:P22" si="8">L20-L21</f>
        <v>4843.7093784493845</v>
      </c>
      <c r="M22" s="179">
        <f t="shared" si="8"/>
        <v>4991.084416211248</v>
      </c>
      <c r="N22" s="179">
        <f t="shared" si="8"/>
        <v>6018.2435851051823</v>
      </c>
      <c r="O22" s="179">
        <f t="shared" si="8"/>
        <v>7293.0051929131969</v>
      </c>
      <c r="P22" s="179">
        <f t="shared" si="8"/>
        <v>8747.6569975900911</v>
      </c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</row>
    <row r="23" spans="1:31" ht="14.25" customHeight="1">
      <c r="A23" s="1" t="s">
        <v>136</v>
      </c>
      <c r="B23" s="35">
        <v>90</v>
      </c>
      <c r="C23" s="173">
        <v>79</v>
      </c>
      <c r="D23" s="173">
        <v>37</v>
      </c>
      <c r="E23" s="172">
        <v>43</v>
      </c>
      <c r="F23" s="172">
        <v>63</v>
      </c>
      <c r="G23" s="172">
        <v>87</v>
      </c>
      <c r="H23" s="172">
        <v>86</v>
      </c>
      <c r="I23" s="172">
        <v>68</v>
      </c>
      <c r="J23" s="172">
        <v>1</v>
      </c>
      <c r="K23" s="172">
        <v>14</v>
      </c>
    </row>
    <row r="24" spans="1:31" ht="14.25" customHeight="1">
      <c r="A24" s="1" t="s">
        <v>137</v>
      </c>
      <c r="B24" s="35">
        <v>4239</v>
      </c>
      <c r="C24" s="173">
        <v>4768</v>
      </c>
      <c r="D24" s="173">
        <v>4809</v>
      </c>
      <c r="E24" s="172">
        <v>1655</v>
      </c>
      <c r="F24" s="172">
        <v>6765</v>
      </c>
      <c r="G24" s="172">
        <v>6143</v>
      </c>
      <c r="H24" s="172">
        <v>4779</v>
      </c>
      <c r="I24" s="172">
        <v>5542</v>
      </c>
      <c r="J24" s="172">
        <v>4966</v>
      </c>
      <c r="K24" s="172">
        <v>5658</v>
      </c>
    </row>
    <row r="25" spans="1:31" ht="14.25" customHeight="1">
      <c r="A25" s="1" t="s">
        <v>138</v>
      </c>
      <c r="B25" s="35">
        <v>5.4</v>
      </c>
      <c r="C25" s="173">
        <v>6.11</v>
      </c>
      <c r="D25" s="173">
        <v>6.29</v>
      </c>
      <c r="E25" s="172">
        <v>2.17</v>
      </c>
      <c r="F25" s="172">
        <v>9.1</v>
      </c>
      <c r="G25" s="172">
        <v>8.52</v>
      </c>
      <c r="H25" s="172">
        <v>6.79</v>
      </c>
      <c r="I25" s="172">
        <v>8.01</v>
      </c>
      <c r="J25" s="172">
        <v>7.33</v>
      </c>
      <c r="K25" s="172">
        <v>8.5299999999999994</v>
      </c>
      <c r="Z25" s="175"/>
    </row>
    <row r="26" spans="1:31" ht="14.25" customHeight="1">
      <c r="A26" s="1" t="s">
        <v>139</v>
      </c>
      <c r="B26" s="35">
        <v>5.33</v>
      </c>
      <c r="C26" s="173">
        <v>6.04</v>
      </c>
      <c r="D26" s="173">
        <v>6.2</v>
      </c>
      <c r="E26" s="172">
        <v>2.14</v>
      </c>
      <c r="F26" s="172">
        <v>8.98</v>
      </c>
      <c r="G26" s="172">
        <v>8.41</v>
      </c>
      <c r="H26" s="172">
        <v>6.72</v>
      </c>
      <c r="I26" s="172">
        <v>7.91</v>
      </c>
      <c r="J26" s="172">
        <v>7.27</v>
      </c>
      <c r="K26" s="172">
        <v>8.4700000000000006</v>
      </c>
    </row>
    <row r="27" spans="1:31" ht="14.25" customHeight="1">
      <c r="A27" s="42" t="s">
        <v>140</v>
      </c>
      <c r="B27" s="35">
        <v>1.87</v>
      </c>
      <c r="C27" s="173">
        <v>2.15</v>
      </c>
      <c r="D27" s="173">
        <v>2.4500000000000002</v>
      </c>
      <c r="E27" s="172">
        <v>2.74</v>
      </c>
      <c r="F27" s="172"/>
      <c r="G27" s="172"/>
      <c r="H27" s="172"/>
      <c r="I27" s="172"/>
      <c r="J27" s="172"/>
      <c r="K27" s="172"/>
      <c r="Z27" s="175"/>
    </row>
    <row r="28" spans="1:31" ht="14.25" customHeight="1">
      <c r="A28" s="174" t="s">
        <v>141</v>
      </c>
      <c r="B28" s="180">
        <f t="shared" ref="B28:K28" si="9">B21/B20</f>
        <v>0.25592987280852525</v>
      </c>
      <c r="C28" s="180">
        <f t="shared" si="9"/>
        <v>0.2640449438202247</v>
      </c>
      <c r="D28" s="180">
        <f t="shared" si="9"/>
        <v>0.24833255777881186</v>
      </c>
      <c r="E28" s="180">
        <f t="shared" si="9"/>
        <v>0.7539843523616343</v>
      </c>
      <c r="F28" s="180">
        <f t="shared" si="9"/>
        <v>8.8019233337785496E-2</v>
      </c>
      <c r="G28" s="180">
        <f t="shared" si="9"/>
        <v>0.1758169069982802</v>
      </c>
      <c r="H28" s="180">
        <f t="shared" si="9"/>
        <v>0.19078509647371922</v>
      </c>
      <c r="I28" s="180">
        <f t="shared" si="9"/>
        <v>0.22460262612301313</v>
      </c>
      <c r="J28" s="180">
        <f t="shared" si="9"/>
        <v>0.22135130898259917</v>
      </c>
      <c r="K28" s="180">
        <f t="shared" si="9"/>
        <v>0.20771057410252827</v>
      </c>
      <c r="Z28" s="175"/>
    </row>
    <row r="29" spans="1:31" ht="14.25" customHeight="1">
      <c r="A29" s="174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Z29" s="175"/>
    </row>
    <row r="30" spans="1:31" ht="14.25" customHeight="1">
      <c r="A30" s="181" t="s">
        <v>142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Z30" s="175"/>
    </row>
    <row r="31" spans="1:31" ht="14.25" customHeight="1">
      <c r="A31" s="182" t="s">
        <v>143</v>
      </c>
      <c r="B31" s="183">
        <v>5.4</v>
      </c>
      <c r="C31" s="184">
        <v>6.12</v>
      </c>
      <c r="D31" s="184">
        <v>6.3</v>
      </c>
      <c r="E31" s="184">
        <v>2.17</v>
      </c>
      <c r="F31" s="184">
        <v>6.29</v>
      </c>
      <c r="G31" s="184">
        <v>6.11</v>
      </c>
      <c r="H31" s="184">
        <v>6.79</v>
      </c>
      <c r="I31" s="184">
        <v>8.01</v>
      </c>
      <c r="J31" s="184">
        <v>7.33</v>
      </c>
      <c r="K31" s="184">
        <v>8.5299999999999994</v>
      </c>
      <c r="L31" s="185">
        <f t="shared" ref="L31:P31" si="10">L22/L34</f>
        <v>7.5034567709609767</v>
      </c>
      <c r="M31" s="185">
        <f t="shared" si="10"/>
        <v>7.9242893432471009</v>
      </c>
      <c r="N31" s="185">
        <f t="shared" si="10"/>
        <v>9.7736002478991804</v>
      </c>
      <c r="O31" s="185">
        <f t="shared" si="10"/>
        <v>12.092061031882443</v>
      </c>
      <c r="P31" s="185">
        <f t="shared" si="10"/>
        <v>14.782099154335038</v>
      </c>
      <c r="Z31" s="175"/>
    </row>
    <row r="32" spans="1:31" ht="14.25" customHeight="1">
      <c r="A32" s="182" t="s">
        <v>144</v>
      </c>
      <c r="B32" s="183">
        <v>5.33</v>
      </c>
      <c r="C32" s="184">
        <v>6.04</v>
      </c>
      <c r="D32" s="184">
        <v>6.21</v>
      </c>
      <c r="E32" s="184">
        <v>2.14</v>
      </c>
      <c r="F32" s="184">
        <v>6.2</v>
      </c>
      <c r="G32" s="184">
        <v>6.04</v>
      </c>
      <c r="H32" s="184">
        <v>6.72</v>
      </c>
      <c r="I32" s="184">
        <v>7.91</v>
      </c>
      <c r="J32" s="184">
        <v>7.27</v>
      </c>
      <c r="K32" s="184">
        <v>8.4700000000000006</v>
      </c>
      <c r="L32" s="185">
        <f t="shared" ref="L32:P32" si="11">L22/L35</f>
        <v>7.4434964928078706</v>
      </c>
      <c r="M32" s="185">
        <f t="shared" si="11"/>
        <v>7.8594022573426239</v>
      </c>
      <c r="N32" s="185">
        <f t="shared" si="11"/>
        <v>9.6917555396173665</v>
      </c>
      <c r="O32" s="185">
        <f t="shared" si="11"/>
        <v>11.988697072191464</v>
      </c>
      <c r="P32" s="185">
        <f t="shared" si="11"/>
        <v>14.653338171952067</v>
      </c>
      <c r="Z32" s="175"/>
    </row>
    <row r="33" spans="1:26" ht="14.25" customHeight="1">
      <c r="A33" s="181" t="s">
        <v>145</v>
      </c>
      <c r="B33" s="180"/>
      <c r="C33" s="180"/>
      <c r="D33" s="180"/>
      <c r="E33" s="180"/>
      <c r="F33" s="180"/>
      <c r="G33" s="180"/>
      <c r="H33" s="180"/>
      <c r="I33" s="180"/>
      <c r="J33" s="1"/>
      <c r="K33" s="180"/>
      <c r="Z33" s="175"/>
    </row>
    <row r="34" spans="1:26" ht="14.25" customHeight="1">
      <c r="A34" s="182" t="s">
        <v>143</v>
      </c>
      <c r="B34" s="174">
        <v>784.4</v>
      </c>
      <c r="C34" s="174">
        <v>779.8</v>
      </c>
      <c r="D34" s="174">
        <v>764.3</v>
      </c>
      <c r="E34" s="174">
        <v>762.1</v>
      </c>
      <c r="F34" s="174">
        <v>743</v>
      </c>
      <c r="G34" s="174">
        <v>721</v>
      </c>
      <c r="H34" s="174">
        <v>704.1</v>
      </c>
      <c r="I34" s="174">
        <v>692.3</v>
      </c>
      <c r="J34" s="83">
        <v>677.1</v>
      </c>
      <c r="K34" s="174">
        <v>663</v>
      </c>
      <c r="L34" s="185">
        <f>K34-'Balance Sheet'!L157</f>
        <v>645.53039036553878</v>
      </c>
      <c r="M34" s="185">
        <f>L34-'Balance Sheet'!M157</f>
        <v>629.84631176605592</v>
      </c>
      <c r="N34" s="185">
        <f>M34-'Balance Sheet'!N157</f>
        <v>615.76526893442303</v>
      </c>
      <c r="O34" s="185">
        <f>N34-'Balance Sheet'!O157</f>
        <v>603.12341905024698</v>
      </c>
      <c r="P34" s="185">
        <f>O34-'Balance Sheet'!P157</f>
        <v>591.77366531361213</v>
      </c>
      <c r="Z34" s="175"/>
    </row>
    <row r="35" spans="1:26" ht="14.25" customHeight="1">
      <c r="A35" s="182" t="s">
        <v>144</v>
      </c>
      <c r="B35" s="174">
        <v>795.2</v>
      </c>
      <c r="C35" s="174">
        <v>789.3</v>
      </c>
      <c r="D35" s="174">
        <v>775.3</v>
      </c>
      <c r="E35" s="174">
        <v>772.1</v>
      </c>
      <c r="F35" s="174">
        <v>753</v>
      </c>
      <c r="G35" s="174">
        <v>730.3</v>
      </c>
      <c r="H35" s="174">
        <v>711.2</v>
      </c>
      <c r="I35" s="174">
        <v>700.4</v>
      </c>
      <c r="J35" s="174">
        <v>683.1</v>
      </c>
      <c r="K35" s="174">
        <v>668.2</v>
      </c>
      <c r="L35" s="185">
        <f t="shared" ref="L35:P35" si="12">L34+(K35-K34)</f>
        <v>650.73039036553882</v>
      </c>
      <c r="M35" s="185">
        <f t="shared" si="12"/>
        <v>635.04631176605596</v>
      </c>
      <c r="N35" s="185">
        <f t="shared" si="12"/>
        <v>620.96526893442308</v>
      </c>
      <c r="O35" s="185">
        <f t="shared" si="12"/>
        <v>608.32341905024703</v>
      </c>
      <c r="P35" s="185">
        <f t="shared" si="12"/>
        <v>596.97366531361217</v>
      </c>
      <c r="Z35" s="175"/>
    </row>
    <row r="36" spans="1:26" ht="14.25" customHeight="1">
      <c r="A36" s="174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Z36" s="175"/>
    </row>
    <row r="37" spans="1:26" ht="14.25" customHeight="1">
      <c r="A37" s="186" t="s">
        <v>146</v>
      </c>
      <c r="B37" s="186">
        <v>2014</v>
      </c>
      <c r="C37" s="187">
        <v>2015</v>
      </c>
      <c r="D37" s="187">
        <v>2016</v>
      </c>
      <c r="E37" s="187">
        <v>2017</v>
      </c>
      <c r="F37" s="187">
        <v>2018</v>
      </c>
      <c r="G37" s="187">
        <v>2019</v>
      </c>
      <c r="H37" s="187">
        <v>2020</v>
      </c>
      <c r="I37" s="187">
        <v>2021</v>
      </c>
      <c r="J37" s="187">
        <v>2022</v>
      </c>
      <c r="K37" s="187">
        <v>2023</v>
      </c>
      <c r="L37" s="187"/>
      <c r="M37" s="187"/>
      <c r="N37" s="187"/>
      <c r="O37" s="187"/>
      <c r="P37" s="187"/>
      <c r="Q37" s="187"/>
      <c r="R37" s="187"/>
      <c r="S37" s="187"/>
      <c r="T37" s="187"/>
    </row>
    <row r="38" spans="1:26" ht="14.25" customHeight="1">
      <c r="A38" s="1" t="s">
        <v>118</v>
      </c>
      <c r="B38" s="180">
        <f t="shared" ref="B38:B44" si="13">B5/$B$7</f>
        <v>0.80380092293951277</v>
      </c>
      <c r="C38" s="180">
        <f t="shared" ref="C38:C40" si="14">C5/$C$7</f>
        <v>0.79559886991005935</v>
      </c>
      <c r="D38" s="180">
        <f t="shared" ref="D38:D40" si="15">D5/$D$7</f>
        <v>0.79797465777823007</v>
      </c>
      <c r="E38" s="180">
        <f t="shared" ref="E38:E40" si="16">E5/$E$7</f>
        <v>0.79728129471554743</v>
      </c>
      <c r="F38" s="180">
        <f t="shared" ref="F38:F40" si="17">F5/$F$7</f>
        <v>0.78579972250131569</v>
      </c>
      <c r="G38" s="180">
        <f t="shared" ref="G38:G40" si="18">G5/$G$7</f>
        <v>0.75264921408918795</v>
      </c>
      <c r="H38" s="180">
        <f t="shared" ref="H38:H40" si="19">H5/$H$7</f>
        <v>0.75794343842877721</v>
      </c>
      <c r="I38" s="180">
        <f t="shared" ref="I38:I40" si="20">I5/$I$7</f>
        <v>0.74560944405675733</v>
      </c>
      <c r="J38" s="180">
        <f t="shared" ref="J38:J40" si="21">J5/$J$7</f>
        <v>0.73196864602718092</v>
      </c>
      <c r="K38" s="180">
        <f t="shared" ref="K38:K40" si="22">K5/$K$7</f>
        <v>0.70298947138726742</v>
      </c>
      <c r="Z38" s="175"/>
    </row>
    <row r="39" spans="1:26" ht="14.25" customHeight="1">
      <c r="A39" s="1" t="s">
        <v>119</v>
      </c>
      <c r="B39" s="180">
        <f t="shared" si="13"/>
        <v>0.19619907706048728</v>
      </c>
      <c r="C39" s="180">
        <f t="shared" si="14"/>
        <v>0.20440113008994065</v>
      </c>
      <c r="D39" s="180">
        <f t="shared" si="15"/>
        <v>0.20202534222176988</v>
      </c>
      <c r="E39" s="180">
        <f t="shared" si="16"/>
        <v>0.20271870528445257</v>
      </c>
      <c r="F39" s="180">
        <f t="shared" si="17"/>
        <v>0.21420027749868428</v>
      </c>
      <c r="G39" s="180">
        <f t="shared" si="18"/>
        <v>0.24735078591081205</v>
      </c>
      <c r="H39" s="180">
        <f t="shared" si="19"/>
        <v>0.24205656157122285</v>
      </c>
      <c r="I39" s="180">
        <f t="shared" si="20"/>
        <v>0.25439055594324261</v>
      </c>
      <c r="J39" s="180">
        <f t="shared" si="21"/>
        <v>0.26803135397281902</v>
      </c>
      <c r="K39" s="180">
        <f t="shared" si="22"/>
        <v>0.29701052861273253</v>
      </c>
    </row>
    <row r="40" spans="1:26" ht="14.25" customHeight="1">
      <c r="A40" s="1" t="s">
        <v>33</v>
      </c>
      <c r="B40" s="180">
        <f t="shared" si="13"/>
        <v>1</v>
      </c>
      <c r="C40" s="180">
        <f t="shared" si="14"/>
        <v>1</v>
      </c>
      <c r="D40" s="180">
        <f t="shared" si="15"/>
        <v>1</v>
      </c>
      <c r="E40" s="180">
        <f t="shared" si="16"/>
        <v>1</v>
      </c>
      <c r="F40" s="180">
        <f t="shared" si="17"/>
        <v>1</v>
      </c>
      <c r="G40" s="180">
        <f t="shared" si="18"/>
        <v>1</v>
      </c>
      <c r="H40" s="180">
        <f t="shared" si="19"/>
        <v>1</v>
      </c>
      <c r="I40" s="180">
        <f t="shared" si="20"/>
        <v>1</v>
      </c>
      <c r="J40" s="180">
        <f t="shared" si="21"/>
        <v>1</v>
      </c>
      <c r="K40" s="180">
        <f t="shared" si="22"/>
        <v>1</v>
      </c>
    </row>
    <row r="41" spans="1:26" ht="14.25" customHeight="1">
      <c r="A41" s="1" t="s">
        <v>121</v>
      </c>
      <c r="B41" s="180">
        <f t="shared" si="13"/>
        <v>0</v>
      </c>
      <c r="C41" s="180"/>
      <c r="D41" s="180"/>
      <c r="E41" s="180"/>
      <c r="F41" s="180"/>
      <c r="G41" s="180"/>
      <c r="H41" s="180"/>
      <c r="I41" s="180"/>
      <c r="J41" s="180"/>
      <c r="K41" s="180"/>
      <c r="Z41" s="175"/>
    </row>
    <row r="42" spans="1:26" ht="14.25" customHeight="1">
      <c r="A42" s="1" t="s">
        <v>122</v>
      </c>
      <c r="B42" s="180">
        <f t="shared" si="13"/>
        <v>0.5926909145040441</v>
      </c>
      <c r="C42" s="180">
        <f t="shared" ref="C42:C44" si="23">C9/$C$7</f>
        <v>0.56439698297089236</v>
      </c>
      <c r="D42" s="180">
        <f t="shared" ref="D42:D44" si="24">D9/$D$7</f>
        <v>0.5640934303597781</v>
      </c>
      <c r="E42" s="180">
        <f t="shared" ref="E42:E44" si="25">E9/$E$7</f>
        <v>0.55901218729955104</v>
      </c>
      <c r="F42" s="180">
        <f t="shared" ref="F42:F44" si="26">F9/$F$7</f>
        <v>0.56537964690684661</v>
      </c>
      <c r="G42" s="180">
        <f t="shared" ref="G42:G44" si="27">G9/$G$7</f>
        <v>0.52491214688496013</v>
      </c>
      <c r="H42" s="180">
        <f t="shared" ref="H42:H44" si="28">H9/$H$7</f>
        <v>0.54042957379661116</v>
      </c>
      <c r="I42" s="180">
        <f t="shared" ref="I42:I44" si="29">I9/$I$7</f>
        <v>0.49668527564549897</v>
      </c>
      <c r="J42" s="180">
        <f t="shared" ref="J42:J44" si="30">J9/$J$7</f>
        <v>0.47806349743416232</v>
      </c>
      <c r="K42" s="180">
        <f t="shared" ref="K42:K44" si="31">K9/$K$7</f>
        <v>0.4630680268397796</v>
      </c>
    </row>
    <row r="43" spans="1:26" ht="14.25" customHeight="1">
      <c r="A43" s="1" t="s">
        <v>123</v>
      </c>
      <c r="B43" s="180">
        <f t="shared" si="13"/>
        <v>0.12573810350816256</v>
      </c>
      <c r="C43" s="180">
        <f t="shared" si="23"/>
        <v>0.12887172442393924</v>
      </c>
      <c r="D43" s="180">
        <f t="shared" si="24"/>
        <v>0.12671110884942241</v>
      </c>
      <c r="E43" s="180">
        <f t="shared" si="25"/>
        <v>0.12128089998519762</v>
      </c>
      <c r="F43" s="180">
        <f t="shared" si="26"/>
        <v>0.12946748959379933</v>
      </c>
      <c r="G43" s="180">
        <f t="shared" si="27"/>
        <v>0.13811326922553052</v>
      </c>
      <c r="H43" s="180">
        <f t="shared" si="28"/>
        <v>0.13883016208597604</v>
      </c>
      <c r="I43" s="180">
        <f t="shared" si="29"/>
        <v>0.14477204000930449</v>
      </c>
      <c r="J43" s="180">
        <f t="shared" si="30"/>
        <v>0.15203293294986747</v>
      </c>
      <c r="K43" s="180">
        <f t="shared" si="31"/>
        <v>0.1641481643118215</v>
      </c>
    </row>
    <row r="44" spans="1:26" ht="14.25" customHeight="1">
      <c r="A44" s="1" t="s">
        <v>124</v>
      </c>
      <c r="B44" s="180">
        <f t="shared" si="13"/>
        <v>0.7184290180122066</v>
      </c>
      <c r="C44" s="180">
        <f t="shared" si="23"/>
        <v>0.69326870739483171</v>
      </c>
      <c r="D44" s="180">
        <f t="shared" si="24"/>
        <v>0.6908045392092006</v>
      </c>
      <c r="E44" s="180">
        <f t="shared" si="25"/>
        <v>0.68029308728474858</v>
      </c>
      <c r="F44" s="180">
        <f t="shared" si="26"/>
        <v>0.69484713650064589</v>
      </c>
      <c r="G44" s="180">
        <f t="shared" si="27"/>
        <v>0.6630254161104906</v>
      </c>
      <c r="H44" s="180">
        <f t="shared" si="28"/>
        <v>0.67925973588258726</v>
      </c>
      <c r="I44" s="180">
        <f t="shared" si="29"/>
        <v>0.64145731565480346</v>
      </c>
      <c r="J44" s="180">
        <f t="shared" si="30"/>
        <v>0.63009643038402974</v>
      </c>
      <c r="K44" s="180">
        <f t="shared" si="31"/>
        <v>0.6272161911516011</v>
      </c>
    </row>
    <row r="45" spans="1:26" ht="14.25" customHeight="1">
      <c r="A45" s="174" t="s">
        <v>125</v>
      </c>
      <c r="B45" s="180">
        <f t="shared" ref="B45:K45" si="32">B12/B7</f>
        <v>0.2815709819877934</v>
      </c>
      <c r="C45" s="180">
        <f t="shared" si="32"/>
        <v>0.30673129260516835</v>
      </c>
      <c r="D45" s="180">
        <f t="shared" si="32"/>
        <v>0.30919546079079946</v>
      </c>
      <c r="E45" s="180">
        <f t="shared" si="32"/>
        <v>0.31970691271525137</v>
      </c>
      <c r="F45" s="180">
        <f t="shared" si="32"/>
        <v>0.30515286349935411</v>
      </c>
      <c r="G45" s="180">
        <f t="shared" si="32"/>
        <v>0.3369745838895094</v>
      </c>
      <c r="H45" s="180">
        <f t="shared" si="32"/>
        <v>0.32074026411741274</v>
      </c>
      <c r="I45" s="180">
        <f t="shared" si="32"/>
        <v>0.35854268434519654</v>
      </c>
      <c r="J45" s="180">
        <f t="shared" si="32"/>
        <v>0.36990356961597021</v>
      </c>
      <c r="K45" s="180">
        <f t="shared" si="32"/>
        <v>0.3727838088483989</v>
      </c>
    </row>
    <row r="46" spans="1:26" ht="14.25" customHeight="1">
      <c r="A46" s="1" t="s">
        <v>126</v>
      </c>
      <c r="B46" s="180">
        <f t="shared" ref="B46:B47" si="33">B13/$B$7</f>
        <v>0</v>
      </c>
      <c r="C46" s="180">
        <f t="shared" ref="C46:C47" si="34">C13/$C$7</f>
        <v>0</v>
      </c>
      <c r="D46" s="180">
        <f t="shared" ref="D46:D47" si="35">D13/$D$7</f>
        <v>0</v>
      </c>
      <c r="E46" s="180">
        <f t="shared" ref="E46:E47" si="36">E13/$E$7</f>
        <v>0</v>
      </c>
      <c r="F46" s="180">
        <f t="shared" ref="F46:F47" si="37">F13/$F$7</f>
        <v>0</v>
      </c>
      <c r="G46" s="180">
        <f t="shared" ref="G46:G47" si="38">G13/$G$7</f>
        <v>0</v>
      </c>
      <c r="H46" s="180">
        <f t="shared" ref="H46:H47" si="39">H13/$H$7</f>
        <v>0</v>
      </c>
      <c r="I46" s="180">
        <f t="shared" ref="I46:I47" si="40">I13/$I$7</f>
        <v>3.8759013724121889E-2</v>
      </c>
      <c r="J46" s="180">
        <f t="shared" ref="J46:J47" si="41">J13/$J$7</f>
        <v>4.1673715671347207E-2</v>
      </c>
      <c r="K46" s="180">
        <f t="shared" ref="K46:K47" si="42">K13/$K$7</f>
        <v>3.9714145436691946E-2</v>
      </c>
    </row>
    <row r="47" spans="1:26" ht="14.25" customHeight="1">
      <c r="A47" s="1" t="s">
        <v>127</v>
      </c>
      <c r="B47" s="180">
        <f t="shared" si="33"/>
        <v>0.13690269438793232</v>
      </c>
      <c r="C47" s="180">
        <f t="shared" si="34"/>
        <v>0.12975298722168943</v>
      </c>
      <c r="D47" s="180">
        <f t="shared" si="35"/>
        <v>0.1391532237545163</v>
      </c>
      <c r="E47" s="180">
        <f t="shared" si="36"/>
        <v>0.14328711698820742</v>
      </c>
      <c r="F47" s="180">
        <f t="shared" si="37"/>
        <v>0.14475383952920912</v>
      </c>
      <c r="G47" s="180">
        <f t="shared" si="38"/>
        <v>0.1503446021411643</v>
      </c>
      <c r="H47" s="180">
        <f t="shared" si="39"/>
        <v>0.1462144192174526</v>
      </c>
      <c r="I47" s="180">
        <f t="shared" si="40"/>
        <v>0.13950918818329844</v>
      </c>
      <c r="J47" s="180">
        <f t="shared" si="41"/>
        <v>0.14701404161732362</v>
      </c>
      <c r="K47" s="180">
        <f t="shared" si="42"/>
        <v>0.13984507119087883</v>
      </c>
    </row>
    <row r="48" spans="1:26" ht="14.25" customHeight="1">
      <c r="A48" s="174" t="s">
        <v>128</v>
      </c>
      <c r="B48" s="180">
        <f t="shared" ref="B48:K48" si="43">B15/B7</f>
        <v>0.14466828759986106</v>
      </c>
      <c r="C48" s="180">
        <f t="shared" si="43"/>
        <v>0.17697830538347892</v>
      </c>
      <c r="D48" s="180">
        <f t="shared" si="43"/>
        <v>0.17004223703628313</v>
      </c>
      <c r="E48" s="180">
        <f t="shared" si="43"/>
        <v>0.17641979572704397</v>
      </c>
      <c r="F48" s="180">
        <f t="shared" si="43"/>
        <v>0.16039902397014497</v>
      </c>
      <c r="G48" s="180">
        <f t="shared" si="43"/>
        <v>0.18662998174834508</v>
      </c>
      <c r="H48" s="180">
        <f t="shared" si="43"/>
        <v>0.17452584489996018</v>
      </c>
      <c r="I48" s="180">
        <f t="shared" si="43"/>
        <v>0.18027448243777622</v>
      </c>
      <c r="J48" s="180">
        <f t="shared" si="43"/>
        <v>0.18121581232729939</v>
      </c>
      <c r="K48" s="180">
        <f t="shared" si="43"/>
        <v>0.19322459222082811</v>
      </c>
    </row>
    <row r="49" spans="1:20" ht="14.25" customHeight="1">
      <c r="A49" s="1" t="s">
        <v>129</v>
      </c>
      <c r="B49" s="180">
        <f>B16/$B$7</f>
        <v>-7.5671115962883942E-3</v>
      </c>
      <c r="C49" s="180">
        <f>C16/$C$7</f>
        <v>-1.7625255955003758E-3</v>
      </c>
      <c r="D49" s="180">
        <f>D16/$D$7</f>
        <v>-2.5952877716146762E-3</v>
      </c>
      <c r="E49" s="180">
        <f>E16/$E$7</f>
        <v>-1.6529333399121725E-3</v>
      </c>
      <c r="F49" s="180">
        <f>F16/$F$7</f>
        <v>-2.7486723123295535E-2</v>
      </c>
      <c r="G49" s="180">
        <f>G16/$G$7</f>
        <v>-2.901195892015582E-2</v>
      </c>
      <c r="H49" s="180">
        <f>H16/$H$7</f>
        <v>-2.068204798235132E-2</v>
      </c>
      <c r="I49" s="180">
        <f>I16/$I$7</f>
        <v>-4.0067457548267037E-2</v>
      </c>
      <c r="J49" s="180">
        <f>J16/$J$7</f>
        <v>-1.0319742852309254E-2</v>
      </c>
      <c r="K49" s="180">
        <f>K16/$K$7</f>
        <v>-2.291200698270689E-2</v>
      </c>
    </row>
    <row r="50" spans="1:20" ht="14.25" customHeight="1">
      <c r="A50" s="174" t="s">
        <v>130</v>
      </c>
      <c r="B50" s="180">
        <f t="shared" ref="B50:K50" si="44">B17/B7</f>
        <v>0.15223539919614945</v>
      </c>
      <c r="C50" s="180">
        <f t="shared" si="44"/>
        <v>0.1787408309789793</v>
      </c>
      <c r="D50" s="180">
        <f t="shared" si="44"/>
        <v>0.17263752480789782</v>
      </c>
      <c r="E50" s="180">
        <f t="shared" si="44"/>
        <v>0.17807272906695615</v>
      </c>
      <c r="F50" s="180">
        <f t="shared" si="44"/>
        <v>0.1878857470934405</v>
      </c>
      <c r="G50" s="180">
        <f t="shared" si="44"/>
        <v>0.21564194066850093</v>
      </c>
      <c r="H50" s="180">
        <f t="shared" si="44"/>
        <v>0.1952078928823115</v>
      </c>
      <c r="I50" s="180">
        <f t="shared" si="44"/>
        <v>0.22034193998604326</v>
      </c>
      <c r="J50" s="180">
        <f t="shared" si="44"/>
        <v>0.19153555517960863</v>
      </c>
      <c r="K50" s="180">
        <f t="shared" si="44"/>
        <v>0.21613659920353501</v>
      </c>
    </row>
    <row r="51" spans="1:20" ht="14.25" customHeight="1">
      <c r="A51" s="1" t="s">
        <v>131</v>
      </c>
      <c r="B51" s="180">
        <f t="shared" ref="B51:B60" si="45">B18/$B$7</f>
        <v>7.8896442217039654E-3</v>
      </c>
      <c r="C51" s="180">
        <f t="shared" ref="C51:C60" si="46">C18/$C$7</f>
        <v>8.0350431559575962E-3</v>
      </c>
      <c r="D51" s="180">
        <f t="shared" ref="D51:D60" si="47">D18/$D$7</f>
        <v>8.6000712431937298E-3</v>
      </c>
      <c r="E51" s="180">
        <f t="shared" ref="E51:E60" si="48">E18/$E$7</f>
        <v>7.7959244091380074E-3</v>
      </c>
      <c r="F51" s="180">
        <f t="shared" ref="F51:F60" si="49">F18/$F$7</f>
        <v>8.7794842352040565E-3</v>
      </c>
      <c r="G51" s="180">
        <f t="shared" ref="G51:G60" si="50">G18/$G$7</f>
        <v>9.7251355253480075E-3</v>
      </c>
      <c r="H51" s="180">
        <f t="shared" ref="H51:H60" si="51">H18/$H$7</f>
        <v>1.0999785519502404E-2</v>
      </c>
      <c r="I51" s="180">
        <f t="shared" ref="I51:I60" si="52">I18/$I$7</f>
        <v>9.9732495929285882E-3</v>
      </c>
      <c r="J51" s="180">
        <f t="shared" ref="J51:J60" si="53">J18/$J$7</f>
        <v>1.1673151750972763E-2</v>
      </c>
      <c r="K51" s="180">
        <f t="shared" ref="K51:K60" si="54">K18/$K$7</f>
        <v>2.0866292073536633E-2</v>
      </c>
    </row>
    <row r="52" spans="1:20" ht="14.25" customHeight="1">
      <c r="A52" s="1" t="s">
        <v>132</v>
      </c>
      <c r="B52" s="180">
        <f t="shared" si="45"/>
        <v>0.85565424502555454</v>
      </c>
      <c r="C52" s="180">
        <f t="shared" si="46"/>
        <v>0.8292942121769783</v>
      </c>
      <c r="D52" s="180">
        <f t="shared" si="47"/>
        <v>0.83596254643529588</v>
      </c>
      <c r="E52" s="180">
        <f t="shared" si="48"/>
        <v>0.82972319534218186</v>
      </c>
      <c r="F52" s="180">
        <f t="shared" si="49"/>
        <v>0.8208937371417635</v>
      </c>
      <c r="G52" s="180">
        <f t="shared" si="50"/>
        <v>0.79408319485684709</v>
      </c>
      <c r="H52" s="180">
        <f t="shared" si="51"/>
        <v>0.81579189263719087</v>
      </c>
      <c r="I52" s="180">
        <f t="shared" si="52"/>
        <v>0.78963130960688532</v>
      </c>
      <c r="J52" s="180">
        <f t="shared" si="53"/>
        <v>0.79194157784920771</v>
      </c>
      <c r="K52" s="180">
        <f t="shared" si="54"/>
        <v>0.80472969287000162</v>
      </c>
    </row>
    <row r="53" spans="1:20" ht="14.25" customHeight="1">
      <c r="A53" s="1" t="s">
        <v>133</v>
      </c>
      <c r="B53" s="180">
        <f t="shared" si="45"/>
        <v>0.14434575497444549</v>
      </c>
      <c r="C53" s="180">
        <f t="shared" si="46"/>
        <v>0.1707057878230217</v>
      </c>
      <c r="D53" s="180">
        <f t="shared" si="47"/>
        <v>0.16403745356470409</v>
      </c>
      <c r="E53" s="180">
        <f t="shared" si="48"/>
        <v>0.17027680465781814</v>
      </c>
      <c r="F53" s="180">
        <f t="shared" si="49"/>
        <v>0.17910626285823644</v>
      </c>
      <c r="G53" s="180">
        <f t="shared" si="50"/>
        <v>0.20591680514315291</v>
      </c>
      <c r="H53" s="180">
        <f t="shared" si="51"/>
        <v>0.18420810736280907</v>
      </c>
      <c r="I53" s="180">
        <f t="shared" si="52"/>
        <v>0.21036869039311468</v>
      </c>
      <c r="J53" s="180">
        <f t="shared" si="53"/>
        <v>0.17986240342863588</v>
      </c>
      <c r="K53" s="180">
        <f t="shared" si="54"/>
        <v>0.19527030712999838</v>
      </c>
    </row>
    <row r="54" spans="1:20" ht="14.25" customHeight="1">
      <c r="A54" s="1" t="s">
        <v>134</v>
      </c>
      <c r="B54" s="180">
        <f t="shared" si="45"/>
        <v>3.694239071106039E-2</v>
      </c>
      <c r="C54" s="180">
        <f t="shared" si="46"/>
        <v>4.5074000155516963E-2</v>
      </c>
      <c r="D54" s="180">
        <f t="shared" si="47"/>
        <v>4.0735840415246041E-2</v>
      </c>
      <c r="E54" s="180">
        <f t="shared" si="48"/>
        <v>0.12838604628213351</v>
      </c>
      <c r="F54" s="180">
        <f t="shared" si="49"/>
        <v>1.5764795942777857E-2</v>
      </c>
      <c r="G54" s="180">
        <f t="shared" si="50"/>
        <v>3.6203655779236697E-2</v>
      </c>
      <c r="H54" s="180">
        <f t="shared" si="51"/>
        <v>3.5144161534454758E-2</v>
      </c>
      <c r="I54" s="180">
        <f t="shared" si="52"/>
        <v>4.7249360316352643E-2</v>
      </c>
      <c r="J54" s="180">
        <f t="shared" si="53"/>
        <v>3.9812778435684884E-2</v>
      </c>
      <c r="K54" s="180">
        <f t="shared" si="54"/>
        <v>4.0559707599148981E-2</v>
      </c>
    </row>
    <row r="55" spans="1:20" ht="14.25" customHeight="1">
      <c r="A55" s="1" t="s">
        <v>135</v>
      </c>
      <c r="B55" s="180">
        <f t="shared" si="45"/>
        <v>0.10740336426338511</v>
      </c>
      <c r="C55" s="180">
        <f t="shared" si="46"/>
        <v>0.12563178766750474</v>
      </c>
      <c r="D55" s="180">
        <f t="shared" si="47"/>
        <v>0.12330161314945805</v>
      </c>
      <c r="E55" s="180">
        <f t="shared" si="48"/>
        <v>4.1890758375684609E-2</v>
      </c>
      <c r="F55" s="180">
        <f t="shared" si="49"/>
        <v>0.16334146691545859</v>
      </c>
      <c r="G55" s="180">
        <f t="shared" si="50"/>
        <v>0.16971314936391621</v>
      </c>
      <c r="H55" s="180">
        <f t="shared" si="51"/>
        <v>0.14906394582835433</v>
      </c>
      <c r="I55" s="180">
        <f t="shared" si="52"/>
        <v>0.16311933007676205</v>
      </c>
      <c r="J55" s="180">
        <f t="shared" si="53"/>
        <v>0.14004962499295098</v>
      </c>
      <c r="K55" s="180">
        <f t="shared" si="54"/>
        <v>0.15471059953084937</v>
      </c>
    </row>
    <row r="56" spans="1:20" ht="14.25" customHeight="1">
      <c r="A56" s="1" t="s">
        <v>136</v>
      </c>
      <c r="B56" s="180">
        <f t="shared" si="45"/>
        <v>2.2329181759539523E-3</v>
      </c>
      <c r="C56" s="180">
        <f t="shared" si="46"/>
        <v>2.0476400300666131E-3</v>
      </c>
      <c r="D56" s="180">
        <f t="shared" si="47"/>
        <v>9.4142791715434325E-4</v>
      </c>
      <c r="E56" s="180">
        <f t="shared" si="48"/>
        <v>1.0608378151675136E-3</v>
      </c>
      <c r="F56" s="180">
        <f t="shared" si="49"/>
        <v>1.5071049232094158E-3</v>
      </c>
      <c r="G56" s="180">
        <f t="shared" si="50"/>
        <v>2.3699910103789261E-3</v>
      </c>
      <c r="H56" s="180">
        <f t="shared" si="51"/>
        <v>2.635046113306983E-3</v>
      </c>
      <c r="I56" s="180">
        <f t="shared" si="52"/>
        <v>1.9772040009304491E-3</v>
      </c>
      <c r="J56" s="180">
        <f t="shared" si="53"/>
        <v>2.819601872215643E-5</v>
      </c>
      <c r="K56" s="180">
        <f t="shared" si="54"/>
        <v>3.8186678304511483E-4</v>
      </c>
    </row>
    <row r="57" spans="1:20" ht="14.25" customHeight="1">
      <c r="A57" s="1" t="s">
        <v>137</v>
      </c>
      <c r="B57" s="180">
        <f t="shared" si="45"/>
        <v>0.10517044608743115</v>
      </c>
      <c r="C57" s="180">
        <f t="shared" si="46"/>
        <v>0.12358414763743812</v>
      </c>
      <c r="D57" s="180">
        <f t="shared" si="47"/>
        <v>0.1223601852323037</v>
      </c>
      <c r="E57" s="180">
        <f t="shared" si="48"/>
        <v>4.0829920560517097E-2</v>
      </c>
      <c r="F57" s="180">
        <f t="shared" si="49"/>
        <v>0.16183436199224918</v>
      </c>
      <c r="G57" s="180">
        <f t="shared" si="50"/>
        <v>0.16734315835353727</v>
      </c>
      <c r="H57" s="180">
        <f t="shared" si="51"/>
        <v>0.14642889971504733</v>
      </c>
      <c r="I57" s="180">
        <f t="shared" si="52"/>
        <v>0.16114212607583159</v>
      </c>
      <c r="J57" s="180">
        <f t="shared" si="53"/>
        <v>0.14002142897422884</v>
      </c>
      <c r="K57" s="180">
        <f t="shared" si="54"/>
        <v>0.15432873274780426</v>
      </c>
    </row>
    <row r="58" spans="1:20" ht="14.25" customHeight="1">
      <c r="A58" s="1" t="s">
        <v>138</v>
      </c>
      <c r="B58" s="180">
        <f t="shared" si="45"/>
        <v>1.3397509055723716E-4</v>
      </c>
      <c r="C58" s="180">
        <f t="shared" si="46"/>
        <v>1.5836810865451907E-4</v>
      </c>
      <c r="D58" s="180">
        <f t="shared" si="47"/>
        <v>1.6004274591623836E-4</v>
      </c>
      <c r="E58" s="180">
        <f t="shared" si="48"/>
        <v>5.3535303695662898E-5</v>
      </c>
      <c r="F58" s="180">
        <f t="shared" si="49"/>
        <v>2.1769293335247117E-4</v>
      </c>
      <c r="G58" s="180">
        <f t="shared" si="50"/>
        <v>2.3209567136124655E-4</v>
      </c>
      <c r="H58" s="180">
        <f t="shared" si="51"/>
        <v>2.0804608266691179E-4</v>
      </c>
      <c r="I58" s="180">
        <f t="shared" si="52"/>
        <v>2.3290300069783669E-4</v>
      </c>
      <c r="J58" s="180">
        <f t="shared" si="53"/>
        <v>2.0667681723340664E-4</v>
      </c>
      <c r="K58" s="180">
        <f t="shared" si="54"/>
        <v>2.3266597566963065E-4</v>
      </c>
    </row>
    <row r="59" spans="1:20" ht="14.25" customHeight="1">
      <c r="A59" s="1" t="s">
        <v>139</v>
      </c>
      <c r="B59" s="180">
        <f t="shared" si="45"/>
        <v>1.3223837642038406E-4</v>
      </c>
      <c r="C59" s="180">
        <f t="shared" si="46"/>
        <v>1.5655374407091572E-4</v>
      </c>
      <c r="D59" s="180">
        <f t="shared" si="47"/>
        <v>1.5775278611775484E-4</v>
      </c>
      <c r="E59" s="180">
        <f t="shared" si="48"/>
        <v>5.279518428973208E-5</v>
      </c>
      <c r="F59" s="180">
        <f t="shared" si="49"/>
        <v>2.1482225730826276E-4</v>
      </c>
      <c r="G59" s="180">
        <f t="shared" si="50"/>
        <v>2.2909913100329621E-4</v>
      </c>
      <c r="H59" s="180">
        <f t="shared" si="51"/>
        <v>2.0590127769096422E-4</v>
      </c>
      <c r="I59" s="180">
        <f t="shared" si="52"/>
        <v>2.2999534775529194E-4</v>
      </c>
      <c r="J59" s="180">
        <f t="shared" si="53"/>
        <v>2.0498505611007725E-4</v>
      </c>
      <c r="K59" s="180">
        <f t="shared" si="54"/>
        <v>2.3102940374229448E-4</v>
      </c>
    </row>
    <row r="60" spans="1:20" ht="14.25" customHeight="1">
      <c r="A60" s="42" t="s">
        <v>140</v>
      </c>
      <c r="B60" s="180">
        <f t="shared" si="45"/>
        <v>4.6395077655932119E-5</v>
      </c>
      <c r="C60" s="180">
        <f t="shared" si="46"/>
        <v>5.5726912210673645E-5</v>
      </c>
      <c r="D60" s="180">
        <f t="shared" si="47"/>
        <v>6.2337794514274084E-5</v>
      </c>
      <c r="E60" s="180">
        <f t="shared" si="48"/>
        <v>6.7597572408348554E-5</v>
      </c>
      <c r="F60" s="180">
        <f t="shared" si="49"/>
        <v>0</v>
      </c>
      <c r="G60" s="180">
        <f t="shared" si="50"/>
        <v>0</v>
      </c>
      <c r="H60" s="180">
        <f t="shared" si="51"/>
        <v>0</v>
      </c>
      <c r="I60" s="180">
        <f t="shared" si="52"/>
        <v>0</v>
      </c>
      <c r="J60" s="180">
        <f t="shared" si="53"/>
        <v>0</v>
      </c>
      <c r="K60" s="180">
        <f t="shared" si="54"/>
        <v>0</v>
      </c>
    </row>
    <row r="61" spans="1:20" ht="14.25" customHeight="1">
      <c r="A61" s="1"/>
      <c r="B61" s="1"/>
      <c r="C61" s="1"/>
      <c r="D61" s="1"/>
      <c r="E61" s="1"/>
    </row>
    <row r="62" spans="1:20" ht="14.25" customHeight="1">
      <c r="A62" s="1"/>
      <c r="B62" s="1"/>
      <c r="C62" s="1"/>
      <c r="D62" s="1"/>
      <c r="E62" s="1"/>
    </row>
    <row r="63" spans="1:20" ht="14.25" customHeight="1">
      <c r="A63" s="186" t="s">
        <v>147</v>
      </c>
      <c r="B63" s="186">
        <v>2014</v>
      </c>
      <c r="C63" s="187">
        <v>2015</v>
      </c>
      <c r="D63" s="187">
        <v>2016</v>
      </c>
      <c r="E63" s="187">
        <v>2017</v>
      </c>
      <c r="F63" s="187">
        <v>2018</v>
      </c>
      <c r="G63" s="187">
        <v>2019</v>
      </c>
      <c r="H63" s="187">
        <v>2020</v>
      </c>
      <c r="I63" s="187">
        <v>2021</v>
      </c>
      <c r="J63" s="187">
        <v>2022</v>
      </c>
      <c r="K63" s="187">
        <v>2023</v>
      </c>
      <c r="L63" s="187"/>
      <c r="M63" s="187"/>
      <c r="N63" s="187"/>
      <c r="O63" s="187"/>
      <c r="P63" s="187"/>
      <c r="Q63" s="187"/>
      <c r="R63" s="187"/>
      <c r="S63" s="187"/>
      <c r="T63" s="187"/>
    </row>
    <row r="64" spans="1:20" ht="14.25" customHeight="1">
      <c r="A64" s="1" t="s">
        <v>118</v>
      </c>
      <c r="B64" s="1"/>
      <c r="C64" s="180">
        <f t="shared" ref="C64:K64" si="55">C5/B5-1</f>
        <v>-5.2564973146490557E-2</v>
      </c>
      <c r="D64" s="180">
        <f t="shared" si="55"/>
        <v>2.172992344029967E-2</v>
      </c>
      <c r="E64" s="180">
        <f t="shared" si="55"/>
        <v>3.0450864103054753E-2</v>
      </c>
      <c r="F64" s="180">
        <f t="shared" si="55"/>
        <v>1.643098059844661E-2</v>
      </c>
      <c r="G64" s="180">
        <f t="shared" si="55"/>
        <v>-0.15888334145153438</v>
      </c>
      <c r="H64" s="180">
        <f t="shared" si="55"/>
        <v>-0.10467262658800536</v>
      </c>
      <c r="I64" s="180">
        <f t="shared" si="55"/>
        <v>3.6625298136394813E-2</v>
      </c>
      <c r="J64" s="180">
        <f t="shared" si="55"/>
        <v>1.2362048122294578E-2</v>
      </c>
      <c r="K64" s="180">
        <f t="shared" si="55"/>
        <v>-7.2033898305084998E-3</v>
      </c>
    </row>
    <row r="65" spans="1:11" ht="14.25" customHeight="1">
      <c r="A65" s="1" t="s">
        <v>119</v>
      </c>
      <c r="B65" s="1"/>
      <c r="C65" s="180">
        <f t="shared" ref="C65:K65" si="56">C6/B6-1</f>
        <v>-2.7819929185635139E-3</v>
      </c>
      <c r="D65" s="180">
        <f t="shared" si="56"/>
        <v>6.8475779863048647E-3</v>
      </c>
      <c r="E65" s="180">
        <f t="shared" si="56"/>
        <v>3.4886649874055431E-2</v>
      </c>
      <c r="F65" s="180">
        <f t="shared" si="56"/>
        <v>8.9692101740294516E-2</v>
      </c>
      <c r="G65" s="180">
        <f t="shared" si="56"/>
        <v>1.4071923162832345E-2</v>
      </c>
      <c r="H65" s="180">
        <f t="shared" si="56"/>
        <v>-0.12995594713656389</v>
      </c>
      <c r="I65" s="180">
        <f t="shared" si="56"/>
        <v>0.10746835443037983</v>
      </c>
      <c r="J65" s="180">
        <f t="shared" si="56"/>
        <v>8.6524174191336067E-2</v>
      </c>
      <c r="K65" s="180">
        <f t="shared" si="56"/>
        <v>0.14548706080370288</v>
      </c>
    </row>
    <row r="66" spans="1:11" ht="14.25" customHeight="1">
      <c r="A66" s="1" t="s">
        <v>33</v>
      </c>
      <c r="B66" s="1"/>
      <c r="C66" s="180">
        <f t="shared" ref="C66:K66" si="57">C7/B7-1</f>
        <v>-4.2797598372450785E-2</v>
      </c>
      <c r="D66" s="180">
        <f t="shared" si="57"/>
        <v>1.8687955211114327E-2</v>
      </c>
      <c r="E66" s="180">
        <f t="shared" si="57"/>
        <v>3.1347005241463499E-2</v>
      </c>
      <c r="F66" s="180">
        <f t="shared" si="57"/>
        <v>3.1282380224009421E-2</v>
      </c>
      <c r="G66" s="180">
        <f t="shared" si="57"/>
        <v>-0.12183627577627865</v>
      </c>
      <c r="H66" s="180">
        <f t="shared" si="57"/>
        <v>-0.11092647579612624</v>
      </c>
      <c r="I66" s="180">
        <f t="shared" si="57"/>
        <v>5.377332475411345E-2</v>
      </c>
      <c r="J66" s="180">
        <f t="shared" si="57"/>
        <v>3.1228192602930971E-2</v>
      </c>
      <c r="K66" s="180">
        <f t="shared" si="57"/>
        <v>3.3722438391699194E-2</v>
      </c>
    </row>
    <row r="67" spans="1:11" ht="14.25" customHeight="1">
      <c r="A67" s="1" t="s">
        <v>121</v>
      </c>
      <c r="B67" s="1"/>
      <c r="C67" s="180"/>
      <c r="D67" s="180"/>
      <c r="E67" s="180"/>
      <c r="F67" s="16"/>
      <c r="G67" s="16"/>
      <c r="H67" s="16"/>
      <c r="I67" s="16"/>
      <c r="J67" s="16"/>
      <c r="K67" s="16"/>
    </row>
    <row r="68" spans="1:11" ht="14.25" customHeight="1">
      <c r="A68" s="1" t="s">
        <v>122</v>
      </c>
      <c r="B68" s="1"/>
      <c r="C68" s="180">
        <f t="shared" ref="C68:K68" si="58">C9/B9-1</f>
        <v>-8.8492611662271292E-2</v>
      </c>
      <c r="D68" s="180">
        <f t="shared" si="58"/>
        <v>1.8140068886337568E-2</v>
      </c>
      <c r="E68" s="180">
        <f t="shared" si="58"/>
        <v>2.2056833558863342E-2</v>
      </c>
      <c r="F68" s="180">
        <f t="shared" si="58"/>
        <v>4.3029259896729677E-2</v>
      </c>
      <c r="G68" s="180">
        <f t="shared" si="58"/>
        <v>-0.18469154607768468</v>
      </c>
      <c r="H68" s="180">
        <f t="shared" si="58"/>
        <v>-8.4643728268202767E-2</v>
      </c>
      <c r="I68" s="180">
        <f t="shared" si="58"/>
        <v>-3.1522848395509673E-2</v>
      </c>
      <c r="J68" s="180">
        <f t="shared" si="58"/>
        <v>-7.4347266128087508E-3</v>
      </c>
      <c r="K68" s="180">
        <f t="shared" si="58"/>
        <v>1.2975523444411774E-3</v>
      </c>
    </row>
    <row r="69" spans="1:11" ht="14.25" customHeight="1">
      <c r="A69" s="1" t="s">
        <v>123</v>
      </c>
      <c r="B69" s="1"/>
      <c r="C69" s="180">
        <f t="shared" ref="C69:K69" si="59">C10/B10-1</f>
        <v>-1.8942383583267608E-2</v>
      </c>
      <c r="D69" s="180">
        <f t="shared" si="59"/>
        <v>1.6090104585679832E-3</v>
      </c>
      <c r="E69" s="180">
        <f t="shared" si="59"/>
        <v>-1.2851405622489986E-2</v>
      </c>
      <c r="F69" s="180">
        <f t="shared" si="59"/>
        <v>0.10089503661513421</v>
      </c>
      <c r="G69" s="180">
        <f t="shared" si="59"/>
        <v>-6.3192904656319326E-2</v>
      </c>
      <c r="H69" s="180">
        <f t="shared" si="59"/>
        <v>-0.10631163708086788</v>
      </c>
      <c r="I69" s="180">
        <f t="shared" si="59"/>
        <v>9.8874420657691475E-2</v>
      </c>
      <c r="J69" s="180">
        <f t="shared" si="59"/>
        <v>8.2948383209479726E-2</v>
      </c>
      <c r="K69" s="180">
        <f t="shared" si="59"/>
        <v>0.11609792284866471</v>
      </c>
    </row>
    <row r="70" spans="1:11" ht="14.25" customHeight="1">
      <c r="A70" s="1" t="s">
        <v>124</v>
      </c>
      <c r="B70" s="1"/>
      <c r="C70" s="180">
        <f t="shared" ref="C70:K70" si="60">C11/B11-1</f>
        <v>-7.6320060779776933E-2</v>
      </c>
      <c r="D70" s="180">
        <f t="shared" si="60"/>
        <v>1.5067110330130529E-2</v>
      </c>
      <c r="E70" s="180">
        <f t="shared" si="60"/>
        <v>1.5653775322283625E-2</v>
      </c>
      <c r="F70" s="180">
        <f t="shared" si="60"/>
        <v>5.3345421577515761E-2</v>
      </c>
      <c r="G70" s="180">
        <f t="shared" si="60"/>
        <v>-0.16205329477380703</v>
      </c>
      <c r="H70" s="180">
        <f t="shared" si="60"/>
        <v>-8.915731952832906E-2</v>
      </c>
      <c r="I70" s="180">
        <f t="shared" si="60"/>
        <v>-4.8716676440073714E-3</v>
      </c>
      <c r="J70" s="180">
        <f t="shared" si="60"/>
        <v>1.2964054213317588E-2</v>
      </c>
      <c r="K70" s="180">
        <f t="shared" si="60"/>
        <v>2.8997180829641644E-2</v>
      </c>
    </row>
    <row r="71" spans="1:11" ht="14.25" customHeight="1">
      <c r="A71" s="174" t="s">
        <v>125</v>
      </c>
      <c r="B71" s="1"/>
      <c r="C71" s="180">
        <f t="shared" ref="C71:K71" si="61">C12/B12-1</f>
        <v>4.2735042735042805E-2</v>
      </c>
      <c r="D71" s="180">
        <f t="shared" si="61"/>
        <v>2.6871725536589564E-2</v>
      </c>
      <c r="E71" s="180">
        <f t="shared" si="61"/>
        <v>6.6408821593153311E-2</v>
      </c>
      <c r="F71" s="180">
        <f t="shared" si="61"/>
        <v>-1.5664788949764641E-2</v>
      </c>
      <c r="G71" s="180">
        <f t="shared" si="61"/>
        <v>-3.0260269677014784E-2</v>
      </c>
      <c r="H71" s="180">
        <f t="shared" si="61"/>
        <v>-0.15375909458367021</v>
      </c>
      <c r="I71" s="180">
        <f t="shared" si="61"/>
        <v>0.17797095911348881</v>
      </c>
      <c r="J71" s="180">
        <f t="shared" si="61"/>
        <v>6.3903981834401158E-2</v>
      </c>
      <c r="K71" s="180">
        <f t="shared" si="61"/>
        <v>4.177147648448809E-2</v>
      </c>
    </row>
    <row r="72" spans="1:11" ht="14.25" customHeight="1">
      <c r="A72" s="1" t="s">
        <v>126</v>
      </c>
      <c r="B72" s="1"/>
      <c r="C72" s="180"/>
      <c r="D72" s="180"/>
      <c r="E72" s="180"/>
      <c r="F72" s="180"/>
      <c r="G72" s="180"/>
      <c r="H72" s="180"/>
      <c r="I72" s="180"/>
      <c r="J72" s="180">
        <f t="shared" ref="J72:K72" si="62">J13/I13-1</f>
        <v>0.10877719429857469</v>
      </c>
      <c r="K72" s="180">
        <f t="shared" si="62"/>
        <v>-1.4884979702300405E-2</v>
      </c>
    </row>
    <row r="73" spans="1:11" ht="14.25" customHeight="1">
      <c r="A73" s="1" t="s">
        <v>127</v>
      </c>
      <c r="B73" s="1"/>
      <c r="C73" s="180">
        <f t="shared" ref="C73:K73" si="63">C14/B14-1</f>
        <v>-9.2787241754258787E-2</v>
      </c>
      <c r="D73" s="180">
        <f t="shared" si="63"/>
        <v>9.2489013184178903E-2</v>
      </c>
      <c r="E73" s="180">
        <f t="shared" si="63"/>
        <v>6.1985737794843621E-2</v>
      </c>
      <c r="F73" s="180">
        <f t="shared" si="63"/>
        <v>4.1838842975206569E-2</v>
      </c>
      <c r="G73" s="180">
        <f t="shared" si="63"/>
        <v>-8.7919352173194465E-2</v>
      </c>
      <c r="H73" s="180">
        <f t="shared" si="63"/>
        <v>-0.13535060699402068</v>
      </c>
      <c r="I73" s="180">
        <f t="shared" si="63"/>
        <v>5.4484492875104262E-3</v>
      </c>
      <c r="J73" s="180">
        <f t="shared" si="63"/>
        <v>8.6702792830345876E-2</v>
      </c>
      <c r="K73" s="180">
        <f t="shared" si="63"/>
        <v>-1.6685845799769838E-2</v>
      </c>
    </row>
    <row r="74" spans="1:11" ht="14.25" customHeight="1">
      <c r="A74" s="174" t="s">
        <v>128</v>
      </c>
      <c r="B74" s="1"/>
      <c r="C74" s="180">
        <f t="shared" ref="C74:K74" si="64">C15/B15-1</f>
        <v>0.17098267878579998</v>
      </c>
      <c r="D74" s="180">
        <f t="shared" si="64"/>
        <v>-2.1236086701816093E-2</v>
      </c>
      <c r="E74" s="180">
        <f t="shared" si="64"/>
        <v>7.0028430345653092E-2</v>
      </c>
      <c r="F74" s="180">
        <f t="shared" si="64"/>
        <v>-6.2368899454621762E-2</v>
      </c>
      <c r="G74" s="180">
        <f t="shared" si="64"/>
        <v>2.1774794929157348E-2</v>
      </c>
      <c r="H74" s="180">
        <f t="shared" si="64"/>
        <v>-0.16858852722230333</v>
      </c>
      <c r="I74" s="180">
        <f t="shared" si="64"/>
        <v>8.8483146067415808E-2</v>
      </c>
      <c r="J74" s="180">
        <f t="shared" si="64"/>
        <v>3.6612903225806459E-2</v>
      </c>
      <c r="K74" s="180">
        <f t="shared" si="64"/>
        <v>0.10222498833048088</v>
      </c>
    </row>
    <row r="75" spans="1:11" ht="14.25" customHeight="1">
      <c r="A75" s="1" t="s">
        <v>129</v>
      </c>
      <c r="B75" s="1"/>
      <c r="C75" s="180">
        <f t="shared" ref="C75:K75" si="65">C16/B16-1</f>
        <v>-0.77704918032786885</v>
      </c>
      <c r="D75" s="180">
        <f t="shared" si="65"/>
        <v>0.5</v>
      </c>
      <c r="E75" s="180">
        <f t="shared" si="65"/>
        <v>-0.34313725490196079</v>
      </c>
      <c r="F75" s="180">
        <f t="shared" si="65"/>
        <v>16.149253731343283</v>
      </c>
      <c r="G75" s="180">
        <f t="shared" si="65"/>
        <v>-7.3107049608355124E-2</v>
      </c>
      <c r="H75" s="180">
        <f t="shared" si="65"/>
        <v>-0.36619718309859151</v>
      </c>
      <c r="I75" s="180">
        <f t="shared" si="65"/>
        <v>1.0414814814814815</v>
      </c>
      <c r="J75" s="180">
        <f t="shared" si="65"/>
        <v>-0.73439767779390419</v>
      </c>
      <c r="K75" s="180">
        <f t="shared" si="65"/>
        <v>1.2950819672131146</v>
      </c>
    </row>
    <row r="76" spans="1:11" ht="14.25" customHeight="1">
      <c r="A76" s="174" t="s">
        <v>130</v>
      </c>
      <c r="B76" s="1"/>
      <c r="C76" s="180">
        <f t="shared" ref="C76:K76" si="66">C17/B17-1</f>
        <v>0.12385919165580184</v>
      </c>
      <c r="D76" s="180">
        <f t="shared" si="66"/>
        <v>-1.6096287703016188E-2</v>
      </c>
      <c r="E76" s="180">
        <f t="shared" si="66"/>
        <v>6.3817243920412769E-2</v>
      </c>
      <c r="F76" s="180">
        <f t="shared" si="66"/>
        <v>8.8113050706566831E-2</v>
      </c>
      <c r="G76" s="180">
        <f t="shared" si="66"/>
        <v>7.8940667175961821E-3</v>
      </c>
      <c r="H76" s="180">
        <f t="shared" si="66"/>
        <v>-0.19517433046993427</v>
      </c>
      <c r="I76" s="180">
        <f t="shared" si="66"/>
        <v>0.18945220530528961</v>
      </c>
      <c r="J76" s="180">
        <f t="shared" si="66"/>
        <v>-0.10358933755608335</v>
      </c>
      <c r="K76" s="180">
        <f t="shared" si="66"/>
        <v>0.16649492124245557</v>
      </c>
    </row>
    <row r="77" spans="1:11" ht="14.25" customHeight="1">
      <c r="A77" s="1" t="s">
        <v>131</v>
      </c>
      <c r="B77" s="1"/>
      <c r="C77" s="180">
        <f t="shared" ref="C77:K77" si="67">C18/B18-1</f>
        <v>-2.515723270440251E-2</v>
      </c>
      <c r="D77" s="180">
        <f t="shared" si="67"/>
        <v>9.0322580645161299E-2</v>
      </c>
      <c r="E77" s="180">
        <f t="shared" si="67"/>
        <v>-6.5088757396449703E-2</v>
      </c>
      <c r="F77" s="180">
        <f t="shared" si="67"/>
        <v>0.16139240506329111</v>
      </c>
      <c r="G77" s="180">
        <f t="shared" si="67"/>
        <v>-2.7247956403269713E-2</v>
      </c>
      <c r="H77" s="180">
        <f t="shared" si="67"/>
        <v>5.6022408963585235E-3</v>
      </c>
      <c r="I77" s="180">
        <f t="shared" si="67"/>
        <v>-4.4568245125348183E-2</v>
      </c>
      <c r="J77" s="180">
        <f t="shared" si="67"/>
        <v>0.20699708454810506</v>
      </c>
      <c r="K77" s="180">
        <f t="shared" si="67"/>
        <v>0.84782608695652173</v>
      </c>
    </row>
    <row r="78" spans="1:11" ht="14.25" customHeight="1">
      <c r="A78" s="1" t="s">
        <v>132</v>
      </c>
      <c r="B78" s="1"/>
      <c r="C78" s="180">
        <f t="shared" ref="C78:K78" si="68">C19/B19-1</f>
        <v>-7.2286012526096011E-2</v>
      </c>
      <c r="D78" s="180">
        <f t="shared" si="68"/>
        <v>2.6879199874980442E-2</v>
      </c>
      <c r="E78" s="180">
        <f t="shared" si="68"/>
        <v>2.3649368437071994E-2</v>
      </c>
      <c r="F78" s="180">
        <f t="shared" si="68"/>
        <v>2.0308039961941082E-2</v>
      </c>
      <c r="G78" s="180">
        <f t="shared" si="68"/>
        <v>-0.15051726650152997</v>
      </c>
      <c r="H78" s="180">
        <f t="shared" si="68"/>
        <v>-8.6620926243567764E-2</v>
      </c>
      <c r="I78" s="180">
        <f t="shared" si="68"/>
        <v>1.9981220657276921E-2</v>
      </c>
      <c r="J78" s="180">
        <f t="shared" si="68"/>
        <v>3.4245314283610107E-2</v>
      </c>
      <c r="K78" s="180">
        <f t="shared" si="68"/>
        <v>5.0414782639655265E-2</v>
      </c>
    </row>
    <row r="79" spans="1:11" ht="14.25" customHeight="1">
      <c r="A79" s="1" t="s">
        <v>133</v>
      </c>
      <c r="B79" s="1"/>
      <c r="C79" s="180">
        <f t="shared" ref="C79:K79" si="69">C20/B20-1</f>
        <v>0.13200412512891035</v>
      </c>
      <c r="D79" s="180">
        <f t="shared" si="69"/>
        <v>-2.1105375037959284E-2</v>
      </c>
      <c r="E79" s="180">
        <f t="shared" si="69"/>
        <v>7.0575461454940314E-2</v>
      </c>
      <c r="F79" s="180">
        <f t="shared" si="69"/>
        <v>8.4758041147493524E-2</v>
      </c>
      <c r="G79" s="180">
        <f t="shared" si="69"/>
        <v>9.6166688927474819E-3</v>
      </c>
      <c r="H79" s="180">
        <f t="shared" si="69"/>
        <v>-0.20465670062177532</v>
      </c>
      <c r="I79" s="180">
        <f t="shared" si="69"/>
        <v>0.20342648037258826</v>
      </c>
      <c r="J79" s="180">
        <f t="shared" si="69"/>
        <v>-0.11831375259156873</v>
      </c>
      <c r="K79" s="180">
        <f t="shared" si="69"/>
        <v>0.12227621884307882</v>
      </c>
    </row>
    <row r="80" spans="1:11" ht="14.25" customHeight="1">
      <c r="A80" s="1" t="s">
        <v>134</v>
      </c>
      <c r="B80" s="1"/>
      <c r="C80" s="180">
        <f t="shared" ref="C80:K80" si="70">C21/B21-1</f>
        <v>0.167897918065816</v>
      </c>
      <c r="D80" s="180">
        <f t="shared" si="70"/>
        <v>-7.9355951696377214E-2</v>
      </c>
      <c r="E80" s="180">
        <f t="shared" si="70"/>
        <v>2.2504684572142413</v>
      </c>
      <c r="F80" s="180">
        <f t="shared" si="70"/>
        <v>-0.87336664104534978</v>
      </c>
      <c r="G80" s="180">
        <f t="shared" si="70"/>
        <v>1.0166919575113811</v>
      </c>
      <c r="H80" s="180">
        <f t="shared" si="70"/>
        <v>-0.13694507148231749</v>
      </c>
      <c r="I80" s="180">
        <f t="shared" si="70"/>
        <v>0.41673931996512636</v>
      </c>
      <c r="J80" s="180">
        <f t="shared" si="70"/>
        <v>-0.13107692307692309</v>
      </c>
      <c r="K80" s="180">
        <f t="shared" si="70"/>
        <v>5.311614730878178E-2</v>
      </c>
    </row>
    <row r="81" spans="1:25" ht="14.25" customHeight="1">
      <c r="A81" s="1" t="s">
        <v>135</v>
      </c>
      <c r="B81" s="1"/>
      <c r="C81" s="180">
        <f t="shared" ref="C81:K81" si="71">C22/B22-1</f>
        <v>0.11965811965811968</v>
      </c>
      <c r="D81" s="180">
        <f t="shared" si="71"/>
        <v>-2.0631318341246541E-4</v>
      </c>
      <c r="E81" s="180">
        <f t="shared" si="71"/>
        <v>-0.64960792406108125</v>
      </c>
      <c r="F81" s="180">
        <f t="shared" si="71"/>
        <v>3.021201413427562</v>
      </c>
      <c r="G81" s="180">
        <f t="shared" si="71"/>
        <v>-8.7580550673696522E-2</v>
      </c>
      <c r="H81" s="180">
        <f t="shared" si="71"/>
        <v>-0.2191011235955056</v>
      </c>
      <c r="I81" s="180">
        <f t="shared" si="71"/>
        <v>0.1531346351490237</v>
      </c>
      <c r="J81" s="180">
        <f t="shared" si="71"/>
        <v>-0.11461675579322639</v>
      </c>
      <c r="K81" s="180">
        <f t="shared" si="71"/>
        <v>0.14193678276625721</v>
      </c>
    </row>
    <row r="82" spans="1:25" ht="14.25" customHeight="1">
      <c r="A82" s="1" t="s">
        <v>136</v>
      </c>
      <c r="B82" s="1"/>
      <c r="C82" s="180">
        <f t="shared" ref="C82:K82" si="72">C23/B23-1</f>
        <v>-0.12222222222222223</v>
      </c>
      <c r="D82" s="180">
        <f t="shared" si="72"/>
        <v>-0.53164556962025311</v>
      </c>
      <c r="E82" s="180">
        <f t="shared" si="72"/>
        <v>0.16216216216216206</v>
      </c>
      <c r="F82" s="180">
        <f t="shared" si="72"/>
        <v>0.46511627906976738</v>
      </c>
      <c r="G82" s="180">
        <f t="shared" si="72"/>
        <v>0.38095238095238093</v>
      </c>
      <c r="H82" s="180">
        <f t="shared" si="72"/>
        <v>-1.1494252873563204E-2</v>
      </c>
      <c r="I82" s="180">
        <f t="shared" si="72"/>
        <v>-0.20930232558139539</v>
      </c>
      <c r="J82" s="180">
        <f t="shared" si="72"/>
        <v>-0.98529411764705888</v>
      </c>
      <c r="K82" s="180">
        <f t="shared" si="72"/>
        <v>13</v>
      </c>
    </row>
    <row r="83" spans="1:25" ht="14.25" customHeight="1">
      <c r="A83" s="1" t="s">
        <v>137</v>
      </c>
      <c r="B83" s="1"/>
      <c r="C83" s="180">
        <f t="shared" ref="C83:K83" si="73">C24/B24-1</f>
        <v>0.1247935833923095</v>
      </c>
      <c r="D83" s="180">
        <f t="shared" si="73"/>
        <v>8.5989932885905951E-3</v>
      </c>
      <c r="E83" s="180">
        <f t="shared" si="73"/>
        <v>-0.6558536078186733</v>
      </c>
      <c r="F83" s="180">
        <f t="shared" si="73"/>
        <v>3.0876132930513593</v>
      </c>
      <c r="G83" s="180">
        <f t="shared" si="73"/>
        <v>-9.194382852919436E-2</v>
      </c>
      <c r="H83" s="180">
        <f t="shared" si="73"/>
        <v>-0.22204134787563079</v>
      </c>
      <c r="I83" s="180">
        <f t="shared" si="73"/>
        <v>0.15965683197321612</v>
      </c>
      <c r="J83" s="180">
        <f t="shared" si="73"/>
        <v>-0.10393359797906898</v>
      </c>
      <c r="K83" s="180">
        <f t="shared" si="73"/>
        <v>0.13934756343133303</v>
      </c>
    </row>
    <row r="84" spans="1:25" ht="14.25" customHeight="1">
      <c r="A84" s="1" t="s">
        <v>138</v>
      </c>
      <c r="B84" s="1"/>
      <c r="C84" s="180">
        <f t="shared" ref="C84:K84" si="74">C25/B25-1</f>
        <v>0.13148148148148153</v>
      </c>
      <c r="D84" s="180">
        <f t="shared" si="74"/>
        <v>2.9459901800327204E-2</v>
      </c>
      <c r="E84" s="180">
        <f t="shared" si="74"/>
        <v>-0.65500794912559623</v>
      </c>
      <c r="F84" s="180">
        <f t="shared" si="74"/>
        <v>3.193548387096774</v>
      </c>
      <c r="G84" s="180">
        <f t="shared" si="74"/>
        <v>-6.3736263736263732E-2</v>
      </c>
      <c r="H84" s="180">
        <f t="shared" si="74"/>
        <v>-0.20305164319248825</v>
      </c>
      <c r="I84" s="180">
        <f t="shared" si="74"/>
        <v>0.17967599410898383</v>
      </c>
      <c r="J84" s="180">
        <f t="shared" si="74"/>
        <v>-8.4893882646691621E-2</v>
      </c>
      <c r="K84" s="180">
        <f t="shared" si="74"/>
        <v>0.16371077762619368</v>
      </c>
    </row>
    <row r="85" spans="1:25" ht="14.25" customHeight="1">
      <c r="A85" s="1" t="s">
        <v>139</v>
      </c>
      <c r="B85" s="1"/>
      <c r="C85" s="180">
        <f t="shared" ref="C85:K85" si="75">C26/B26-1</f>
        <v>0.13320825515947465</v>
      </c>
      <c r="D85" s="180">
        <f t="shared" si="75"/>
        <v>2.6490066225165476E-2</v>
      </c>
      <c r="E85" s="180">
        <f t="shared" si="75"/>
        <v>-0.65483870967741931</v>
      </c>
      <c r="F85" s="180">
        <f t="shared" si="75"/>
        <v>3.1962616822429908</v>
      </c>
      <c r="G85" s="180">
        <f t="shared" si="75"/>
        <v>-6.3474387527839626E-2</v>
      </c>
      <c r="H85" s="180">
        <f t="shared" si="75"/>
        <v>-0.20095124851367419</v>
      </c>
      <c r="I85" s="180">
        <f t="shared" si="75"/>
        <v>0.17708333333333348</v>
      </c>
      <c r="J85" s="180">
        <f t="shared" si="75"/>
        <v>-8.0910240202275663E-2</v>
      </c>
      <c r="K85" s="180">
        <f t="shared" si="75"/>
        <v>0.16506189821182948</v>
      </c>
    </row>
    <row r="86" spans="1:25" ht="14.25" customHeight="1">
      <c r="A86" s="42" t="s">
        <v>140</v>
      </c>
      <c r="B86" s="1"/>
      <c r="C86" s="180">
        <f t="shared" ref="C86:F86" si="76">C27/B27-1</f>
        <v>0.14973262032085555</v>
      </c>
      <c r="D86" s="180">
        <f t="shared" si="76"/>
        <v>0.13953488372093026</v>
      </c>
      <c r="E86" s="180">
        <f t="shared" si="76"/>
        <v>0.1183673469387756</v>
      </c>
      <c r="F86" s="180">
        <f t="shared" si="76"/>
        <v>-1</v>
      </c>
      <c r="G86" s="180"/>
      <c r="H86" s="180"/>
      <c r="I86" s="180"/>
      <c r="J86" s="180"/>
      <c r="K86" s="180"/>
    </row>
    <row r="87" spans="1:25" ht="14.25" customHeight="1">
      <c r="A87" s="1"/>
      <c r="B87" s="1"/>
      <c r="C87" s="1"/>
      <c r="D87" s="1"/>
      <c r="E87" s="1"/>
    </row>
    <row r="88" spans="1:25" ht="14.25" customHeight="1">
      <c r="A88" s="1"/>
      <c r="B88" s="1"/>
      <c r="C88" s="1"/>
      <c r="D88" s="1"/>
      <c r="E88" s="1"/>
    </row>
    <row r="89" spans="1:25" ht="14.25" customHeight="1">
      <c r="A89" s="188" t="s">
        <v>34</v>
      </c>
      <c r="B89" s="188"/>
      <c r="C89" s="4">
        <v>2014</v>
      </c>
      <c r="D89" s="4">
        <v>2015</v>
      </c>
      <c r="E89" s="4">
        <v>2016</v>
      </c>
      <c r="F89" s="4">
        <v>2017</v>
      </c>
      <c r="G89" s="4">
        <v>2018</v>
      </c>
      <c r="H89" s="4">
        <v>2019</v>
      </c>
      <c r="I89" s="4">
        <v>2020</v>
      </c>
      <c r="J89" s="4">
        <v>2021</v>
      </c>
      <c r="K89" s="4">
        <v>2022</v>
      </c>
      <c r="L89" s="4">
        <v>2023</v>
      </c>
      <c r="M89" s="4">
        <v>2024</v>
      </c>
      <c r="N89" s="4">
        <v>2025</v>
      </c>
      <c r="O89" s="4">
        <v>2026</v>
      </c>
      <c r="P89" s="4">
        <v>2027</v>
      </c>
      <c r="Q89" s="4">
        <v>2028</v>
      </c>
      <c r="R89" s="7"/>
      <c r="S89" s="7"/>
      <c r="T89" s="189"/>
      <c r="U89" s="6"/>
      <c r="V89" s="6"/>
      <c r="W89" s="6"/>
      <c r="X89" s="6"/>
      <c r="Y89" s="6"/>
    </row>
    <row r="90" spans="1:25" ht="14.25" customHeight="1">
      <c r="A90" s="1" t="s">
        <v>122</v>
      </c>
      <c r="B90" s="1"/>
      <c r="C90" s="180">
        <f t="shared" ref="C90:L90" si="77">B9/B7</f>
        <v>0.5926909145040441</v>
      </c>
      <c r="D90" s="180">
        <f t="shared" si="77"/>
        <v>0.56439698297089236</v>
      </c>
      <c r="E90" s="180">
        <f t="shared" si="77"/>
        <v>0.5640934303597781</v>
      </c>
      <c r="F90" s="180">
        <f t="shared" si="77"/>
        <v>0.55901218729955104</v>
      </c>
      <c r="G90" s="180">
        <f t="shared" si="77"/>
        <v>0.56537964690684661</v>
      </c>
      <c r="H90" s="180">
        <f t="shared" si="77"/>
        <v>0.52491214688496013</v>
      </c>
      <c r="I90" s="180">
        <f t="shared" si="77"/>
        <v>0.54042957379661116</v>
      </c>
      <c r="J90" s="180">
        <f t="shared" si="77"/>
        <v>0.49668527564549897</v>
      </c>
      <c r="K90" s="180">
        <f t="shared" si="77"/>
        <v>0.47806349743416232</v>
      </c>
      <c r="L90" s="180">
        <f t="shared" si="77"/>
        <v>0.4630680268397796</v>
      </c>
      <c r="M90" s="20">
        <v>0.45</v>
      </c>
      <c r="N90" s="18">
        <v>0.44</v>
      </c>
      <c r="O90" s="18">
        <v>0.44</v>
      </c>
      <c r="P90" s="18">
        <v>0.44</v>
      </c>
      <c r="Q90" s="18">
        <v>0.44</v>
      </c>
    </row>
    <row r="91" spans="1:25" ht="14.25" customHeight="1">
      <c r="A91" s="1"/>
      <c r="B91" s="1"/>
      <c r="C91" s="180"/>
      <c r="D91" s="180"/>
      <c r="E91" s="180"/>
      <c r="F91" s="180"/>
      <c r="G91" s="180"/>
      <c r="H91" s="180"/>
      <c r="I91" s="180"/>
      <c r="J91" s="180"/>
      <c r="K91" s="180"/>
      <c r="L91" s="180"/>
      <c r="M91" s="20">
        <f>CHOOSE(Cover!$H$5,'Income Statement'!M92,'Income Statement'!M93,'Income Statement'!M94)</f>
        <v>0.43</v>
      </c>
      <c r="N91" s="20">
        <f>CHOOSE(Cover!$H$5,'Income Statement'!N92,'Income Statement'!N93,'Income Statement'!N94)</f>
        <v>0.45</v>
      </c>
      <c r="O91" s="20">
        <f>CHOOSE(Cover!$H$5,'Income Statement'!O92,'Income Statement'!O93,'Income Statement'!O94)</f>
        <v>0.45</v>
      </c>
      <c r="P91" s="20">
        <f>CHOOSE(Cover!$H$5,'Income Statement'!P92,'Income Statement'!P93,'Income Statement'!P94)</f>
        <v>0.45</v>
      </c>
      <c r="Q91" s="20">
        <f>CHOOSE(Cover!$H$5,'Income Statement'!Q92,'Income Statement'!Q93,'Income Statement'!Q94)</f>
        <v>0.45</v>
      </c>
    </row>
    <row r="92" spans="1:25" ht="14.25" customHeight="1">
      <c r="A92" s="171" t="s">
        <v>400</v>
      </c>
      <c r="B92" s="1"/>
      <c r="C92" s="180"/>
      <c r="D92" s="180"/>
      <c r="E92" s="180"/>
      <c r="F92" s="180"/>
      <c r="G92" s="180"/>
      <c r="H92" s="180"/>
      <c r="I92" s="180"/>
      <c r="J92" s="180"/>
      <c r="K92" s="180"/>
      <c r="L92" s="180"/>
      <c r="M92" s="20">
        <v>0.44</v>
      </c>
      <c r="N92" s="18">
        <v>0.43</v>
      </c>
      <c r="O92" s="18">
        <v>0.43</v>
      </c>
      <c r="P92" s="18">
        <v>0.43</v>
      </c>
      <c r="Q92" s="18">
        <v>0.43</v>
      </c>
    </row>
    <row r="93" spans="1:25" ht="14.25" customHeight="1">
      <c r="A93" s="171" t="s">
        <v>401</v>
      </c>
      <c r="B93" s="1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20">
        <f>M90</f>
        <v>0.45</v>
      </c>
      <c r="N93" s="20">
        <f t="shared" ref="N93:P93" si="78">N90</f>
        <v>0.44</v>
      </c>
      <c r="O93" s="20">
        <f t="shared" si="78"/>
        <v>0.44</v>
      </c>
      <c r="P93" s="20">
        <f t="shared" si="78"/>
        <v>0.44</v>
      </c>
      <c r="Q93" s="20">
        <f>Q90</f>
        <v>0.44</v>
      </c>
    </row>
    <row r="94" spans="1:25" ht="14.25" customHeight="1">
      <c r="A94" s="171" t="s">
        <v>402</v>
      </c>
      <c r="B94" s="1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20">
        <v>0.43</v>
      </c>
      <c r="N94" s="18">
        <v>0.45</v>
      </c>
      <c r="O94" s="18">
        <v>0.45</v>
      </c>
      <c r="P94" s="18">
        <v>0.45</v>
      </c>
      <c r="Q94" s="18">
        <v>0.45</v>
      </c>
    </row>
    <row r="95" spans="1:25" ht="14.25" customHeight="1">
      <c r="A95" s="1" t="s">
        <v>123</v>
      </c>
      <c r="B95" s="1"/>
      <c r="C95" s="180">
        <f t="shared" ref="C95:L95" si="79">B10/B7</f>
        <v>0.12573810350816256</v>
      </c>
      <c r="D95" s="180">
        <f t="shared" si="79"/>
        <v>0.12887172442393924</v>
      </c>
      <c r="E95" s="180">
        <f t="shared" si="79"/>
        <v>0.12671110884942241</v>
      </c>
      <c r="F95" s="180">
        <f t="shared" si="79"/>
        <v>0.12128089998519762</v>
      </c>
      <c r="G95" s="180">
        <f t="shared" si="79"/>
        <v>0.12946748959379933</v>
      </c>
      <c r="H95" s="180">
        <f t="shared" si="79"/>
        <v>0.13811326922553052</v>
      </c>
      <c r="I95" s="180">
        <f t="shared" si="79"/>
        <v>0.13883016208597604</v>
      </c>
      <c r="J95" s="180">
        <f t="shared" si="79"/>
        <v>0.14477204000930449</v>
      </c>
      <c r="K95" s="180">
        <f t="shared" si="79"/>
        <v>0.15203293294986747</v>
      </c>
      <c r="L95" s="180">
        <f t="shared" si="79"/>
        <v>0.1641481643118215</v>
      </c>
      <c r="M95" s="16">
        <f>L95-K95+L95</f>
        <v>0.17626339567377552</v>
      </c>
      <c r="N95" s="20">
        <v>0.18</v>
      </c>
      <c r="O95" s="16">
        <f>N95-M95+N95</f>
        <v>0.18373660432622446</v>
      </c>
      <c r="P95" s="20">
        <v>0.185</v>
      </c>
      <c r="Q95" s="16">
        <f>P95-O95+P95</f>
        <v>0.18626339567377553</v>
      </c>
    </row>
    <row r="96" spans="1:25" ht="14.25" customHeight="1">
      <c r="A96" s="1"/>
      <c r="B96" s="1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6">
        <f>CHOOSE(Cover!$N$5,'Income Statement'!M97,'Income Statement'!M98,'Income Statement'!M99)</f>
        <v>0.18629999999999999</v>
      </c>
      <c r="N96" s="16">
        <f>CHOOSE(Cover!$N$5,'Income Statement'!N97,'Income Statement'!N98,'Income Statement'!N99)</f>
        <v>0.19</v>
      </c>
      <c r="O96" s="16">
        <f>CHOOSE(Cover!$N$5,'Income Statement'!O97,'Income Statement'!O98,'Income Statement'!O99)</f>
        <v>0.19370000000000001</v>
      </c>
      <c r="P96" s="16">
        <f>CHOOSE(Cover!$N$5,'Income Statement'!P97,'Income Statement'!P98,'Income Statement'!P99)</f>
        <v>0.19500000000000001</v>
      </c>
      <c r="Q96" s="16">
        <f>CHOOSE(Cover!$N$5,'Income Statement'!Q97,'Income Statement'!Q98,'Income Statement'!Q99)</f>
        <v>0.1963</v>
      </c>
    </row>
    <row r="97" spans="1:17" ht="14.25" customHeight="1">
      <c r="A97" s="171" t="s">
        <v>400</v>
      </c>
      <c r="B97" s="1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6">
        <v>0.1663</v>
      </c>
      <c r="N97" s="20">
        <v>0.17</v>
      </c>
      <c r="O97" s="16">
        <v>0.17369999999999999</v>
      </c>
      <c r="P97" s="20">
        <v>0.17499999999999999</v>
      </c>
      <c r="Q97" s="16">
        <v>0.17630000000000001</v>
      </c>
    </row>
    <row r="98" spans="1:17" ht="14.25" customHeight="1">
      <c r="A98" s="171" t="s">
        <v>401</v>
      </c>
      <c r="B98" s="1"/>
      <c r="C98" s="180"/>
      <c r="D98" s="180"/>
      <c r="E98" s="180"/>
      <c r="F98" s="180"/>
      <c r="G98" s="180"/>
      <c r="H98" s="180"/>
      <c r="I98" s="180"/>
      <c r="J98" s="180"/>
      <c r="K98" s="180"/>
      <c r="L98" s="180"/>
      <c r="M98" s="16">
        <f>M95</f>
        <v>0.17626339567377552</v>
      </c>
      <c r="N98" s="16">
        <f t="shared" ref="N98:Q98" si="80">N95</f>
        <v>0.18</v>
      </c>
      <c r="O98" s="16">
        <f t="shared" si="80"/>
        <v>0.18373660432622446</v>
      </c>
      <c r="P98" s="16">
        <f t="shared" si="80"/>
        <v>0.185</v>
      </c>
      <c r="Q98" s="16">
        <f t="shared" si="80"/>
        <v>0.18626339567377553</v>
      </c>
    </row>
    <row r="99" spans="1:17" ht="14.25" customHeight="1">
      <c r="A99" s="171" t="s">
        <v>402</v>
      </c>
      <c r="B99" s="1"/>
      <c r="C99" s="180"/>
      <c r="D99" s="180"/>
      <c r="E99" s="180"/>
      <c r="F99" s="180"/>
      <c r="G99" s="180"/>
      <c r="H99" s="180"/>
      <c r="I99" s="180"/>
      <c r="J99" s="180"/>
      <c r="K99" s="180"/>
      <c r="L99" s="180"/>
      <c r="M99" s="16">
        <v>0.18629999999999999</v>
      </c>
      <c r="N99" s="20">
        <v>0.19</v>
      </c>
      <c r="O99" s="16">
        <v>0.19370000000000001</v>
      </c>
      <c r="P99" s="20">
        <v>0.19500000000000001</v>
      </c>
      <c r="Q99" s="16">
        <v>0.1963</v>
      </c>
    </row>
    <row r="100" spans="1:17" ht="14.25" customHeight="1">
      <c r="A100" s="1" t="s">
        <v>126</v>
      </c>
      <c r="B100" s="1"/>
      <c r="C100" s="180">
        <f t="shared" ref="C100:L100" si="81">B13/B7</f>
        <v>0</v>
      </c>
      <c r="D100" s="180">
        <f t="shared" si="81"/>
        <v>0</v>
      </c>
      <c r="E100" s="180">
        <f t="shared" si="81"/>
        <v>0</v>
      </c>
      <c r="F100" s="180">
        <f t="shared" si="81"/>
        <v>0</v>
      </c>
      <c r="G100" s="180">
        <f t="shared" si="81"/>
        <v>0</v>
      </c>
      <c r="H100" s="180">
        <f t="shared" si="81"/>
        <v>0</v>
      </c>
      <c r="I100" s="180">
        <f t="shared" si="81"/>
        <v>0</v>
      </c>
      <c r="J100" s="180">
        <f t="shared" si="81"/>
        <v>3.8759013724121889E-2</v>
      </c>
      <c r="K100" s="180">
        <f t="shared" si="81"/>
        <v>4.1673715671347207E-2</v>
      </c>
      <c r="L100" s="180">
        <f t="shared" si="81"/>
        <v>3.9714145436691946E-2</v>
      </c>
      <c r="M100" s="16">
        <f>AVERAGE(J100:L100)</f>
        <v>4.0048958277387019E-2</v>
      </c>
      <c r="N100" s="18">
        <v>0.04</v>
      </c>
      <c r="O100" s="18">
        <v>0.04</v>
      </c>
      <c r="P100" s="18">
        <v>0.04</v>
      </c>
      <c r="Q100" s="19">
        <f>AVERAGE(N100:P100)</f>
        <v>0.04</v>
      </c>
    </row>
    <row r="101" spans="1:17" ht="14.25" customHeight="1">
      <c r="A101" s="1" t="s">
        <v>127</v>
      </c>
      <c r="B101" s="1"/>
      <c r="C101" s="180">
        <f t="shared" ref="C101:L101" si="82">B14/B7</f>
        <v>0.13690269438793232</v>
      </c>
      <c r="D101" s="180">
        <f t="shared" si="82"/>
        <v>0.12975298722168943</v>
      </c>
      <c r="E101" s="180">
        <f t="shared" si="82"/>
        <v>0.1391532237545163</v>
      </c>
      <c r="F101" s="180">
        <f t="shared" si="82"/>
        <v>0.14328711698820742</v>
      </c>
      <c r="G101" s="180">
        <f t="shared" si="82"/>
        <v>0.14475383952920912</v>
      </c>
      <c r="H101" s="180">
        <f t="shared" si="82"/>
        <v>0.1503446021411643</v>
      </c>
      <c r="I101" s="180">
        <f t="shared" si="82"/>
        <v>0.1462144192174526</v>
      </c>
      <c r="J101" s="180">
        <f t="shared" si="82"/>
        <v>0.13950918818329844</v>
      </c>
      <c r="K101" s="180">
        <f t="shared" si="82"/>
        <v>0.14701404161732362</v>
      </c>
      <c r="L101" s="180">
        <f t="shared" si="82"/>
        <v>0.13984507119087883</v>
      </c>
      <c r="M101" s="16">
        <f>AVERAGE(C101:L101)</f>
        <v>0.1416777184231672</v>
      </c>
      <c r="N101" s="16">
        <v>0.14169999999999999</v>
      </c>
      <c r="O101" s="20">
        <v>0.14169999999999999</v>
      </c>
      <c r="P101" s="20">
        <v>0.14169999999999999</v>
      </c>
      <c r="Q101" s="20">
        <v>0.14169999999999999</v>
      </c>
    </row>
    <row r="102" spans="1:17" ht="14.25" customHeight="1">
      <c r="A102" s="1" t="s">
        <v>129</v>
      </c>
      <c r="B102" s="1"/>
      <c r="C102" s="180">
        <f t="shared" ref="C102:L102" si="83">B16/B7</f>
        <v>-7.5671115962883942E-3</v>
      </c>
      <c r="D102" s="180">
        <f t="shared" si="83"/>
        <v>-1.7625255955003758E-3</v>
      </c>
      <c r="E102" s="180">
        <f t="shared" si="83"/>
        <v>-2.5952877716146762E-3</v>
      </c>
      <c r="F102" s="180">
        <f t="shared" si="83"/>
        <v>-1.6529333399121725E-3</v>
      </c>
      <c r="G102" s="180">
        <f t="shared" si="83"/>
        <v>-2.7486723123295535E-2</v>
      </c>
      <c r="H102" s="180">
        <f t="shared" si="83"/>
        <v>-2.901195892015582E-2</v>
      </c>
      <c r="I102" s="180">
        <f t="shared" si="83"/>
        <v>-2.068204798235132E-2</v>
      </c>
      <c r="J102" s="180">
        <f t="shared" si="83"/>
        <v>-4.0067457548267037E-2</v>
      </c>
      <c r="K102" s="180">
        <f t="shared" si="83"/>
        <v>-1.0319742852309254E-2</v>
      </c>
      <c r="L102" s="180">
        <f t="shared" si="83"/>
        <v>-2.291200698270689E-2</v>
      </c>
      <c r="M102" s="16">
        <f>AVERAGE(K102:L102)</f>
        <v>-1.6615874917508072E-2</v>
      </c>
      <c r="N102" s="16">
        <v>-1.66E-2</v>
      </c>
      <c r="O102" s="16">
        <v>-1.66E-2</v>
      </c>
      <c r="P102" s="16">
        <v>-1.66E-2</v>
      </c>
      <c r="Q102" s="16">
        <v>-1.66E-2</v>
      </c>
    </row>
    <row r="103" spans="1:17" ht="14.25" customHeight="1">
      <c r="A103" s="1" t="s">
        <v>131</v>
      </c>
      <c r="B103" s="1"/>
      <c r="C103" s="180">
        <f>B18/SUM('Balance Sheet'!B27,'Balance Sheet'!B24)</f>
        <v>4.5526127415891196E-2</v>
      </c>
      <c r="D103" s="180">
        <f>C18/SUM('Balance Sheet'!C27,'Balance Sheet'!C24)</f>
        <v>5.0562714076007174E-2</v>
      </c>
      <c r="E103" s="180">
        <f>D18/SUM('Balance Sheet'!D27,'Balance Sheet'!D24)</f>
        <v>2.7238294786042387E-2</v>
      </c>
      <c r="F103" s="180">
        <f>E18/SUM('Balance Sheet'!E27,'Balance Sheet'!E24)</f>
        <v>2.2694627980465384E-2</v>
      </c>
      <c r="G103" s="180">
        <f>F18/SUM('Balance Sheet'!F27,'Balance Sheet'!F24)</f>
        <v>2.9062401013620526E-2</v>
      </c>
      <c r="H103" s="180">
        <f>G18/SUM('Balance Sheet'!G27,'Balance Sheet'!G24)</f>
        <v>2.8592023065833735E-2</v>
      </c>
      <c r="I103" s="180">
        <f>H18/SUM('Balance Sheet'!H27,'Balance Sheet'!H24)</f>
        <v>1.9108958322244105E-2</v>
      </c>
      <c r="J103" s="180">
        <f>I18/SUM('Balance Sheet'!I27,'Balance Sheet'!I24)</f>
        <v>2.1361400012455626E-2</v>
      </c>
      <c r="K103" s="180">
        <f>J18/SUM('Balance Sheet'!J27,'Balance Sheet'!J24)</f>
        <v>2.456535928321367E-2</v>
      </c>
      <c r="L103" s="180">
        <f>K18/SUM('Balance Sheet'!K27,'Balance Sheet'!K24)</f>
        <v>4.1671206013726987E-2</v>
      </c>
      <c r="M103" s="16">
        <v>4.4999999999999998E-2</v>
      </c>
      <c r="N103" s="16">
        <v>4.4999999999999998E-2</v>
      </c>
      <c r="O103" s="16">
        <v>4.4999999999999998E-2</v>
      </c>
      <c r="P103" s="16">
        <v>4.4999999999999998E-2</v>
      </c>
      <c r="Q103" s="16">
        <v>4.4999999999999998E-2</v>
      </c>
    </row>
    <row r="104" spans="1:17" ht="14.25" customHeight="1">
      <c r="A104" s="1" t="s">
        <v>134</v>
      </c>
      <c r="B104" s="1"/>
      <c r="C104" s="180">
        <f t="shared" ref="C104:L104" si="84">B28</f>
        <v>0.25592987280852525</v>
      </c>
      <c r="D104" s="180">
        <f t="shared" si="84"/>
        <v>0.2640449438202247</v>
      </c>
      <c r="E104" s="180">
        <f t="shared" si="84"/>
        <v>0.24833255777881186</v>
      </c>
      <c r="F104" s="180">
        <f t="shared" si="84"/>
        <v>0.7539843523616343</v>
      </c>
      <c r="G104" s="180">
        <f t="shared" si="84"/>
        <v>8.8019233337785496E-2</v>
      </c>
      <c r="H104" s="180">
        <f t="shared" si="84"/>
        <v>0.1758169069982802</v>
      </c>
      <c r="I104" s="180">
        <f t="shared" si="84"/>
        <v>0.19078509647371922</v>
      </c>
      <c r="J104" s="180">
        <f t="shared" si="84"/>
        <v>0.22460262612301313</v>
      </c>
      <c r="K104" s="180">
        <f t="shared" si="84"/>
        <v>0.22135130898259917</v>
      </c>
      <c r="L104" s="180">
        <f t="shared" si="84"/>
        <v>0.20771057410252827</v>
      </c>
      <c r="M104" s="16">
        <f>AVERAGE(J104:L104)</f>
        <v>0.21788816973604686</v>
      </c>
      <c r="N104" s="16">
        <v>0.21790000000000001</v>
      </c>
      <c r="O104" s="16">
        <v>0.21790000000000001</v>
      </c>
      <c r="P104" s="16">
        <v>0.21790000000000001</v>
      </c>
      <c r="Q104" s="16">
        <v>0.21790000000000001</v>
      </c>
    </row>
    <row r="105" spans="1:17" ht="14.25" customHeight="1">
      <c r="A105" s="1"/>
      <c r="B105" s="1"/>
      <c r="C105" s="1"/>
      <c r="D105" s="1"/>
      <c r="E105" s="1"/>
    </row>
    <row r="106" spans="1:17" ht="14.25" customHeight="1">
      <c r="A106" s="1"/>
      <c r="B106" s="1"/>
      <c r="C106" s="1"/>
      <c r="D106" s="1"/>
      <c r="E106" s="1"/>
    </row>
    <row r="107" spans="1:17" ht="14.25" customHeight="1">
      <c r="A107" s="1"/>
      <c r="B107" s="1"/>
      <c r="C107" s="1"/>
      <c r="D107" s="1"/>
      <c r="E107" s="1"/>
    </row>
    <row r="108" spans="1:17" ht="14.25" customHeight="1">
      <c r="A108" s="1"/>
      <c r="B108" s="1"/>
      <c r="C108" s="1"/>
      <c r="D108" s="1"/>
      <c r="E108" s="1"/>
    </row>
    <row r="109" spans="1:17" ht="14.25" customHeight="1">
      <c r="A109" s="1"/>
      <c r="B109" s="1"/>
      <c r="C109" s="1"/>
      <c r="D109" s="1"/>
      <c r="E109" s="1"/>
    </row>
    <row r="110" spans="1:17" ht="14.25" customHeight="1">
      <c r="A110" s="1"/>
      <c r="B110" s="1"/>
      <c r="C110" s="1"/>
      <c r="D110" s="1"/>
      <c r="E110" s="1"/>
    </row>
    <row r="111" spans="1:17" ht="14.25" customHeight="1">
      <c r="A111" s="1"/>
      <c r="B111" s="1"/>
      <c r="C111" s="1"/>
      <c r="D111" s="1"/>
      <c r="E111" s="1"/>
    </row>
    <row r="112" spans="1:17" ht="14.25" customHeight="1">
      <c r="A112" s="1"/>
      <c r="B112" s="1"/>
      <c r="C112" s="1"/>
      <c r="D112" s="1"/>
      <c r="E112" s="1"/>
    </row>
    <row r="113" spans="1:5" ht="14.25" customHeight="1">
      <c r="A113" s="1"/>
      <c r="B113" s="1"/>
      <c r="C113" s="1"/>
      <c r="D113" s="1"/>
      <c r="E113" s="1"/>
    </row>
    <row r="114" spans="1:5" ht="14.25" customHeight="1">
      <c r="A114" s="1"/>
      <c r="B114" s="1"/>
      <c r="C114" s="1"/>
      <c r="D114" s="1"/>
      <c r="E114" s="1"/>
    </row>
    <row r="115" spans="1:5" ht="14.25" customHeight="1">
      <c r="A115" s="1"/>
      <c r="B115" s="1"/>
      <c r="C115" s="1"/>
      <c r="D115" s="1"/>
      <c r="E115" s="1"/>
    </row>
    <row r="116" spans="1:5" ht="14.25" customHeight="1">
      <c r="A116" s="1"/>
      <c r="B116" s="1"/>
      <c r="C116" s="1"/>
      <c r="D116" s="1"/>
      <c r="E116" s="1"/>
    </row>
    <row r="117" spans="1:5" ht="14.25" customHeight="1">
      <c r="A117" s="1"/>
      <c r="B117" s="1"/>
      <c r="C117" s="1"/>
      <c r="D117" s="1"/>
      <c r="E117" s="1"/>
    </row>
    <row r="118" spans="1:5" ht="14.25" customHeight="1">
      <c r="A118" s="1"/>
      <c r="B118" s="1"/>
      <c r="C118" s="1"/>
      <c r="D118" s="1"/>
      <c r="E118" s="1"/>
    </row>
    <row r="119" spans="1:5" ht="14.25" customHeight="1">
      <c r="A119" s="1"/>
      <c r="B119" s="1"/>
      <c r="C119" s="1"/>
      <c r="D119" s="1"/>
      <c r="E119" s="1"/>
    </row>
    <row r="120" spans="1:5" ht="14.25" customHeight="1">
      <c r="A120" s="1"/>
      <c r="B120" s="1"/>
      <c r="C120" s="1"/>
      <c r="D120" s="1"/>
      <c r="E120" s="1"/>
    </row>
    <row r="121" spans="1:5" ht="14.25" customHeight="1">
      <c r="A121" s="1"/>
      <c r="B121" s="1"/>
      <c r="C121" s="1"/>
      <c r="D121" s="1"/>
      <c r="E121" s="1"/>
    </row>
    <row r="122" spans="1:5" ht="14.25" customHeight="1">
      <c r="A122" s="1"/>
      <c r="B122" s="1"/>
      <c r="C122" s="1"/>
      <c r="D122" s="1"/>
      <c r="E122" s="1"/>
    </row>
    <row r="123" spans="1:5" ht="14.25" customHeight="1">
      <c r="A123" s="1"/>
      <c r="B123" s="1"/>
      <c r="C123" s="1"/>
      <c r="D123" s="1"/>
      <c r="E123" s="1"/>
    </row>
    <row r="124" spans="1:5" ht="14.25" customHeight="1">
      <c r="A124" s="1"/>
      <c r="B124" s="1"/>
      <c r="C124" s="1"/>
      <c r="D124" s="1"/>
      <c r="E124" s="1"/>
    </row>
    <row r="125" spans="1:5" ht="14.25" customHeight="1">
      <c r="A125" s="1"/>
      <c r="B125" s="1"/>
      <c r="C125" s="1"/>
      <c r="D125" s="1"/>
      <c r="E125" s="1"/>
    </row>
    <row r="126" spans="1:5" ht="14.25" customHeight="1">
      <c r="A126" s="1"/>
      <c r="B126" s="1"/>
      <c r="C126" s="1"/>
      <c r="D126" s="1"/>
      <c r="E126" s="1"/>
    </row>
    <row r="127" spans="1:5" ht="14.25" customHeight="1">
      <c r="A127" s="1"/>
      <c r="B127" s="1"/>
      <c r="C127" s="1"/>
      <c r="D127" s="1"/>
      <c r="E127" s="1"/>
    </row>
    <row r="128" spans="1:5" ht="14.25" customHeight="1">
      <c r="A128" s="1"/>
      <c r="B128" s="1"/>
      <c r="C128" s="1"/>
      <c r="D128" s="1"/>
      <c r="E128" s="1"/>
    </row>
    <row r="129" spans="1:5" ht="14.25" customHeight="1">
      <c r="A129" s="1"/>
      <c r="B129" s="1"/>
      <c r="C129" s="1"/>
      <c r="D129" s="1"/>
      <c r="E129" s="1"/>
    </row>
    <row r="130" spans="1:5" ht="14.25" customHeight="1">
      <c r="A130" s="1"/>
      <c r="B130" s="1"/>
      <c r="C130" s="1"/>
      <c r="D130" s="1"/>
      <c r="E130" s="1"/>
    </row>
    <row r="131" spans="1:5" ht="14.25" customHeight="1">
      <c r="A131" s="1"/>
      <c r="B131" s="1"/>
      <c r="C131" s="1"/>
      <c r="D131" s="1"/>
      <c r="E131" s="1"/>
    </row>
    <row r="132" spans="1:5" ht="14.25" customHeight="1">
      <c r="A132" s="1"/>
      <c r="B132" s="1"/>
      <c r="C132" s="1"/>
      <c r="D132" s="1"/>
      <c r="E132" s="1"/>
    </row>
    <row r="133" spans="1:5" ht="14.25" customHeight="1">
      <c r="A133" s="1"/>
      <c r="B133" s="1"/>
      <c r="C133" s="1"/>
      <c r="D133" s="1"/>
      <c r="E133" s="1"/>
    </row>
    <row r="134" spans="1:5" ht="14.25" customHeight="1">
      <c r="A134" s="1"/>
      <c r="B134" s="1"/>
      <c r="C134" s="1"/>
      <c r="D134" s="1"/>
      <c r="E134" s="1"/>
    </row>
    <row r="135" spans="1:5" ht="14.25" customHeight="1">
      <c r="A135" s="1"/>
      <c r="B135" s="1"/>
      <c r="C135" s="1"/>
      <c r="D135" s="1"/>
      <c r="E135" s="1"/>
    </row>
    <row r="136" spans="1:5" ht="14.25" customHeight="1">
      <c r="A136" s="1"/>
      <c r="B136" s="1"/>
      <c r="C136" s="1"/>
      <c r="D136" s="1"/>
      <c r="E136" s="1"/>
    </row>
    <row r="137" spans="1:5" ht="14.25" customHeight="1">
      <c r="A137" s="1"/>
      <c r="B137" s="1"/>
      <c r="C137" s="1"/>
      <c r="D137" s="1"/>
      <c r="E137" s="1"/>
    </row>
    <row r="138" spans="1:5" ht="14.25" customHeight="1">
      <c r="A138" s="1"/>
      <c r="B138" s="1"/>
      <c r="C138" s="1"/>
      <c r="D138" s="1"/>
      <c r="E138" s="1"/>
    </row>
    <row r="139" spans="1:5" ht="14.25" customHeight="1">
      <c r="A139" s="1"/>
      <c r="B139" s="1"/>
      <c r="C139" s="1"/>
      <c r="D139" s="1"/>
      <c r="E139" s="1"/>
    </row>
    <row r="140" spans="1:5" ht="14.25" customHeight="1">
      <c r="A140" s="1"/>
      <c r="B140" s="1"/>
      <c r="C140" s="1"/>
      <c r="D140" s="1"/>
      <c r="E140" s="1"/>
    </row>
    <row r="141" spans="1:5" ht="14.25" customHeight="1">
      <c r="A141" s="1"/>
      <c r="B141" s="1"/>
      <c r="C141" s="1"/>
      <c r="D141" s="1"/>
      <c r="E141" s="1"/>
    </row>
    <row r="142" spans="1:5" ht="14.25" customHeight="1">
      <c r="A142" s="1"/>
      <c r="B142" s="1"/>
      <c r="C142" s="1"/>
      <c r="D142" s="1"/>
      <c r="E142" s="1"/>
    </row>
    <row r="143" spans="1:5" ht="14.25" customHeight="1">
      <c r="A143" s="1"/>
      <c r="B143" s="1"/>
      <c r="C143" s="1"/>
      <c r="D143" s="1"/>
      <c r="E143" s="1"/>
    </row>
    <row r="144" spans="1:5" ht="14.25" customHeight="1">
      <c r="A144" s="1"/>
      <c r="B144" s="1"/>
      <c r="C144" s="1"/>
      <c r="D144" s="1"/>
      <c r="E144" s="1"/>
    </row>
    <row r="145" spans="1:5" ht="14.25" customHeight="1">
      <c r="A145" s="1"/>
      <c r="B145" s="1"/>
      <c r="C145" s="1"/>
      <c r="D145" s="1"/>
      <c r="E145" s="1"/>
    </row>
    <row r="146" spans="1:5" ht="14.25" customHeight="1">
      <c r="A146" s="1"/>
      <c r="B146" s="1"/>
      <c r="C146" s="1"/>
      <c r="D146" s="1"/>
      <c r="E146" s="1"/>
    </row>
    <row r="147" spans="1:5" ht="14.25" customHeight="1">
      <c r="A147" s="1"/>
      <c r="B147" s="1"/>
      <c r="C147" s="1"/>
      <c r="D147" s="1"/>
      <c r="E147" s="1"/>
    </row>
    <row r="148" spans="1:5" ht="14.25" customHeight="1">
      <c r="A148" s="1"/>
      <c r="B148" s="1"/>
      <c r="C148" s="1"/>
      <c r="D148" s="1"/>
      <c r="E148" s="1"/>
    </row>
    <row r="149" spans="1:5" ht="14.25" customHeight="1">
      <c r="A149" s="1"/>
      <c r="B149" s="1"/>
      <c r="C149" s="1"/>
      <c r="D149" s="1"/>
      <c r="E149" s="1"/>
    </row>
    <row r="150" spans="1:5" ht="14.25" customHeight="1">
      <c r="A150" s="1"/>
      <c r="B150" s="1"/>
      <c r="C150" s="1"/>
      <c r="D150" s="1"/>
      <c r="E150" s="1"/>
    </row>
    <row r="151" spans="1:5" ht="14.25" customHeight="1">
      <c r="A151" s="1"/>
      <c r="B151" s="1"/>
      <c r="C151" s="1"/>
      <c r="D151" s="1"/>
      <c r="E151" s="1"/>
    </row>
    <row r="152" spans="1:5" ht="14.25" customHeight="1">
      <c r="A152" s="1"/>
      <c r="B152" s="1"/>
      <c r="C152" s="1"/>
      <c r="D152" s="1"/>
      <c r="E152" s="1"/>
    </row>
    <row r="153" spans="1:5" ht="14.25" customHeight="1">
      <c r="A153" s="1"/>
      <c r="B153" s="1"/>
      <c r="C153" s="1"/>
      <c r="D153" s="1"/>
      <c r="E153" s="1"/>
    </row>
    <row r="154" spans="1:5" ht="14.25" customHeight="1">
      <c r="A154" s="1"/>
      <c r="B154" s="1"/>
      <c r="C154" s="1"/>
      <c r="D154" s="1"/>
      <c r="E154" s="1"/>
    </row>
    <row r="155" spans="1:5" ht="14.25" customHeight="1">
      <c r="A155" s="1"/>
      <c r="B155" s="1"/>
      <c r="C155" s="1"/>
      <c r="D155" s="1"/>
      <c r="E155" s="1"/>
    </row>
    <row r="156" spans="1:5" ht="14.25" customHeight="1">
      <c r="A156" s="1"/>
      <c r="B156" s="1"/>
      <c r="C156" s="1"/>
      <c r="D156" s="1"/>
      <c r="E156" s="1"/>
    </row>
    <row r="157" spans="1:5" ht="14.25" customHeight="1">
      <c r="A157" s="1"/>
      <c r="B157" s="1"/>
      <c r="C157" s="1"/>
      <c r="D157" s="1"/>
      <c r="E157" s="1"/>
    </row>
    <row r="158" spans="1:5" ht="14.25" customHeight="1">
      <c r="A158" s="1"/>
      <c r="B158" s="1"/>
      <c r="C158" s="1"/>
      <c r="D158" s="1"/>
      <c r="E158" s="1"/>
    </row>
    <row r="159" spans="1:5" ht="14.25" customHeight="1">
      <c r="A159" s="1"/>
      <c r="B159" s="1"/>
      <c r="C159" s="1"/>
      <c r="D159" s="1"/>
      <c r="E159" s="1"/>
    </row>
    <row r="160" spans="1:5" ht="14.25" customHeight="1">
      <c r="A160" s="1"/>
      <c r="B160" s="1"/>
      <c r="C160" s="1"/>
      <c r="D160" s="1"/>
      <c r="E160" s="1"/>
    </row>
    <row r="161" spans="1:5" ht="14.25" customHeight="1">
      <c r="A161" s="1"/>
      <c r="B161" s="1"/>
      <c r="C161" s="1"/>
      <c r="D161" s="1"/>
      <c r="E161" s="1"/>
    </row>
    <row r="162" spans="1:5" ht="14.25" customHeight="1">
      <c r="A162" s="1"/>
      <c r="B162" s="1"/>
      <c r="C162" s="1"/>
      <c r="D162" s="1"/>
      <c r="E162" s="1"/>
    </row>
    <row r="163" spans="1:5" ht="14.25" customHeight="1">
      <c r="A163" s="1"/>
      <c r="B163" s="1"/>
      <c r="C163" s="1"/>
      <c r="D163" s="1"/>
      <c r="E163" s="1"/>
    </row>
    <row r="164" spans="1:5" ht="14.25" customHeight="1">
      <c r="A164" s="1"/>
      <c r="B164" s="1"/>
      <c r="C164" s="1"/>
      <c r="D164" s="1"/>
      <c r="E164" s="1"/>
    </row>
    <row r="165" spans="1:5" ht="14.25" customHeight="1">
      <c r="A165" s="1"/>
      <c r="B165" s="1"/>
      <c r="C165" s="1"/>
      <c r="D165" s="1"/>
      <c r="E165" s="1"/>
    </row>
    <row r="166" spans="1:5" ht="14.25" customHeight="1">
      <c r="A166" s="1"/>
      <c r="B166" s="1"/>
      <c r="C166" s="1"/>
      <c r="D166" s="1"/>
      <c r="E166" s="1"/>
    </row>
    <row r="167" spans="1:5" ht="14.25" customHeight="1">
      <c r="A167" s="1"/>
      <c r="B167" s="1"/>
      <c r="C167" s="1"/>
      <c r="D167" s="1"/>
      <c r="E167" s="1"/>
    </row>
    <row r="168" spans="1:5" ht="14.25" customHeight="1">
      <c r="A168" s="1"/>
      <c r="B168" s="1"/>
      <c r="C168" s="1"/>
      <c r="D168" s="1"/>
      <c r="E168" s="1"/>
    </row>
    <row r="169" spans="1:5" ht="14.25" customHeight="1">
      <c r="A169" s="1"/>
      <c r="B169" s="1"/>
      <c r="C169" s="1"/>
      <c r="D169" s="1"/>
      <c r="E169" s="1"/>
    </row>
    <row r="170" spans="1:5" ht="14.25" customHeight="1">
      <c r="A170" s="1"/>
      <c r="B170" s="1"/>
      <c r="C170" s="1"/>
      <c r="D170" s="1"/>
      <c r="E170" s="1"/>
    </row>
    <row r="171" spans="1:5" ht="14.25" customHeight="1">
      <c r="A171" s="1"/>
      <c r="B171" s="1"/>
      <c r="C171" s="1"/>
      <c r="D171" s="1"/>
      <c r="E171" s="1"/>
    </row>
    <row r="172" spans="1:5" ht="14.25" customHeight="1">
      <c r="A172" s="1"/>
      <c r="B172" s="1"/>
      <c r="C172" s="1"/>
      <c r="D172" s="1"/>
      <c r="E172" s="1"/>
    </row>
    <row r="173" spans="1:5" ht="14.25" customHeight="1">
      <c r="A173" s="1"/>
      <c r="B173" s="1"/>
      <c r="C173" s="1"/>
      <c r="D173" s="1"/>
      <c r="E173" s="1"/>
    </row>
    <row r="174" spans="1:5" ht="14.25" customHeight="1">
      <c r="A174" s="1"/>
      <c r="B174" s="1"/>
      <c r="C174" s="1"/>
      <c r="D174" s="1"/>
      <c r="E174" s="1"/>
    </row>
    <row r="175" spans="1:5" ht="14.25" customHeight="1">
      <c r="A175" s="1"/>
      <c r="B175" s="1"/>
      <c r="C175" s="1"/>
      <c r="D175" s="1"/>
      <c r="E175" s="1"/>
    </row>
    <row r="176" spans="1:5" ht="14.25" customHeight="1">
      <c r="A176" s="1"/>
      <c r="B176" s="1"/>
      <c r="C176" s="1"/>
      <c r="D176" s="1"/>
      <c r="E176" s="1"/>
    </row>
    <row r="177" spans="1:5" ht="14.25" customHeight="1">
      <c r="A177" s="1"/>
      <c r="B177" s="1"/>
      <c r="C177" s="1"/>
      <c r="D177" s="1"/>
      <c r="E177" s="1"/>
    </row>
    <row r="178" spans="1:5" ht="14.25" customHeight="1">
      <c r="A178" s="1"/>
      <c r="B178" s="1"/>
      <c r="C178" s="1"/>
      <c r="D178" s="1"/>
      <c r="E178" s="1"/>
    </row>
    <row r="179" spans="1:5" ht="14.25" customHeight="1">
      <c r="A179" s="1"/>
      <c r="B179" s="1"/>
      <c r="C179" s="1"/>
      <c r="D179" s="1"/>
      <c r="E179" s="1"/>
    </row>
    <row r="180" spans="1:5" ht="14.25" customHeight="1">
      <c r="A180" s="1"/>
      <c r="B180" s="1"/>
      <c r="C180" s="1"/>
      <c r="D180" s="1"/>
      <c r="E180" s="1"/>
    </row>
    <row r="181" spans="1:5" ht="14.25" customHeight="1">
      <c r="A181" s="1"/>
      <c r="B181" s="1"/>
      <c r="C181" s="1"/>
      <c r="D181" s="1"/>
      <c r="E181" s="1"/>
    </row>
    <row r="182" spans="1:5" ht="14.25" customHeight="1">
      <c r="A182" s="1"/>
      <c r="B182" s="1"/>
      <c r="C182" s="1"/>
      <c r="D182" s="1"/>
      <c r="E182" s="1"/>
    </row>
    <row r="183" spans="1:5" ht="14.25" customHeight="1">
      <c r="A183" s="1"/>
      <c r="B183" s="1"/>
      <c r="C183" s="1"/>
      <c r="D183" s="1"/>
      <c r="E183" s="1"/>
    </row>
    <row r="184" spans="1:5" ht="14.25" customHeight="1">
      <c r="A184" s="1"/>
      <c r="B184" s="1"/>
      <c r="C184" s="1"/>
      <c r="D184" s="1"/>
      <c r="E184" s="1"/>
    </row>
    <row r="185" spans="1:5" ht="14.25" customHeight="1">
      <c r="A185" s="1"/>
      <c r="B185" s="1"/>
      <c r="C185" s="1"/>
      <c r="D185" s="1"/>
      <c r="E185" s="1"/>
    </row>
    <row r="186" spans="1:5" ht="14.25" customHeight="1">
      <c r="A186" s="1"/>
      <c r="B186" s="1"/>
      <c r="C186" s="1"/>
      <c r="D186" s="1"/>
      <c r="E186" s="1"/>
    </row>
    <row r="187" spans="1:5" ht="14.25" customHeight="1">
      <c r="A187" s="1"/>
      <c r="B187" s="1"/>
      <c r="C187" s="1"/>
      <c r="D187" s="1"/>
      <c r="E187" s="1"/>
    </row>
    <row r="188" spans="1:5" ht="14.25" customHeight="1">
      <c r="A188" s="1"/>
      <c r="B188" s="1"/>
      <c r="C188" s="1"/>
      <c r="D188" s="1"/>
      <c r="E188" s="1"/>
    </row>
    <row r="189" spans="1:5" ht="14.25" customHeight="1">
      <c r="A189" s="1"/>
      <c r="B189" s="1"/>
      <c r="C189" s="1"/>
      <c r="D189" s="1"/>
      <c r="E189" s="1"/>
    </row>
    <row r="190" spans="1:5" ht="14.25" customHeight="1">
      <c r="A190" s="1"/>
      <c r="B190" s="1"/>
      <c r="C190" s="1"/>
      <c r="D190" s="1"/>
      <c r="E190" s="1"/>
    </row>
    <row r="191" spans="1:5" ht="14.25" customHeight="1">
      <c r="A191" s="1"/>
      <c r="B191" s="1"/>
      <c r="C191" s="1"/>
      <c r="D191" s="1"/>
      <c r="E191" s="1"/>
    </row>
    <row r="192" spans="1:5" ht="14.25" customHeight="1">
      <c r="A192" s="1"/>
      <c r="B192" s="1"/>
      <c r="C192" s="1"/>
      <c r="D192" s="1"/>
      <c r="E192" s="1"/>
    </row>
    <row r="193" spans="1:5" ht="14.25" customHeight="1">
      <c r="A193" s="1"/>
      <c r="B193" s="1"/>
      <c r="C193" s="1"/>
      <c r="D193" s="1"/>
      <c r="E193" s="1"/>
    </row>
    <row r="194" spans="1:5" ht="14.25" customHeight="1">
      <c r="A194" s="1"/>
      <c r="B194" s="1"/>
      <c r="C194" s="1"/>
      <c r="D194" s="1"/>
      <c r="E194" s="1"/>
    </row>
    <row r="195" spans="1:5" ht="14.25" customHeight="1">
      <c r="A195" s="1"/>
      <c r="B195" s="1"/>
      <c r="C195" s="1"/>
      <c r="D195" s="1"/>
      <c r="E195" s="1"/>
    </row>
    <row r="196" spans="1:5" ht="14.25" customHeight="1">
      <c r="A196" s="1"/>
      <c r="B196" s="1"/>
      <c r="C196" s="1"/>
      <c r="D196" s="1"/>
      <c r="E196" s="1"/>
    </row>
    <row r="197" spans="1:5" ht="14.25" customHeight="1">
      <c r="A197" s="1"/>
      <c r="B197" s="1"/>
      <c r="C197" s="1"/>
      <c r="D197" s="1"/>
      <c r="E197" s="1"/>
    </row>
    <row r="198" spans="1:5" ht="14.25" customHeight="1">
      <c r="A198" s="1"/>
      <c r="B198" s="1"/>
      <c r="C198" s="1"/>
      <c r="D198" s="1"/>
      <c r="E198" s="1"/>
    </row>
    <row r="199" spans="1:5" ht="14.25" customHeight="1">
      <c r="A199" s="1"/>
      <c r="B199" s="1"/>
      <c r="C199" s="1"/>
      <c r="D199" s="1"/>
      <c r="E199" s="1"/>
    </row>
    <row r="200" spans="1:5" ht="14.25" customHeight="1">
      <c r="A200" s="1"/>
      <c r="B200" s="1"/>
      <c r="C200" s="1"/>
      <c r="D200" s="1"/>
      <c r="E200" s="1"/>
    </row>
    <row r="201" spans="1:5" ht="14.25" customHeight="1">
      <c r="A201" s="1"/>
      <c r="B201" s="1"/>
      <c r="C201" s="1"/>
      <c r="D201" s="1"/>
      <c r="E201" s="1"/>
    </row>
    <row r="202" spans="1:5" ht="14.25" customHeight="1">
      <c r="A202" s="1"/>
      <c r="B202" s="1"/>
      <c r="C202" s="1"/>
      <c r="D202" s="1"/>
      <c r="E202" s="1"/>
    </row>
    <row r="203" spans="1:5" ht="14.25" customHeight="1">
      <c r="A203" s="1"/>
      <c r="B203" s="1"/>
      <c r="C203" s="1"/>
      <c r="D203" s="1"/>
      <c r="E203" s="1"/>
    </row>
    <row r="204" spans="1:5" ht="14.25" customHeight="1">
      <c r="A204" s="1"/>
      <c r="B204" s="1"/>
      <c r="C204" s="1"/>
      <c r="D204" s="1"/>
      <c r="E204" s="1"/>
    </row>
    <row r="205" spans="1:5" ht="14.25" customHeight="1">
      <c r="A205" s="1"/>
      <c r="B205" s="1"/>
      <c r="C205" s="1"/>
      <c r="D205" s="1"/>
      <c r="E205" s="1"/>
    </row>
    <row r="206" spans="1:5" ht="14.25" customHeight="1">
      <c r="A206" s="1"/>
      <c r="B206" s="1"/>
      <c r="C206" s="1"/>
      <c r="D206" s="1"/>
      <c r="E206" s="1"/>
    </row>
    <row r="207" spans="1:5" ht="14.25" customHeight="1">
      <c r="A207" s="1"/>
      <c r="B207" s="1"/>
      <c r="C207" s="1"/>
      <c r="D207" s="1"/>
      <c r="E207" s="1"/>
    </row>
    <row r="208" spans="1:5" ht="14.25" customHeight="1">
      <c r="A208" s="1"/>
      <c r="B208" s="1"/>
      <c r="C208" s="1"/>
      <c r="D208" s="1"/>
      <c r="E208" s="1"/>
    </row>
    <row r="209" spans="1:5" ht="14.25" customHeight="1">
      <c r="A209" s="1"/>
      <c r="B209" s="1"/>
      <c r="C209" s="1"/>
      <c r="D209" s="1"/>
      <c r="E209" s="1"/>
    </row>
    <row r="210" spans="1:5" ht="14.25" customHeight="1">
      <c r="A210" s="1"/>
      <c r="B210" s="1"/>
      <c r="C210" s="1"/>
      <c r="D210" s="1"/>
      <c r="E210" s="1"/>
    </row>
    <row r="211" spans="1:5" ht="14.25" customHeight="1">
      <c r="A211" s="1"/>
      <c r="B211" s="1"/>
      <c r="C211" s="1"/>
      <c r="D211" s="1"/>
      <c r="E211" s="1"/>
    </row>
    <row r="212" spans="1:5" ht="14.25" customHeight="1">
      <c r="A212" s="1"/>
      <c r="B212" s="1"/>
      <c r="C212" s="1"/>
      <c r="D212" s="1"/>
      <c r="E212" s="1"/>
    </row>
    <row r="213" spans="1:5" ht="14.25" customHeight="1">
      <c r="A213" s="1"/>
      <c r="B213" s="1"/>
      <c r="C213" s="1"/>
      <c r="D213" s="1"/>
      <c r="E213" s="1"/>
    </row>
    <row r="214" spans="1:5" ht="14.25" customHeight="1">
      <c r="A214" s="1"/>
      <c r="B214" s="1"/>
      <c r="C214" s="1"/>
      <c r="D214" s="1"/>
      <c r="E214" s="1"/>
    </row>
    <row r="215" spans="1:5" ht="14.25" customHeight="1">
      <c r="A215" s="1"/>
      <c r="B215" s="1"/>
      <c r="C215" s="1"/>
      <c r="D215" s="1"/>
      <c r="E215" s="1"/>
    </row>
    <row r="216" spans="1:5" ht="14.25" customHeight="1">
      <c r="A216" s="1"/>
      <c r="B216" s="1"/>
      <c r="C216" s="1"/>
      <c r="D216" s="1"/>
      <c r="E216" s="1"/>
    </row>
    <row r="217" spans="1:5" ht="14.25" customHeight="1">
      <c r="A217" s="1"/>
      <c r="B217" s="1"/>
      <c r="C217" s="1"/>
      <c r="D217" s="1"/>
      <c r="E217" s="1"/>
    </row>
    <row r="218" spans="1:5" ht="14.25" customHeight="1">
      <c r="A218" s="1"/>
      <c r="B218" s="1"/>
      <c r="C218" s="1"/>
      <c r="D218" s="1"/>
      <c r="E218" s="1"/>
    </row>
    <row r="219" spans="1:5" ht="14.25" customHeight="1">
      <c r="A219" s="1"/>
      <c r="B219" s="1"/>
      <c r="C219" s="1"/>
      <c r="D219" s="1"/>
      <c r="E219" s="1"/>
    </row>
    <row r="220" spans="1:5" ht="14.25" customHeight="1">
      <c r="A220" s="1"/>
      <c r="B220" s="1"/>
      <c r="C220" s="1"/>
      <c r="D220" s="1"/>
      <c r="E220" s="1"/>
    </row>
    <row r="221" spans="1:5" ht="14.25" customHeight="1">
      <c r="A221" s="1"/>
      <c r="B221" s="1"/>
      <c r="C221" s="1"/>
      <c r="D221" s="1"/>
      <c r="E221" s="1"/>
    </row>
    <row r="222" spans="1:5" ht="14.25" customHeight="1">
      <c r="A222" s="1"/>
      <c r="B222" s="1"/>
      <c r="C222" s="1"/>
      <c r="D222" s="1"/>
      <c r="E222" s="1"/>
    </row>
    <row r="223" spans="1:5" ht="14.25" customHeight="1">
      <c r="A223" s="1"/>
      <c r="B223" s="1"/>
      <c r="C223" s="1"/>
      <c r="D223" s="1"/>
      <c r="E223" s="1"/>
    </row>
    <row r="224" spans="1:5" ht="14.25" customHeight="1">
      <c r="A224" s="1"/>
      <c r="B224" s="1"/>
      <c r="C224" s="1"/>
      <c r="D224" s="1"/>
      <c r="E224" s="1"/>
    </row>
    <row r="225" spans="1:5" ht="14.25" customHeight="1">
      <c r="A225" s="1"/>
      <c r="B225" s="1"/>
      <c r="C225" s="1"/>
      <c r="D225" s="1"/>
      <c r="E225" s="1"/>
    </row>
    <row r="226" spans="1:5" ht="14.25" customHeight="1">
      <c r="A226" s="1"/>
      <c r="B226" s="1"/>
      <c r="C226" s="1"/>
      <c r="D226" s="1"/>
      <c r="E226" s="1"/>
    </row>
    <row r="227" spans="1:5" ht="14.25" customHeight="1">
      <c r="A227" s="1"/>
      <c r="B227" s="1"/>
      <c r="C227" s="1"/>
      <c r="D227" s="1"/>
      <c r="E227" s="1"/>
    </row>
    <row r="228" spans="1:5" ht="14.25" customHeight="1">
      <c r="A228" s="1"/>
      <c r="B228" s="1"/>
      <c r="C228" s="1"/>
      <c r="D228" s="1"/>
      <c r="E228" s="1"/>
    </row>
    <row r="229" spans="1:5" ht="14.25" customHeight="1">
      <c r="A229" s="1"/>
      <c r="B229" s="1"/>
      <c r="C229" s="1"/>
      <c r="D229" s="1"/>
      <c r="E229" s="1"/>
    </row>
    <row r="230" spans="1:5" ht="14.25" customHeight="1">
      <c r="A230" s="1"/>
      <c r="B230" s="1"/>
      <c r="C230" s="1"/>
      <c r="D230" s="1"/>
      <c r="E230" s="1"/>
    </row>
    <row r="231" spans="1:5" ht="14.25" customHeight="1">
      <c r="A231" s="1"/>
      <c r="B231" s="1"/>
      <c r="C231" s="1"/>
      <c r="D231" s="1"/>
      <c r="E231" s="1"/>
    </row>
    <row r="232" spans="1:5" ht="14.25" customHeight="1">
      <c r="A232" s="1"/>
      <c r="B232" s="1"/>
      <c r="C232" s="1"/>
      <c r="D232" s="1"/>
      <c r="E232" s="1"/>
    </row>
    <row r="233" spans="1:5" ht="14.25" customHeight="1">
      <c r="A233" s="1"/>
      <c r="B233" s="1"/>
      <c r="C233" s="1"/>
      <c r="D233" s="1"/>
      <c r="E233" s="1"/>
    </row>
    <row r="234" spans="1:5" ht="14.25" customHeight="1">
      <c r="A234" s="1"/>
      <c r="B234" s="1"/>
      <c r="C234" s="1"/>
      <c r="D234" s="1"/>
      <c r="E234" s="1"/>
    </row>
    <row r="235" spans="1:5" ht="14.25" customHeight="1">
      <c r="A235" s="1"/>
      <c r="B235" s="1"/>
      <c r="C235" s="1"/>
      <c r="D235" s="1"/>
      <c r="E235" s="1"/>
    </row>
    <row r="236" spans="1:5" ht="14.25" customHeight="1">
      <c r="A236" s="1"/>
      <c r="B236" s="1"/>
      <c r="C236" s="1"/>
      <c r="D236" s="1"/>
      <c r="E236" s="1"/>
    </row>
    <row r="237" spans="1:5" ht="14.25" customHeight="1">
      <c r="A237" s="1"/>
      <c r="B237" s="1"/>
      <c r="C237" s="1"/>
      <c r="D237" s="1"/>
      <c r="E237" s="1"/>
    </row>
    <row r="238" spans="1:5" ht="14.25" customHeight="1">
      <c r="A238" s="1"/>
      <c r="B238" s="1"/>
      <c r="C238" s="1"/>
      <c r="D238" s="1"/>
      <c r="E238" s="1"/>
    </row>
    <row r="239" spans="1:5" ht="14.25" customHeight="1">
      <c r="A239" s="1"/>
      <c r="B239" s="1"/>
      <c r="C239" s="1"/>
      <c r="D239" s="1"/>
      <c r="E239" s="1"/>
    </row>
    <row r="240" spans="1:5" ht="14.25" customHeight="1">
      <c r="A240" s="1"/>
      <c r="B240" s="1"/>
      <c r="C240" s="1"/>
      <c r="D240" s="1"/>
      <c r="E240" s="1"/>
    </row>
    <row r="241" spans="1:5" ht="14.25" customHeight="1">
      <c r="A241" s="1"/>
      <c r="B241" s="1"/>
      <c r="C241" s="1"/>
      <c r="D241" s="1"/>
      <c r="E241" s="1"/>
    </row>
    <row r="242" spans="1:5" ht="14.25" customHeight="1">
      <c r="A242" s="1"/>
      <c r="B242" s="1"/>
      <c r="C242" s="1"/>
      <c r="D242" s="1"/>
      <c r="E242" s="1"/>
    </row>
    <row r="243" spans="1:5" ht="14.25" customHeight="1">
      <c r="A243" s="1"/>
      <c r="B243" s="1"/>
      <c r="C243" s="1"/>
      <c r="D243" s="1"/>
      <c r="E243" s="1"/>
    </row>
    <row r="244" spans="1:5" ht="14.25" customHeight="1">
      <c r="A244" s="1"/>
      <c r="B244" s="1"/>
      <c r="C244" s="1"/>
      <c r="D244" s="1"/>
      <c r="E244" s="1"/>
    </row>
    <row r="245" spans="1:5" ht="14.25" customHeight="1">
      <c r="A245" s="1"/>
      <c r="B245" s="1"/>
      <c r="C245" s="1"/>
      <c r="D245" s="1"/>
      <c r="E245" s="1"/>
    </row>
    <row r="246" spans="1:5" ht="14.25" customHeight="1">
      <c r="A246" s="1"/>
      <c r="B246" s="1"/>
      <c r="C246" s="1"/>
      <c r="D246" s="1"/>
      <c r="E246" s="1"/>
    </row>
    <row r="247" spans="1:5" ht="14.25" customHeight="1">
      <c r="A247" s="1"/>
      <c r="B247" s="1"/>
      <c r="C247" s="1"/>
      <c r="D247" s="1"/>
      <c r="E247" s="1"/>
    </row>
    <row r="248" spans="1:5" ht="14.25" customHeight="1">
      <c r="A248" s="1"/>
      <c r="B248" s="1"/>
      <c r="C248" s="1"/>
      <c r="D248" s="1"/>
      <c r="E248" s="1"/>
    </row>
    <row r="249" spans="1:5" ht="14.25" customHeight="1">
      <c r="A249" s="1"/>
      <c r="B249" s="1"/>
      <c r="C249" s="1"/>
      <c r="D249" s="1"/>
      <c r="E249" s="1"/>
    </row>
    <row r="250" spans="1:5" ht="14.25" customHeight="1">
      <c r="A250" s="1"/>
      <c r="B250" s="1"/>
      <c r="C250" s="1"/>
      <c r="D250" s="1"/>
      <c r="E250" s="1"/>
    </row>
    <row r="251" spans="1:5" ht="14.25" customHeight="1">
      <c r="A251" s="1"/>
      <c r="B251" s="1"/>
      <c r="C251" s="1"/>
      <c r="D251" s="1"/>
      <c r="E251" s="1"/>
    </row>
    <row r="252" spans="1:5" ht="14.25" customHeight="1">
      <c r="A252" s="1"/>
      <c r="B252" s="1"/>
      <c r="C252" s="1"/>
      <c r="D252" s="1"/>
      <c r="E252" s="1"/>
    </row>
    <row r="253" spans="1:5" ht="14.25" customHeight="1">
      <c r="A253" s="1"/>
      <c r="B253" s="1"/>
      <c r="C253" s="1"/>
      <c r="D253" s="1"/>
      <c r="E253" s="1"/>
    </row>
    <row r="254" spans="1:5" ht="14.25" customHeight="1">
      <c r="A254" s="1"/>
      <c r="B254" s="1"/>
      <c r="C254" s="1"/>
      <c r="D254" s="1"/>
      <c r="E254" s="1"/>
    </row>
    <row r="255" spans="1:5" ht="14.25" customHeight="1">
      <c r="A255" s="1"/>
      <c r="B255" s="1"/>
      <c r="C255" s="1"/>
      <c r="D255" s="1"/>
      <c r="E255" s="1"/>
    </row>
    <row r="256" spans="1:5" ht="14.25" customHeight="1">
      <c r="A256" s="1"/>
      <c r="B256" s="1"/>
      <c r="C256" s="1"/>
      <c r="D256" s="1"/>
      <c r="E256" s="1"/>
    </row>
    <row r="257" spans="1:5" ht="14.25" customHeight="1">
      <c r="A257" s="1"/>
      <c r="B257" s="1"/>
      <c r="C257" s="1"/>
      <c r="D257" s="1"/>
      <c r="E257" s="1"/>
    </row>
    <row r="258" spans="1:5" ht="14.25" customHeight="1">
      <c r="A258" s="1"/>
      <c r="B258" s="1"/>
      <c r="C258" s="1"/>
      <c r="D258" s="1"/>
      <c r="E258" s="1"/>
    </row>
    <row r="259" spans="1:5" ht="14.25" customHeight="1">
      <c r="A259" s="1"/>
      <c r="B259" s="1"/>
      <c r="C259" s="1"/>
      <c r="D259" s="1"/>
      <c r="E259" s="1"/>
    </row>
    <row r="260" spans="1:5" ht="14.25" customHeight="1">
      <c r="A260" s="1"/>
      <c r="B260" s="1"/>
      <c r="C260" s="1"/>
      <c r="D260" s="1"/>
      <c r="E260" s="1"/>
    </row>
    <row r="261" spans="1:5" ht="14.25" customHeight="1">
      <c r="A261" s="1"/>
      <c r="B261" s="1"/>
      <c r="C261" s="1"/>
      <c r="D261" s="1"/>
      <c r="E261" s="1"/>
    </row>
    <row r="262" spans="1:5" ht="14.25" customHeight="1">
      <c r="A262" s="1"/>
      <c r="B262" s="1"/>
      <c r="C262" s="1"/>
      <c r="D262" s="1"/>
      <c r="E262" s="1"/>
    </row>
    <row r="263" spans="1:5" ht="14.25" customHeight="1">
      <c r="A263" s="1"/>
      <c r="B263" s="1"/>
      <c r="C263" s="1"/>
      <c r="D263" s="1"/>
      <c r="E263" s="1"/>
    </row>
    <row r="264" spans="1:5" ht="14.25" customHeight="1">
      <c r="A264" s="1"/>
      <c r="B264" s="1"/>
      <c r="C264" s="1"/>
      <c r="D264" s="1"/>
      <c r="E264" s="1"/>
    </row>
    <row r="265" spans="1:5" ht="14.25" customHeight="1">
      <c r="A265" s="1"/>
      <c r="B265" s="1"/>
      <c r="C265" s="1"/>
      <c r="D265" s="1"/>
      <c r="E265" s="1"/>
    </row>
    <row r="266" spans="1:5" ht="14.25" customHeight="1">
      <c r="A266" s="1"/>
      <c r="B266" s="1"/>
      <c r="C266" s="1"/>
      <c r="D266" s="1"/>
      <c r="E266" s="1"/>
    </row>
    <row r="267" spans="1:5" ht="14.25" customHeight="1">
      <c r="A267" s="1"/>
      <c r="B267" s="1"/>
      <c r="C267" s="1"/>
      <c r="D267" s="1"/>
      <c r="E267" s="1"/>
    </row>
    <row r="268" spans="1:5" ht="14.25" customHeight="1">
      <c r="A268" s="1"/>
      <c r="B268" s="1"/>
      <c r="C268" s="1"/>
      <c r="D268" s="1"/>
      <c r="E268" s="1"/>
    </row>
    <row r="269" spans="1:5" ht="14.25" customHeight="1">
      <c r="A269" s="1"/>
      <c r="B269" s="1"/>
      <c r="C269" s="1"/>
      <c r="D269" s="1"/>
      <c r="E269" s="1"/>
    </row>
    <row r="270" spans="1:5" ht="14.25" customHeight="1">
      <c r="A270" s="1"/>
      <c r="B270" s="1"/>
      <c r="C270" s="1"/>
      <c r="D270" s="1"/>
      <c r="E270" s="1"/>
    </row>
    <row r="271" spans="1:5" ht="14.25" customHeight="1">
      <c r="A271" s="1"/>
      <c r="B271" s="1"/>
      <c r="C271" s="1"/>
      <c r="D271" s="1"/>
      <c r="E271" s="1"/>
    </row>
    <row r="272" spans="1:5" ht="14.25" customHeight="1">
      <c r="A272" s="1"/>
      <c r="B272" s="1"/>
      <c r="C272" s="1"/>
      <c r="D272" s="1"/>
      <c r="E272" s="1"/>
    </row>
    <row r="273" spans="1:5" ht="14.25" customHeight="1">
      <c r="A273" s="1"/>
      <c r="B273" s="1"/>
      <c r="C273" s="1"/>
      <c r="D273" s="1"/>
      <c r="E273" s="1"/>
    </row>
    <row r="274" spans="1:5" ht="14.25" customHeight="1">
      <c r="A274" s="1"/>
      <c r="B274" s="1"/>
      <c r="C274" s="1"/>
      <c r="D274" s="1"/>
      <c r="E274" s="1"/>
    </row>
    <row r="275" spans="1:5" ht="14.25" customHeight="1">
      <c r="A275" s="1"/>
      <c r="B275" s="1"/>
      <c r="C275" s="1"/>
      <c r="D275" s="1"/>
      <c r="E275" s="1"/>
    </row>
    <row r="276" spans="1:5" ht="14.25" customHeight="1">
      <c r="A276" s="1"/>
      <c r="B276" s="1"/>
      <c r="C276" s="1"/>
      <c r="D276" s="1"/>
      <c r="E276" s="1"/>
    </row>
    <row r="277" spans="1:5" ht="14.25" customHeight="1">
      <c r="A277" s="1"/>
      <c r="B277" s="1"/>
      <c r="C277" s="1"/>
      <c r="D277" s="1"/>
      <c r="E277" s="1"/>
    </row>
    <row r="278" spans="1:5" ht="14.25" customHeight="1">
      <c r="A278" s="1"/>
      <c r="B278" s="1"/>
      <c r="C278" s="1"/>
      <c r="D278" s="1"/>
      <c r="E278" s="1"/>
    </row>
    <row r="279" spans="1:5" ht="14.25" customHeight="1">
      <c r="A279" s="1"/>
      <c r="B279" s="1"/>
      <c r="C279" s="1"/>
      <c r="D279" s="1"/>
      <c r="E279" s="1"/>
    </row>
    <row r="280" spans="1:5" ht="14.25" customHeight="1">
      <c r="A280" s="1"/>
      <c r="B280" s="1"/>
      <c r="C280" s="1"/>
      <c r="D280" s="1"/>
      <c r="E280" s="1"/>
    </row>
    <row r="281" spans="1:5" ht="14.25" customHeight="1">
      <c r="A281" s="1"/>
      <c r="B281" s="1"/>
      <c r="C281" s="1"/>
      <c r="D281" s="1"/>
      <c r="E281" s="1"/>
    </row>
    <row r="282" spans="1:5" ht="14.25" customHeight="1">
      <c r="A282" s="1"/>
      <c r="B282" s="1"/>
      <c r="C282" s="1"/>
      <c r="D282" s="1"/>
      <c r="E282" s="1"/>
    </row>
    <row r="283" spans="1:5" ht="14.25" customHeight="1">
      <c r="A283" s="1"/>
      <c r="B283" s="1"/>
      <c r="C283" s="1"/>
      <c r="D283" s="1"/>
      <c r="E283" s="1"/>
    </row>
    <row r="284" spans="1:5" ht="14.25" customHeight="1">
      <c r="A284" s="1"/>
      <c r="B284" s="1"/>
      <c r="C284" s="1"/>
      <c r="D284" s="1"/>
      <c r="E284" s="1"/>
    </row>
    <row r="285" spans="1:5" ht="14.25" customHeight="1">
      <c r="A285" s="1"/>
      <c r="B285" s="1"/>
      <c r="C285" s="1"/>
      <c r="D285" s="1"/>
      <c r="E285" s="1"/>
    </row>
    <row r="286" spans="1:5" ht="14.25" customHeight="1">
      <c r="A286" s="1"/>
      <c r="B286" s="1"/>
      <c r="C286" s="1"/>
      <c r="D286" s="1"/>
      <c r="E286" s="1"/>
    </row>
    <row r="287" spans="1:5" ht="14.25" customHeight="1">
      <c r="A287" s="1"/>
      <c r="B287" s="1"/>
      <c r="C287" s="1"/>
      <c r="D287" s="1"/>
      <c r="E287" s="1"/>
    </row>
    <row r="288" spans="1:5" ht="14.25" customHeight="1">
      <c r="A288" s="1"/>
      <c r="B288" s="1"/>
      <c r="C288" s="1"/>
      <c r="D288" s="1"/>
      <c r="E288" s="1"/>
    </row>
    <row r="289" spans="1:5" ht="14.25" customHeight="1">
      <c r="A289" s="1"/>
      <c r="B289" s="1"/>
      <c r="C289" s="1"/>
      <c r="D289" s="1"/>
      <c r="E289" s="1"/>
    </row>
    <row r="290" spans="1:5" ht="14.25" customHeight="1">
      <c r="A290" s="1"/>
      <c r="B290" s="1"/>
      <c r="C290" s="1"/>
      <c r="D290" s="1"/>
      <c r="E290" s="1"/>
    </row>
    <row r="291" spans="1:5" ht="14.25" customHeight="1">
      <c r="A291" s="1"/>
      <c r="B291" s="1"/>
      <c r="C291" s="1"/>
      <c r="D291" s="1"/>
      <c r="E291" s="1"/>
    </row>
    <row r="292" spans="1:5" ht="14.25" customHeight="1">
      <c r="A292" s="1"/>
      <c r="B292" s="1"/>
      <c r="C292" s="1"/>
      <c r="D292" s="1"/>
      <c r="E292" s="1"/>
    </row>
    <row r="293" spans="1:5" ht="14.25" customHeight="1">
      <c r="A293" s="1"/>
      <c r="B293" s="1"/>
      <c r="C293" s="1"/>
      <c r="D293" s="1"/>
      <c r="E293" s="1"/>
    </row>
    <row r="294" spans="1:5" ht="14.25" customHeight="1">
      <c r="A294" s="1"/>
      <c r="B294" s="1"/>
      <c r="C294" s="1"/>
      <c r="D294" s="1"/>
      <c r="E294" s="1"/>
    </row>
    <row r="295" spans="1:5" ht="14.25" customHeight="1">
      <c r="A295" s="1"/>
      <c r="B295" s="1"/>
      <c r="C295" s="1"/>
      <c r="D295" s="1"/>
      <c r="E295" s="1"/>
    </row>
    <row r="296" spans="1:5" ht="14.25" customHeight="1">
      <c r="A296" s="1"/>
      <c r="B296" s="1"/>
      <c r="C296" s="1"/>
      <c r="D296" s="1"/>
      <c r="E296" s="1"/>
    </row>
    <row r="297" spans="1:5" ht="14.25" customHeight="1">
      <c r="A297" s="1"/>
      <c r="B297" s="1"/>
      <c r="C297" s="1"/>
      <c r="D297" s="1"/>
      <c r="E297" s="1"/>
    </row>
    <row r="298" spans="1:5" ht="14.25" customHeight="1">
      <c r="A298" s="1"/>
      <c r="B298" s="1"/>
      <c r="C298" s="1"/>
      <c r="D298" s="1"/>
      <c r="E298" s="1"/>
    </row>
    <row r="299" spans="1:5" ht="14.25" customHeight="1">
      <c r="A299" s="1"/>
      <c r="B299" s="1"/>
      <c r="C299" s="1"/>
      <c r="D299" s="1"/>
      <c r="E299" s="1"/>
    </row>
    <row r="300" spans="1:5" ht="14.25" customHeight="1">
      <c r="A300" s="1"/>
      <c r="B300" s="1"/>
      <c r="C300" s="1"/>
      <c r="D300" s="1"/>
      <c r="E300" s="1"/>
    </row>
    <row r="301" spans="1:5" ht="14.25" customHeight="1">
      <c r="A301" s="1"/>
      <c r="B301" s="1"/>
      <c r="C301" s="1"/>
      <c r="D301" s="1"/>
      <c r="E301" s="1"/>
    </row>
    <row r="302" spans="1:5" ht="14.25" customHeight="1">
      <c r="A302" s="1"/>
      <c r="B302" s="1"/>
      <c r="C302" s="1"/>
      <c r="D302" s="1"/>
      <c r="E302" s="1"/>
    </row>
    <row r="303" spans="1:5" ht="14.25" customHeight="1">
      <c r="A303" s="1"/>
      <c r="B303" s="1"/>
      <c r="C303" s="1"/>
      <c r="D303" s="1"/>
      <c r="E303" s="1"/>
    </row>
    <row r="304" spans="1:5" ht="14.25" customHeight="1">
      <c r="A304" s="1"/>
      <c r="B304" s="1"/>
      <c r="C304" s="1"/>
      <c r="D304" s="1"/>
      <c r="E304" s="1"/>
    </row>
    <row r="305" spans="1:5" ht="14.25" customHeight="1">
      <c r="A305" s="1"/>
      <c r="B305" s="1"/>
      <c r="C305" s="1"/>
      <c r="D305" s="1"/>
      <c r="E305" s="1"/>
    </row>
    <row r="306" spans="1:5" ht="14.25" customHeight="1">
      <c r="A306" s="1"/>
      <c r="B306" s="1"/>
      <c r="C306" s="1"/>
      <c r="D306" s="1"/>
      <c r="E306" s="1"/>
    </row>
    <row r="307" spans="1:5" ht="14.25" customHeight="1">
      <c r="A307" s="1"/>
      <c r="B307" s="1"/>
      <c r="C307" s="1"/>
      <c r="D307" s="1"/>
      <c r="E307" s="1"/>
    </row>
    <row r="308" spans="1:5" ht="14.25" customHeight="1">
      <c r="A308" s="1"/>
      <c r="B308" s="1"/>
      <c r="C308" s="1"/>
      <c r="D308" s="1"/>
      <c r="E308" s="1"/>
    </row>
    <row r="309" spans="1:5" ht="14.25" customHeight="1">
      <c r="A309" s="1"/>
      <c r="B309" s="1"/>
      <c r="C309" s="1"/>
      <c r="D309" s="1"/>
      <c r="E309" s="1"/>
    </row>
    <row r="310" spans="1:5" ht="14.25" customHeight="1">
      <c r="A310" s="1"/>
      <c r="B310" s="1"/>
      <c r="C310" s="1"/>
      <c r="D310" s="1"/>
      <c r="E310" s="1"/>
    </row>
    <row r="311" spans="1:5" ht="14.25" customHeight="1">
      <c r="A311" s="1"/>
      <c r="B311" s="1"/>
      <c r="C311" s="1"/>
      <c r="D311" s="1"/>
      <c r="E311" s="1"/>
    </row>
    <row r="312" spans="1:5" ht="14.25" customHeight="1">
      <c r="A312" s="1"/>
      <c r="B312" s="1"/>
      <c r="C312" s="1"/>
      <c r="D312" s="1"/>
      <c r="E312" s="1"/>
    </row>
    <row r="313" spans="1:5" ht="14.25" customHeight="1">
      <c r="A313" s="1"/>
      <c r="B313" s="1"/>
      <c r="C313" s="1"/>
      <c r="D313" s="1"/>
      <c r="E313" s="1"/>
    </row>
    <row r="314" spans="1:5" ht="14.25" customHeight="1">
      <c r="A314" s="1"/>
      <c r="B314" s="1"/>
      <c r="C314" s="1"/>
      <c r="D314" s="1"/>
      <c r="E314" s="1"/>
    </row>
    <row r="315" spans="1:5" ht="14.25" customHeight="1">
      <c r="A315" s="1"/>
      <c r="B315" s="1"/>
      <c r="C315" s="1"/>
      <c r="D315" s="1"/>
      <c r="E315" s="1"/>
    </row>
    <row r="316" spans="1:5" ht="14.25" customHeight="1">
      <c r="A316" s="1"/>
      <c r="B316" s="1"/>
      <c r="C316" s="1"/>
      <c r="D316" s="1"/>
      <c r="E316" s="1"/>
    </row>
    <row r="317" spans="1:5" ht="14.25" customHeight="1">
      <c r="A317" s="1"/>
      <c r="B317" s="1"/>
      <c r="C317" s="1"/>
      <c r="D317" s="1"/>
      <c r="E317" s="1"/>
    </row>
    <row r="318" spans="1:5" ht="14.25" customHeight="1">
      <c r="A318" s="1"/>
      <c r="B318" s="1"/>
      <c r="C318" s="1"/>
      <c r="D318" s="1"/>
      <c r="E318" s="1"/>
    </row>
    <row r="319" spans="1:5" ht="14.25" customHeight="1">
      <c r="A319" s="1"/>
      <c r="B319" s="1"/>
      <c r="C319" s="1"/>
      <c r="D319" s="1"/>
      <c r="E319" s="1"/>
    </row>
    <row r="320" spans="1:5" ht="14.25" customHeight="1">
      <c r="A320" s="1"/>
      <c r="B320" s="1"/>
      <c r="C320" s="1"/>
      <c r="D320" s="1"/>
      <c r="E320" s="1"/>
    </row>
    <row r="321" spans="1:5" ht="14.25" customHeight="1">
      <c r="A321" s="1"/>
      <c r="B321" s="1"/>
      <c r="C321" s="1"/>
      <c r="D321" s="1"/>
      <c r="E321" s="1"/>
    </row>
    <row r="322" spans="1:5" ht="14.25" customHeight="1">
      <c r="A322" s="1"/>
      <c r="B322" s="1"/>
      <c r="C322" s="1"/>
      <c r="D322" s="1"/>
      <c r="E322" s="1"/>
    </row>
    <row r="323" spans="1:5" ht="14.25" customHeight="1">
      <c r="A323" s="1"/>
      <c r="B323" s="1"/>
      <c r="C323" s="1"/>
      <c r="D323" s="1"/>
      <c r="E323" s="1"/>
    </row>
    <row r="324" spans="1:5" ht="14.25" customHeight="1">
      <c r="A324" s="1"/>
      <c r="B324" s="1"/>
      <c r="C324" s="1"/>
      <c r="D324" s="1"/>
      <c r="E324" s="1"/>
    </row>
    <row r="325" spans="1:5" ht="14.25" customHeight="1">
      <c r="A325" s="1"/>
      <c r="B325" s="1"/>
      <c r="C325" s="1"/>
      <c r="D325" s="1"/>
      <c r="E325" s="1"/>
    </row>
    <row r="326" spans="1:5" ht="14.25" customHeight="1">
      <c r="A326" s="1"/>
      <c r="B326" s="1"/>
      <c r="C326" s="1"/>
      <c r="D326" s="1"/>
      <c r="E326" s="1"/>
    </row>
    <row r="327" spans="1:5" ht="14.25" customHeight="1">
      <c r="A327" s="1"/>
      <c r="B327" s="1"/>
      <c r="C327" s="1"/>
      <c r="D327" s="1"/>
      <c r="E327" s="1"/>
    </row>
    <row r="328" spans="1:5" ht="14.25" customHeight="1">
      <c r="A328" s="1"/>
      <c r="B328" s="1"/>
      <c r="C328" s="1"/>
      <c r="D328" s="1"/>
      <c r="E328" s="1"/>
    </row>
    <row r="329" spans="1:5" ht="14.25" customHeight="1">
      <c r="A329" s="1"/>
      <c r="B329" s="1"/>
      <c r="C329" s="1"/>
      <c r="D329" s="1"/>
      <c r="E329" s="1"/>
    </row>
    <row r="330" spans="1:5" ht="14.25" customHeight="1">
      <c r="A330" s="1"/>
      <c r="B330" s="1"/>
      <c r="C330" s="1"/>
      <c r="D330" s="1"/>
      <c r="E330" s="1"/>
    </row>
    <row r="331" spans="1:5" ht="14.25" customHeight="1">
      <c r="A331" s="1"/>
      <c r="B331" s="1"/>
      <c r="C331" s="1"/>
      <c r="D331" s="1"/>
      <c r="E331" s="1"/>
    </row>
    <row r="332" spans="1:5" ht="14.25" customHeight="1">
      <c r="A332" s="1"/>
      <c r="B332" s="1"/>
      <c r="C332" s="1"/>
      <c r="D332" s="1"/>
      <c r="E332" s="1"/>
    </row>
    <row r="333" spans="1:5" ht="14.25" customHeight="1">
      <c r="A333" s="1"/>
      <c r="B333" s="1"/>
      <c r="C333" s="1"/>
      <c r="D333" s="1"/>
      <c r="E333" s="1"/>
    </row>
    <row r="334" spans="1:5" ht="14.25" customHeight="1">
      <c r="A334" s="1"/>
      <c r="B334" s="1"/>
      <c r="C334" s="1"/>
      <c r="D334" s="1"/>
      <c r="E334" s="1"/>
    </row>
    <row r="335" spans="1:5" ht="14.25" customHeight="1">
      <c r="A335" s="1"/>
      <c r="B335" s="1"/>
      <c r="C335" s="1"/>
      <c r="D335" s="1"/>
      <c r="E335" s="1"/>
    </row>
    <row r="336" spans="1:5" ht="14.25" customHeight="1">
      <c r="A336" s="1"/>
      <c r="B336" s="1"/>
      <c r="C336" s="1"/>
      <c r="D336" s="1"/>
      <c r="E336" s="1"/>
    </row>
    <row r="337" spans="1:5" ht="14.25" customHeight="1">
      <c r="A337" s="1"/>
      <c r="B337" s="1"/>
      <c r="C337" s="1"/>
      <c r="D337" s="1"/>
      <c r="E337" s="1"/>
    </row>
    <row r="338" spans="1:5" ht="14.25" customHeight="1">
      <c r="A338" s="1"/>
      <c r="B338" s="1"/>
      <c r="C338" s="1"/>
      <c r="D338" s="1"/>
      <c r="E338" s="1"/>
    </row>
    <row r="339" spans="1:5" ht="14.25" customHeight="1">
      <c r="A339" s="1"/>
      <c r="B339" s="1"/>
      <c r="C339" s="1"/>
      <c r="D339" s="1"/>
      <c r="E339" s="1"/>
    </row>
    <row r="340" spans="1:5" ht="14.25" customHeight="1">
      <c r="A340" s="1"/>
      <c r="B340" s="1"/>
      <c r="C340" s="1"/>
      <c r="D340" s="1"/>
      <c r="E340" s="1"/>
    </row>
    <row r="341" spans="1:5" ht="14.25" customHeight="1">
      <c r="A341" s="1"/>
      <c r="B341" s="1"/>
      <c r="C341" s="1"/>
      <c r="D341" s="1"/>
      <c r="E341" s="1"/>
    </row>
    <row r="342" spans="1:5" ht="14.25" customHeight="1">
      <c r="A342" s="1"/>
      <c r="B342" s="1"/>
      <c r="C342" s="1"/>
      <c r="D342" s="1"/>
      <c r="E342" s="1"/>
    </row>
    <row r="343" spans="1:5" ht="14.25" customHeight="1">
      <c r="A343" s="1"/>
      <c r="B343" s="1"/>
      <c r="C343" s="1"/>
      <c r="D343" s="1"/>
      <c r="E343" s="1"/>
    </row>
    <row r="344" spans="1:5" ht="14.25" customHeight="1">
      <c r="A344" s="1"/>
      <c r="B344" s="1"/>
      <c r="C344" s="1"/>
      <c r="D344" s="1"/>
      <c r="E344" s="1"/>
    </row>
    <row r="345" spans="1:5" ht="14.25" customHeight="1">
      <c r="A345" s="1"/>
      <c r="B345" s="1"/>
      <c r="C345" s="1"/>
      <c r="D345" s="1"/>
      <c r="E345" s="1"/>
    </row>
    <row r="346" spans="1:5" ht="14.25" customHeight="1">
      <c r="A346" s="1"/>
      <c r="B346" s="1"/>
      <c r="C346" s="1"/>
      <c r="D346" s="1"/>
      <c r="E346" s="1"/>
    </row>
    <row r="347" spans="1:5" ht="14.25" customHeight="1">
      <c r="A347" s="1"/>
      <c r="B347" s="1"/>
      <c r="C347" s="1"/>
      <c r="D347" s="1"/>
      <c r="E347" s="1"/>
    </row>
    <row r="348" spans="1:5" ht="14.25" customHeight="1">
      <c r="A348" s="1"/>
      <c r="B348" s="1"/>
      <c r="C348" s="1"/>
      <c r="D348" s="1"/>
      <c r="E348" s="1"/>
    </row>
    <row r="349" spans="1:5" ht="14.25" customHeight="1">
      <c r="A349" s="1"/>
      <c r="B349" s="1"/>
      <c r="C349" s="1"/>
      <c r="D349" s="1"/>
      <c r="E349" s="1"/>
    </row>
    <row r="350" spans="1:5" ht="14.25" customHeight="1">
      <c r="A350" s="1"/>
      <c r="B350" s="1"/>
      <c r="C350" s="1"/>
      <c r="D350" s="1"/>
      <c r="E350" s="1"/>
    </row>
    <row r="351" spans="1:5" ht="14.25" customHeight="1">
      <c r="A351" s="1"/>
      <c r="B351" s="1"/>
      <c r="C351" s="1"/>
      <c r="D351" s="1"/>
      <c r="E351" s="1"/>
    </row>
    <row r="352" spans="1:5" ht="14.25" customHeight="1">
      <c r="A352" s="1"/>
      <c r="B352" s="1"/>
      <c r="C352" s="1"/>
      <c r="D352" s="1"/>
      <c r="E352" s="1"/>
    </row>
    <row r="353" spans="1:5" ht="14.25" customHeight="1">
      <c r="A353" s="1"/>
      <c r="B353" s="1"/>
      <c r="C353" s="1"/>
      <c r="D353" s="1"/>
      <c r="E353" s="1"/>
    </row>
    <row r="354" spans="1:5" ht="14.25" customHeight="1">
      <c r="A354" s="1"/>
      <c r="B354" s="1"/>
      <c r="C354" s="1"/>
      <c r="D354" s="1"/>
      <c r="E354" s="1"/>
    </row>
    <row r="355" spans="1:5" ht="14.25" customHeight="1">
      <c r="A355" s="1"/>
      <c r="B355" s="1"/>
      <c r="C355" s="1"/>
      <c r="D355" s="1"/>
      <c r="E355" s="1"/>
    </row>
    <row r="356" spans="1:5" ht="14.25" customHeight="1">
      <c r="A356" s="1"/>
      <c r="B356" s="1"/>
      <c r="C356" s="1"/>
      <c r="D356" s="1"/>
      <c r="E356" s="1"/>
    </row>
    <row r="357" spans="1:5" ht="14.25" customHeight="1">
      <c r="A357" s="1"/>
      <c r="B357" s="1"/>
      <c r="C357" s="1"/>
      <c r="D357" s="1"/>
      <c r="E357" s="1"/>
    </row>
    <row r="358" spans="1:5" ht="14.25" customHeight="1">
      <c r="A358" s="1"/>
      <c r="B358" s="1"/>
      <c r="C358" s="1"/>
      <c r="D358" s="1"/>
      <c r="E358" s="1"/>
    </row>
    <row r="359" spans="1:5" ht="14.25" customHeight="1">
      <c r="A359" s="1"/>
      <c r="B359" s="1"/>
      <c r="C359" s="1"/>
      <c r="D359" s="1"/>
      <c r="E359" s="1"/>
    </row>
    <row r="360" spans="1:5" ht="14.25" customHeight="1">
      <c r="A360" s="1"/>
      <c r="B360" s="1"/>
      <c r="C360" s="1"/>
      <c r="D360" s="1"/>
      <c r="E360" s="1"/>
    </row>
    <row r="361" spans="1:5" ht="14.25" customHeight="1">
      <c r="A361" s="1"/>
      <c r="B361" s="1"/>
      <c r="C361" s="1"/>
      <c r="D361" s="1"/>
      <c r="E361" s="1"/>
    </row>
    <row r="362" spans="1:5" ht="14.25" customHeight="1">
      <c r="A362" s="1"/>
      <c r="B362" s="1"/>
      <c r="C362" s="1"/>
      <c r="D362" s="1"/>
      <c r="E362" s="1"/>
    </row>
    <row r="363" spans="1:5" ht="14.25" customHeight="1">
      <c r="A363" s="1"/>
      <c r="B363" s="1"/>
      <c r="C363" s="1"/>
      <c r="D363" s="1"/>
      <c r="E363" s="1"/>
    </row>
    <row r="364" spans="1:5" ht="14.25" customHeight="1">
      <c r="A364" s="1"/>
      <c r="B364" s="1"/>
      <c r="C364" s="1"/>
      <c r="D364" s="1"/>
      <c r="E364" s="1"/>
    </row>
    <row r="365" spans="1:5" ht="14.25" customHeight="1">
      <c r="A365" s="1"/>
      <c r="B365" s="1"/>
      <c r="C365" s="1"/>
      <c r="D365" s="1"/>
      <c r="E365" s="1"/>
    </row>
    <row r="366" spans="1:5" ht="14.25" customHeight="1">
      <c r="A366" s="1"/>
      <c r="B366" s="1"/>
      <c r="C366" s="1"/>
      <c r="D366" s="1"/>
      <c r="E366" s="1"/>
    </row>
    <row r="367" spans="1:5" ht="14.25" customHeight="1">
      <c r="A367" s="1"/>
      <c r="B367" s="1"/>
      <c r="C367" s="1"/>
      <c r="D367" s="1"/>
      <c r="E367" s="1"/>
    </row>
    <row r="368" spans="1:5" ht="14.25" customHeight="1">
      <c r="A368" s="1"/>
      <c r="B368" s="1"/>
      <c r="C368" s="1"/>
      <c r="D368" s="1"/>
      <c r="E368" s="1"/>
    </row>
    <row r="369" spans="1:5" ht="14.25" customHeight="1">
      <c r="A369" s="1"/>
      <c r="B369" s="1"/>
      <c r="C369" s="1"/>
      <c r="D369" s="1"/>
      <c r="E369" s="1"/>
    </row>
    <row r="370" spans="1:5" ht="14.25" customHeight="1">
      <c r="A370" s="1"/>
      <c r="B370" s="1"/>
      <c r="C370" s="1"/>
      <c r="D370" s="1"/>
      <c r="E370" s="1"/>
    </row>
    <row r="371" spans="1:5" ht="14.25" customHeight="1">
      <c r="A371" s="1"/>
      <c r="B371" s="1"/>
      <c r="C371" s="1"/>
      <c r="D371" s="1"/>
      <c r="E371" s="1"/>
    </row>
    <row r="372" spans="1:5" ht="14.25" customHeight="1">
      <c r="A372" s="1"/>
      <c r="B372" s="1"/>
      <c r="C372" s="1"/>
      <c r="D372" s="1"/>
      <c r="E372" s="1"/>
    </row>
    <row r="373" spans="1:5" ht="14.25" customHeight="1">
      <c r="A373" s="1"/>
      <c r="B373" s="1"/>
      <c r="C373" s="1"/>
      <c r="D373" s="1"/>
      <c r="E373" s="1"/>
    </row>
    <row r="374" spans="1:5" ht="14.25" customHeight="1">
      <c r="A374" s="1"/>
      <c r="B374" s="1"/>
      <c r="C374" s="1"/>
      <c r="D374" s="1"/>
      <c r="E374" s="1"/>
    </row>
    <row r="375" spans="1:5" ht="14.25" customHeight="1">
      <c r="A375" s="1"/>
      <c r="B375" s="1"/>
      <c r="C375" s="1"/>
      <c r="D375" s="1"/>
      <c r="E375" s="1"/>
    </row>
    <row r="376" spans="1:5" ht="14.25" customHeight="1">
      <c r="A376" s="1"/>
      <c r="B376" s="1"/>
      <c r="C376" s="1"/>
      <c r="D376" s="1"/>
      <c r="E376" s="1"/>
    </row>
    <row r="377" spans="1:5" ht="14.25" customHeight="1">
      <c r="A377" s="1"/>
      <c r="B377" s="1"/>
      <c r="C377" s="1"/>
      <c r="D377" s="1"/>
      <c r="E377" s="1"/>
    </row>
    <row r="378" spans="1:5" ht="14.25" customHeight="1">
      <c r="A378" s="1"/>
      <c r="B378" s="1"/>
      <c r="C378" s="1"/>
      <c r="D378" s="1"/>
      <c r="E378" s="1"/>
    </row>
    <row r="379" spans="1:5" ht="14.25" customHeight="1">
      <c r="A379" s="1"/>
      <c r="B379" s="1"/>
      <c r="C379" s="1"/>
      <c r="D379" s="1"/>
      <c r="E379" s="1"/>
    </row>
    <row r="380" spans="1:5" ht="14.25" customHeight="1">
      <c r="A380" s="1"/>
      <c r="B380" s="1"/>
      <c r="C380" s="1"/>
      <c r="D380" s="1"/>
      <c r="E380" s="1"/>
    </row>
    <row r="381" spans="1:5" ht="14.25" customHeight="1">
      <c r="A381" s="1"/>
      <c r="B381" s="1"/>
      <c r="C381" s="1"/>
      <c r="D381" s="1"/>
      <c r="E381" s="1"/>
    </row>
    <row r="382" spans="1:5" ht="14.25" customHeight="1">
      <c r="A382" s="1"/>
      <c r="B382" s="1"/>
      <c r="C382" s="1"/>
      <c r="D382" s="1"/>
      <c r="E382" s="1"/>
    </row>
    <row r="383" spans="1:5" ht="14.25" customHeight="1">
      <c r="A383" s="1"/>
      <c r="B383" s="1"/>
      <c r="C383" s="1"/>
      <c r="D383" s="1"/>
      <c r="E383" s="1"/>
    </row>
    <row r="384" spans="1:5" ht="14.25" customHeight="1">
      <c r="A384" s="1"/>
      <c r="B384" s="1"/>
      <c r="C384" s="1"/>
      <c r="D384" s="1"/>
      <c r="E384" s="1"/>
    </row>
    <row r="385" spans="1:5" ht="14.25" customHeight="1">
      <c r="A385" s="1"/>
      <c r="B385" s="1"/>
      <c r="C385" s="1"/>
      <c r="D385" s="1"/>
      <c r="E385" s="1"/>
    </row>
    <row r="386" spans="1:5" ht="14.25" customHeight="1">
      <c r="A386" s="1"/>
      <c r="B386" s="1"/>
      <c r="C386" s="1"/>
      <c r="D386" s="1"/>
      <c r="E386" s="1"/>
    </row>
    <row r="387" spans="1:5" ht="14.25" customHeight="1">
      <c r="A387" s="1"/>
      <c r="B387" s="1"/>
      <c r="C387" s="1"/>
      <c r="D387" s="1"/>
      <c r="E387" s="1"/>
    </row>
    <row r="388" spans="1:5" ht="14.25" customHeight="1">
      <c r="A388" s="1"/>
      <c r="B388" s="1"/>
      <c r="C388" s="1"/>
      <c r="D388" s="1"/>
      <c r="E388" s="1"/>
    </row>
    <row r="389" spans="1:5" ht="14.25" customHeight="1">
      <c r="A389" s="1"/>
      <c r="B389" s="1"/>
      <c r="C389" s="1"/>
      <c r="D389" s="1"/>
      <c r="E389" s="1"/>
    </row>
    <row r="390" spans="1:5" ht="14.25" customHeight="1">
      <c r="A390" s="1"/>
      <c r="B390" s="1"/>
      <c r="C390" s="1"/>
      <c r="D390" s="1"/>
      <c r="E390" s="1"/>
    </row>
    <row r="391" spans="1:5" ht="14.25" customHeight="1">
      <c r="A391" s="1"/>
      <c r="B391" s="1"/>
      <c r="C391" s="1"/>
      <c r="D391" s="1"/>
      <c r="E391" s="1"/>
    </row>
    <row r="392" spans="1:5" ht="14.25" customHeight="1">
      <c r="A392" s="1"/>
      <c r="B392" s="1"/>
      <c r="C392" s="1"/>
      <c r="D392" s="1"/>
      <c r="E392" s="1"/>
    </row>
    <row r="393" spans="1:5" ht="14.25" customHeight="1">
      <c r="A393" s="1"/>
      <c r="B393" s="1"/>
      <c r="C393" s="1"/>
      <c r="D393" s="1"/>
      <c r="E393" s="1"/>
    </row>
    <row r="394" spans="1:5" ht="14.25" customHeight="1">
      <c r="A394" s="1"/>
      <c r="B394" s="1"/>
      <c r="C394" s="1"/>
      <c r="D394" s="1"/>
      <c r="E394" s="1"/>
    </row>
    <row r="395" spans="1:5" ht="14.25" customHeight="1">
      <c r="A395" s="1"/>
      <c r="B395" s="1"/>
      <c r="C395" s="1"/>
      <c r="D395" s="1"/>
      <c r="E395" s="1"/>
    </row>
    <row r="396" spans="1:5" ht="14.25" customHeight="1">
      <c r="A396" s="1"/>
      <c r="B396" s="1"/>
      <c r="C396" s="1"/>
      <c r="D396" s="1"/>
      <c r="E396" s="1"/>
    </row>
    <row r="397" spans="1:5" ht="14.25" customHeight="1">
      <c r="A397" s="1"/>
      <c r="B397" s="1"/>
      <c r="C397" s="1"/>
      <c r="D397" s="1"/>
      <c r="E397" s="1"/>
    </row>
    <row r="398" spans="1:5" ht="14.25" customHeight="1">
      <c r="A398" s="1"/>
      <c r="B398" s="1"/>
      <c r="C398" s="1"/>
      <c r="D398" s="1"/>
      <c r="E398" s="1"/>
    </row>
    <row r="399" spans="1:5" ht="14.25" customHeight="1">
      <c r="A399" s="1"/>
      <c r="B399" s="1"/>
      <c r="C399" s="1"/>
      <c r="D399" s="1"/>
      <c r="E399" s="1"/>
    </row>
    <row r="400" spans="1:5" ht="14.25" customHeight="1">
      <c r="A400" s="1"/>
      <c r="B400" s="1"/>
      <c r="C400" s="1"/>
      <c r="D400" s="1"/>
      <c r="E400" s="1"/>
    </row>
    <row r="401" spans="1:5" ht="14.25" customHeight="1">
      <c r="A401" s="1"/>
      <c r="B401" s="1"/>
      <c r="C401" s="1"/>
      <c r="D401" s="1"/>
      <c r="E401" s="1"/>
    </row>
    <row r="402" spans="1:5" ht="14.25" customHeight="1">
      <c r="A402" s="1"/>
      <c r="B402" s="1"/>
      <c r="C402" s="1"/>
      <c r="D402" s="1"/>
      <c r="E402" s="1"/>
    </row>
    <row r="403" spans="1:5" ht="14.25" customHeight="1">
      <c r="A403" s="1"/>
      <c r="B403" s="1"/>
      <c r="C403" s="1"/>
      <c r="D403" s="1"/>
      <c r="E403" s="1"/>
    </row>
    <row r="404" spans="1:5" ht="14.25" customHeight="1">
      <c r="A404" s="1"/>
      <c r="B404" s="1"/>
      <c r="C404" s="1"/>
      <c r="D404" s="1"/>
      <c r="E404" s="1"/>
    </row>
    <row r="405" spans="1:5" ht="14.25" customHeight="1">
      <c r="A405" s="1"/>
      <c r="B405" s="1"/>
      <c r="C405" s="1"/>
      <c r="D405" s="1"/>
      <c r="E405" s="1"/>
    </row>
    <row r="406" spans="1:5" ht="14.25" customHeight="1">
      <c r="A406" s="1"/>
      <c r="B406" s="1"/>
      <c r="C406" s="1"/>
      <c r="D406" s="1"/>
      <c r="E406" s="1"/>
    </row>
    <row r="407" spans="1:5" ht="14.25" customHeight="1">
      <c r="A407" s="1"/>
      <c r="B407" s="1"/>
      <c r="C407" s="1"/>
      <c r="D407" s="1"/>
      <c r="E407" s="1"/>
    </row>
    <row r="408" spans="1:5" ht="14.25" customHeight="1">
      <c r="A408" s="1"/>
      <c r="B408" s="1"/>
      <c r="C408" s="1"/>
      <c r="D408" s="1"/>
      <c r="E408" s="1"/>
    </row>
    <row r="409" spans="1:5" ht="14.25" customHeight="1">
      <c r="A409" s="1"/>
      <c r="B409" s="1"/>
      <c r="C409" s="1"/>
      <c r="D409" s="1"/>
      <c r="E409" s="1"/>
    </row>
    <row r="410" spans="1:5" ht="14.25" customHeight="1">
      <c r="A410" s="1"/>
      <c r="B410" s="1"/>
      <c r="C410" s="1"/>
      <c r="D410" s="1"/>
      <c r="E410" s="1"/>
    </row>
    <row r="411" spans="1:5" ht="14.25" customHeight="1">
      <c r="A411" s="1"/>
      <c r="B411" s="1"/>
      <c r="C411" s="1"/>
      <c r="D411" s="1"/>
      <c r="E411" s="1"/>
    </row>
    <row r="412" spans="1:5" ht="14.25" customHeight="1">
      <c r="A412" s="1"/>
      <c r="B412" s="1"/>
      <c r="C412" s="1"/>
      <c r="D412" s="1"/>
      <c r="E412" s="1"/>
    </row>
    <row r="413" spans="1:5" ht="14.25" customHeight="1">
      <c r="A413" s="1"/>
      <c r="B413" s="1"/>
      <c r="C413" s="1"/>
      <c r="D413" s="1"/>
      <c r="E413" s="1"/>
    </row>
    <row r="414" spans="1:5" ht="14.25" customHeight="1">
      <c r="A414" s="1"/>
      <c r="B414" s="1"/>
      <c r="C414" s="1"/>
      <c r="D414" s="1"/>
      <c r="E414" s="1"/>
    </row>
    <row r="415" spans="1:5" ht="14.25" customHeight="1">
      <c r="A415" s="1"/>
      <c r="B415" s="1"/>
      <c r="C415" s="1"/>
      <c r="D415" s="1"/>
      <c r="E415" s="1"/>
    </row>
    <row r="416" spans="1:5" ht="14.25" customHeight="1">
      <c r="A416" s="1"/>
      <c r="B416" s="1"/>
      <c r="C416" s="1"/>
      <c r="D416" s="1"/>
      <c r="E416" s="1"/>
    </row>
    <row r="417" spans="1:5" ht="14.25" customHeight="1">
      <c r="A417" s="1"/>
      <c r="B417" s="1"/>
      <c r="C417" s="1"/>
      <c r="D417" s="1"/>
      <c r="E417" s="1"/>
    </row>
    <row r="418" spans="1:5" ht="14.25" customHeight="1">
      <c r="A418" s="1"/>
      <c r="B418" s="1"/>
      <c r="C418" s="1"/>
      <c r="D418" s="1"/>
      <c r="E418" s="1"/>
    </row>
    <row r="419" spans="1:5" ht="14.25" customHeight="1">
      <c r="A419" s="1"/>
      <c r="B419" s="1"/>
      <c r="C419" s="1"/>
      <c r="D419" s="1"/>
      <c r="E419" s="1"/>
    </row>
    <row r="420" spans="1:5" ht="14.25" customHeight="1">
      <c r="A420" s="1"/>
      <c r="B420" s="1"/>
      <c r="C420" s="1"/>
      <c r="D420" s="1"/>
      <c r="E420" s="1"/>
    </row>
    <row r="421" spans="1:5" ht="14.25" customHeight="1">
      <c r="A421" s="1"/>
      <c r="B421" s="1"/>
      <c r="C421" s="1"/>
      <c r="D421" s="1"/>
      <c r="E421" s="1"/>
    </row>
    <row r="422" spans="1:5" ht="14.25" customHeight="1">
      <c r="A422" s="1"/>
      <c r="B422" s="1"/>
      <c r="C422" s="1"/>
      <c r="D422" s="1"/>
      <c r="E422" s="1"/>
    </row>
    <row r="423" spans="1:5" ht="14.25" customHeight="1">
      <c r="A423" s="1"/>
      <c r="B423" s="1"/>
      <c r="C423" s="1"/>
      <c r="D423" s="1"/>
      <c r="E423" s="1"/>
    </row>
    <row r="424" spans="1:5" ht="14.25" customHeight="1">
      <c r="A424" s="1"/>
      <c r="B424" s="1"/>
      <c r="C424" s="1"/>
      <c r="D424" s="1"/>
      <c r="E424" s="1"/>
    </row>
    <row r="425" spans="1:5" ht="14.25" customHeight="1">
      <c r="A425" s="1"/>
      <c r="B425" s="1"/>
      <c r="C425" s="1"/>
      <c r="D425" s="1"/>
      <c r="E425" s="1"/>
    </row>
    <row r="426" spans="1:5" ht="14.25" customHeight="1">
      <c r="A426" s="1"/>
      <c r="B426" s="1"/>
      <c r="C426" s="1"/>
      <c r="D426" s="1"/>
      <c r="E426" s="1"/>
    </row>
    <row r="427" spans="1:5" ht="14.25" customHeight="1">
      <c r="A427" s="1"/>
      <c r="B427" s="1"/>
      <c r="C427" s="1"/>
      <c r="D427" s="1"/>
      <c r="E427" s="1"/>
    </row>
    <row r="428" spans="1:5" ht="14.25" customHeight="1">
      <c r="A428" s="1"/>
      <c r="B428" s="1"/>
      <c r="C428" s="1"/>
      <c r="D428" s="1"/>
      <c r="E428" s="1"/>
    </row>
    <row r="429" spans="1:5" ht="14.25" customHeight="1">
      <c r="A429" s="1"/>
      <c r="B429" s="1"/>
      <c r="C429" s="1"/>
      <c r="D429" s="1"/>
      <c r="E429" s="1"/>
    </row>
    <row r="430" spans="1:5" ht="14.25" customHeight="1">
      <c r="A430" s="1"/>
      <c r="B430" s="1"/>
      <c r="C430" s="1"/>
      <c r="D430" s="1"/>
      <c r="E430" s="1"/>
    </row>
    <row r="431" spans="1:5" ht="14.25" customHeight="1">
      <c r="A431" s="1"/>
      <c r="B431" s="1"/>
      <c r="C431" s="1"/>
      <c r="D431" s="1"/>
      <c r="E431" s="1"/>
    </row>
    <row r="432" spans="1:5" ht="14.25" customHeight="1">
      <c r="A432" s="1"/>
      <c r="B432" s="1"/>
      <c r="C432" s="1"/>
      <c r="D432" s="1"/>
      <c r="E432" s="1"/>
    </row>
    <row r="433" spans="1:5" ht="14.25" customHeight="1">
      <c r="A433" s="1"/>
      <c r="B433" s="1"/>
      <c r="C433" s="1"/>
      <c r="D433" s="1"/>
      <c r="E433" s="1"/>
    </row>
    <row r="434" spans="1:5" ht="14.25" customHeight="1">
      <c r="A434" s="1"/>
      <c r="B434" s="1"/>
      <c r="C434" s="1"/>
      <c r="D434" s="1"/>
      <c r="E434" s="1"/>
    </row>
    <row r="435" spans="1:5" ht="14.25" customHeight="1">
      <c r="A435" s="1"/>
      <c r="B435" s="1"/>
      <c r="C435" s="1"/>
      <c r="D435" s="1"/>
      <c r="E435" s="1"/>
    </row>
    <row r="436" spans="1:5" ht="14.25" customHeight="1">
      <c r="A436" s="1"/>
      <c r="B436" s="1"/>
      <c r="C436" s="1"/>
      <c r="D436" s="1"/>
      <c r="E436" s="1"/>
    </row>
    <row r="437" spans="1:5" ht="14.25" customHeight="1">
      <c r="A437" s="1"/>
      <c r="B437" s="1"/>
      <c r="C437" s="1"/>
      <c r="D437" s="1"/>
      <c r="E437" s="1"/>
    </row>
    <row r="438" spans="1:5" ht="14.25" customHeight="1">
      <c r="A438" s="1"/>
      <c r="B438" s="1"/>
      <c r="C438" s="1"/>
      <c r="D438" s="1"/>
      <c r="E438" s="1"/>
    </row>
    <row r="439" spans="1:5" ht="14.25" customHeight="1">
      <c r="A439" s="1"/>
      <c r="B439" s="1"/>
      <c r="C439" s="1"/>
      <c r="D439" s="1"/>
      <c r="E439" s="1"/>
    </row>
    <row r="440" spans="1:5" ht="14.25" customHeight="1">
      <c r="A440" s="1"/>
      <c r="B440" s="1"/>
      <c r="C440" s="1"/>
      <c r="D440" s="1"/>
      <c r="E440" s="1"/>
    </row>
    <row r="441" spans="1:5" ht="14.25" customHeight="1">
      <c r="A441" s="1"/>
      <c r="B441" s="1"/>
      <c r="C441" s="1"/>
      <c r="D441" s="1"/>
      <c r="E441" s="1"/>
    </row>
    <row r="442" spans="1:5" ht="14.25" customHeight="1">
      <c r="A442" s="1"/>
      <c r="B442" s="1"/>
      <c r="C442" s="1"/>
      <c r="D442" s="1"/>
      <c r="E442" s="1"/>
    </row>
    <row r="443" spans="1:5" ht="14.25" customHeight="1">
      <c r="A443" s="1"/>
      <c r="B443" s="1"/>
      <c r="C443" s="1"/>
      <c r="D443" s="1"/>
      <c r="E443" s="1"/>
    </row>
    <row r="444" spans="1:5" ht="14.25" customHeight="1">
      <c r="A444" s="1"/>
      <c r="B444" s="1"/>
      <c r="C444" s="1"/>
      <c r="D444" s="1"/>
      <c r="E444" s="1"/>
    </row>
    <row r="445" spans="1:5" ht="14.25" customHeight="1">
      <c r="A445" s="1"/>
      <c r="B445" s="1"/>
      <c r="C445" s="1"/>
      <c r="D445" s="1"/>
      <c r="E445" s="1"/>
    </row>
    <row r="446" spans="1:5" ht="14.25" customHeight="1">
      <c r="A446" s="1"/>
      <c r="B446" s="1"/>
      <c r="C446" s="1"/>
      <c r="D446" s="1"/>
      <c r="E446" s="1"/>
    </row>
    <row r="447" spans="1:5" ht="14.25" customHeight="1">
      <c r="A447" s="1"/>
      <c r="B447" s="1"/>
      <c r="C447" s="1"/>
      <c r="D447" s="1"/>
      <c r="E447" s="1"/>
    </row>
    <row r="448" spans="1:5" ht="14.25" customHeight="1">
      <c r="A448" s="1"/>
      <c r="B448" s="1"/>
      <c r="C448" s="1"/>
      <c r="D448" s="1"/>
      <c r="E448" s="1"/>
    </row>
    <row r="449" spans="1:5" ht="14.25" customHeight="1">
      <c r="A449" s="1"/>
      <c r="B449" s="1"/>
      <c r="C449" s="1"/>
      <c r="D449" s="1"/>
      <c r="E449" s="1"/>
    </row>
    <row r="450" spans="1:5" ht="14.25" customHeight="1">
      <c r="A450" s="1"/>
      <c r="B450" s="1"/>
      <c r="C450" s="1"/>
      <c r="D450" s="1"/>
      <c r="E450" s="1"/>
    </row>
    <row r="451" spans="1:5" ht="14.25" customHeight="1">
      <c r="A451" s="1"/>
      <c r="B451" s="1"/>
      <c r="C451" s="1"/>
      <c r="D451" s="1"/>
      <c r="E451" s="1"/>
    </row>
    <row r="452" spans="1:5" ht="14.25" customHeight="1">
      <c r="A452" s="1"/>
      <c r="B452" s="1"/>
      <c r="C452" s="1"/>
      <c r="D452" s="1"/>
      <c r="E452" s="1"/>
    </row>
    <row r="453" spans="1:5" ht="14.25" customHeight="1">
      <c r="A453" s="1"/>
      <c r="B453" s="1"/>
      <c r="C453" s="1"/>
      <c r="D453" s="1"/>
      <c r="E453" s="1"/>
    </row>
    <row r="454" spans="1:5" ht="14.25" customHeight="1">
      <c r="A454" s="1"/>
      <c r="B454" s="1"/>
      <c r="C454" s="1"/>
      <c r="D454" s="1"/>
      <c r="E454" s="1"/>
    </row>
    <row r="455" spans="1:5" ht="14.25" customHeight="1">
      <c r="A455" s="1"/>
      <c r="B455" s="1"/>
      <c r="C455" s="1"/>
      <c r="D455" s="1"/>
      <c r="E455" s="1"/>
    </row>
    <row r="456" spans="1:5" ht="14.25" customHeight="1">
      <c r="A456" s="1"/>
      <c r="B456" s="1"/>
      <c r="C456" s="1"/>
      <c r="D456" s="1"/>
      <c r="E456" s="1"/>
    </row>
    <row r="457" spans="1:5" ht="14.25" customHeight="1">
      <c r="A457" s="1"/>
      <c r="B457" s="1"/>
      <c r="C457" s="1"/>
      <c r="D457" s="1"/>
      <c r="E457" s="1"/>
    </row>
    <row r="458" spans="1:5" ht="14.25" customHeight="1">
      <c r="A458" s="1"/>
      <c r="B458" s="1"/>
      <c r="C458" s="1"/>
      <c r="D458" s="1"/>
      <c r="E458" s="1"/>
    </row>
    <row r="459" spans="1:5" ht="14.25" customHeight="1">
      <c r="A459" s="1"/>
      <c r="B459" s="1"/>
      <c r="C459" s="1"/>
      <c r="D459" s="1"/>
      <c r="E459" s="1"/>
    </row>
    <row r="460" spans="1:5" ht="14.25" customHeight="1">
      <c r="A460" s="1"/>
      <c r="B460" s="1"/>
      <c r="C460" s="1"/>
      <c r="D460" s="1"/>
      <c r="E460" s="1"/>
    </row>
    <row r="461" spans="1:5" ht="14.25" customHeight="1">
      <c r="A461" s="1"/>
      <c r="B461" s="1"/>
      <c r="C461" s="1"/>
      <c r="D461" s="1"/>
      <c r="E461" s="1"/>
    </row>
    <row r="462" spans="1:5" ht="14.25" customHeight="1">
      <c r="A462" s="1"/>
      <c r="B462" s="1"/>
      <c r="C462" s="1"/>
      <c r="D462" s="1"/>
      <c r="E462" s="1"/>
    </row>
    <row r="463" spans="1:5" ht="14.25" customHeight="1">
      <c r="A463" s="1"/>
      <c r="B463" s="1"/>
      <c r="C463" s="1"/>
      <c r="D463" s="1"/>
      <c r="E463" s="1"/>
    </row>
    <row r="464" spans="1:5" ht="14.25" customHeight="1">
      <c r="A464" s="1"/>
      <c r="B464" s="1"/>
      <c r="C464" s="1"/>
      <c r="D464" s="1"/>
      <c r="E464" s="1"/>
    </row>
    <row r="465" spans="1:5" ht="14.25" customHeight="1">
      <c r="A465" s="1"/>
      <c r="B465" s="1"/>
      <c r="C465" s="1"/>
      <c r="D465" s="1"/>
      <c r="E465" s="1"/>
    </row>
    <row r="466" spans="1:5" ht="14.25" customHeight="1">
      <c r="A466" s="1"/>
      <c r="B466" s="1"/>
      <c r="C466" s="1"/>
      <c r="D466" s="1"/>
      <c r="E466" s="1"/>
    </row>
    <row r="467" spans="1:5" ht="14.25" customHeight="1">
      <c r="A467" s="1"/>
      <c r="B467" s="1"/>
      <c r="C467" s="1"/>
      <c r="D467" s="1"/>
      <c r="E467" s="1"/>
    </row>
    <row r="468" spans="1:5" ht="14.25" customHeight="1">
      <c r="A468" s="1"/>
      <c r="B468" s="1"/>
      <c r="C468" s="1"/>
      <c r="D468" s="1"/>
      <c r="E468" s="1"/>
    </row>
    <row r="469" spans="1:5" ht="14.25" customHeight="1">
      <c r="A469" s="1"/>
      <c r="B469" s="1"/>
      <c r="C469" s="1"/>
      <c r="D469" s="1"/>
      <c r="E469" s="1"/>
    </row>
    <row r="470" spans="1:5" ht="14.25" customHeight="1">
      <c r="A470" s="1"/>
      <c r="B470" s="1"/>
      <c r="C470" s="1"/>
      <c r="D470" s="1"/>
      <c r="E470" s="1"/>
    </row>
    <row r="471" spans="1:5" ht="14.25" customHeight="1">
      <c r="A471" s="1"/>
      <c r="B471" s="1"/>
      <c r="C471" s="1"/>
      <c r="D471" s="1"/>
      <c r="E471" s="1"/>
    </row>
    <row r="472" spans="1:5" ht="14.25" customHeight="1">
      <c r="A472" s="1"/>
      <c r="B472" s="1"/>
      <c r="C472" s="1"/>
      <c r="D472" s="1"/>
      <c r="E472" s="1"/>
    </row>
    <row r="473" spans="1:5" ht="14.25" customHeight="1">
      <c r="A473" s="1"/>
      <c r="B473" s="1"/>
      <c r="C473" s="1"/>
      <c r="D473" s="1"/>
      <c r="E473" s="1"/>
    </row>
    <row r="474" spans="1:5" ht="14.25" customHeight="1">
      <c r="A474" s="1"/>
      <c r="B474" s="1"/>
      <c r="C474" s="1"/>
      <c r="D474" s="1"/>
      <c r="E474" s="1"/>
    </row>
    <row r="475" spans="1:5" ht="14.25" customHeight="1">
      <c r="A475" s="1"/>
      <c r="B475" s="1"/>
      <c r="C475" s="1"/>
      <c r="D475" s="1"/>
      <c r="E475" s="1"/>
    </row>
    <row r="476" spans="1:5" ht="14.25" customHeight="1">
      <c r="A476" s="1"/>
      <c r="B476" s="1"/>
      <c r="C476" s="1"/>
      <c r="D476" s="1"/>
      <c r="E476" s="1"/>
    </row>
    <row r="477" spans="1:5" ht="14.25" customHeight="1">
      <c r="A477" s="1"/>
      <c r="B477" s="1"/>
      <c r="C477" s="1"/>
      <c r="D477" s="1"/>
      <c r="E477" s="1"/>
    </row>
    <row r="478" spans="1:5" ht="14.25" customHeight="1">
      <c r="A478" s="1"/>
      <c r="B478" s="1"/>
      <c r="C478" s="1"/>
      <c r="D478" s="1"/>
      <c r="E478" s="1"/>
    </row>
    <row r="479" spans="1:5" ht="14.25" customHeight="1">
      <c r="A479" s="1"/>
      <c r="B479" s="1"/>
      <c r="C479" s="1"/>
      <c r="D479" s="1"/>
      <c r="E479" s="1"/>
    </row>
    <row r="480" spans="1:5" ht="14.25" customHeight="1">
      <c r="A480" s="1"/>
      <c r="B480" s="1"/>
      <c r="C480" s="1"/>
      <c r="D480" s="1"/>
      <c r="E480" s="1"/>
    </row>
    <row r="481" spans="1:5" ht="14.25" customHeight="1">
      <c r="A481" s="1"/>
      <c r="B481" s="1"/>
      <c r="C481" s="1"/>
      <c r="D481" s="1"/>
      <c r="E481" s="1"/>
    </row>
    <row r="482" spans="1:5" ht="14.25" customHeight="1">
      <c r="A482" s="1"/>
      <c r="B482" s="1"/>
      <c r="C482" s="1"/>
      <c r="D482" s="1"/>
      <c r="E482" s="1"/>
    </row>
    <row r="483" spans="1:5" ht="14.25" customHeight="1">
      <c r="A483" s="1"/>
      <c r="B483" s="1"/>
      <c r="C483" s="1"/>
      <c r="D483" s="1"/>
      <c r="E483" s="1"/>
    </row>
    <row r="484" spans="1:5" ht="14.25" customHeight="1">
      <c r="A484" s="1"/>
      <c r="B484" s="1"/>
      <c r="C484" s="1"/>
      <c r="D484" s="1"/>
      <c r="E484" s="1"/>
    </row>
    <row r="485" spans="1:5" ht="14.25" customHeight="1">
      <c r="A485" s="1"/>
      <c r="B485" s="1"/>
      <c r="C485" s="1"/>
      <c r="D485" s="1"/>
      <c r="E485" s="1"/>
    </row>
    <row r="486" spans="1:5" ht="14.25" customHeight="1">
      <c r="A486" s="1"/>
      <c r="B486" s="1"/>
      <c r="C486" s="1"/>
      <c r="D486" s="1"/>
      <c r="E486" s="1"/>
    </row>
    <row r="487" spans="1:5" ht="14.25" customHeight="1">
      <c r="A487" s="1"/>
      <c r="B487" s="1"/>
      <c r="C487" s="1"/>
      <c r="D487" s="1"/>
      <c r="E487" s="1"/>
    </row>
    <row r="488" spans="1:5" ht="14.25" customHeight="1">
      <c r="A488" s="1"/>
      <c r="B488" s="1"/>
      <c r="C488" s="1"/>
      <c r="D488" s="1"/>
      <c r="E488" s="1"/>
    </row>
    <row r="489" spans="1:5" ht="14.25" customHeight="1">
      <c r="A489" s="1"/>
      <c r="B489" s="1"/>
      <c r="C489" s="1"/>
      <c r="D489" s="1"/>
      <c r="E489" s="1"/>
    </row>
    <row r="490" spans="1:5" ht="14.25" customHeight="1">
      <c r="A490" s="1"/>
      <c r="B490" s="1"/>
      <c r="C490" s="1"/>
      <c r="D490" s="1"/>
      <c r="E490" s="1"/>
    </row>
    <row r="491" spans="1:5" ht="14.25" customHeight="1">
      <c r="A491" s="1"/>
      <c r="B491" s="1"/>
      <c r="C491" s="1"/>
      <c r="D491" s="1"/>
      <c r="E491" s="1"/>
    </row>
    <row r="492" spans="1:5" ht="14.25" customHeight="1">
      <c r="A492" s="1"/>
      <c r="B492" s="1"/>
      <c r="C492" s="1"/>
      <c r="D492" s="1"/>
      <c r="E492" s="1"/>
    </row>
    <row r="493" spans="1:5" ht="14.25" customHeight="1">
      <c r="A493" s="1"/>
      <c r="B493" s="1"/>
      <c r="C493" s="1"/>
      <c r="D493" s="1"/>
      <c r="E493" s="1"/>
    </row>
    <row r="494" spans="1:5" ht="14.25" customHeight="1">
      <c r="A494" s="1"/>
      <c r="B494" s="1"/>
      <c r="C494" s="1"/>
      <c r="D494" s="1"/>
      <c r="E494" s="1"/>
    </row>
    <row r="495" spans="1:5" ht="14.25" customHeight="1">
      <c r="A495" s="1"/>
      <c r="B495" s="1"/>
      <c r="C495" s="1"/>
      <c r="D495" s="1"/>
      <c r="E495" s="1"/>
    </row>
    <row r="496" spans="1:5" ht="14.25" customHeight="1">
      <c r="A496" s="1"/>
      <c r="B496" s="1"/>
      <c r="C496" s="1"/>
      <c r="D496" s="1"/>
      <c r="E496" s="1"/>
    </row>
    <row r="497" spans="1:5" ht="14.25" customHeight="1">
      <c r="A497" s="1"/>
      <c r="B497" s="1"/>
      <c r="C497" s="1"/>
      <c r="D497" s="1"/>
      <c r="E497" s="1"/>
    </row>
    <row r="498" spans="1:5" ht="14.25" customHeight="1">
      <c r="A498" s="1"/>
      <c r="B498" s="1"/>
      <c r="C498" s="1"/>
      <c r="D498" s="1"/>
      <c r="E498" s="1"/>
    </row>
    <row r="499" spans="1:5" ht="14.25" customHeight="1">
      <c r="A499" s="1"/>
      <c r="B499" s="1"/>
      <c r="C499" s="1"/>
      <c r="D499" s="1"/>
      <c r="E499" s="1"/>
    </row>
    <row r="500" spans="1:5" ht="14.25" customHeight="1">
      <c r="A500" s="1"/>
      <c r="B500" s="1"/>
      <c r="C500" s="1"/>
      <c r="D500" s="1"/>
      <c r="E500" s="1"/>
    </row>
    <row r="501" spans="1:5" ht="14.25" customHeight="1">
      <c r="A501" s="1"/>
      <c r="B501" s="1"/>
      <c r="C501" s="1"/>
      <c r="D501" s="1"/>
      <c r="E501" s="1"/>
    </row>
    <row r="502" spans="1:5" ht="14.25" customHeight="1">
      <c r="A502" s="1"/>
      <c r="B502" s="1"/>
      <c r="C502" s="1"/>
      <c r="D502" s="1"/>
      <c r="E502" s="1"/>
    </row>
    <row r="503" spans="1:5" ht="14.25" customHeight="1">
      <c r="A503" s="1"/>
      <c r="B503" s="1"/>
      <c r="C503" s="1"/>
      <c r="D503" s="1"/>
      <c r="E503" s="1"/>
    </row>
    <row r="504" spans="1:5" ht="14.25" customHeight="1">
      <c r="A504" s="1"/>
      <c r="B504" s="1"/>
      <c r="C504" s="1"/>
      <c r="D504" s="1"/>
      <c r="E504" s="1"/>
    </row>
    <row r="505" spans="1:5" ht="14.25" customHeight="1">
      <c r="A505" s="1"/>
      <c r="B505" s="1"/>
      <c r="C505" s="1"/>
      <c r="D505" s="1"/>
      <c r="E505" s="1"/>
    </row>
    <row r="506" spans="1:5" ht="14.25" customHeight="1">
      <c r="A506" s="1"/>
      <c r="B506" s="1"/>
      <c r="C506" s="1"/>
      <c r="D506" s="1"/>
      <c r="E506" s="1"/>
    </row>
    <row r="507" spans="1:5" ht="14.25" customHeight="1">
      <c r="A507" s="1"/>
      <c r="B507" s="1"/>
      <c r="C507" s="1"/>
      <c r="D507" s="1"/>
      <c r="E507" s="1"/>
    </row>
    <row r="508" spans="1:5" ht="14.25" customHeight="1">
      <c r="A508" s="1"/>
      <c r="B508" s="1"/>
      <c r="C508" s="1"/>
      <c r="D508" s="1"/>
      <c r="E508" s="1"/>
    </row>
    <row r="509" spans="1:5" ht="14.25" customHeight="1">
      <c r="A509" s="1"/>
      <c r="B509" s="1"/>
      <c r="C509" s="1"/>
      <c r="D509" s="1"/>
      <c r="E509" s="1"/>
    </row>
    <row r="510" spans="1:5" ht="14.25" customHeight="1">
      <c r="A510" s="1"/>
      <c r="B510" s="1"/>
      <c r="C510" s="1"/>
      <c r="D510" s="1"/>
      <c r="E510" s="1"/>
    </row>
    <row r="511" spans="1:5" ht="14.25" customHeight="1">
      <c r="A511" s="1"/>
      <c r="B511" s="1"/>
      <c r="C511" s="1"/>
      <c r="D511" s="1"/>
      <c r="E511" s="1"/>
    </row>
    <row r="512" spans="1:5" ht="14.25" customHeight="1">
      <c r="A512" s="1"/>
      <c r="B512" s="1"/>
      <c r="C512" s="1"/>
      <c r="D512" s="1"/>
      <c r="E512" s="1"/>
    </row>
    <row r="513" spans="1:5" ht="14.25" customHeight="1">
      <c r="A513" s="1"/>
      <c r="B513" s="1"/>
      <c r="C513" s="1"/>
      <c r="D513" s="1"/>
      <c r="E513" s="1"/>
    </row>
    <row r="514" spans="1:5" ht="14.25" customHeight="1">
      <c r="A514" s="1"/>
      <c r="B514" s="1"/>
      <c r="C514" s="1"/>
      <c r="D514" s="1"/>
      <c r="E514" s="1"/>
    </row>
    <row r="515" spans="1:5" ht="14.25" customHeight="1">
      <c r="A515" s="1"/>
      <c r="B515" s="1"/>
      <c r="C515" s="1"/>
      <c r="D515" s="1"/>
      <c r="E515" s="1"/>
    </row>
    <row r="516" spans="1:5" ht="14.25" customHeight="1">
      <c r="A516" s="1"/>
      <c r="B516" s="1"/>
      <c r="C516" s="1"/>
      <c r="D516" s="1"/>
      <c r="E516" s="1"/>
    </row>
    <row r="517" spans="1:5" ht="14.25" customHeight="1">
      <c r="A517" s="1"/>
      <c r="B517" s="1"/>
      <c r="C517" s="1"/>
      <c r="D517" s="1"/>
      <c r="E517" s="1"/>
    </row>
    <row r="518" spans="1:5" ht="14.25" customHeight="1">
      <c r="A518" s="1"/>
      <c r="B518" s="1"/>
      <c r="C518" s="1"/>
      <c r="D518" s="1"/>
      <c r="E518" s="1"/>
    </row>
    <row r="519" spans="1:5" ht="14.25" customHeight="1">
      <c r="A519" s="1"/>
      <c r="B519" s="1"/>
      <c r="C519" s="1"/>
      <c r="D519" s="1"/>
      <c r="E519" s="1"/>
    </row>
    <row r="520" spans="1:5" ht="14.25" customHeight="1">
      <c r="A520" s="1"/>
      <c r="B520" s="1"/>
      <c r="C520" s="1"/>
      <c r="D520" s="1"/>
      <c r="E520" s="1"/>
    </row>
    <row r="521" spans="1:5" ht="14.25" customHeight="1">
      <c r="A521" s="1"/>
      <c r="B521" s="1"/>
      <c r="C521" s="1"/>
      <c r="D521" s="1"/>
      <c r="E521" s="1"/>
    </row>
    <row r="522" spans="1:5" ht="14.25" customHeight="1">
      <c r="A522" s="1"/>
      <c r="B522" s="1"/>
      <c r="C522" s="1"/>
      <c r="D522" s="1"/>
      <c r="E522" s="1"/>
    </row>
    <row r="523" spans="1:5" ht="14.25" customHeight="1">
      <c r="A523" s="1"/>
      <c r="B523" s="1"/>
      <c r="C523" s="1"/>
      <c r="D523" s="1"/>
      <c r="E523" s="1"/>
    </row>
    <row r="524" spans="1:5" ht="14.25" customHeight="1">
      <c r="A524" s="1"/>
      <c r="B524" s="1"/>
      <c r="C524" s="1"/>
      <c r="D524" s="1"/>
      <c r="E524" s="1"/>
    </row>
    <row r="525" spans="1:5" ht="14.25" customHeight="1">
      <c r="A525" s="1"/>
      <c r="B525" s="1"/>
      <c r="C525" s="1"/>
      <c r="D525" s="1"/>
      <c r="E525" s="1"/>
    </row>
    <row r="526" spans="1:5" ht="14.25" customHeight="1">
      <c r="A526" s="1"/>
      <c r="B526" s="1"/>
      <c r="C526" s="1"/>
      <c r="D526" s="1"/>
      <c r="E526" s="1"/>
    </row>
    <row r="527" spans="1:5" ht="14.25" customHeight="1">
      <c r="A527" s="1"/>
      <c r="B527" s="1"/>
      <c r="C527" s="1"/>
      <c r="D527" s="1"/>
      <c r="E527" s="1"/>
    </row>
    <row r="528" spans="1:5" ht="14.25" customHeight="1">
      <c r="A528" s="1"/>
      <c r="B528" s="1"/>
      <c r="C528" s="1"/>
      <c r="D528" s="1"/>
      <c r="E528" s="1"/>
    </row>
    <row r="529" spans="1:5" ht="14.25" customHeight="1">
      <c r="A529" s="1"/>
      <c r="B529" s="1"/>
      <c r="C529" s="1"/>
      <c r="D529" s="1"/>
      <c r="E529" s="1"/>
    </row>
    <row r="530" spans="1:5" ht="14.25" customHeight="1">
      <c r="A530" s="1"/>
      <c r="B530" s="1"/>
      <c r="C530" s="1"/>
      <c r="D530" s="1"/>
      <c r="E530" s="1"/>
    </row>
    <row r="531" spans="1:5" ht="14.25" customHeight="1">
      <c r="A531" s="1"/>
      <c r="B531" s="1"/>
      <c r="C531" s="1"/>
      <c r="D531" s="1"/>
      <c r="E531" s="1"/>
    </row>
    <row r="532" spans="1:5" ht="14.25" customHeight="1">
      <c r="A532" s="1"/>
      <c r="B532" s="1"/>
      <c r="C532" s="1"/>
      <c r="D532" s="1"/>
      <c r="E532" s="1"/>
    </row>
    <row r="533" spans="1:5" ht="14.25" customHeight="1">
      <c r="A533" s="1"/>
      <c r="B533" s="1"/>
      <c r="C533" s="1"/>
      <c r="D533" s="1"/>
      <c r="E533" s="1"/>
    </row>
    <row r="534" spans="1:5" ht="14.25" customHeight="1">
      <c r="A534" s="1"/>
      <c r="B534" s="1"/>
      <c r="C534" s="1"/>
      <c r="D534" s="1"/>
      <c r="E534" s="1"/>
    </row>
    <row r="535" spans="1:5" ht="14.25" customHeight="1">
      <c r="A535" s="1"/>
      <c r="B535" s="1"/>
      <c r="C535" s="1"/>
      <c r="D535" s="1"/>
      <c r="E535" s="1"/>
    </row>
    <row r="536" spans="1:5" ht="14.25" customHeight="1">
      <c r="A536" s="1"/>
      <c r="B536" s="1"/>
      <c r="C536" s="1"/>
      <c r="D536" s="1"/>
      <c r="E536" s="1"/>
    </row>
    <row r="537" spans="1:5" ht="14.25" customHeight="1">
      <c r="A537" s="1"/>
      <c r="B537" s="1"/>
      <c r="C537" s="1"/>
      <c r="D537" s="1"/>
      <c r="E537" s="1"/>
    </row>
    <row r="538" spans="1:5" ht="14.25" customHeight="1">
      <c r="A538" s="1"/>
      <c r="B538" s="1"/>
      <c r="C538" s="1"/>
      <c r="D538" s="1"/>
      <c r="E538" s="1"/>
    </row>
    <row r="539" spans="1:5" ht="14.25" customHeight="1">
      <c r="A539" s="1"/>
      <c r="B539" s="1"/>
      <c r="C539" s="1"/>
      <c r="D539" s="1"/>
      <c r="E539" s="1"/>
    </row>
    <row r="540" spans="1:5" ht="14.25" customHeight="1">
      <c r="A540" s="1"/>
      <c r="B540" s="1"/>
      <c r="C540" s="1"/>
      <c r="D540" s="1"/>
      <c r="E540" s="1"/>
    </row>
    <row r="541" spans="1:5" ht="14.25" customHeight="1">
      <c r="A541" s="1"/>
      <c r="B541" s="1"/>
      <c r="C541" s="1"/>
      <c r="D541" s="1"/>
      <c r="E541" s="1"/>
    </row>
    <row r="542" spans="1:5" ht="14.25" customHeight="1">
      <c r="A542" s="1"/>
      <c r="B542" s="1"/>
      <c r="C542" s="1"/>
      <c r="D542" s="1"/>
      <c r="E542" s="1"/>
    </row>
    <row r="543" spans="1:5" ht="14.25" customHeight="1">
      <c r="A543" s="1"/>
      <c r="B543" s="1"/>
      <c r="C543" s="1"/>
      <c r="D543" s="1"/>
      <c r="E543" s="1"/>
    </row>
    <row r="544" spans="1:5" ht="14.25" customHeight="1">
      <c r="A544" s="1"/>
      <c r="B544" s="1"/>
      <c r="C544" s="1"/>
      <c r="D544" s="1"/>
      <c r="E544" s="1"/>
    </row>
    <row r="545" spans="1:5" ht="14.25" customHeight="1">
      <c r="A545" s="1"/>
      <c r="B545" s="1"/>
      <c r="C545" s="1"/>
      <c r="D545" s="1"/>
      <c r="E545" s="1"/>
    </row>
    <row r="546" spans="1:5" ht="14.25" customHeight="1">
      <c r="A546" s="1"/>
      <c r="B546" s="1"/>
      <c r="C546" s="1"/>
      <c r="D546" s="1"/>
      <c r="E546" s="1"/>
    </row>
    <row r="547" spans="1:5" ht="14.25" customHeight="1">
      <c r="A547" s="1"/>
      <c r="B547" s="1"/>
      <c r="C547" s="1"/>
      <c r="D547" s="1"/>
      <c r="E547" s="1"/>
    </row>
    <row r="548" spans="1:5" ht="14.25" customHeight="1">
      <c r="A548" s="1"/>
      <c r="B548" s="1"/>
      <c r="C548" s="1"/>
      <c r="D548" s="1"/>
      <c r="E548" s="1"/>
    </row>
    <row r="549" spans="1:5" ht="14.25" customHeight="1">
      <c r="A549" s="1"/>
      <c r="B549" s="1"/>
      <c r="C549" s="1"/>
      <c r="D549" s="1"/>
      <c r="E549" s="1"/>
    </row>
    <row r="550" spans="1:5" ht="14.25" customHeight="1">
      <c r="A550" s="1"/>
      <c r="B550" s="1"/>
      <c r="C550" s="1"/>
      <c r="D550" s="1"/>
      <c r="E550" s="1"/>
    </row>
    <row r="551" spans="1:5" ht="14.25" customHeight="1">
      <c r="A551" s="1"/>
      <c r="B551" s="1"/>
      <c r="C551" s="1"/>
      <c r="D551" s="1"/>
      <c r="E551" s="1"/>
    </row>
    <row r="552" spans="1:5" ht="14.25" customHeight="1">
      <c r="A552" s="1"/>
      <c r="B552" s="1"/>
      <c r="C552" s="1"/>
      <c r="D552" s="1"/>
      <c r="E552" s="1"/>
    </row>
    <row r="553" spans="1:5" ht="14.25" customHeight="1">
      <c r="A553" s="1"/>
      <c r="B553" s="1"/>
      <c r="C553" s="1"/>
      <c r="D553" s="1"/>
      <c r="E553" s="1"/>
    </row>
    <row r="554" spans="1:5" ht="14.25" customHeight="1">
      <c r="A554" s="1"/>
      <c r="B554" s="1"/>
      <c r="C554" s="1"/>
      <c r="D554" s="1"/>
      <c r="E554" s="1"/>
    </row>
    <row r="555" spans="1:5" ht="14.25" customHeight="1">
      <c r="A555" s="1"/>
      <c r="B555" s="1"/>
      <c r="C555" s="1"/>
      <c r="D555" s="1"/>
      <c r="E555" s="1"/>
    </row>
    <row r="556" spans="1:5" ht="14.25" customHeight="1">
      <c r="A556" s="1"/>
      <c r="B556" s="1"/>
      <c r="C556" s="1"/>
      <c r="D556" s="1"/>
      <c r="E556" s="1"/>
    </row>
    <row r="557" spans="1:5" ht="14.25" customHeight="1">
      <c r="A557" s="1"/>
      <c r="B557" s="1"/>
      <c r="C557" s="1"/>
      <c r="D557" s="1"/>
      <c r="E557" s="1"/>
    </row>
    <row r="558" spans="1:5" ht="14.25" customHeight="1">
      <c r="A558" s="1"/>
      <c r="B558" s="1"/>
      <c r="C558" s="1"/>
      <c r="D558" s="1"/>
      <c r="E558" s="1"/>
    </row>
    <row r="559" spans="1:5" ht="14.25" customHeight="1">
      <c r="A559" s="1"/>
      <c r="B559" s="1"/>
      <c r="C559" s="1"/>
      <c r="D559" s="1"/>
      <c r="E559" s="1"/>
    </row>
    <row r="560" spans="1:5" ht="14.25" customHeight="1">
      <c r="A560" s="1"/>
      <c r="B560" s="1"/>
      <c r="C560" s="1"/>
      <c r="D560" s="1"/>
      <c r="E560" s="1"/>
    </row>
    <row r="561" spans="1:5" ht="14.25" customHeight="1">
      <c r="A561" s="1"/>
      <c r="B561" s="1"/>
      <c r="C561" s="1"/>
      <c r="D561" s="1"/>
      <c r="E561" s="1"/>
    </row>
    <row r="562" spans="1:5" ht="14.25" customHeight="1">
      <c r="A562" s="1"/>
      <c r="B562" s="1"/>
      <c r="C562" s="1"/>
      <c r="D562" s="1"/>
      <c r="E562" s="1"/>
    </row>
    <row r="563" spans="1:5" ht="14.25" customHeight="1">
      <c r="A563" s="1"/>
      <c r="B563" s="1"/>
      <c r="C563" s="1"/>
      <c r="D563" s="1"/>
      <c r="E563" s="1"/>
    </row>
    <row r="564" spans="1:5" ht="14.25" customHeight="1">
      <c r="A564" s="1"/>
      <c r="B564" s="1"/>
      <c r="C564" s="1"/>
      <c r="D564" s="1"/>
      <c r="E564" s="1"/>
    </row>
    <row r="565" spans="1:5" ht="14.25" customHeight="1">
      <c r="A565" s="1"/>
      <c r="B565" s="1"/>
      <c r="C565" s="1"/>
      <c r="D565" s="1"/>
      <c r="E565" s="1"/>
    </row>
    <row r="566" spans="1:5" ht="14.25" customHeight="1">
      <c r="A566" s="1"/>
      <c r="B566" s="1"/>
      <c r="C566" s="1"/>
      <c r="D566" s="1"/>
      <c r="E566" s="1"/>
    </row>
    <row r="567" spans="1:5" ht="14.25" customHeight="1">
      <c r="A567" s="1"/>
      <c r="B567" s="1"/>
      <c r="C567" s="1"/>
      <c r="D567" s="1"/>
      <c r="E567" s="1"/>
    </row>
    <row r="568" spans="1:5" ht="14.25" customHeight="1">
      <c r="A568" s="1"/>
      <c r="B568" s="1"/>
      <c r="C568" s="1"/>
      <c r="D568" s="1"/>
      <c r="E568" s="1"/>
    </row>
    <row r="569" spans="1:5" ht="14.25" customHeight="1">
      <c r="A569" s="1"/>
      <c r="B569" s="1"/>
      <c r="C569" s="1"/>
      <c r="D569" s="1"/>
      <c r="E569" s="1"/>
    </row>
    <row r="570" spans="1:5" ht="14.25" customHeight="1">
      <c r="A570" s="1"/>
      <c r="B570" s="1"/>
      <c r="C570" s="1"/>
      <c r="D570" s="1"/>
      <c r="E570" s="1"/>
    </row>
    <row r="571" spans="1:5" ht="14.25" customHeight="1">
      <c r="A571" s="1"/>
      <c r="B571" s="1"/>
      <c r="C571" s="1"/>
      <c r="D571" s="1"/>
      <c r="E571" s="1"/>
    </row>
    <row r="572" spans="1:5" ht="14.25" customHeight="1">
      <c r="A572" s="1"/>
      <c r="B572" s="1"/>
      <c r="C572" s="1"/>
      <c r="D572" s="1"/>
      <c r="E572" s="1"/>
    </row>
    <row r="573" spans="1:5" ht="14.25" customHeight="1">
      <c r="A573" s="1"/>
      <c r="B573" s="1"/>
      <c r="C573" s="1"/>
      <c r="D573" s="1"/>
      <c r="E573" s="1"/>
    </row>
    <row r="574" spans="1:5" ht="14.25" customHeight="1">
      <c r="A574" s="1"/>
      <c r="B574" s="1"/>
      <c r="C574" s="1"/>
      <c r="D574" s="1"/>
      <c r="E574" s="1"/>
    </row>
    <row r="575" spans="1:5" ht="14.25" customHeight="1">
      <c r="A575" s="1"/>
      <c r="B575" s="1"/>
      <c r="C575" s="1"/>
      <c r="D575" s="1"/>
      <c r="E575" s="1"/>
    </row>
    <row r="576" spans="1:5" ht="14.25" customHeight="1">
      <c r="A576" s="1"/>
      <c r="B576" s="1"/>
      <c r="C576" s="1"/>
      <c r="D576" s="1"/>
      <c r="E576" s="1"/>
    </row>
    <row r="577" spans="1:5" ht="14.25" customHeight="1">
      <c r="A577" s="1"/>
      <c r="B577" s="1"/>
      <c r="C577" s="1"/>
      <c r="D577" s="1"/>
      <c r="E577" s="1"/>
    </row>
    <row r="578" spans="1:5" ht="14.25" customHeight="1">
      <c r="A578" s="1"/>
      <c r="B578" s="1"/>
      <c r="C578" s="1"/>
      <c r="D578" s="1"/>
      <c r="E578" s="1"/>
    </row>
    <row r="579" spans="1:5" ht="14.25" customHeight="1">
      <c r="A579" s="1"/>
      <c r="B579" s="1"/>
      <c r="C579" s="1"/>
      <c r="D579" s="1"/>
      <c r="E579" s="1"/>
    </row>
    <row r="580" spans="1:5" ht="14.25" customHeight="1">
      <c r="A580" s="1"/>
      <c r="B580" s="1"/>
      <c r="C580" s="1"/>
      <c r="D580" s="1"/>
      <c r="E580" s="1"/>
    </row>
    <row r="581" spans="1:5" ht="14.25" customHeight="1">
      <c r="A581" s="1"/>
      <c r="B581" s="1"/>
      <c r="C581" s="1"/>
      <c r="D581" s="1"/>
      <c r="E581" s="1"/>
    </row>
    <row r="582" spans="1:5" ht="14.25" customHeight="1">
      <c r="A582" s="1"/>
      <c r="B582" s="1"/>
      <c r="C582" s="1"/>
      <c r="D582" s="1"/>
      <c r="E582" s="1"/>
    </row>
    <row r="583" spans="1:5" ht="14.25" customHeight="1">
      <c r="A583" s="1"/>
      <c r="B583" s="1"/>
      <c r="C583" s="1"/>
      <c r="D583" s="1"/>
      <c r="E583" s="1"/>
    </row>
    <row r="584" spans="1:5" ht="14.25" customHeight="1">
      <c r="A584" s="1"/>
      <c r="B584" s="1"/>
      <c r="C584" s="1"/>
      <c r="D584" s="1"/>
      <c r="E584" s="1"/>
    </row>
    <row r="585" spans="1:5" ht="14.25" customHeight="1">
      <c r="A585" s="1"/>
      <c r="B585" s="1"/>
      <c r="C585" s="1"/>
      <c r="D585" s="1"/>
      <c r="E585" s="1"/>
    </row>
    <row r="586" spans="1:5" ht="14.25" customHeight="1">
      <c r="A586" s="1"/>
      <c r="B586" s="1"/>
      <c r="C586" s="1"/>
      <c r="D586" s="1"/>
      <c r="E586" s="1"/>
    </row>
    <row r="587" spans="1:5" ht="14.25" customHeight="1">
      <c r="A587" s="1"/>
      <c r="B587" s="1"/>
      <c r="C587" s="1"/>
      <c r="D587" s="1"/>
      <c r="E587" s="1"/>
    </row>
    <row r="588" spans="1:5" ht="14.25" customHeight="1">
      <c r="A588" s="1"/>
      <c r="B588" s="1"/>
      <c r="C588" s="1"/>
      <c r="D588" s="1"/>
      <c r="E588" s="1"/>
    </row>
    <row r="589" spans="1:5" ht="14.25" customHeight="1">
      <c r="A589" s="1"/>
      <c r="B589" s="1"/>
      <c r="C589" s="1"/>
      <c r="D589" s="1"/>
      <c r="E589" s="1"/>
    </row>
    <row r="590" spans="1:5" ht="14.25" customHeight="1">
      <c r="A590" s="1"/>
      <c r="B590" s="1"/>
      <c r="C590" s="1"/>
      <c r="D590" s="1"/>
      <c r="E590" s="1"/>
    </row>
    <row r="591" spans="1:5" ht="14.25" customHeight="1">
      <c r="A591" s="1"/>
      <c r="B591" s="1"/>
      <c r="C591" s="1"/>
      <c r="D591" s="1"/>
      <c r="E591" s="1"/>
    </row>
    <row r="592" spans="1:5" ht="14.25" customHeight="1">
      <c r="A592" s="1"/>
      <c r="B592" s="1"/>
      <c r="C592" s="1"/>
      <c r="D592" s="1"/>
      <c r="E592" s="1"/>
    </row>
    <row r="593" spans="1:5" ht="14.25" customHeight="1">
      <c r="A593" s="1"/>
      <c r="B593" s="1"/>
      <c r="C593" s="1"/>
      <c r="D593" s="1"/>
      <c r="E593" s="1"/>
    </row>
    <row r="594" spans="1:5" ht="14.25" customHeight="1">
      <c r="A594" s="1"/>
      <c r="B594" s="1"/>
      <c r="C594" s="1"/>
      <c r="D594" s="1"/>
      <c r="E594" s="1"/>
    </row>
    <row r="595" spans="1:5" ht="14.25" customHeight="1">
      <c r="A595" s="1"/>
      <c r="B595" s="1"/>
      <c r="C595" s="1"/>
      <c r="D595" s="1"/>
      <c r="E595" s="1"/>
    </row>
    <row r="596" spans="1:5" ht="14.25" customHeight="1">
      <c r="A596" s="1"/>
      <c r="B596" s="1"/>
      <c r="C596" s="1"/>
      <c r="D596" s="1"/>
      <c r="E596" s="1"/>
    </row>
    <row r="597" spans="1:5" ht="14.25" customHeight="1">
      <c r="A597" s="1"/>
      <c r="B597" s="1"/>
      <c r="C597" s="1"/>
      <c r="D597" s="1"/>
      <c r="E597" s="1"/>
    </row>
    <row r="598" spans="1:5" ht="14.25" customHeight="1">
      <c r="A598" s="1"/>
      <c r="B598" s="1"/>
      <c r="C598" s="1"/>
      <c r="D598" s="1"/>
      <c r="E598" s="1"/>
    </row>
    <row r="599" spans="1:5" ht="14.25" customHeight="1">
      <c r="A599" s="1"/>
      <c r="B599" s="1"/>
      <c r="C599" s="1"/>
      <c r="D599" s="1"/>
      <c r="E599" s="1"/>
    </row>
    <row r="600" spans="1:5" ht="14.25" customHeight="1">
      <c r="A600" s="1"/>
      <c r="B600" s="1"/>
      <c r="C600" s="1"/>
      <c r="D600" s="1"/>
      <c r="E600" s="1"/>
    </row>
    <row r="601" spans="1:5" ht="14.25" customHeight="1">
      <c r="A601" s="1"/>
      <c r="B601" s="1"/>
      <c r="C601" s="1"/>
      <c r="D601" s="1"/>
      <c r="E601" s="1"/>
    </row>
    <row r="602" spans="1:5" ht="14.25" customHeight="1">
      <c r="A602" s="1"/>
      <c r="B602" s="1"/>
      <c r="C602" s="1"/>
      <c r="D602" s="1"/>
      <c r="E602" s="1"/>
    </row>
    <row r="603" spans="1:5" ht="14.25" customHeight="1">
      <c r="A603" s="1"/>
      <c r="B603" s="1"/>
      <c r="C603" s="1"/>
      <c r="D603" s="1"/>
      <c r="E603" s="1"/>
    </row>
    <row r="604" spans="1:5" ht="14.25" customHeight="1">
      <c r="A604" s="1"/>
      <c r="B604" s="1"/>
      <c r="C604" s="1"/>
      <c r="D604" s="1"/>
      <c r="E604" s="1"/>
    </row>
    <row r="605" spans="1:5" ht="14.25" customHeight="1">
      <c r="A605" s="1"/>
      <c r="B605" s="1"/>
      <c r="C605" s="1"/>
      <c r="D605" s="1"/>
      <c r="E605" s="1"/>
    </row>
    <row r="606" spans="1:5" ht="14.25" customHeight="1">
      <c r="A606" s="1"/>
      <c r="B606" s="1"/>
      <c r="C606" s="1"/>
      <c r="D606" s="1"/>
      <c r="E606" s="1"/>
    </row>
    <row r="607" spans="1:5" ht="14.25" customHeight="1">
      <c r="A607" s="1"/>
      <c r="B607" s="1"/>
      <c r="C607" s="1"/>
      <c r="D607" s="1"/>
      <c r="E607" s="1"/>
    </row>
    <row r="608" spans="1:5" ht="14.25" customHeight="1">
      <c r="A608" s="1"/>
      <c r="B608" s="1"/>
      <c r="C608" s="1"/>
      <c r="D608" s="1"/>
      <c r="E608" s="1"/>
    </row>
    <row r="609" spans="1:5" ht="14.25" customHeight="1">
      <c r="A609" s="1"/>
      <c r="B609" s="1"/>
      <c r="C609" s="1"/>
      <c r="D609" s="1"/>
      <c r="E609" s="1"/>
    </row>
    <row r="610" spans="1:5" ht="14.25" customHeight="1">
      <c r="A610" s="1"/>
      <c r="B610" s="1"/>
      <c r="C610" s="1"/>
      <c r="D610" s="1"/>
      <c r="E610" s="1"/>
    </row>
    <row r="611" spans="1:5" ht="14.25" customHeight="1">
      <c r="A611" s="1"/>
      <c r="B611" s="1"/>
      <c r="C611" s="1"/>
      <c r="D611" s="1"/>
      <c r="E611" s="1"/>
    </row>
    <row r="612" spans="1:5" ht="14.25" customHeight="1">
      <c r="A612" s="1"/>
      <c r="B612" s="1"/>
      <c r="C612" s="1"/>
      <c r="D612" s="1"/>
      <c r="E612" s="1"/>
    </row>
    <row r="613" spans="1:5" ht="14.25" customHeight="1">
      <c r="A613" s="1"/>
      <c r="B613" s="1"/>
      <c r="C613" s="1"/>
      <c r="D613" s="1"/>
      <c r="E613" s="1"/>
    </row>
    <row r="614" spans="1:5" ht="14.25" customHeight="1">
      <c r="A614" s="1"/>
      <c r="B614" s="1"/>
      <c r="C614" s="1"/>
      <c r="D614" s="1"/>
      <c r="E614" s="1"/>
    </row>
    <row r="615" spans="1:5" ht="14.25" customHeight="1">
      <c r="A615" s="1"/>
      <c r="B615" s="1"/>
      <c r="C615" s="1"/>
      <c r="D615" s="1"/>
      <c r="E615" s="1"/>
    </row>
    <row r="616" spans="1:5" ht="14.25" customHeight="1">
      <c r="A616" s="1"/>
      <c r="B616" s="1"/>
      <c r="C616" s="1"/>
      <c r="D616" s="1"/>
      <c r="E616" s="1"/>
    </row>
    <row r="617" spans="1:5" ht="14.25" customHeight="1">
      <c r="A617" s="1"/>
      <c r="B617" s="1"/>
      <c r="C617" s="1"/>
      <c r="D617" s="1"/>
      <c r="E617" s="1"/>
    </row>
    <row r="618" spans="1:5" ht="14.25" customHeight="1">
      <c r="A618" s="1"/>
      <c r="B618" s="1"/>
      <c r="C618" s="1"/>
      <c r="D618" s="1"/>
      <c r="E618" s="1"/>
    </row>
    <row r="619" spans="1:5" ht="14.25" customHeight="1">
      <c r="A619" s="1"/>
      <c r="B619" s="1"/>
      <c r="C619" s="1"/>
      <c r="D619" s="1"/>
      <c r="E619" s="1"/>
    </row>
    <row r="620" spans="1:5" ht="14.25" customHeight="1">
      <c r="A620" s="1"/>
      <c r="B620" s="1"/>
      <c r="C620" s="1"/>
      <c r="D620" s="1"/>
      <c r="E620" s="1"/>
    </row>
    <row r="621" spans="1:5" ht="14.25" customHeight="1">
      <c r="A621" s="1"/>
      <c r="B621" s="1"/>
      <c r="C621" s="1"/>
      <c r="D621" s="1"/>
      <c r="E621" s="1"/>
    </row>
    <row r="622" spans="1:5" ht="14.25" customHeight="1">
      <c r="A622" s="1"/>
      <c r="B622" s="1"/>
      <c r="C622" s="1"/>
      <c r="D622" s="1"/>
      <c r="E622" s="1"/>
    </row>
    <row r="623" spans="1:5" ht="14.25" customHeight="1">
      <c r="A623" s="1"/>
      <c r="B623" s="1"/>
      <c r="C623" s="1"/>
      <c r="D623" s="1"/>
      <c r="E623" s="1"/>
    </row>
    <row r="624" spans="1:5" ht="14.25" customHeight="1">
      <c r="A624" s="1"/>
      <c r="B624" s="1"/>
      <c r="C624" s="1"/>
      <c r="D624" s="1"/>
      <c r="E624" s="1"/>
    </row>
    <row r="625" spans="1:5" ht="14.25" customHeight="1">
      <c r="A625" s="1"/>
      <c r="B625" s="1"/>
      <c r="C625" s="1"/>
      <c r="D625" s="1"/>
      <c r="E625" s="1"/>
    </row>
    <row r="626" spans="1:5" ht="14.25" customHeight="1">
      <c r="A626" s="1"/>
      <c r="B626" s="1"/>
      <c r="C626" s="1"/>
      <c r="D626" s="1"/>
      <c r="E626" s="1"/>
    </row>
    <row r="627" spans="1:5" ht="14.25" customHeight="1">
      <c r="A627" s="1"/>
      <c r="B627" s="1"/>
      <c r="C627" s="1"/>
      <c r="D627" s="1"/>
      <c r="E627" s="1"/>
    </row>
    <row r="628" spans="1:5" ht="14.25" customHeight="1">
      <c r="A628" s="1"/>
      <c r="B628" s="1"/>
      <c r="C628" s="1"/>
      <c r="D628" s="1"/>
      <c r="E628" s="1"/>
    </row>
    <row r="629" spans="1:5" ht="14.25" customHeight="1">
      <c r="A629" s="1"/>
      <c r="B629" s="1"/>
      <c r="C629" s="1"/>
      <c r="D629" s="1"/>
      <c r="E629" s="1"/>
    </row>
    <row r="630" spans="1:5" ht="14.25" customHeight="1">
      <c r="A630" s="1"/>
      <c r="B630" s="1"/>
      <c r="C630" s="1"/>
      <c r="D630" s="1"/>
      <c r="E630" s="1"/>
    </row>
    <row r="631" spans="1:5" ht="14.25" customHeight="1">
      <c r="A631" s="1"/>
      <c r="B631" s="1"/>
      <c r="C631" s="1"/>
      <c r="D631" s="1"/>
      <c r="E631" s="1"/>
    </row>
    <row r="632" spans="1:5" ht="14.25" customHeight="1">
      <c r="A632" s="1"/>
      <c r="B632" s="1"/>
      <c r="C632" s="1"/>
      <c r="D632" s="1"/>
      <c r="E632" s="1"/>
    </row>
    <row r="633" spans="1:5" ht="14.25" customHeight="1">
      <c r="A633" s="1"/>
      <c r="B633" s="1"/>
      <c r="C633" s="1"/>
      <c r="D633" s="1"/>
      <c r="E633" s="1"/>
    </row>
    <row r="634" spans="1:5" ht="14.25" customHeight="1">
      <c r="A634" s="1"/>
      <c r="B634" s="1"/>
      <c r="C634" s="1"/>
      <c r="D634" s="1"/>
      <c r="E634" s="1"/>
    </row>
    <row r="635" spans="1:5" ht="14.25" customHeight="1">
      <c r="A635" s="1"/>
      <c r="B635" s="1"/>
      <c r="C635" s="1"/>
      <c r="D635" s="1"/>
      <c r="E635" s="1"/>
    </row>
    <row r="636" spans="1:5" ht="14.25" customHeight="1">
      <c r="A636" s="1"/>
      <c r="B636" s="1"/>
      <c r="C636" s="1"/>
      <c r="D636" s="1"/>
      <c r="E636" s="1"/>
    </row>
    <row r="637" spans="1:5" ht="14.25" customHeight="1">
      <c r="A637" s="1"/>
      <c r="B637" s="1"/>
      <c r="C637" s="1"/>
      <c r="D637" s="1"/>
      <c r="E637" s="1"/>
    </row>
    <row r="638" spans="1:5" ht="14.25" customHeight="1">
      <c r="A638" s="1"/>
      <c r="B638" s="1"/>
      <c r="C638" s="1"/>
      <c r="D638" s="1"/>
      <c r="E638" s="1"/>
    </row>
    <row r="639" spans="1:5" ht="14.25" customHeight="1">
      <c r="A639" s="1"/>
      <c r="B639" s="1"/>
      <c r="C639" s="1"/>
      <c r="D639" s="1"/>
      <c r="E639" s="1"/>
    </row>
    <row r="640" spans="1:5" ht="14.25" customHeight="1">
      <c r="A640" s="1"/>
      <c r="B640" s="1"/>
      <c r="C640" s="1"/>
      <c r="D640" s="1"/>
      <c r="E640" s="1"/>
    </row>
    <row r="641" spans="1:5" ht="14.25" customHeight="1">
      <c r="A641" s="1"/>
      <c r="B641" s="1"/>
      <c r="C641" s="1"/>
      <c r="D641" s="1"/>
      <c r="E641" s="1"/>
    </row>
    <row r="642" spans="1:5" ht="14.25" customHeight="1">
      <c r="A642" s="1"/>
      <c r="B642" s="1"/>
      <c r="C642" s="1"/>
      <c r="D642" s="1"/>
      <c r="E642" s="1"/>
    </row>
    <row r="643" spans="1:5" ht="14.25" customHeight="1">
      <c r="A643" s="1"/>
      <c r="B643" s="1"/>
      <c r="C643" s="1"/>
      <c r="D643" s="1"/>
      <c r="E643" s="1"/>
    </row>
    <row r="644" spans="1:5" ht="14.25" customHeight="1">
      <c r="A644" s="1"/>
      <c r="B644" s="1"/>
      <c r="C644" s="1"/>
      <c r="D644" s="1"/>
      <c r="E644" s="1"/>
    </row>
    <row r="645" spans="1:5" ht="14.25" customHeight="1">
      <c r="A645" s="1"/>
      <c r="B645" s="1"/>
      <c r="C645" s="1"/>
      <c r="D645" s="1"/>
      <c r="E645" s="1"/>
    </row>
    <row r="646" spans="1:5" ht="14.25" customHeight="1">
      <c r="A646" s="1"/>
      <c r="B646" s="1"/>
      <c r="C646" s="1"/>
      <c r="D646" s="1"/>
      <c r="E646" s="1"/>
    </row>
    <row r="647" spans="1:5" ht="14.25" customHeight="1">
      <c r="A647" s="1"/>
      <c r="B647" s="1"/>
      <c r="C647" s="1"/>
      <c r="D647" s="1"/>
      <c r="E647" s="1"/>
    </row>
    <row r="648" spans="1:5" ht="14.25" customHeight="1">
      <c r="A648" s="1"/>
      <c r="B648" s="1"/>
      <c r="C648" s="1"/>
      <c r="D648" s="1"/>
      <c r="E648" s="1"/>
    </row>
    <row r="649" spans="1:5" ht="14.25" customHeight="1">
      <c r="A649" s="1"/>
      <c r="B649" s="1"/>
      <c r="C649" s="1"/>
      <c r="D649" s="1"/>
      <c r="E649" s="1"/>
    </row>
    <row r="650" spans="1:5" ht="14.25" customHeight="1">
      <c r="A650" s="1"/>
      <c r="B650" s="1"/>
      <c r="C650" s="1"/>
      <c r="D650" s="1"/>
      <c r="E650" s="1"/>
    </row>
    <row r="651" spans="1:5" ht="14.25" customHeight="1">
      <c r="A651" s="1"/>
      <c r="B651" s="1"/>
      <c r="C651" s="1"/>
      <c r="D651" s="1"/>
      <c r="E651" s="1"/>
    </row>
    <row r="652" spans="1:5" ht="14.25" customHeight="1">
      <c r="A652" s="1"/>
      <c r="B652" s="1"/>
      <c r="C652" s="1"/>
      <c r="D652" s="1"/>
      <c r="E652" s="1"/>
    </row>
    <row r="653" spans="1:5" ht="14.25" customHeight="1">
      <c r="A653" s="1"/>
      <c r="B653" s="1"/>
      <c r="C653" s="1"/>
      <c r="D653" s="1"/>
      <c r="E653" s="1"/>
    </row>
    <row r="654" spans="1:5" ht="14.25" customHeight="1">
      <c r="A654" s="1"/>
      <c r="B654" s="1"/>
      <c r="C654" s="1"/>
      <c r="D654" s="1"/>
      <c r="E654" s="1"/>
    </row>
    <row r="655" spans="1:5" ht="14.25" customHeight="1">
      <c r="A655" s="1"/>
      <c r="B655" s="1"/>
      <c r="C655" s="1"/>
      <c r="D655" s="1"/>
      <c r="E655" s="1"/>
    </row>
    <row r="656" spans="1:5" ht="14.25" customHeight="1">
      <c r="A656" s="1"/>
      <c r="B656" s="1"/>
      <c r="C656" s="1"/>
      <c r="D656" s="1"/>
      <c r="E656" s="1"/>
    </row>
    <row r="657" spans="1:5" ht="14.25" customHeight="1">
      <c r="A657" s="1"/>
      <c r="B657" s="1"/>
      <c r="C657" s="1"/>
      <c r="D657" s="1"/>
      <c r="E657" s="1"/>
    </row>
    <row r="658" spans="1:5" ht="14.25" customHeight="1">
      <c r="A658" s="1"/>
      <c r="B658" s="1"/>
      <c r="C658" s="1"/>
      <c r="D658" s="1"/>
      <c r="E658" s="1"/>
    </row>
    <row r="659" spans="1:5" ht="14.25" customHeight="1">
      <c r="A659" s="1"/>
      <c r="B659" s="1"/>
      <c r="C659" s="1"/>
      <c r="D659" s="1"/>
      <c r="E659" s="1"/>
    </row>
    <row r="660" spans="1:5" ht="14.25" customHeight="1">
      <c r="A660" s="1"/>
      <c r="B660" s="1"/>
      <c r="C660" s="1"/>
      <c r="D660" s="1"/>
      <c r="E660" s="1"/>
    </row>
    <row r="661" spans="1:5" ht="14.25" customHeight="1">
      <c r="A661" s="1"/>
      <c r="B661" s="1"/>
      <c r="C661" s="1"/>
      <c r="D661" s="1"/>
      <c r="E661" s="1"/>
    </row>
    <row r="662" spans="1:5" ht="14.25" customHeight="1">
      <c r="A662" s="1"/>
      <c r="B662" s="1"/>
      <c r="C662" s="1"/>
      <c r="D662" s="1"/>
      <c r="E662" s="1"/>
    </row>
    <row r="663" spans="1:5" ht="14.25" customHeight="1">
      <c r="A663" s="1"/>
      <c r="B663" s="1"/>
      <c r="C663" s="1"/>
      <c r="D663" s="1"/>
      <c r="E663" s="1"/>
    </row>
    <row r="664" spans="1:5" ht="14.25" customHeight="1">
      <c r="A664" s="1"/>
      <c r="B664" s="1"/>
      <c r="C664" s="1"/>
      <c r="D664" s="1"/>
      <c r="E664" s="1"/>
    </row>
    <row r="665" spans="1:5" ht="14.25" customHeight="1">
      <c r="A665" s="1"/>
      <c r="B665" s="1"/>
      <c r="C665" s="1"/>
      <c r="D665" s="1"/>
      <c r="E665" s="1"/>
    </row>
    <row r="666" spans="1:5" ht="14.25" customHeight="1">
      <c r="A666" s="1"/>
      <c r="B666" s="1"/>
      <c r="C666" s="1"/>
      <c r="D666" s="1"/>
      <c r="E666" s="1"/>
    </row>
    <row r="667" spans="1:5" ht="14.25" customHeight="1">
      <c r="A667" s="1"/>
      <c r="B667" s="1"/>
      <c r="C667" s="1"/>
      <c r="D667" s="1"/>
      <c r="E667" s="1"/>
    </row>
    <row r="668" spans="1:5" ht="14.25" customHeight="1">
      <c r="A668" s="1"/>
      <c r="B668" s="1"/>
      <c r="C668" s="1"/>
      <c r="D668" s="1"/>
      <c r="E668" s="1"/>
    </row>
    <row r="669" spans="1:5" ht="14.25" customHeight="1">
      <c r="A669" s="1"/>
      <c r="B669" s="1"/>
      <c r="C669" s="1"/>
      <c r="D669" s="1"/>
      <c r="E669" s="1"/>
    </row>
    <row r="670" spans="1:5" ht="14.25" customHeight="1">
      <c r="A670" s="1"/>
      <c r="B670" s="1"/>
      <c r="C670" s="1"/>
      <c r="D670" s="1"/>
      <c r="E670" s="1"/>
    </row>
    <row r="671" spans="1:5" ht="14.25" customHeight="1">
      <c r="A671" s="1"/>
      <c r="B671" s="1"/>
      <c r="C671" s="1"/>
      <c r="D671" s="1"/>
      <c r="E671" s="1"/>
    </row>
    <row r="672" spans="1:5" ht="14.25" customHeight="1">
      <c r="A672" s="1"/>
      <c r="B672" s="1"/>
      <c r="C672" s="1"/>
      <c r="D672" s="1"/>
      <c r="E672" s="1"/>
    </row>
    <row r="673" spans="1:5" ht="14.25" customHeight="1">
      <c r="A673" s="1"/>
      <c r="B673" s="1"/>
      <c r="C673" s="1"/>
      <c r="D673" s="1"/>
      <c r="E673" s="1"/>
    </row>
    <row r="674" spans="1:5" ht="14.25" customHeight="1">
      <c r="A674" s="1"/>
      <c r="B674" s="1"/>
      <c r="C674" s="1"/>
      <c r="D674" s="1"/>
      <c r="E674" s="1"/>
    </row>
    <row r="675" spans="1:5" ht="14.25" customHeight="1">
      <c r="A675" s="1"/>
      <c r="B675" s="1"/>
      <c r="C675" s="1"/>
      <c r="D675" s="1"/>
      <c r="E675" s="1"/>
    </row>
    <row r="676" spans="1:5" ht="14.25" customHeight="1">
      <c r="A676" s="1"/>
      <c r="B676" s="1"/>
      <c r="C676" s="1"/>
      <c r="D676" s="1"/>
      <c r="E676" s="1"/>
    </row>
    <row r="677" spans="1:5" ht="14.25" customHeight="1">
      <c r="A677" s="1"/>
      <c r="B677" s="1"/>
      <c r="C677" s="1"/>
      <c r="D677" s="1"/>
      <c r="E677" s="1"/>
    </row>
    <row r="678" spans="1:5" ht="14.25" customHeight="1">
      <c r="A678" s="1"/>
      <c r="B678" s="1"/>
      <c r="C678" s="1"/>
      <c r="D678" s="1"/>
      <c r="E678" s="1"/>
    </row>
    <row r="679" spans="1:5" ht="14.25" customHeight="1">
      <c r="A679" s="1"/>
      <c r="B679" s="1"/>
      <c r="C679" s="1"/>
      <c r="D679" s="1"/>
      <c r="E679" s="1"/>
    </row>
    <row r="680" spans="1:5" ht="14.25" customHeight="1">
      <c r="A680" s="1"/>
      <c r="B680" s="1"/>
      <c r="C680" s="1"/>
      <c r="D680" s="1"/>
      <c r="E680" s="1"/>
    </row>
    <row r="681" spans="1:5" ht="14.25" customHeight="1">
      <c r="A681" s="1"/>
      <c r="B681" s="1"/>
      <c r="C681" s="1"/>
      <c r="D681" s="1"/>
      <c r="E681" s="1"/>
    </row>
    <row r="682" spans="1:5" ht="14.25" customHeight="1">
      <c r="A682" s="1"/>
      <c r="B682" s="1"/>
      <c r="C682" s="1"/>
      <c r="D682" s="1"/>
      <c r="E682" s="1"/>
    </row>
    <row r="683" spans="1:5" ht="14.25" customHeight="1">
      <c r="A683" s="1"/>
      <c r="B683" s="1"/>
      <c r="C683" s="1"/>
      <c r="D683" s="1"/>
      <c r="E683" s="1"/>
    </row>
    <row r="684" spans="1:5" ht="14.25" customHeight="1">
      <c r="A684" s="1"/>
      <c r="B684" s="1"/>
      <c r="C684" s="1"/>
      <c r="D684" s="1"/>
      <c r="E684" s="1"/>
    </row>
    <row r="685" spans="1:5" ht="14.25" customHeight="1">
      <c r="A685" s="1"/>
      <c r="B685" s="1"/>
      <c r="C685" s="1"/>
      <c r="D685" s="1"/>
      <c r="E685" s="1"/>
    </row>
    <row r="686" spans="1:5" ht="14.25" customHeight="1">
      <c r="A686" s="1"/>
      <c r="B686" s="1"/>
      <c r="C686" s="1"/>
      <c r="D686" s="1"/>
      <c r="E686" s="1"/>
    </row>
    <row r="687" spans="1:5" ht="14.25" customHeight="1">
      <c r="A687" s="1"/>
      <c r="B687" s="1"/>
      <c r="C687" s="1"/>
      <c r="D687" s="1"/>
      <c r="E687" s="1"/>
    </row>
    <row r="688" spans="1:5" ht="14.25" customHeight="1">
      <c r="A688" s="1"/>
      <c r="B688" s="1"/>
      <c r="C688" s="1"/>
      <c r="D688" s="1"/>
      <c r="E688" s="1"/>
    </row>
    <row r="689" spans="1:5" ht="14.25" customHeight="1">
      <c r="A689" s="1"/>
      <c r="B689" s="1"/>
      <c r="C689" s="1"/>
      <c r="D689" s="1"/>
      <c r="E689" s="1"/>
    </row>
    <row r="690" spans="1:5" ht="14.25" customHeight="1">
      <c r="A690" s="1"/>
      <c r="B690" s="1"/>
      <c r="C690" s="1"/>
      <c r="D690" s="1"/>
      <c r="E690" s="1"/>
    </row>
    <row r="691" spans="1:5" ht="14.25" customHeight="1">
      <c r="A691" s="1"/>
      <c r="B691" s="1"/>
      <c r="C691" s="1"/>
      <c r="D691" s="1"/>
      <c r="E691" s="1"/>
    </row>
    <row r="692" spans="1:5" ht="14.25" customHeight="1">
      <c r="A692" s="1"/>
      <c r="B692" s="1"/>
      <c r="C692" s="1"/>
      <c r="D692" s="1"/>
      <c r="E692" s="1"/>
    </row>
    <row r="693" spans="1:5" ht="14.25" customHeight="1">
      <c r="A693" s="1"/>
      <c r="B693" s="1"/>
      <c r="C693" s="1"/>
      <c r="D693" s="1"/>
      <c r="E693" s="1"/>
    </row>
    <row r="694" spans="1:5" ht="14.25" customHeight="1">
      <c r="A694" s="1"/>
      <c r="B694" s="1"/>
      <c r="C694" s="1"/>
      <c r="D694" s="1"/>
      <c r="E694" s="1"/>
    </row>
    <row r="695" spans="1:5" ht="14.25" customHeight="1">
      <c r="A695" s="1"/>
      <c r="B695" s="1"/>
      <c r="C695" s="1"/>
      <c r="D695" s="1"/>
      <c r="E695" s="1"/>
    </row>
    <row r="696" spans="1:5" ht="14.25" customHeight="1">
      <c r="A696" s="1"/>
      <c r="B696" s="1"/>
      <c r="C696" s="1"/>
      <c r="D696" s="1"/>
      <c r="E696" s="1"/>
    </row>
    <row r="697" spans="1:5" ht="14.25" customHeight="1">
      <c r="A697" s="1"/>
      <c r="B697" s="1"/>
      <c r="C697" s="1"/>
      <c r="D697" s="1"/>
      <c r="E697" s="1"/>
    </row>
    <row r="698" spans="1:5" ht="14.25" customHeight="1">
      <c r="A698" s="1"/>
      <c r="B698" s="1"/>
      <c r="C698" s="1"/>
      <c r="D698" s="1"/>
      <c r="E698" s="1"/>
    </row>
    <row r="699" spans="1:5" ht="14.25" customHeight="1">
      <c r="A699" s="1"/>
      <c r="B699" s="1"/>
      <c r="C699" s="1"/>
      <c r="D699" s="1"/>
      <c r="E699" s="1"/>
    </row>
    <row r="700" spans="1:5" ht="14.25" customHeight="1">
      <c r="A700" s="1"/>
      <c r="B700" s="1"/>
      <c r="C700" s="1"/>
      <c r="D700" s="1"/>
      <c r="E700" s="1"/>
    </row>
    <row r="701" spans="1:5" ht="14.25" customHeight="1">
      <c r="A701" s="1"/>
      <c r="B701" s="1"/>
      <c r="C701" s="1"/>
      <c r="D701" s="1"/>
      <c r="E701" s="1"/>
    </row>
    <row r="702" spans="1:5" ht="14.25" customHeight="1">
      <c r="A702" s="1"/>
      <c r="B702" s="1"/>
      <c r="C702" s="1"/>
      <c r="D702" s="1"/>
      <c r="E702" s="1"/>
    </row>
    <row r="703" spans="1:5" ht="14.25" customHeight="1">
      <c r="A703" s="1"/>
      <c r="B703" s="1"/>
      <c r="C703" s="1"/>
      <c r="D703" s="1"/>
      <c r="E703" s="1"/>
    </row>
    <row r="704" spans="1:5" ht="14.25" customHeight="1">
      <c r="A704" s="1"/>
      <c r="B704" s="1"/>
      <c r="C704" s="1"/>
      <c r="D704" s="1"/>
      <c r="E704" s="1"/>
    </row>
    <row r="705" spans="1:5" ht="14.25" customHeight="1">
      <c r="A705" s="1"/>
      <c r="B705" s="1"/>
      <c r="C705" s="1"/>
      <c r="D705" s="1"/>
      <c r="E705" s="1"/>
    </row>
    <row r="706" spans="1:5" ht="14.25" customHeight="1">
      <c r="A706" s="1"/>
      <c r="B706" s="1"/>
      <c r="C706" s="1"/>
      <c r="D706" s="1"/>
      <c r="E706" s="1"/>
    </row>
    <row r="707" spans="1:5" ht="14.25" customHeight="1">
      <c r="A707" s="1"/>
      <c r="B707" s="1"/>
      <c r="C707" s="1"/>
      <c r="D707" s="1"/>
      <c r="E707" s="1"/>
    </row>
    <row r="708" spans="1:5" ht="14.25" customHeight="1">
      <c r="A708" s="1"/>
      <c r="B708" s="1"/>
      <c r="C708" s="1"/>
      <c r="D708" s="1"/>
      <c r="E708" s="1"/>
    </row>
    <row r="709" spans="1:5" ht="14.25" customHeight="1">
      <c r="A709" s="1"/>
      <c r="B709" s="1"/>
      <c r="C709" s="1"/>
      <c r="D709" s="1"/>
      <c r="E709" s="1"/>
    </row>
    <row r="710" spans="1:5" ht="14.25" customHeight="1">
      <c r="A710" s="1"/>
      <c r="B710" s="1"/>
      <c r="C710" s="1"/>
      <c r="D710" s="1"/>
      <c r="E710" s="1"/>
    </row>
    <row r="711" spans="1:5" ht="14.25" customHeight="1">
      <c r="A711" s="1"/>
      <c r="B711" s="1"/>
      <c r="C711" s="1"/>
      <c r="D711" s="1"/>
      <c r="E711" s="1"/>
    </row>
    <row r="712" spans="1:5" ht="14.25" customHeight="1">
      <c r="A712" s="1"/>
      <c r="B712" s="1"/>
      <c r="C712" s="1"/>
      <c r="D712" s="1"/>
      <c r="E712" s="1"/>
    </row>
    <row r="713" spans="1:5" ht="14.25" customHeight="1">
      <c r="A713" s="1"/>
      <c r="B713" s="1"/>
      <c r="C713" s="1"/>
      <c r="D713" s="1"/>
      <c r="E713" s="1"/>
    </row>
    <row r="714" spans="1:5" ht="14.25" customHeight="1">
      <c r="A714" s="1"/>
      <c r="B714" s="1"/>
      <c r="C714" s="1"/>
      <c r="D714" s="1"/>
      <c r="E714" s="1"/>
    </row>
    <row r="715" spans="1:5" ht="14.25" customHeight="1">
      <c r="A715" s="1"/>
      <c r="B715" s="1"/>
      <c r="C715" s="1"/>
      <c r="D715" s="1"/>
      <c r="E715" s="1"/>
    </row>
    <row r="716" spans="1:5" ht="14.25" customHeight="1">
      <c r="A716" s="1"/>
      <c r="B716" s="1"/>
      <c r="C716" s="1"/>
      <c r="D716" s="1"/>
      <c r="E716" s="1"/>
    </row>
    <row r="717" spans="1:5" ht="14.25" customHeight="1">
      <c r="A717" s="1"/>
      <c r="B717" s="1"/>
      <c r="C717" s="1"/>
      <c r="D717" s="1"/>
      <c r="E717" s="1"/>
    </row>
    <row r="718" spans="1:5" ht="14.25" customHeight="1">
      <c r="A718" s="1"/>
      <c r="B718" s="1"/>
      <c r="C718" s="1"/>
      <c r="D718" s="1"/>
      <c r="E718" s="1"/>
    </row>
    <row r="719" spans="1:5" ht="14.25" customHeight="1">
      <c r="A719" s="1"/>
      <c r="B719" s="1"/>
      <c r="C719" s="1"/>
      <c r="D719" s="1"/>
      <c r="E719" s="1"/>
    </row>
    <row r="720" spans="1:5" ht="14.25" customHeight="1">
      <c r="A720" s="1"/>
      <c r="B720" s="1"/>
      <c r="C720" s="1"/>
      <c r="D720" s="1"/>
      <c r="E720" s="1"/>
    </row>
    <row r="721" spans="1:5" ht="14.25" customHeight="1">
      <c r="A721" s="1"/>
      <c r="B721" s="1"/>
      <c r="C721" s="1"/>
      <c r="D721" s="1"/>
      <c r="E721" s="1"/>
    </row>
    <row r="722" spans="1:5" ht="14.25" customHeight="1">
      <c r="A722" s="1"/>
      <c r="B722" s="1"/>
      <c r="C722" s="1"/>
      <c r="D722" s="1"/>
      <c r="E722" s="1"/>
    </row>
    <row r="723" spans="1:5" ht="14.25" customHeight="1">
      <c r="A723" s="1"/>
      <c r="B723" s="1"/>
      <c r="C723" s="1"/>
      <c r="D723" s="1"/>
      <c r="E723" s="1"/>
    </row>
    <row r="724" spans="1:5" ht="14.25" customHeight="1">
      <c r="A724" s="1"/>
      <c r="B724" s="1"/>
      <c r="C724" s="1"/>
      <c r="D724" s="1"/>
      <c r="E724" s="1"/>
    </row>
    <row r="725" spans="1:5" ht="14.25" customHeight="1">
      <c r="A725" s="1"/>
      <c r="B725" s="1"/>
      <c r="C725" s="1"/>
      <c r="D725" s="1"/>
      <c r="E725" s="1"/>
    </row>
    <row r="726" spans="1:5" ht="14.25" customHeight="1">
      <c r="A726" s="1"/>
      <c r="B726" s="1"/>
      <c r="C726" s="1"/>
      <c r="D726" s="1"/>
      <c r="E726" s="1"/>
    </row>
    <row r="727" spans="1:5" ht="14.25" customHeight="1">
      <c r="A727" s="1"/>
      <c r="B727" s="1"/>
      <c r="C727" s="1"/>
      <c r="D727" s="1"/>
      <c r="E727" s="1"/>
    </row>
    <row r="728" spans="1:5" ht="14.25" customHeight="1">
      <c r="A728" s="1"/>
      <c r="B728" s="1"/>
      <c r="C728" s="1"/>
      <c r="D728" s="1"/>
      <c r="E728" s="1"/>
    </row>
    <row r="729" spans="1:5" ht="14.25" customHeight="1">
      <c r="A729" s="1"/>
      <c r="B729" s="1"/>
      <c r="C729" s="1"/>
      <c r="D729" s="1"/>
      <c r="E729" s="1"/>
    </row>
    <row r="730" spans="1:5" ht="14.25" customHeight="1">
      <c r="A730" s="1"/>
      <c r="B730" s="1"/>
      <c r="C730" s="1"/>
      <c r="D730" s="1"/>
      <c r="E730" s="1"/>
    </row>
    <row r="731" spans="1:5" ht="14.25" customHeight="1">
      <c r="A731" s="1"/>
      <c r="B731" s="1"/>
      <c r="C731" s="1"/>
      <c r="D731" s="1"/>
      <c r="E731" s="1"/>
    </row>
    <row r="732" spans="1:5" ht="14.25" customHeight="1">
      <c r="A732" s="1"/>
      <c r="B732" s="1"/>
      <c r="C732" s="1"/>
      <c r="D732" s="1"/>
      <c r="E732" s="1"/>
    </row>
    <row r="733" spans="1:5" ht="14.25" customHeight="1">
      <c r="A733" s="1"/>
      <c r="B733" s="1"/>
      <c r="C733" s="1"/>
      <c r="D733" s="1"/>
      <c r="E733" s="1"/>
    </row>
    <row r="734" spans="1:5" ht="14.25" customHeight="1">
      <c r="A734" s="1"/>
      <c r="B734" s="1"/>
      <c r="C734" s="1"/>
      <c r="D734" s="1"/>
      <c r="E734" s="1"/>
    </row>
    <row r="735" spans="1:5" ht="14.25" customHeight="1">
      <c r="A735" s="1"/>
      <c r="B735" s="1"/>
      <c r="C735" s="1"/>
      <c r="D735" s="1"/>
      <c r="E735" s="1"/>
    </row>
    <row r="736" spans="1:5" ht="14.25" customHeight="1">
      <c r="A736" s="1"/>
      <c r="B736" s="1"/>
      <c r="C736" s="1"/>
      <c r="D736" s="1"/>
      <c r="E736" s="1"/>
    </row>
    <row r="737" spans="1:5" ht="14.25" customHeight="1">
      <c r="A737" s="1"/>
      <c r="B737" s="1"/>
      <c r="C737" s="1"/>
      <c r="D737" s="1"/>
      <c r="E737" s="1"/>
    </row>
    <row r="738" spans="1:5" ht="14.25" customHeight="1">
      <c r="A738" s="1"/>
      <c r="B738" s="1"/>
      <c r="C738" s="1"/>
      <c r="D738" s="1"/>
      <c r="E738" s="1"/>
    </row>
    <row r="739" spans="1:5" ht="14.25" customHeight="1">
      <c r="A739" s="1"/>
      <c r="B739" s="1"/>
      <c r="C739" s="1"/>
      <c r="D739" s="1"/>
      <c r="E739" s="1"/>
    </row>
    <row r="740" spans="1:5" ht="14.25" customHeight="1">
      <c r="A740" s="1"/>
      <c r="B740" s="1"/>
      <c r="C740" s="1"/>
      <c r="D740" s="1"/>
      <c r="E740" s="1"/>
    </row>
    <row r="741" spans="1:5" ht="14.25" customHeight="1">
      <c r="A741" s="1"/>
      <c r="B741" s="1"/>
      <c r="C741" s="1"/>
      <c r="D741" s="1"/>
      <c r="E741" s="1"/>
    </row>
    <row r="742" spans="1:5" ht="14.25" customHeight="1">
      <c r="A742" s="1"/>
      <c r="B742" s="1"/>
      <c r="C742" s="1"/>
      <c r="D742" s="1"/>
      <c r="E742" s="1"/>
    </row>
    <row r="743" spans="1:5" ht="14.25" customHeight="1">
      <c r="A743" s="1"/>
      <c r="B743" s="1"/>
      <c r="C743" s="1"/>
      <c r="D743" s="1"/>
      <c r="E743" s="1"/>
    </row>
    <row r="744" spans="1:5" ht="14.25" customHeight="1">
      <c r="A744" s="1"/>
      <c r="B744" s="1"/>
      <c r="C744" s="1"/>
      <c r="D744" s="1"/>
      <c r="E744" s="1"/>
    </row>
    <row r="745" spans="1:5" ht="14.25" customHeight="1">
      <c r="A745" s="1"/>
      <c r="B745" s="1"/>
      <c r="C745" s="1"/>
      <c r="D745" s="1"/>
      <c r="E745" s="1"/>
    </row>
    <row r="746" spans="1:5" ht="14.25" customHeight="1">
      <c r="A746" s="1"/>
      <c r="B746" s="1"/>
      <c r="C746" s="1"/>
      <c r="D746" s="1"/>
      <c r="E746" s="1"/>
    </row>
    <row r="747" spans="1:5" ht="14.25" customHeight="1">
      <c r="A747" s="1"/>
      <c r="B747" s="1"/>
      <c r="C747" s="1"/>
      <c r="D747" s="1"/>
      <c r="E747" s="1"/>
    </row>
    <row r="748" spans="1:5" ht="14.25" customHeight="1">
      <c r="A748" s="1"/>
      <c r="B748" s="1"/>
      <c r="C748" s="1"/>
      <c r="D748" s="1"/>
      <c r="E748" s="1"/>
    </row>
    <row r="749" spans="1:5" ht="14.25" customHeight="1">
      <c r="A749" s="1"/>
      <c r="B749" s="1"/>
      <c r="C749" s="1"/>
      <c r="D749" s="1"/>
      <c r="E749" s="1"/>
    </row>
    <row r="750" spans="1:5" ht="14.25" customHeight="1">
      <c r="A750" s="1"/>
      <c r="B750" s="1"/>
      <c r="C750" s="1"/>
      <c r="D750" s="1"/>
      <c r="E750" s="1"/>
    </row>
    <row r="751" spans="1:5" ht="14.25" customHeight="1">
      <c r="A751" s="1"/>
      <c r="B751" s="1"/>
      <c r="C751" s="1"/>
      <c r="D751" s="1"/>
      <c r="E751" s="1"/>
    </row>
    <row r="752" spans="1:5" ht="14.25" customHeight="1">
      <c r="A752" s="1"/>
      <c r="B752" s="1"/>
      <c r="C752" s="1"/>
      <c r="D752" s="1"/>
      <c r="E752" s="1"/>
    </row>
    <row r="753" spans="1:5" ht="14.25" customHeight="1">
      <c r="A753" s="1"/>
      <c r="B753" s="1"/>
      <c r="C753" s="1"/>
      <c r="D753" s="1"/>
      <c r="E753" s="1"/>
    </row>
    <row r="754" spans="1:5" ht="14.25" customHeight="1">
      <c r="A754" s="1"/>
      <c r="B754" s="1"/>
      <c r="C754" s="1"/>
      <c r="D754" s="1"/>
      <c r="E754" s="1"/>
    </row>
    <row r="755" spans="1:5" ht="14.25" customHeight="1">
      <c r="A755" s="1"/>
      <c r="B755" s="1"/>
      <c r="C755" s="1"/>
      <c r="D755" s="1"/>
      <c r="E755" s="1"/>
    </row>
    <row r="756" spans="1:5" ht="14.25" customHeight="1">
      <c r="A756" s="1"/>
      <c r="B756" s="1"/>
      <c r="C756" s="1"/>
      <c r="D756" s="1"/>
      <c r="E756" s="1"/>
    </row>
    <row r="757" spans="1:5" ht="14.25" customHeight="1">
      <c r="A757" s="1"/>
      <c r="B757" s="1"/>
      <c r="C757" s="1"/>
      <c r="D757" s="1"/>
      <c r="E757" s="1"/>
    </row>
    <row r="758" spans="1:5" ht="14.25" customHeight="1">
      <c r="A758" s="1"/>
      <c r="B758" s="1"/>
      <c r="C758" s="1"/>
      <c r="D758" s="1"/>
      <c r="E758" s="1"/>
    </row>
    <row r="759" spans="1:5" ht="14.25" customHeight="1">
      <c r="A759" s="1"/>
      <c r="B759" s="1"/>
      <c r="C759" s="1"/>
      <c r="D759" s="1"/>
      <c r="E759" s="1"/>
    </row>
    <row r="760" spans="1:5" ht="14.25" customHeight="1">
      <c r="A760" s="1"/>
      <c r="B760" s="1"/>
      <c r="C760" s="1"/>
      <c r="D760" s="1"/>
      <c r="E760" s="1"/>
    </row>
    <row r="761" spans="1:5" ht="14.25" customHeight="1">
      <c r="A761" s="1"/>
      <c r="B761" s="1"/>
      <c r="C761" s="1"/>
      <c r="D761" s="1"/>
      <c r="E761" s="1"/>
    </row>
    <row r="762" spans="1:5" ht="14.25" customHeight="1">
      <c r="A762" s="1"/>
      <c r="B762" s="1"/>
      <c r="C762" s="1"/>
      <c r="D762" s="1"/>
      <c r="E762" s="1"/>
    </row>
    <row r="763" spans="1:5" ht="14.25" customHeight="1">
      <c r="A763" s="1"/>
      <c r="B763" s="1"/>
      <c r="C763" s="1"/>
      <c r="D763" s="1"/>
      <c r="E763" s="1"/>
    </row>
    <row r="764" spans="1:5" ht="14.25" customHeight="1">
      <c r="A764" s="1"/>
      <c r="B764" s="1"/>
      <c r="C764" s="1"/>
      <c r="D764" s="1"/>
      <c r="E764" s="1"/>
    </row>
    <row r="765" spans="1:5" ht="14.25" customHeight="1">
      <c r="A765" s="1"/>
      <c r="B765" s="1"/>
      <c r="C765" s="1"/>
      <c r="D765" s="1"/>
      <c r="E765" s="1"/>
    </row>
    <row r="766" spans="1:5" ht="14.25" customHeight="1">
      <c r="A766" s="1"/>
      <c r="B766" s="1"/>
      <c r="C766" s="1"/>
      <c r="D766" s="1"/>
      <c r="E766" s="1"/>
    </row>
    <row r="767" spans="1:5" ht="14.25" customHeight="1">
      <c r="A767" s="1"/>
      <c r="B767" s="1"/>
      <c r="C767" s="1"/>
      <c r="D767" s="1"/>
      <c r="E767" s="1"/>
    </row>
    <row r="768" spans="1:5" ht="14.25" customHeight="1">
      <c r="A768" s="1"/>
      <c r="B768" s="1"/>
      <c r="C768" s="1"/>
      <c r="D768" s="1"/>
      <c r="E768" s="1"/>
    </row>
    <row r="769" spans="1:5" ht="14.25" customHeight="1">
      <c r="A769" s="1"/>
      <c r="B769" s="1"/>
      <c r="C769" s="1"/>
      <c r="D769" s="1"/>
      <c r="E769" s="1"/>
    </row>
    <row r="770" spans="1:5" ht="14.25" customHeight="1">
      <c r="A770" s="1"/>
      <c r="B770" s="1"/>
      <c r="C770" s="1"/>
      <c r="D770" s="1"/>
      <c r="E770" s="1"/>
    </row>
    <row r="771" spans="1:5" ht="14.25" customHeight="1">
      <c r="A771" s="1"/>
      <c r="B771" s="1"/>
      <c r="C771" s="1"/>
      <c r="D771" s="1"/>
      <c r="E771" s="1"/>
    </row>
    <row r="772" spans="1:5" ht="14.25" customHeight="1">
      <c r="A772" s="1"/>
      <c r="B772" s="1"/>
      <c r="C772" s="1"/>
      <c r="D772" s="1"/>
      <c r="E772" s="1"/>
    </row>
    <row r="773" spans="1:5" ht="14.25" customHeight="1">
      <c r="A773" s="1"/>
      <c r="B773" s="1"/>
      <c r="C773" s="1"/>
      <c r="D773" s="1"/>
      <c r="E773" s="1"/>
    </row>
    <row r="774" spans="1:5" ht="14.25" customHeight="1">
      <c r="A774" s="1"/>
      <c r="B774" s="1"/>
      <c r="C774" s="1"/>
      <c r="D774" s="1"/>
      <c r="E774" s="1"/>
    </row>
    <row r="775" spans="1:5" ht="14.25" customHeight="1">
      <c r="A775" s="1"/>
      <c r="B775" s="1"/>
      <c r="C775" s="1"/>
      <c r="D775" s="1"/>
      <c r="E775" s="1"/>
    </row>
    <row r="776" spans="1:5" ht="14.25" customHeight="1">
      <c r="A776" s="1"/>
      <c r="B776" s="1"/>
      <c r="C776" s="1"/>
      <c r="D776" s="1"/>
      <c r="E776" s="1"/>
    </row>
    <row r="777" spans="1:5" ht="14.25" customHeight="1">
      <c r="A777" s="1"/>
      <c r="B777" s="1"/>
      <c r="C777" s="1"/>
      <c r="D777" s="1"/>
      <c r="E777" s="1"/>
    </row>
    <row r="778" spans="1:5" ht="14.25" customHeight="1">
      <c r="A778" s="1"/>
      <c r="B778" s="1"/>
      <c r="C778" s="1"/>
      <c r="D778" s="1"/>
      <c r="E778" s="1"/>
    </row>
    <row r="779" spans="1:5" ht="14.25" customHeight="1">
      <c r="A779" s="1"/>
      <c r="B779" s="1"/>
      <c r="C779" s="1"/>
      <c r="D779" s="1"/>
      <c r="E779" s="1"/>
    </row>
    <row r="780" spans="1:5" ht="14.25" customHeight="1">
      <c r="A780" s="1"/>
      <c r="B780" s="1"/>
      <c r="C780" s="1"/>
      <c r="D780" s="1"/>
      <c r="E780" s="1"/>
    </row>
    <row r="781" spans="1:5" ht="14.25" customHeight="1">
      <c r="A781" s="1"/>
      <c r="B781" s="1"/>
      <c r="C781" s="1"/>
      <c r="D781" s="1"/>
      <c r="E781" s="1"/>
    </row>
    <row r="782" spans="1:5" ht="14.25" customHeight="1">
      <c r="A782" s="1"/>
      <c r="B782" s="1"/>
      <c r="C782" s="1"/>
      <c r="D782" s="1"/>
      <c r="E782" s="1"/>
    </row>
    <row r="783" spans="1:5" ht="14.25" customHeight="1">
      <c r="A783" s="1"/>
      <c r="B783" s="1"/>
      <c r="C783" s="1"/>
      <c r="D783" s="1"/>
      <c r="E783" s="1"/>
    </row>
    <row r="784" spans="1:5" ht="14.25" customHeight="1">
      <c r="A784" s="1"/>
      <c r="B784" s="1"/>
      <c r="C784" s="1"/>
      <c r="D784" s="1"/>
      <c r="E784" s="1"/>
    </row>
    <row r="785" spans="1:5" ht="14.25" customHeight="1">
      <c r="A785" s="1"/>
      <c r="B785" s="1"/>
      <c r="C785" s="1"/>
      <c r="D785" s="1"/>
      <c r="E785" s="1"/>
    </row>
    <row r="786" spans="1:5" ht="14.25" customHeight="1">
      <c r="A786" s="1"/>
      <c r="B786" s="1"/>
      <c r="C786" s="1"/>
      <c r="D786" s="1"/>
      <c r="E786" s="1"/>
    </row>
    <row r="787" spans="1:5" ht="14.25" customHeight="1">
      <c r="A787" s="1"/>
      <c r="B787" s="1"/>
      <c r="C787" s="1"/>
      <c r="D787" s="1"/>
      <c r="E787" s="1"/>
    </row>
    <row r="788" spans="1:5" ht="14.25" customHeight="1">
      <c r="A788" s="1"/>
      <c r="B788" s="1"/>
      <c r="C788" s="1"/>
      <c r="D788" s="1"/>
      <c r="E788" s="1"/>
    </row>
    <row r="789" spans="1:5" ht="14.25" customHeight="1">
      <c r="A789" s="1"/>
      <c r="B789" s="1"/>
      <c r="C789" s="1"/>
      <c r="D789" s="1"/>
      <c r="E789" s="1"/>
    </row>
    <row r="790" spans="1:5" ht="14.25" customHeight="1">
      <c r="A790" s="1"/>
      <c r="B790" s="1"/>
      <c r="C790" s="1"/>
      <c r="D790" s="1"/>
      <c r="E790" s="1"/>
    </row>
    <row r="791" spans="1:5" ht="14.25" customHeight="1">
      <c r="A791" s="1"/>
      <c r="B791" s="1"/>
      <c r="C791" s="1"/>
      <c r="D791" s="1"/>
      <c r="E791" s="1"/>
    </row>
    <row r="792" spans="1:5" ht="14.25" customHeight="1">
      <c r="A792" s="1"/>
      <c r="B792" s="1"/>
      <c r="C792" s="1"/>
      <c r="D792" s="1"/>
      <c r="E792" s="1"/>
    </row>
    <row r="793" spans="1:5" ht="14.25" customHeight="1">
      <c r="A793" s="1"/>
      <c r="B793" s="1"/>
      <c r="C793" s="1"/>
      <c r="D793" s="1"/>
      <c r="E793" s="1"/>
    </row>
    <row r="794" spans="1:5" ht="14.25" customHeight="1">
      <c r="A794" s="1"/>
      <c r="B794" s="1"/>
      <c r="C794" s="1"/>
      <c r="D794" s="1"/>
      <c r="E794" s="1"/>
    </row>
    <row r="795" spans="1:5" ht="14.25" customHeight="1">
      <c r="A795" s="1"/>
      <c r="B795" s="1"/>
      <c r="C795" s="1"/>
      <c r="D795" s="1"/>
      <c r="E795" s="1"/>
    </row>
    <row r="796" spans="1:5" ht="14.25" customHeight="1">
      <c r="A796" s="1"/>
      <c r="B796" s="1"/>
      <c r="C796" s="1"/>
      <c r="D796" s="1"/>
      <c r="E796" s="1"/>
    </row>
    <row r="797" spans="1:5" ht="14.25" customHeight="1">
      <c r="A797" s="1"/>
      <c r="B797" s="1"/>
      <c r="C797" s="1"/>
      <c r="D797" s="1"/>
      <c r="E797" s="1"/>
    </row>
    <row r="798" spans="1:5" ht="14.25" customHeight="1">
      <c r="A798" s="1"/>
      <c r="B798" s="1"/>
      <c r="C798" s="1"/>
      <c r="D798" s="1"/>
      <c r="E798" s="1"/>
    </row>
    <row r="799" spans="1:5" ht="14.25" customHeight="1">
      <c r="A799" s="1"/>
      <c r="B799" s="1"/>
      <c r="C799" s="1"/>
      <c r="D799" s="1"/>
      <c r="E799" s="1"/>
    </row>
    <row r="800" spans="1:5" ht="14.25" customHeight="1">
      <c r="A800" s="1"/>
      <c r="B800" s="1"/>
      <c r="C800" s="1"/>
      <c r="D800" s="1"/>
      <c r="E800" s="1"/>
    </row>
    <row r="801" spans="1:5" ht="14.25" customHeight="1">
      <c r="A801" s="1"/>
      <c r="B801" s="1"/>
      <c r="C801" s="1"/>
      <c r="D801" s="1"/>
      <c r="E801" s="1"/>
    </row>
    <row r="802" spans="1:5" ht="14.25" customHeight="1">
      <c r="A802" s="1"/>
      <c r="B802" s="1"/>
      <c r="C802" s="1"/>
      <c r="D802" s="1"/>
      <c r="E802" s="1"/>
    </row>
    <row r="803" spans="1:5" ht="14.25" customHeight="1">
      <c r="A803" s="1"/>
      <c r="B803" s="1"/>
      <c r="C803" s="1"/>
      <c r="D803" s="1"/>
      <c r="E803" s="1"/>
    </row>
    <row r="804" spans="1:5" ht="14.25" customHeight="1">
      <c r="A804" s="1"/>
      <c r="B804" s="1"/>
      <c r="C804" s="1"/>
      <c r="D804" s="1"/>
      <c r="E804" s="1"/>
    </row>
    <row r="805" spans="1:5" ht="14.25" customHeight="1">
      <c r="A805" s="1"/>
      <c r="B805" s="1"/>
      <c r="C805" s="1"/>
      <c r="D805" s="1"/>
      <c r="E805" s="1"/>
    </row>
    <row r="806" spans="1:5" ht="14.25" customHeight="1">
      <c r="A806" s="1"/>
      <c r="B806" s="1"/>
      <c r="C806" s="1"/>
      <c r="D806" s="1"/>
      <c r="E806" s="1"/>
    </row>
    <row r="807" spans="1:5" ht="14.25" customHeight="1">
      <c r="A807" s="1"/>
      <c r="B807" s="1"/>
      <c r="C807" s="1"/>
      <c r="D807" s="1"/>
      <c r="E807" s="1"/>
    </row>
    <row r="808" spans="1:5" ht="14.25" customHeight="1">
      <c r="A808" s="1"/>
      <c r="B808" s="1"/>
      <c r="C808" s="1"/>
      <c r="D808" s="1"/>
      <c r="E808" s="1"/>
    </row>
    <row r="809" spans="1:5" ht="14.25" customHeight="1">
      <c r="A809" s="1"/>
      <c r="B809" s="1"/>
      <c r="C809" s="1"/>
      <c r="D809" s="1"/>
      <c r="E809" s="1"/>
    </row>
    <row r="810" spans="1:5" ht="14.25" customHeight="1">
      <c r="A810" s="1"/>
      <c r="B810" s="1"/>
      <c r="C810" s="1"/>
      <c r="D810" s="1"/>
      <c r="E810" s="1"/>
    </row>
    <row r="811" spans="1:5" ht="14.25" customHeight="1">
      <c r="A811" s="1"/>
      <c r="B811" s="1"/>
      <c r="C811" s="1"/>
      <c r="D811" s="1"/>
      <c r="E811" s="1"/>
    </row>
    <row r="812" spans="1:5" ht="14.25" customHeight="1">
      <c r="A812" s="1"/>
      <c r="B812" s="1"/>
      <c r="C812" s="1"/>
      <c r="D812" s="1"/>
      <c r="E812" s="1"/>
    </row>
    <row r="813" spans="1:5" ht="14.25" customHeight="1">
      <c r="A813" s="1"/>
      <c r="B813" s="1"/>
      <c r="C813" s="1"/>
      <c r="D813" s="1"/>
      <c r="E813" s="1"/>
    </row>
    <row r="814" spans="1:5" ht="14.25" customHeight="1">
      <c r="A814" s="1"/>
      <c r="B814" s="1"/>
      <c r="C814" s="1"/>
      <c r="D814" s="1"/>
      <c r="E814" s="1"/>
    </row>
    <row r="815" spans="1:5" ht="14.25" customHeight="1">
      <c r="A815" s="1"/>
      <c r="B815" s="1"/>
      <c r="C815" s="1"/>
      <c r="D815" s="1"/>
      <c r="E815" s="1"/>
    </row>
    <row r="816" spans="1:5" ht="14.25" customHeight="1">
      <c r="A816" s="1"/>
      <c r="B816" s="1"/>
      <c r="C816" s="1"/>
      <c r="D816" s="1"/>
      <c r="E816" s="1"/>
    </row>
    <row r="817" spans="1:5" ht="14.25" customHeight="1">
      <c r="A817" s="1"/>
      <c r="B817" s="1"/>
      <c r="C817" s="1"/>
      <c r="D817" s="1"/>
      <c r="E817" s="1"/>
    </row>
    <row r="818" spans="1:5" ht="14.25" customHeight="1">
      <c r="A818" s="1"/>
      <c r="B818" s="1"/>
      <c r="C818" s="1"/>
      <c r="D818" s="1"/>
      <c r="E818" s="1"/>
    </row>
    <row r="819" spans="1:5" ht="14.25" customHeight="1">
      <c r="A819" s="1"/>
      <c r="B819" s="1"/>
      <c r="C819" s="1"/>
      <c r="D819" s="1"/>
      <c r="E819" s="1"/>
    </row>
    <row r="820" spans="1:5" ht="14.25" customHeight="1">
      <c r="A820" s="1"/>
      <c r="B820" s="1"/>
      <c r="C820" s="1"/>
      <c r="D820" s="1"/>
      <c r="E820" s="1"/>
    </row>
    <row r="821" spans="1:5" ht="14.25" customHeight="1">
      <c r="A821" s="1"/>
      <c r="B821" s="1"/>
      <c r="C821" s="1"/>
      <c r="D821" s="1"/>
      <c r="E821" s="1"/>
    </row>
    <row r="822" spans="1:5" ht="14.25" customHeight="1">
      <c r="A822" s="1"/>
      <c r="B822" s="1"/>
      <c r="C822" s="1"/>
      <c r="D822" s="1"/>
      <c r="E822" s="1"/>
    </row>
    <row r="823" spans="1:5" ht="14.25" customHeight="1">
      <c r="A823" s="1"/>
      <c r="B823" s="1"/>
      <c r="C823" s="1"/>
      <c r="D823" s="1"/>
      <c r="E823" s="1"/>
    </row>
    <row r="824" spans="1:5" ht="14.25" customHeight="1">
      <c r="A824" s="1"/>
      <c r="B824" s="1"/>
      <c r="C824" s="1"/>
      <c r="D824" s="1"/>
      <c r="E824" s="1"/>
    </row>
    <row r="825" spans="1:5" ht="14.25" customHeight="1">
      <c r="A825" s="1"/>
      <c r="B825" s="1"/>
      <c r="C825" s="1"/>
      <c r="D825" s="1"/>
      <c r="E825" s="1"/>
    </row>
    <row r="826" spans="1:5" ht="14.25" customHeight="1">
      <c r="A826" s="1"/>
      <c r="B826" s="1"/>
      <c r="C826" s="1"/>
      <c r="D826" s="1"/>
      <c r="E826" s="1"/>
    </row>
    <row r="827" spans="1:5" ht="14.25" customHeight="1">
      <c r="A827" s="1"/>
      <c r="B827" s="1"/>
      <c r="C827" s="1"/>
      <c r="D827" s="1"/>
      <c r="E827" s="1"/>
    </row>
    <row r="828" spans="1:5" ht="14.25" customHeight="1">
      <c r="A828" s="1"/>
      <c r="B828" s="1"/>
      <c r="C828" s="1"/>
      <c r="D828" s="1"/>
      <c r="E828" s="1"/>
    </row>
    <row r="829" spans="1:5" ht="14.25" customHeight="1">
      <c r="A829" s="1"/>
      <c r="B829" s="1"/>
      <c r="C829" s="1"/>
      <c r="D829" s="1"/>
      <c r="E829" s="1"/>
    </row>
    <row r="830" spans="1:5" ht="14.25" customHeight="1">
      <c r="A830" s="1"/>
      <c r="B830" s="1"/>
      <c r="C830" s="1"/>
      <c r="D830" s="1"/>
      <c r="E830" s="1"/>
    </row>
    <row r="831" spans="1:5" ht="14.25" customHeight="1">
      <c r="A831" s="1"/>
      <c r="B831" s="1"/>
      <c r="C831" s="1"/>
      <c r="D831" s="1"/>
      <c r="E831" s="1"/>
    </row>
    <row r="832" spans="1:5" ht="14.25" customHeight="1">
      <c r="A832" s="1"/>
      <c r="B832" s="1"/>
      <c r="C832" s="1"/>
      <c r="D832" s="1"/>
      <c r="E832" s="1"/>
    </row>
    <row r="833" spans="1:5" ht="14.25" customHeight="1">
      <c r="A833" s="1"/>
      <c r="B833" s="1"/>
      <c r="C833" s="1"/>
      <c r="D833" s="1"/>
      <c r="E833" s="1"/>
    </row>
    <row r="834" spans="1:5" ht="14.25" customHeight="1">
      <c r="A834" s="1"/>
      <c r="B834" s="1"/>
      <c r="C834" s="1"/>
      <c r="D834" s="1"/>
      <c r="E834" s="1"/>
    </row>
    <row r="835" spans="1:5" ht="14.25" customHeight="1">
      <c r="A835" s="1"/>
      <c r="B835" s="1"/>
      <c r="C835" s="1"/>
      <c r="D835" s="1"/>
      <c r="E835" s="1"/>
    </row>
    <row r="836" spans="1:5" ht="14.25" customHeight="1">
      <c r="A836" s="1"/>
      <c r="B836" s="1"/>
      <c r="C836" s="1"/>
      <c r="D836" s="1"/>
      <c r="E836" s="1"/>
    </row>
    <row r="837" spans="1:5" ht="14.25" customHeight="1">
      <c r="A837" s="1"/>
      <c r="B837" s="1"/>
      <c r="C837" s="1"/>
      <c r="D837" s="1"/>
      <c r="E837" s="1"/>
    </row>
    <row r="838" spans="1:5" ht="14.25" customHeight="1">
      <c r="A838" s="1"/>
      <c r="B838" s="1"/>
      <c r="C838" s="1"/>
      <c r="D838" s="1"/>
      <c r="E838" s="1"/>
    </row>
    <row r="839" spans="1:5" ht="14.25" customHeight="1">
      <c r="A839" s="1"/>
      <c r="B839" s="1"/>
      <c r="C839" s="1"/>
      <c r="D839" s="1"/>
      <c r="E839" s="1"/>
    </row>
    <row r="840" spans="1:5" ht="14.25" customHeight="1">
      <c r="A840" s="1"/>
      <c r="B840" s="1"/>
      <c r="C840" s="1"/>
      <c r="D840" s="1"/>
      <c r="E840" s="1"/>
    </row>
    <row r="841" spans="1:5" ht="14.25" customHeight="1">
      <c r="A841" s="1"/>
      <c r="B841" s="1"/>
      <c r="C841" s="1"/>
      <c r="D841" s="1"/>
      <c r="E841" s="1"/>
    </row>
    <row r="842" spans="1:5" ht="14.25" customHeight="1">
      <c r="A842" s="1"/>
      <c r="B842" s="1"/>
      <c r="C842" s="1"/>
      <c r="D842" s="1"/>
      <c r="E842" s="1"/>
    </row>
    <row r="843" spans="1:5" ht="14.25" customHeight="1">
      <c r="A843" s="1"/>
      <c r="B843" s="1"/>
      <c r="C843" s="1"/>
      <c r="D843" s="1"/>
      <c r="E843" s="1"/>
    </row>
    <row r="844" spans="1:5" ht="14.25" customHeight="1">
      <c r="A844" s="1"/>
      <c r="B844" s="1"/>
      <c r="C844" s="1"/>
      <c r="D844" s="1"/>
      <c r="E844" s="1"/>
    </row>
    <row r="845" spans="1:5" ht="14.25" customHeight="1">
      <c r="A845" s="1"/>
      <c r="B845" s="1"/>
      <c r="C845" s="1"/>
      <c r="D845" s="1"/>
      <c r="E845" s="1"/>
    </row>
    <row r="846" spans="1:5" ht="14.25" customHeight="1">
      <c r="A846" s="1"/>
      <c r="B846" s="1"/>
      <c r="C846" s="1"/>
      <c r="D846" s="1"/>
      <c r="E846" s="1"/>
    </row>
    <row r="847" spans="1:5" ht="14.25" customHeight="1">
      <c r="A847" s="1"/>
      <c r="B847" s="1"/>
      <c r="C847" s="1"/>
      <c r="D847" s="1"/>
      <c r="E847" s="1"/>
    </row>
    <row r="848" spans="1:5" ht="14.25" customHeight="1">
      <c r="A848" s="1"/>
      <c r="B848" s="1"/>
      <c r="C848" s="1"/>
      <c r="D848" s="1"/>
      <c r="E848" s="1"/>
    </row>
    <row r="849" spans="1:5" ht="14.25" customHeight="1">
      <c r="A849" s="1"/>
      <c r="B849" s="1"/>
      <c r="C849" s="1"/>
      <c r="D849" s="1"/>
      <c r="E849" s="1"/>
    </row>
    <row r="850" spans="1:5" ht="14.25" customHeight="1">
      <c r="A850" s="1"/>
      <c r="B850" s="1"/>
      <c r="C850" s="1"/>
      <c r="D850" s="1"/>
      <c r="E850" s="1"/>
    </row>
    <row r="851" spans="1:5" ht="14.25" customHeight="1">
      <c r="A851" s="1"/>
      <c r="B851" s="1"/>
      <c r="C851" s="1"/>
      <c r="D851" s="1"/>
      <c r="E851" s="1"/>
    </row>
    <row r="852" spans="1:5" ht="14.25" customHeight="1">
      <c r="A852" s="1"/>
      <c r="B852" s="1"/>
      <c r="C852" s="1"/>
      <c r="D852" s="1"/>
      <c r="E852" s="1"/>
    </row>
    <row r="853" spans="1:5" ht="14.25" customHeight="1">
      <c r="A853" s="1"/>
      <c r="B853" s="1"/>
      <c r="C853" s="1"/>
      <c r="D853" s="1"/>
      <c r="E853" s="1"/>
    </row>
    <row r="854" spans="1:5" ht="14.25" customHeight="1">
      <c r="A854" s="1"/>
      <c r="B854" s="1"/>
      <c r="C854" s="1"/>
      <c r="D854" s="1"/>
      <c r="E854" s="1"/>
    </row>
    <row r="855" spans="1:5" ht="14.25" customHeight="1">
      <c r="A855" s="1"/>
      <c r="B855" s="1"/>
      <c r="C855" s="1"/>
      <c r="D855" s="1"/>
      <c r="E855" s="1"/>
    </row>
    <row r="856" spans="1:5" ht="14.25" customHeight="1">
      <c r="A856" s="1"/>
      <c r="B856" s="1"/>
      <c r="C856" s="1"/>
      <c r="D856" s="1"/>
      <c r="E856" s="1"/>
    </row>
    <row r="857" spans="1:5" ht="14.25" customHeight="1">
      <c r="A857" s="1"/>
      <c r="B857" s="1"/>
      <c r="C857" s="1"/>
      <c r="D857" s="1"/>
      <c r="E857" s="1"/>
    </row>
    <row r="858" spans="1:5" ht="14.25" customHeight="1">
      <c r="A858" s="1"/>
      <c r="B858" s="1"/>
      <c r="C858" s="1"/>
      <c r="D858" s="1"/>
      <c r="E858" s="1"/>
    </row>
    <row r="859" spans="1:5" ht="14.25" customHeight="1">
      <c r="A859" s="1"/>
      <c r="B859" s="1"/>
      <c r="C859" s="1"/>
      <c r="D859" s="1"/>
      <c r="E859" s="1"/>
    </row>
    <row r="860" spans="1:5" ht="14.25" customHeight="1">
      <c r="A860" s="1"/>
      <c r="B860" s="1"/>
      <c r="C860" s="1"/>
      <c r="D860" s="1"/>
      <c r="E860" s="1"/>
    </row>
    <row r="861" spans="1:5" ht="14.25" customHeight="1">
      <c r="A861" s="1"/>
      <c r="B861" s="1"/>
      <c r="C861" s="1"/>
      <c r="D861" s="1"/>
      <c r="E861" s="1"/>
    </row>
    <row r="862" spans="1:5" ht="14.25" customHeight="1">
      <c r="A862" s="1"/>
      <c r="B862" s="1"/>
      <c r="C862" s="1"/>
      <c r="D862" s="1"/>
      <c r="E862" s="1"/>
    </row>
    <row r="863" spans="1:5" ht="14.25" customHeight="1">
      <c r="A863" s="1"/>
      <c r="B863" s="1"/>
      <c r="C863" s="1"/>
      <c r="D863" s="1"/>
      <c r="E863" s="1"/>
    </row>
    <row r="864" spans="1:5" ht="14.25" customHeight="1">
      <c r="A864" s="1"/>
      <c r="B864" s="1"/>
      <c r="C864" s="1"/>
      <c r="D864" s="1"/>
      <c r="E864" s="1"/>
    </row>
    <row r="865" spans="1:5" ht="14.25" customHeight="1">
      <c r="A865" s="1"/>
      <c r="B865" s="1"/>
      <c r="C865" s="1"/>
      <c r="D865" s="1"/>
      <c r="E865" s="1"/>
    </row>
    <row r="866" spans="1:5" ht="14.25" customHeight="1">
      <c r="A866" s="1"/>
      <c r="B866" s="1"/>
      <c r="C866" s="1"/>
      <c r="D866" s="1"/>
      <c r="E866" s="1"/>
    </row>
    <row r="867" spans="1:5" ht="14.25" customHeight="1">
      <c r="A867" s="1"/>
      <c r="B867" s="1"/>
      <c r="C867" s="1"/>
      <c r="D867" s="1"/>
      <c r="E867" s="1"/>
    </row>
    <row r="868" spans="1:5" ht="14.25" customHeight="1">
      <c r="A868" s="1"/>
      <c r="B868" s="1"/>
      <c r="C868" s="1"/>
      <c r="D868" s="1"/>
      <c r="E868" s="1"/>
    </row>
    <row r="869" spans="1:5" ht="14.25" customHeight="1">
      <c r="A869" s="1"/>
      <c r="B869" s="1"/>
      <c r="C869" s="1"/>
      <c r="D869" s="1"/>
      <c r="E869" s="1"/>
    </row>
    <row r="870" spans="1:5" ht="14.25" customHeight="1">
      <c r="A870" s="1"/>
      <c r="B870" s="1"/>
      <c r="C870" s="1"/>
      <c r="D870" s="1"/>
      <c r="E870" s="1"/>
    </row>
    <row r="871" spans="1:5" ht="14.25" customHeight="1">
      <c r="A871" s="1"/>
      <c r="B871" s="1"/>
      <c r="C871" s="1"/>
      <c r="D871" s="1"/>
      <c r="E871" s="1"/>
    </row>
    <row r="872" spans="1:5" ht="14.25" customHeight="1">
      <c r="A872" s="1"/>
      <c r="B872" s="1"/>
      <c r="C872" s="1"/>
      <c r="D872" s="1"/>
      <c r="E872" s="1"/>
    </row>
    <row r="873" spans="1:5" ht="14.25" customHeight="1">
      <c r="A873" s="1"/>
      <c r="B873" s="1"/>
      <c r="C873" s="1"/>
      <c r="D873" s="1"/>
      <c r="E873" s="1"/>
    </row>
    <row r="874" spans="1:5" ht="14.25" customHeight="1">
      <c r="A874" s="1"/>
      <c r="B874" s="1"/>
      <c r="C874" s="1"/>
      <c r="D874" s="1"/>
      <c r="E874" s="1"/>
    </row>
    <row r="875" spans="1:5" ht="14.25" customHeight="1">
      <c r="A875" s="1"/>
      <c r="B875" s="1"/>
      <c r="C875" s="1"/>
      <c r="D875" s="1"/>
      <c r="E875" s="1"/>
    </row>
    <row r="876" spans="1:5" ht="14.25" customHeight="1">
      <c r="A876" s="1"/>
      <c r="B876" s="1"/>
      <c r="C876" s="1"/>
      <c r="D876" s="1"/>
      <c r="E876" s="1"/>
    </row>
    <row r="877" spans="1:5" ht="14.25" customHeight="1">
      <c r="A877" s="1"/>
      <c r="B877" s="1"/>
      <c r="C877" s="1"/>
      <c r="D877" s="1"/>
      <c r="E877" s="1"/>
    </row>
    <row r="878" spans="1:5" ht="14.25" customHeight="1">
      <c r="A878" s="1"/>
      <c r="B878" s="1"/>
      <c r="C878" s="1"/>
      <c r="D878" s="1"/>
      <c r="E878" s="1"/>
    </row>
    <row r="879" spans="1:5" ht="14.25" customHeight="1">
      <c r="A879" s="1"/>
      <c r="B879" s="1"/>
      <c r="C879" s="1"/>
      <c r="D879" s="1"/>
      <c r="E879" s="1"/>
    </row>
    <row r="880" spans="1:5" ht="14.25" customHeight="1">
      <c r="A880" s="1"/>
      <c r="B880" s="1"/>
      <c r="C880" s="1"/>
      <c r="D880" s="1"/>
      <c r="E880" s="1"/>
    </row>
    <row r="881" spans="1:5" ht="14.25" customHeight="1">
      <c r="A881" s="1"/>
      <c r="B881" s="1"/>
      <c r="C881" s="1"/>
      <c r="D881" s="1"/>
      <c r="E881" s="1"/>
    </row>
    <row r="882" spans="1:5" ht="14.25" customHeight="1">
      <c r="A882" s="1"/>
      <c r="B882" s="1"/>
      <c r="C882" s="1"/>
      <c r="D882" s="1"/>
      <c r="E882" s="1"/>
    </row>
    <row r="883" spans="1:5" ht="14.25" customHeight="1">
      <c r="A883" s="1"/>
      <c r="B883" s="1"/>
      <c r="C883" s="1"/>
      <c r="D883" s="1"/>
      <c r="E883" s="1"/>
    </row>
    <row r="884" spans="1:5" ht="14.25" customHeight="1">
      <c r="A884" s="1"/>
      <c r="B884" s="1"/>
      <c r="C884" s="1"/>
      <c r="D884" s="1"/>
      <c r="E884" s="1"/>
    </row>
    <row r="885" spans="1:5" ht="14.25" customHeight="1">
      <c r="A885" s="1"/>
      <c r="B885" s="1"/>
      <c r="C885" s="1"/>
      <c r="D885" s="1"/>
      <c r="E885" s="1"/>
    </row>
    <row r="886" spans="1:5" ht="14.25" customHeight="1">
      <c r="A886" s="1"/>
      <c r="B886" s="1"/>
      <c r="C886" s="1"/>
      <c r="D886" s="1"/>
      <c r="E886" s="1"/>
    </row>
    <row r="887" spans="1:5" ht="14.25" customHeight="1">
      <c r="A887" s="1"/>
      <c r="B887" s="1"/>
      <c r="C887" s="1"/>
      <c r="D887" s="1"/>
      <c r="E887" s="1"/>
    </row>
    <row r="888" spans="1:5" ht="14.25" customHeight="1">
      <c r="A888" s="1"/>
      <c r="B888" s="1"/>
      <c r="C888" s="1"/>
      <c r="D888" s="1"/>
      <c r="E888" s="1"/>
    </row>
    <row r="889" spans="1:5" ht="14.25" customHeight="1">
      <c r="A889" s="1"/>
      <c r="B889" s="1"/>
      <c r="C889" s="1"/>
      <c r="D889" s="1"/>
      <c r="E889" s="1"/>
    </row>
    <row r="890" spans="1:5" ht="14.25" customHeight="1">
      <c r="A890" s="1"/>
      <c r="B890" s="1"/>
      <c r="C890" s="1"/>
      <c r="D890" s="1"/>
      <c r="E890" s="1"/>
    </row>
    <row r="891" spans="1:5" ht="14.25" customHeight="1">
      <c r="A891" s="1"/>
      <c r="B891" s="1"/>
      <c r="C891" s="1"/>
      <c r="D891" s="1"/>
      <c r="E891" s="1"/>
    </row>
    <row r="892" spans="1:5" ht="14.25" customHeight="1">
      <c r="A892" s="1"/>
      <c r="B892" s="1"/>
      <c r="C892" s="1"/>
      <c r="D892" s="1"/>
      <c r="E892" s="1"/>
    </row>
    <row r="893" spans="1:5" ht="14.25" customHeight="1">
      <c r="A893" s="1"/>
      <c r="B893" s="1"/>
      <c r="C893" s="1"/>
      <c r="D893" s="1"/>
      <c r="E893" s="1"/>
    </row>
    <row r="894" spans="1:5" ht="14.25" customHeight="1">
      <c r="A894" s="1"/>
      <c r="B894" s="1"/>
      <c r="C894" s="1"/>
      <c r="D894" s="1"/>
      <c r="E894" s="1"/>
    </row>
    <row r="895" spans="1:5" ht="14.25" customHeight="1">
      <c r="A895" s="1"/>
      <c r="B895" s="1"/>
      <c r="C895" s="1"/>
      <c r="D895" s="1"/>
      <c r="E895" s="1"/>
    </row>
    <row r="896" spans="1:5" ht="14.25" customHeight="1">
      <c r="A896" s="1"/>
      <c r="B896" s="1"/>
      <c r="C896" s="1"/>
      <c r="D896" s="1"/>
      <c r="E896" s="1"/>
    </row>
    <row r="897" spans="1:5" ht="14.25" customHeight="1">
      <c r="A897" s="1"/>
      <c r="B897" s="1"/>
      <c r="C897" s="1"/>
      <c r="D897" s="1"/>
      <c r="E897" s="1"/>
    </row>
    <row r="898" spans="1:5" ht="14.25" customHeight="1">
      <c r="A898" s="1"/>
      <c r="B898" s="1"/>
      <c r="C898" s="1"/>
      <c r="D898" s="1"/>
      <c r="E898" s="1"/>
    </row>
    <row r="899" spans="1:5" ht="14.25" customHeight="1">
      <c r="A899" s="1"/>
      <c r="B899" s="1"/>
      <c r="C899" s="1"/>
      <c r="D899" s="1"/>
      <c r="E899" s="1"/>
    </row>
    <row r="900" spans="1:5" ht="14.25" customHeight="1">
      <c r="A900" s="1"/>
      <c r="B900" s="1"/>
      <c r="C900" s="1"/>
      <c r="D900" s="1"/>
      <c r="E900" s="1"/>
    </row>
    <row r="901" spans="1:5" ht="14.25" customHeight="1">
      <c r="A901" s="1"/>
      <c r="B901" s="1"/>
      <c r="C901" s="1"/>
      <c r="D901" s="1"/>
      <c r="E901" s="1"/>
    </row>
    <row r="902" spans="1:5" ht="14.25" customHeight="1">
      <c r="A902" s="1"/>
      <c r="B902" s="1"/>
      <c r="C902" s="1"/>
      <c r="D902" s="1"/>
      <c r="E902" s="1"/>
    </row>
    <row r="903" spans="1:5" ht="14.25" customHeight="1">
      <c r="A903" s="1"/>
      <c r="B903" s="1"/>
      <c r="C903" s="1"/>
      <c r="D903" s="1"/>
      <c r="E903" s="1"/>
    </row>
    <row r="904" spans="1:5" ht="14.25" customHeight="1">
      <c r="A904" s="1"/>
      <c r="B904" s="1"/>
      <c r="C904" s="1"/>
      <c r="D904" s="1"/>
      <c r="E904" s="1"/>
    </row>
    <row r="905" spans="1:5" ht="14.25" customHeight="1">
      <c r="A905" s="1"/>
      <c r="B905" s="1"/>
      <c r="C905" s="1"/>
      <c r="D905" s="1"/>
      <c r="E905" s="1"/>
    </row>
    <row r="906" spans="1:5" ht="14.25" customHeight="1">
      <c r="A906" s="1"/>
      <c r="B906" s="1"/>
      <c r="C906" s="1"/>
      <c r="D906" s="1"/>
      <c r="E906" s="1"/>
    </row>
    <row r="907" spans="1:5" ht="14.25" customHeight="1">
      <c r="A907" s="1"/>
      <c r="B907" s="1"/>
      <c r="C907" s="1"/>
      <c r="D907" s="1"/>
      <c r="E907" s="1"/>
    </row>
    <row r="908" spans="1:5" ht="14.25" customHeight="1">
      <c r="A908" s="1"/>
      <c r="B908" s="1"/>
      <c r="C908" s="1"/>
      <c r="D908" s="1"/>
      <c r="E908" s="1"/>
    </row>
    <row r="909" spans="1:5" ht="14.25" customHeight="1">
      <c r="A909" s="1"/>
      <c r="B909" s="1"/>
      <c r="C909" s="1"/>
      <c r="D909" s="1"/>
      <c r="E909" s="1"/>
    </row>
    <row r="910" spans="1:5" ht="14.25" customHeight="1">
      <c r="A910" s="1"/>
      <c r="B910" s="1"/>
      <c r="C910" s="1"/>
      <c r="D910" s="1"/>
      <c r="E910" s="1"/>
    </row>
    <row r="911" spans="1:5" ht="14.25" customHeight="1">
      <c r="A911" s="1"/>
      <c r="B911" s="1"/>
      <c r="C911" s="1"/>
      <c r="D911" s="1"/>
      <c r="E911" s="1"/>
    </row>
    <row r="912" spans="1:5" ht="14.25" customHeight="1">
      <c r="A912" s="1"/>
      <c r="B912" s="1"/>
      <c r="C912" s="1"/>
      <c r="D912" s="1"/>
      <c r="E912" s="1"/>
    </row>
    <row r="913" spans="1:5" ht="14.25" customHeight="1">
      <c r="A913" s="1"/>
      <c r="B913" s="1"/>
      <c r="C913" s="1"/>
      <c r="D913" s="1"/>
      <c r="E913" s="1"/>
    </row>
    <row r="914" spans="1:5" ht="14.25" customHeight="1">
      <c r="A914" s="1"/>
      <c r="B914" s="1"/>
      <c r="C914" s="1"/>
      <c r="D914" s="1"/>
      <c r="E914" s="1"/>
    </row>
    <row r="915" spans="1:5" ht="14.25" customHeight="1">
      <c r="A915" s="1"/>
      <c r="B915" s="1"/>
      <c r="C915" s="1"/>
      <c r="D915" s="1"/>
      <c r="E915" s="1"/>
    </row>
    <row r="916" spans="1:5" ht="14.25" customHeight="1">
      <c r="A916" s="1"/>
      <c r="B916" s="1"/>
      <c r="C916" s="1"/>
      <c r="D916" s="1"/>
      <c r="E916" s="1"/>
    </row>
    <row r="917" spans="1:5" ht="14.25" customHeight="1">
      <c r="A917" s="1"/>
      <c r="B917" s="1"/>
      <c r="C917" s="1"/>
      <c r="D917" s="1"/>
      <c r="E917" s="1"/>
    </row>
    <row r="918" spans="1:5" ht="14.25" customHeight="1">
      <c r="A918" s="1"/>
      <c r="B918" s="1"/>
      <c r="C918" s="1"/>
      <c r="D918" s="1"/>
      <c r="E918" s="1"/>
    </row>
    <row r="919" spans="1:5" ht="14.25" customHeight="1">
      <c r="A919" s="1"/>
      <c r="B919" s="1"/>
      <c r="C919" s="1"/>
      <c r="D919" s="1"/>
      <c r="E919" s="1"/>
    </row>
    <row r="920" spans="1:5" ht="14.25" customHeight="1">
      <c r="A920" s="1"/>
      <c r="B920" s="1"/>
      <c r="C920" s="1"/>
      <c r="D920" s="1"/>
      <c r="E920" s="1"/>
    </row>
    <row r="921" spans="1:5" ht="14.25" customHeight="1">
      <c r="A921" s="1"/>
      <c r="B921" s="1"/>
      <c r="C921" s="1"/>
      <c r="D921" s="1"/>
      <c r="E921" s="1"/>
    </row>
    <row r="922" spans="1:5" ht="14.25" customHeight="1">
      <c r="A922" s="1"/>
      <c r="B922" s="1"/>
      <c r="C922" s="1"/>
      <c r="D922" s="1"/>
      <c r="E922" s="1"/>
    </row>
    <row r="923" spans="1:5" ht="14.25" customHeight="1">
      <c r="A923" s="1"/>
      <c r="B923" s="1"/>
      <c r="C923" s="1"/>
      <c r="D923" s="1"/>
      <c r="E923" s="1"/>
    </row>
    <row r="924" spans="1:5" ht="14.25" customHeight="1">
      <c r="A924" s="1"/>
      <c r="B924" s="1"/>
      <c r="C924" s="1"/>
      <c r="D924" s="1"/>
      <c r="E924" s="1"/>
    </row>
    <row r="925" spans="1:5" ht="14.25" customHeight="1">
      <c r="A925" s="1"/>
      <c r="B925" s="1"/>
      <c r="C925" s="1"/>
      <c r="D925" s="1"/>
      <c r="E925" s="1"/>
    </row>
    <row r="926" spans="1:5" ht="14.25" customHeight="1">
      <c r="A926" s="1"/>
      <c r="B926" s="1"/>
      <c r="C926" s="1"/>
      <c r="D926" s="1"/>
      <c r="E926" s="1"/>
    </row>
    <row r="927" spans="1:5" ht="14.25" customHeight="1">
      <c r="A927" s="1"/>
      <c r="B927" s="1"/>
      <c r="C927" s="1"/>
      <c r="D927" s="1"/>
      <c r="E927" s="1"/>
    </row>
    <row r="928" spans="1:5" ht="14.25" customHeight="1">
      <c r="A928" s="1"/>
      <c r="B928" s="1"/>
      <c r="C928" s="1"/>
      <c r="D928" s="1"/>
      <c r="E928" s="1"/>
    </row>
    <row r="929" spans="1:5" ht="14.25" customHeight="1">
      <c r="A929" s="1"/>
      <c r="B929" s="1"/>
      <c r="C929" s="1"/>
      <c r="D929" s="1"/>
      <c r="E929" s="1"/>
    </row>
    <row r="930" spans="1:5" ht="14.25" customHeight="1">
      <c r="A930" s="1"/>
      <c r="B930" s="1"/>
      <c r="C930" s="1"/>
      <c r="D930" s="1"/>
      <c r="E930" s="1"/>
    </row>
    <row r="931" spans="1:5" ht="14.25" customHeight="1">
      <c r="A931" s="1"/>
      <c r="B931" s="1"/>
      <c r="C931" s="1"/>
      <c r="D931" s="1"/>
      <c r="E931" s="1"/>
    </row>
    <row r="932" spans="1:5" ht="14.25" customHeight="1">
      <c r="A932" s="1"/>
      <c r="B932" s="1"/>
      <c r="C932" s="1"/>
      <c r="D932" s="1"/>
      <c r="E932" s="1"/>
    </row>
    <row r="933" spans="1:5" ht="14.25" customHeight="1">
      <c r="A933" s="1"/>
      <c r="B933" s="1"/>
      <c r="C933" s="1"/>
      <c r="D933" s="1"/>
      <c r="E933" s="1"/>
    </row>
    <row r="934" spans="1:5" ht="14.25" customHeight="1">
      <c r="A934" s="1"/>
      <c r="B934" s="1"/>
      <c r="C934" s="1"/>
      <c r="D934" s="1"/>
      <c r="E934" s="1"/>
    </row>
    <row r="935" spans="1:5" ht="14.25" customHeight="1">
      <c r="A935" s="1"/>
      <c r="B935" s="1"/>
      <c r="C935" s="1"/>
      <c r="D935" s="1"/>
      <c r="E935" s="1"/>
    </row>
    <row r="936" spans="1:5" ht="14.25" customHeight="1">
      <c r="A936" s="1"/>
      <c r="B936" s="1"/>
      <c r="C936" s="1"/>
      <c r="D936" s="1"/>
      <c r="E936" s="1"/>
    </row>
    <row r="937" spans="1:5" ht="14.25" customHeight="1">
      <c r="A937" s="1"/>
      <c r="B937" s="1"/>
      <c r="C937" s="1"/>
      <c r="D937" s="1"/>
      <c r="E937" s="1"/>
    </row>
    <row r="938" spans="1:5" ht="14.25" customHeight="1">
      <c r="A938" s="1"/>
      <c r="B938" s="1"/>
      <c r="C938" s="1"/>
      <c r="D938" s="1"/>
      <c r="E938" s="1"/>
    </row>
    <row r="939" spans="1:5" ht="14.25" customHeight="1">
      <c r="A939" s="1"/>
      <c r="B939" s="1"/>
      <c r="C939" s="1"/>
      <c r="D939" s="1"/>
      <c r="E939" s="1"/>
    </row>
    <row r="940" spans="1:5" ht="14.25" customHeight="1">
      <c r="A940" s="1"/>
      <c r="B940" s="1"/>
      <c r="C940" s="1"/>
      <c r="D940" s="1"/>
      <c r="E940" s="1"/>
    </row>
    <row r="941" spans="1:5" ht="14.25" customHeight="1">
      <c r="A941" s="1"/>
      <c r="B941" s="1"/>
      <c r="C941" s="1"/>
      <c r="D941" s="1"/>
      <c r="E941" s="1"/>
    </row>
    <row r="942" spans="1:5" ht="14.25" customHeight="1">
      <c r="A942" s="1"/>
      <c r="B942" s="1"/>
      <c r="C942" s="1"/>
      <c r="D942" s="1"/>
      <c r="E942" s="1"/>
    </row>
    <row r="943" spans="1:5" ht="14.25" customHeight="1">
      <c r="A943" s="1"/>
      <c r="B943" s="1"/>
      <c r="C943" s="1"/>
      <c r="D943" s="1"/>
      <c r="E943" s="1"/>
    </row>
    <row r="944" spans="1:5" ht="14.25" customHeight="1">
      <c r="A944" s="1"/>
      <c r="B944" s="1"/>
      <c r="C944" s="1"/>
      <c r="D944" s="1"/>
      <c r="E944" s="1"/>
    </row>
    <row r="945" spans="1:5" ht="14.25" customHeight="1">
      <c r="A945" s="1"/>
      <c r="B945" s="1"/>
      <c r="C945" s="1"/>
      <c r="D945" s="1"/>
      <c r="E945" s="1"/>
    </row>
    <row r="946" spans="1:5" ht="14.25" customHeight="1">
      <c r="A946" s="1"/>
      <c r="B946" s="1"/>
      <c r="C946" s="1"/>
      <c r="D946" s="1"/>
      <c r="E946" s="1"/>
    </row>
    <row r="947" spans="1:5" ht="14.25" customHeight="1">
      <c r="A947" s="1"/>
      <c r="B947" s="1"/>
      <c r="C947" s="1"/>
      <c r="D947" s="1"/>
      <c r="E947" s="1"/>
    </row>
    <row r="948" spans="1:5" ht="14.25" customHeight="1">
      <c r="A948" s="1"/>
      <c r="B948" s="1"/>
      <c r="C948" s="1"/>
      <c r="D948" s="1"/>
      <c r="E948" s="1"/>
    </row>
    <row r="949" spans="1:5" ht="14.25" customHeight="1">
      <c r="A949" s="1"/>
      <c r="B949" s="1"/>
      <c r="C949" s="1"/>
      <c r="D949" s="1"/>
      <c r="E949" s="1"/>
    </row>
    <row r="950" spans="1:5" ht="14.25" customHeight="1">
      <c r="A950" s="1"/>
      <c r="B950" s="1"/>
      <c r="C950" s="1"/>
      <c r="D950" s="1"/>
      <c r="E950" s="1"/>
    </row>
    <row r="951" spans="1:5" ht="14.25" customHeight="1">
      <c r="A951" s="1"/>
      <c r="B951" s="1"/>
      <c r="C951" s="1"/>
      <c r="D951" s="1"/>
      <c r="E951" s="1"/>
    </row>
    <row r="952" spans="1:5" ht="14.25" customHeight="1">
      <c r="A952" s="1"/>
      <c r="B952" s="1"/>
      <c r="C952" s="1"/>
      <c r="D952" s="1"/>
      <c r="E952" s="1"/>
    </row>
    <row r="953" spans="1:5" ht="14.25" customHeight="1">
      <c r="A953" s="1"/>
      <c r="B953" s="1"/>
      <c r="C953" s="1"/>
      <c r="D953" s="1"/>
      <c r="E953" s="1"/>
    </row>
    <row r="954" spans="1:5" ht="14.25" customHeight="1">
      <c r="A954" s="1"/>
      <c r="B954" s="1"/>
      <c r="C954" s="1"/>
      <c r="D954" s="1"/>
      <c r="E954" s="1"/>
    </row>
    <row r="955" spans="1:5" ht="14.25" customHeight="1">
      <c r="A955" s="1"/>
      <c r="B955" s="1"/>
      <c r="C955" s="1"/>
      <c r="D955" s="1"/>
      <c r="E955" s="1"/>
    </row>
    <row r="956" spans="1:5" ht="14.25" customHeight="1">
      <c r="A956" s="1"/>
      <c r="B956" s="1"/>
      <c r="C956" s="1"/>
      <c r="D956" s="1"/>
      <c r="E956" s="1"/>
    </row>
    <row r="957" spans="1:5" ht="14.25" customHeight="1">
      <c r="A957" s="1"/>
      <c r="B957" s="1"/>
      <c r="C957" s="1"/>
      <c r="D957" s="1"/>
      <c r="E957" s="1"/>
    </row>
    <row r="958" spans="1:5" ht="14.25" customHeight="1">
      <c r="A958" s="1"/>
      <c r="B958" s="1"/>
      <c r="C958" s="1"/>
      <c r="D958" s="1"/>
      <c r="E958" s="1"/>
    </row>
    <row r="959" spans="1:5" ht="14.25" customHeight="1">
      <c r="A959" s="1"/>
      <c r="B959" s="1"/>
      <c r="C959" s="1"/>
      <c r="D959" s="1"/>
      <c r="E959" s="1"/>
    </row>
    <row r="960" spans="1:5" ht="14.25" customHeight="1">
      <c r="A960" s="1"/>
      <c r="B960" s="1"/>
      <c r="C960" s="1"/>
      <c r="D960" s="1"/>
      <c r="E960" s="1"/>
    </row>
    <row r="961" spans="1:5" ht="14.25" customHeight="1">
      <c r="A961" s="1"/>
      <c r="B961" s="1"/>
      <c r="C961" s="1"/>
      <c r="D961" s="1"/>
      <c r="E961" s="1"/>
    </row>
    <row r="962" spans="1:5" ht="14.25" customHeight="1">
      <c r="A962" s="1"/>
      <c r="B962" s="1"/>
      <c r="C962" s="1"/>
      <c r="D962" s="1"/>
      <c r="E962" s="1"/>
    </row>
    <row r="963" spans="1:5" ht="14.25" customHeight="1">
      <c r="A963" s="1"/>
      <c r="B963" s="1"/>
      <c r="C963" s="1"/>
      <c r="D963" s="1"/>
      <c r="E963" s="1"/>
    </row>
    <row r="964" spans="1:5" ht="14.25" customHeight="1">
      <c r="A964" s="1"/>
      <c r="B964" s="1"/>
      <c r="C964" s="1"/>
      <c r="D964" s="1"/>
      <c r="E964" s="1"/>
    </row>
    <row r="965" spans="1:5" ht="14.25" customHeight="1">
      <c r="A965" s="1"/>
      <c r="B965" s="1"/>
      <c r="C965" s="1"/>
      <c r="D965" s="1"/>
      <c r="E965" s="1"/>
    </row>
    <row r="966" spans="1:5" ht="14.25" customHeight="1">
      <c r="A966" s="1"/>
      <c r="B966" s="1"/>
      <c r="C966" s="1"/>
      <c r="D966" s="1"/>
      <c r="E966" s="1"/>
    </row>
    <row r="967" spans="1:5" ht="14.25" customHeight="1">
      <c r="A967" s="1"/>
      <c r="B967" s="1"/>
      <c r="C967" s="1"/>
      <c r="D967" s="1"/>
      <c r="E967" s="1"/>
    </row>
    <row r="968" spans="1:5" ht="14.25" customHeight="1">
      <c r="A968" s="1"/>
      <c r="B968" s="1"/>
      <c r="C968" s="1"/>
      <c r="D968" s="1"/>
      <c r="E968" s="1"/>
    </row>
    <row r="969" spans="1:5" ht="14.25" customHeight="1">
      <c r="A969" s="1"/>
      <c r="B969" s="1"/>
      <c r="C969" s="1"/>
      <c r="D969" s="1"/>
      <c r="E969" s="1"/>
    </row>
    <row r="970" spans="1:5" ht="14.25" customHeight="1">
      <c r="A970" s="1"/>
      <c r="B970" s="1"/>
      <c r="C970" s="1"/>
      <c r="D970" s="1"/>
      <c r="E970" s="1"/>
    </row>
    <row r="971" spans="1:5" ht="14.25" customHeight="1">
      <c r="A971" s="1"/>
      <c r="B971" s="1"/>
      <c r="C971" s="1"/>
      <c r="D971" s="1"/>
      <c r="E971" s="1"/>
    </row>
    <row r="972" spans="1:5" ht="14.25" customHeight="1">
      <c r="A972" s="1"/>
      <c r="B972" s="1"/>
      <c r="C972" s="1"/>
      <c r="D972" s="1"/>
      <c r="E972" s="1"/>
    </row>
    <row r="973" spans="1:5" ht="14.25" customHeight="1">
      <c r="A973" s="1"/>
      <c r="B973" s="1"/>
      <c r="C973" s="1"/>
      <c r="D973" s="1"/>
      <c r="E973" s="1"/>
    </row>
    <row r="974" spans="1:5" ht="14.25" customHeight="1">
      <c r="A974" s="1"/>
      <c r="B974" s="1"/>
      <c r="C974" s="1"/>
      <c r="D974" s="1"/>
      <c r="E974" s="1"/>
    </row>
    <row r="975" spans="1:5" ht="14.25" customHeight="1">
      <c r="A975" s="1"/>
      <c r="B975" s="1"/>
      <c r="C975" s="1"/>
      <c r="D975" s="1"/>
      <c r="E975" s="1"/>
    </row>
    <row r="976" spans="1:5" ht="14.25" customHeight="1">
      <c r="A976" s="1"/>
      <c r="B976" s="1"/>
      <c r="C976" s="1"/>
      <c r="D976" s="1"/>
      <c r="E976" s="1"/>
    </row>
    <row r="977" spans="1:5" ht="14.25" customHeight="1">
      <c r="A977" s="1"/>
      <c r="B977" s="1"/>
      <c r="C977" s="1"/>
      <c r="D977" s="1"/>
      <c r="E977" s="1"/>
    </row>
    <row r="978" spans="1:5" ht="14.25" customHeight="1">
      <c r="A978" s="1"/>
      <c r="B978" s="1"/>
      <c r="C978" s="1"/>
      <c r="D978" s="1"/>
      <c r="E978" s="1"/>
    </row>
    <row r="979" spans="1:5" ht="14.25" customHeight="1">
      <c r="A979" s="1"/>
      <c r="B979" s="1"/>
      <c r="C979" s="1"/>
      <c r="D979" s="1"/>
      <c r="E979" s="1"/>
    </row>
    <row r="980" spans="1:5" ht="14.25" customHeight="1">
      <c r="A980" s="1"/>
      <c r="B980" s="1"/>
      <c r="C980" s="1"/>
      <c r="D980" s="1"/>
      <c r="E980" s="1"/>
    </row>
    <row r="981" spans="1:5" ht="14.25" customHeight="1">
      <c r="A981" s="1"/>
      <c r="B981" s="1"/>
      <c r="C981" s="1"/>
      <c r="D981" s="1"/>
      <c r="E981" s="1"/>
    </row>
    <row r="982" spans="1:5" ht="14.25" customHeight="1">
      <c r="A982" s="1"/>
      <c r="B982" s="1"/>
      <c r="C982" s="1"/>
      <c r="D982" s="1"/>
      <c r="E982" s="1"/>
    </row>
    <row r="983" spans="1:5" ht="14.25" customHeight="1">
      <c r="A983" s="1"/>
      <c r="B983" s="1"/>
      <c r="C983" s="1"/>
      <c r="D983" s="1"/>
      <c r="E983" s="1"/>
    </row>
    <row r="984" spans="1:5" ht="14.25" customHeight="1">
      <c r="A984" s="1"/>
      <c r="B984" s="1"/>
      <c r="C984" s="1"/>
      <c r="D984" s="1"/>
      <c r="E984" s="1"/>
    </row>
    <row r="985" spans="1:5" ht="14.25" customHeight="1">
      <c r="A985" s="1"/>
      <c r="B985" s="1"/>
      <c r="C985" s="1"/>
      <c r="D985" s="1"/>
      <c r="E985" s="1"/>
    </row>
    <row r="986" spans="1:5" ht="14.25" customHeight="1">
      <c r="A986" s="1"/>
      <c r="B986" s="1"/>
      <c r="C986" s="1"/>
      <c r="D986" s="1"/>
      <c r="E986" s="1"/>
    </row>
    <row r="987" spans="1:5" ht="14.25" customHeight="1">
      <c r="A987" s="1"/>
      <c r="B987" s="1"/>
      <c r="C987" s="1"/>
      <c r="D987" s="1"/>
      <c r="E987" s="1"/>
    </row>
    <row r="988" spans="1:5" ht="14.25" customHeight="1">
      <c r="A988" s="1"/>
      <c r="B988" s="1"/>
      <c r="C988" s="1"/>
      <c r="D988" s="1"/>
      <c r="E988" s="1"/>
    </row>
    <row r="989" spans="1:5" ht="14.25" customHeight="1">
      <c r="A989" s="1"/>
      <c r="B989" s="1"/>
      <c r="C989" s="1"/>
      <c r="D989" s="1"/>
      <c r="E989" s="1"/>
    </row>
    <row r="990" spans="1:5" ht="14.25" customHeight="1">
      <c r="A990" s="1"/>
      <c r="B990" s="1"/>
      <c r="C990" s="1"/>
      <c r="D990" s="1"/>
      <c r="E990" s="1"/>
    </row>
    <row r="991" spans="1:5" ht="14.25" customHeight="1">
      <c r="A991" s="1"/>
      <c r="B991" s="1"/>
      <c r="C991" s="1"/>
      <c r="D991" s="1"/>
      <c r="E991" s="1"/>
    </row>
    <row r="992" spans="1:5" ht="14.25" customHeight="1">
      <c r="A992" s="1"/>
      <c r="B992" s="1"/>
      <c r="C992" s="1"/>
      <c r="D992" s="1"/>
      <c r="E992" s="1"/>
    </row>
    <row r="993" spans="1:5" ht="14.25" customHeight="1">
      <c r="A993" s="1"/>
      <c r="B993" s="1"/>
      <c r="C993" s="1"/>
      <c r="D993" s="1"/>
      <c r="E993" s="1"/>
    </row>
    <row r="994" spans="1:5" ht="14.25" customHeight="1">
      <c r="A994" s="1"/>
      <c r="B994" s="1"/>
      <c r="C994" s="1"/>
      <c r="D994" s="1"/>
      <c r="E994" s="1"/>
    </row>
    <row r="995" spans="1:5" ht="14.25" customHeight="1">
      <c r="A995" s="1"/>
      <c r="B995" s="1"/>
      <c r="C995" s="1"/>
      <c r="D995" s="1"/>
      <c r="E995" s="1"/>
    </row>
    <row r="996" spans="1:5" ht="14.25" customHeight="1">
      <c r="A996" s="1"/>
      <c r="B996" s="1"/>
      <c r="C996" s="1"/>
      <c r="D996" s="1"/>
      <c r="E996" s="1"/>
    </row>
    <row r="997" spans="1:5" ht="14.25" customHeight="1">
      <c r="A997" s="1"/>
      <c r="B997" s="1"/>
      <c r="C997" s="1"/>
      <c r="D997" s="1"/>
      <c r="E997" s="1"/>
    </row>
    <row r="998" spans="1:5" ht="14.25" customHeight="1">
      <c r="A998" s="1"/>
      <c r="B998" s="1"/>
      <c r="C998" s="1"/>
      <c r="D998" s="1"/>
      <c r="E998" s="1"/>
    </row>
    <row r="999" spans="1:5" ht="14.25" customHeight="1">
      <c r="A999" s="1"/>
      <c r="B999" s="1"/>
      <c r="C999" s="1"/>
      <c r="D999" s="1"/>
      <c r="E999" s="1"/>
    </row>
    <row r="1000" spans="1:5" ht="14.25" customHeight="1">
      <c r="A1000" s="1"/>
      <c r="B1000" s="1"/>
      <c r="C1000" s="1"/>
      <c r="D1000" s="1"/>
      <c r="E1000" s="1"/>
    </row>
    <row r="1001" spans="1:5" ht="14.25" customHeight="1">
      <c r="A1001" s="1"/>
      <c r="B1001" s="1"/>
      <c r="C1001" s="1"/>
      <c r="D1001" s="1"/>
      <c r="E1001" s="1"/>
    </row>
    <row r="1002" spans="1:5" ht="14.25" customHeight="1">
      <c r="A1002" s="1"/>
      <c r="B1002" s="1"/>
      <c r="C1002" s="1"/>
      <c r="D1002" s="1"/>
      <c r="E1002" s="1"/>
    </row>
    <row r="1003" spans="1:5" ht="14.25" customHeight="1">
      <c r="A1003" s="1"/>
      <c r="B1003" s="1"/>
      <c r="C1003" s="1"/>
      <c r="D1003" s="1"/>
      <c r="E1003" s="1"/>
    </row>
    <row r="1004" spans="1:5" ht="14.25" customHeight="1">
      <c r="A1004" s="1"/>
      <c r="B1004" s="1"/>
      <c r="C1004" s="1"/>
      <c r="D1004" s="1"/>
      <c r="E1004" s="1"/>
    </row>
    <row r="1005" spans="1:5" ht="14.25" customHeight="1">
      <c r="A1005" s="1"/>
      <c r="B1005" s="1"/>
      <c r="C1005" s="1"/>
      <c r="D1005" s="1"/>
      <c r="E1005" s="1"/>
    </row>
    <row r="1006" spans="1:5" ht="14.25" customHeight="1">
      <c r="A1006" s="1"/>
      <c r="B1006" s="1"/>
      <c r="C1006" s="1"/>
      <c r="D1006" s="1"/>
      <c r="E1006" s="1"/>
    </row>
    <row r="1007" spans="1:5" ht="14.25" customHeight="1">
      <c r="A1007" s="1"/>
      <c r="B1007" s="1"/>
      <c r="C1007" s="1"/>
      <c r="D1007" s="1"/>
      <c r="E1007" s="1"/>
    </row>
    <row r="1008" spans="1:5" ht="14.25" customHeight="1">
      <c r="A1008" s="1"/>
      <c r="B1008" s="1"/>
      <c r="C1008" s="1"/>
      <c r="D1008" s="1"/>
      <c r="E1008" s="1"/>
    </row>
    <row r="1009" spans="1:5" ht="14.25" customHeight="1">
      <c r="A1009" s="1"/>
      <c r="B1009" s="1"/>
      <c r="C1009" s="1"/>
      <c r="D1009" s="1"/>
      <c r="E1009" s="1"/>
    </row>
    <row r="1010" spans="1:5" ht="14.25" customHeight="1">
      <c r="A1010" s="1"/>
      <c r="B1010" s="1"/>
      <c r="C1010" s="1"/>
      <c r="D1010" s="1"/>
      <c r="E1010" s="1"/>
    </row>
    <row r="1011" spans="1:5" ht="14.25" customHeight="1">
      <c r="A1011" s="1"/>
      <c r="B1011" s="1"/>
      <c r="C1011" s="1"/>
      <c r="D1011" s="1"/>
      <c r="E1011" s="1"/>
    </row>
    <row r="1012" spans="1:5" ht="14.25" customHeight="1">
      <c r="A1012" s="1"/>
      <c r="B1012" s="1"/>
      <c r="C1012" s="1"/>
      <c r="D1012" s="1"/>
      <c r="E1012" s="1"/>
    </row>
    <row r="1013" spans="1:5" ht="14.25" customHeight="1">
      <c r="A1013" s="1"/>
      <c r="B1013" s="1"/>
      <c r="C1013" s="1"/>
      <c r="D1013" s="1"/>
      <c r="E1013" s="1"/>
    </row>
    <row r="1014" spans="1:5" ht="14.25" customHeight="1">
      <c r="A1014" s="1"/>
      <c r="B1014" s="1"/>
      <c r="C1014" s="1"/>
      <c r="D1014" s="1"/>
      <c r="E1014" s="1"/>
    </row>
    <row r="1015" spans="1:5" ht="14.25" customHeight="1">
      <c r="A1015" s="1"/>
      <c r="B1015" s="1"/>
      <c r="C1015" s="1"/>
      <c r="D1015" s="1"/>
      <c r="E1015" s="1"/>
    </row>
    <row r="1016" spans="1:5" ht="14.25" customHeight="1">
      <c r="A1016" s="1"/>
      <c r="B1016" s="1"/>
      <c r="C1016" s="1"/>
      <c r="D1016" s="1"/>
      <c r="E1016" s="1"/>
    </row>
    <row r="1017" spans="1:5" ht="14.25" customHeight="1">
      <c r="A1017" s="1"/>
      <c r="B1017" s="1"/>
      <c r="C1017" s="1"/>
      <c r="D1017" s="1"/>
      <c r="E1017" s="1"/>
    </row>
    <row r="1018" spans="1:5" ht="14.25" customHeight="1">
      <c r="A1018" s="1"/>
      <c r="B1018" s="1"/>
      <c r="C1018" s="1"/>
      <c r="D1018" s="1"/>
      <c r="E1018" s="1"/>
    </row>
    <row r="1019" spans="1:5" ht="14.25" customHeight="1">
      <c r="A1019" s="1"/>
      <c r="B1019" s="1"/>
      <c r="C1019" s="1"/>
      <c r="D1019" s="1"/>
      <c r="E1019" s="1"/>
    </row>
    <row r="1020" spans="1:5" ht="14.25" customHeight="1">
      <c r="A1020" s="1"/>
      <c r="B1020" s="1"/>
      <c r="C1020" s="1"/>
      <c r="D1020" s="1"/>
      <c r="E1020" s="1"/>
    </row>
    <row r="1021" spans="1:5" ht="14.25" customHeight="1">
      <c r="A1021" s="1"/>
      <c r="B1021" s="1"/>
      <c r="C1021" s="1"/>
      <c r="D1021" s="1"/>
      <c r="E1021" s="1"/>
    </row>
    <row r="1022" spans="1:5" ht="14.25" customHeight="1">
      <c r="A1022" s="1"/>
      <c r="B1022" s="1"/>
      <c r="C1022" s="1"/>
      <c r="D1022" s="1"/>
      <c r="E1022" s="1"/>
    </row>
    <row r="1023" spans="1:5" ht="14.25" customHeight="1">
      <c r="A1023" s="1"/>
      <c r="B1023" s="1"/>
      <c r="C1023" s="1"/>
      <c r="D1023" s="1"/>
      <c r="E1023" s="1"/>
    </row>
    <row r="1024" spans="1:5" ht="14.25" customHeight="1">
      <c r="A1024" s="1"/>
      <c r="B1024" s="1"/>
      <c r="C1024" s="1"/>
      <c r="D1024" s="1"/>
      <c r="E1024" s="1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opLeftCell="A55" workbookViewId="0"/>
  </sheetViews>
  <sheetFormatPr defaultColWidth="12.6328125" defaultRowHeight="15" customHeight="1"/>
  <cols>
    <col min="1" max="1" width="48.90625" customWidth="1"/>
    <col min="17" max="17" width="20.36328125" customWidth="1"/>
  </cols>
  <sheetData>
    <row r="1" spans="1:30">
      <c r="A1" s="1"/>
      <c r="D1" s="24" t="s">
        <v>36</v>
      </c>
      <c r="K1" s="2"/>
    </row>
    <row r="2" spans="1:30">
      <c r="A2" s="1"/>
      <c r="K2" s="2"/>
    </row>
    <row r="3" spans="1:30">
      <c r="A3" s="387" t="s">
        <v>37</v>
      </c>
      <c r="B3" s="388"/>
      <c r="C3" s="389"/>
      <c r="D3" s="25"/>
      <c r="E3" s="25"/>
      <c r="F3" s="25"/>
      <c r="G3" s="25"/>
      <c r="H3" s="25"/>
      <c r="I3" s="25"/>
      <c r="J3" s="25"/>
      <c r="K3" s="26"/>
      <c r="L3" s="25"/>
    </row>
    <row r="4" spans="1:30">
      <c r="A4" s="387" t="s">
        <v>38</v>
      </c>
      <c r="B4" s="388"/>
      <c r="C4" s="389"/>
      <c r="D4" s="27">
        <v>2023</v>
      </c>
      <c r="E4" s="27"/>
      <c r="F4" s="27"/>
      <c r="G4" s="27"/>
      <c r="H4" s="27"/>
      <c r="I4" s="27"/>
      <c r="J4" s="27"/>
      <c r="K4" s="28"/>
      <c r="L4" s="27"/>
    </row>
    <row r="5" spans="1:30">
      <c r="A5" s="29"/>
      <c r="B5" s="24">
        <v>2014</v>
      </c>
      <c r="C5" s="24">
        <v>2015</v>
      </c>
      <c r="D5" s="30">
        <v>2016</v>
      </c>
      <c r="E5" s="30">
        <v>2017</v>
      </c>
      <c r="F5" s="31">
        <v>2018</v>
      </c>
      <c r="G5" s="31">
        <v>2019</v>
      </c>
      <c r="H5" s="31">
        <v>2020</v>
      </c>
      <c r="I5" s="24">
        <v>2021</v>
      </c>
      <c r="J5" s="31">
        <v>2022</v>
      </c>
      <c r="K5" s="32">
        <v>2023</v>
      </c>
      <c r="L5" s="31">
        <v>2024</v>
      </c>
      <c r="M5" s="31">
        <v>2025</v>
      </c>
      <c r="N5" s="31">
        <v>2026</v>
      </c>
      <c r="O5" s="31">
        <v>2027</v>
      </c>
      <c r="P5" s="31">
        <v>2028</v>
      </c>
      <c r="Q5" s="33"/>
      <c r="R5" s="33"/>
      <c r="S5" s="30"/>
      <c r="T5" s="30"/>
      <c r="U5" s="30"/>
      <c r="V5" s="30"/>
      <c r="W5" s="30"/>
      <c r="X5" s="33"/>
      <c r="Y5" s="33"/>
      <c r="Z5" s="30"/>
      <c r="AA5" s="30"/>
      <c r="AB5" s="30"/>
      <c r="AC5" s="30"/>
      <c r="AD5" s="30"/>
    </row>
    <row r="6" spans="1:30">
      <c r="A6" s="34" t="s">
        <v>39</v>
      </c>
      <c r="B6" s="35">
        <f>6959000000/1000000</f>
        <v>6959</v>
      </c>
      <c r="C6" s="35">
        <v>5455</v>
      </c>
      <c r="D6" s="14">
        <v>7843</v>
      </c>
      <c r="E6" s="14">
        <v>7059</v>
      </c>
      <c r="F6" s="14">
        <v>9287</v>
      </c>
      <c r="G6" s="14">
        <v>9067</v>
      </c>
      <c r="H6" s="14">
        <v>14275</v>
      </c>
      <c r="I6" s="36">
        <v>10959</v>
      </c>
      <c r="J6" s="37">
        <v>9627</v>
      </c>
      <c r="K6" s="38">
        <v>7925</v>
      </c>
      <c r="L6" s="39">
        <f>'Derived Cash flow'!B43</f>
        <v>16193.821251683972</v>
      </c>
      <c r="M6" s="39">
        <f>'Derived Cash flow'!C43</f>
        <v>24443.035363130977</v>
      </c>
      <c r="N6" s="39">
        <f>'Derived Cash flow'!D43</f>
        <v>32941.433804304572</v>
      </c>
      <c r="O6" s="39">
        <f>'Derived Cash flow'!E43</f>
        <v>43155.202177923435</v>
      </c>
      <c r="P6" s="39">
        <f>'Derived Cash flow'!F43</f>
        <v>55459.271726724721</v>
      </c>
      <c r="Q6" s="40" t="s">
        <v>40</v>
      </c>
      <c r="R6" s="41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spans="1:30">
      <c r="A7" s="43" t="s">
        <v>41</v>
      </c>
      <c r="B7" s="35">
        <f>7960000000/1000000</f>
        <v>7960</v>
      </c>
      <c r="C7" s="35">
        <v>8075</v>
      </c>
      <c r="D7" s="14">
        <v>1520</v>
      </c>
      <c r="E7" s="14">
        <v>3758</v>
      </c>
      <c r="F7" s="14">
        <v>1623</v>
      </c>
      <c r="G7" s="14">
        <v>1349</v>
      </c>
      <c r="H7" s="14">
        <v>945</v>
      </c>
      <c r="I7" s="36">
        <v>564</v>
      </c>
      <c r="J7" s="44">
        <v>483</v>
      </c>
      <c r="K7" s="45">
        <v>170</v>
      </c>
      <c r="L7" s="14">
        <f>L128*'Income Statement'!B7</f>
        <v>185.4076</v>
      </c>
      <c r="M7" s="14">
        <f t="shared" ref="M7:P7" si="0">L7</f>
        <v>185.4076</v>
      </c>
      <c r="N7" s="14">
        <f t="shared" si="0"/>
        <v>185.4076</v>
      </c>
      <c r="O7" s="14">
        <f t="shared" si="0"/>
        <v>185.4076</v>
      </c>
      <c r="P7" s="14">
        <f t="shared" si="0"/>
        <v>185.4076</v>
      </c>
      <c r="Q7" s="40"/>
      <c r="R7" s="41"/>
      <c r="S7" s="42"/>
      <c r="T7" s="42"/>
      <c r="U7" s="42"/>
      <c r="V7" s="42"/>
      <c r="W7" s="42"/>
      <c r="X7" s="40"/>
      <c r="Y7" s="41"/>
      <c r="Z7" s="42"/>
      <c r="AA7" s="42"/>
      <c r="AB7" s="42"/>
      <c r="AC7" s="42"/>
      <c r="AD7" s="42"/>
    </row>
    <row r="8" spans="1:30">
      <c r="A8" s="46" t="s">
        <v>42</v>
      </c>
      <c r="B8" s="35">
        <f>4405000000/1000000</f>
        <v>4405</v>
      </c>
      <c r="C8" s="35">
        <v>4420</v>
      </c>
      <c r="D8" s="14">
        <v>8177</v>
      </c>
      <c r="E8" s="14">
        <v>8866</v>
      </c>
      <c r="F8" s="14">
        <v>7508</v>
      </c>
      <c r="G8" s="14">
        <v>7493</v>
      </c>
      <c r="H8" s="14">
        <v>6827</v>
      </c>
      <c r="I8" s="36">
        <v>6830</v>
      </c>
      <c r="J8" s="44">
        <v>7440</v>
      </c>
      <c r="K8" s="45">
        <v>7530</v>
      </c>
      <c r="L8" s="14">
        <f>L129*'Income Statement'!L7</f>
        <v>7749.3800617125007</v>
      </c>
      <c r="M8" s="14">
        <f>M129*'Income Statement'!M7</f>
        <v>8114.0830103881572</v>
      </c>
      <c r="N8" s="14">
        <f>N129*'Income Statement'!N7</f>
        <v>8606.3814063361897</v>
      </c>
      <c r="O8" s="14">
        <f>O129*'Income Statement'!O7</f>
        <v>9175.5038877518073</v>
      </c>
      <c r="P8" s="14">
        <f>P129*'Income Statement'!P7</f>
        <v>9824.9478182891362</v>
      </c>
      <c r="Q8" s="40" t="s">
        <v>43</v>
      </c>
      <c r="R8" s="4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spans="1:30">
      <c r="A9" s="46" t="s">
        <v>44</v>
      </c>
      <c r="B9" s="35">
        <f>722000000/1000000</f>
        <v>722</v>
      </c>
      <c r="C9" s="35">
        <v>0</v>
      </c>
      <c r="D9" s="14">
        <v>4366</v>
      </c>
      <c r="E9" s="14">
        <v>4613</v>
      </c>
      <c r="F9" s="14">
        <v>4326</v>
      </c>
      <c r="G9" s="14">
        <v>4421</v>
      </c>
      <c r="H9" s="14">
        <v>4489</v>
      </c>
      <c r="I9" s="36">
        <v>5138</v>
      </c>
      <c r="J9" s="44">
        <v>5538</v>
      </c>
      <c r="K9" s="45">
        <v>6178</v>
      </c>
      <c r="L9" s="14">
        <f>L130*'Income Statement'!L7</f>
        <v>6439.2895337542532</v>
      </c>
      <c r="M9" s="14">
        <f>M130*'Income Statement'!M7</f>
        <v>6821.2232540897503</v>
      </c>
      <c r="N9" s="14">
        <f>N130*'Income Statement'!N7</f>
        <v>7235.0811431565226</v>
      </c>
      <c r="O9" s="14">
        <f>O130*'Income Statement'!O7</f>
        <v>7713.5223298793289</v>
      </c>
      <c r="P9" s="14">
        <f>P130*'Income Statement'!P7</f>
        <v>8259.4869244659403</v>
      </c>
      <c r="Q9" s="40"/>
      <c r="R9" s="40"/>
      <c r="S9" s="42"/>
      <c r="T9" s="42"/>
      <c r="U9" s="42"/>
      <c r="V9" s="42"/>
      <c r="W9" s="42"/>
      <c r="X9" s="40"/>
      <c r="Y9" s="40"/>
      <c r="Z9" s="42"/>
      <c r="AA9" s="42"/>
      <c r="AB9" s="42"/>
      <c r="AC9" s="42"/>
      <c r="AD9" s="42"/>
    </row>
    <row r="10" spans="1:30">
      <c r="A10" s="43" t="s">
        <v>45</v>
      </c>
      <c r="B10" s="35">
        <f>2145000000/1000000</f>
        <v>2145</v>
      </c>
      <c r="C10" s="35">
        <v>2103</v>
      </c>
      <c r="D10" s="14">
        <v>1152</v>
      </c>
      <c r="E10" s="14">
        <v>1706</v>
      </c>
      <c r="F10" s="14">
        <v>1618</v>
      </c>
      <c r="G10" s="14">
        <v>1973</v>
      </c>
      <c r="H10" s="14">
        <v>1639</v>
      </c>
      <c r="I10" s="36">
        <v>1881</v>
      </c>
      <c r="J10" s="44">
        <v>1894</v>
      </c>
      <c r="K10" s="45">
        <v>1699</v>
      </c>
      <c r="L10" s="14">
        <f>L131*'Income Statement'!L7</f>
        <v>1753.7594436048346</v>
      </c>
      <c r="M10" s="14">
        <f>M131*'Income Statement'!M7</f>
        <v>1836.1781201416015</v>
      </c>
      <c r="N10" s="14">
        <f>N131*'Income Statement'!N7</f>
        <v>1947.5828891171338</v>
      </c>
      <c r="O10" s="14">
        <f>O131*'Income Statement'!O7</f>
        <v>2076.3725806593779</v>
      </c>
      <c r="P10" s="14">
        <f>P131*'Income Statement'!P7</f>
        <v>2223.3386314114714</v>
      </c>
      <c r="Q10" s="40"/>
      <c r="R10" s="40"/>
      <c r="S10" s="42"/>
      <c r="T10" s="42"/>
      <c r="U10" s="42"/>
      <c r="V10" s="42"/>
      <c r="W10" s="42"/>
      <c r="X10" s="40"/>
      <c r="Y10" s="40"/>
      <c r="Z10" s="42"/>
      <c r="AA10" s="42"/>
      <c r="AB10" s="42"/>
      <c r="AC10" s="42"/>
      <c r="AD10" s="42"/>
    </row>
    <row r="11" spans="1:30">
      <c r="A11" s="47" t="s">
        <v>46</v>
      </c>
      <c r="B11" s="35">
        <f>22191000000/1000000</f>
        <v>22191</v>
      </c>
      <c r="C11" s="35">
        <v>20053</v>
      </c>
      <c r="D11" s="14">
        <v>23058</v>
      </c>
      <c r="E11" s="14">
        <v>26002</v>
      </c>
      <c r="F11" s="14">
        <v>24362</v>
      </c>
      <c r="G11" s="14">
        <v>24303</v>
      </c>
      <c r="H11" s="14">
        <v>28175</v>
      </c>
      <c r="I11" s="48">
        <v>25372</v>
      </c>
      <c r="J11" s="44">
        <v>24982</v>
      </c>
      <c r="K11" s="45">
        <v>23502</v>
      </c>
      <c r="L11" s="14">
        <f t="shared" ref="L11:P11" si="1">SUM(L6:L10)</f>
        <v>32321.657890755563</v>
      </c>
      <c r="M11" s="14">
        <f t="shared" si="1"/>
        <v>41399.927347750483</v>
      </c>
      <c r="N11" s="14">
        <f t="shared" si="1"/>
        <v>50915.886842914413</v>
      </c>
      <c r="O11" s="14">
        <f t="shared" si="1"/>
        <v>62306.00857621395</v>
      </c>
      <c r="P11" s="14">
        <f t="shared" si="1"/>
        <v>75952.45270089127</v>
      </c>
      <c r="Q11" s="40"/>
      <c r="R11" s="40"/>
      <c r="S11" s="49"/>
      <c r="T11" s="50"/>
      <c r="U11" s="51"/>
      <c r="V11" s="40"/>
      <c r="W11" s="42"/>
      <c r="X11" s="50"/>
      <c r="Y11" s="40"/>
      <c r="Z11" s="49"/>
      <c r="AA11" s="50"/>
      <c r="AB11" s="51"/>
      <c r="AC11" s="40"/>
      <c r="AD11" s="42"/>
    </row>
    <row r="12" spans="1:30">
      <c r="A12" s="46" t="s">
        <v>47</v>
      </c>
      <c r="B12" s="35">
        <f>465000000/1000000</f>
        <v>465</v>
      </c>
      <c r="C12" s="35">
        <v>517</v>
      </c>
      <c r="D12" s="14">
        <v>587</v>
      </c>
      <c r="E12" s="14">
        <v>667</v>
      </c>
      <c r="F12" s="14">
        <v>742</v>
      </c>
      <c r="G12" s="14">
        <v>588</v>
      </c>
      <c r="H12" s="14">
        <v>685</v>
      </c>
      <c r="I12" s="36">
        <v>1222</v>
      </c>
      <c r="J12" s="44">
        <v>945</v>
      </c>
      <c r="K12" s="45">
        <v>939</v>
      </c>
      <c r="L12" s="14">
        <f>L132*'Income Statement'!L7</f>
        <v>969.68124743593455</v>
      </c>
      <c r="M12" s="14">
        <f>M132*'Income Statement'!M7</f>
        <v>1015.2518331668467</v>
      </c>
      <c r="N12" s="14">
        <f>N132*'Income Statement'!N7</f>
        <v>1076.8492864232965</v>
      </c>
      <c r="O12" s="14">
        <f>O132*'Income Statement'!O7</f>
        <v>1148.059137470412</v>
      </c>
      <c r="P12" s="14">
        <f>P132*'Income Statement'!P7</f>
        <v>1229.3189841065587</v>
      </c>
      <c r="Q12" s="40"/>
      <c r="R12" s="40"/>
      <c r="S12" s="40"/>
      <c r="T12" s="42"/>
      <c r="U12" s="51"/>
      <c r="V12" s="40"/>
      <c r="W12" s="42"/>
      <c r="X12" s="50"/>
      <c r="Y12" s="50"/>
      <c r="Z12" s="50"/>
      <c r="AA12" s="42"/>
      <c r="AB12" s="51"/>
      <c r="AC12" s="40"/>
      <c r="AD12" s="42"/>
    </row>
    <row r="13" spans="1:30">
      <c r="A13" s="46" t="s">
        <v>48</v>
      </c>
      <c r="B13" s="35">
        <f>5383000000/1000000</f>
        <v>5383</v>
      </c>
      <c r="C13" s="35">
        <v>5789</v>
      </c>
      <c r="D13" s="14">
        <v>5793</v>
      </c>
      <c r="E13" s="14">
        <v>5926</v>
      </c>
      <c r="F13" s="14">
        <v>5296</v>
      </c>
      <c r="G13" s="14">
        <v>5325</v>
      </c>
      <c r="H13" s="14">
        <v>5570</v>
      </c>
      <c r="I13" s="36">
        <v>5562</v>
      </c>
      <c r="J13" s="44">
        <v>5471</v>
      </c>
      <c r="K13" s="45">
        <v>5660</v>
      </c>
      <c r="L13" s="52">
        <f>K13+(L133*'Income Statement'!L7)</f>
        <v>5855.269620713153</v>
      </c>
      <c r="M13" s="52">
        <f>L13+(M133*'Income Statement'!M7)</f>
        <v>6059.7160209246013</v>
      </c>
      <c r="N13" s="52">
        <f>M13+(N133*'Income Statement'!N7)</f>
        <v>6276.5666120658916</v>
      </c>
      <c r="O13" s="52">
        <f>N13+(O133*'Income Statement'!O7)</f>
        <v>6507.7570913320469</v>
      </c>
      <c r="P13" s="52">
        <f>O13+(P133*'Income Statement'!P7)</f>
        <v>6755.3112772015902</v>
      </c>
      <c r="Q13" s="40"/>
      <c r="R13" s="40"/>
      <c r="S13" s="40"/>
      <c r="T13" s="42"/>
      <c r="U13" s="51"/>
      <c r="V13" s="40"/>
      <c r="W13" s="42"/>
      <c r="X13" s="50"/>
      <c r="Y13" s="50"/>
      <c r="Z13" s="50"/>
      <c r="AA13" s="42"/>
      <c r="AB13" s="51"/>
      <c r="AC13" s="40"/>
      <c r="AD13" s="42"/>
    </row>
    <row r="14" spans="1:30">
      <c r="A14" s="46" t="s">
        <v>49</v>
      </c>
      <c r="B14" s="35">
        <v>12788</v>
      </c>
      <c r="C14" s="35">
        <v>15895</v>
      </c>
      <c r="D14" s="14">
        <v>17707</v>
      </c>
      <c r="E14" s="14">
        <v>18277</v>
      </c>
      <c r="F14" s="14">
        <v>15546</v>
      </c>
      <c r="G14" s="14">
        <v>15563</v>
      </c>
      <c r="H14" s="14">
        <v>16058</v>
      </c>
      <c r="I14" s="36">
        <v>17756</v>
      </c>
      <c r="J14" s="44">
        <v>17497</v>
      </c>
      <c r="K14" s="45">
        <v>18049</v>
      </c>
      <c r="L14" s="52">
        <f>L134*'Income Statement'!L7</f>
        <v>18560.305126703432</v>
      </c>
      <c r="M14" s="52">
        <f>M134*'Income Statement'!M7</f>
        <v>19432.554619209175</v>
      </c>
      <c r="N14" s="52">
        <f>N134*'Income Statement'!N7</f>
        <v>20611.568372945909</v>
      </c>
      <c r="O14" s="52">
        <f>O134*'Income Statement'!O7</f>
        <v>21974.569428144601</v>
      </c>
      <c r="P14" s="52">
        <f>P134*'Income Statement'!P7</f>
        <v>23529.933680164599</v>
      </c>
      <c r="Q14" s="40"/>
      <c r="R14" s="40"/>
      <c r="S14" s="40"/>
      <c r="T14" s="42"/>
      <c r="U14" s="53"/>
      <c r="V14" s="40"/>
      <c r="W14" s="42"/>
      <c r="X14" s="50"/>
      <c r="Y14" s="50"/>
      <c r="Z14" s="50"/>
      <c r="AA14" s="42"/>
      <c r="AB14" s="53"/>
      <c r="AC14" s="40"/>
      <c r="AD14" s="42"/>
    </row>
    <row r="15" spans="1:30">
      <c r="A15" s="43" t="s">
        <v>50</v>
      </c>
      <c r="B15" s="35">
        <v>2208</v>
      </c>
      <c r="C15" s="35">
        <v>4577</v>
      </c>
      <c r="D15" s="14">
        <v>4634</v>
      </c>
      <c r="E15" s="14">
        <v>4496</v>
      </c>
      <c r="F15" s="14">
        <v>4139</v>
      </c>
      <c r="G15" s="14">
        <v>3734</v>
      </c>
      <c r="H15" s="14">
        <v>3560</v>
      </c>
      <c r="I15" s="36">
        <v>3613</v>
      </c>
      <c r="J15" s="44">
        <v>3222</v>
      </c>
      <c r="K15" s="45">
        <v>3231</v>
      </c>
      <c r="L15" s="52">
        <f>L135*'Income Statement'!L7</f>
        <v>3338.1806588581844</v>
      </c>
      <c r="M15" s="52">
        <f>M135*'Income Statement'!M7</f>
        <v>3495.0598893290412</v>
      </c>
      <c r="N15" s="52">
        <f>N135*'Income Statement'!N7</f>
        <v>3707.1124866534901</v>
      </c>
      <c r="O15" s="52">
        <f>O135*'Income Statement'!O7</f>
        <v>3952.2562884071258</v>
      </c>
      <c r="P15" s="52">
        <f>P135*'Income Statement'!P7</f>
        <v>4231.9977489126713</v>
      </c>
      <c r="Q15" s="40"/>
      <c r="R15" s="40"/>
      <c r="S15" s="40"/>
      <c r="T15" s="42"/>
      <c r="U15" s="51"/>
      <c r="V15" s="40"/>
      <c r="W15" s="42"/>
      <c r="X15" s="50"/>
      <c r="Y15" s="50"/>
      <c r="Z15" s="50"/>
      <c r="AA15" s="42"/>
      <c r="AB15" s="51"/>
      <c r="AC15" s="40"/>
      <c r="AD15" s="42"/>
    </row>
    <row r="16" spans="1:30">
      <c r="A16" s="46" t="s">
        <v>51</v>
      </c>
      <c r="B16" s="35">
        <v>454</v>
      </c>
      <c r="C16" s="35">
        <v>426</v>
      </c>
      <c r="D16" s="14">
        <v>417</v>
      </c>
      <c r="E16" s="14">
        <v>479</v>
      </c>
      <c r="F16" s="14">
        <v>437</v>
      </c>
      <c r="G16" s="14">
        <v>392</v>
      </c>
      <c r="H16" s="14">
        <v>366</v>
      </c>
      <c r="I16" s="36">
        <v>322</v>
      </c>
      <c r="J16" s="44">
        <v>224</v>
      </c>
      <c r="K16" s="45">
        <v>170</v>
      </c>
      <c r="L16" s="52">
        <f>L136*'Income Statement'!L14</f>
        <v>312.28172372285127</v>
      </c>
      <c r="M16" s="52">
        <f>M136*'Income Statement'!M14</f>
        <v>312.58199780616349</v>
      </c>
      <c r="N16" s="52">
        <f>N136*'Income Statement'!N14</f>
        <v>306.42498400070792</v>
      </c>
      <c r="O16" s="52">
        <f>O136*'Income Statement'!O14</f>
        <v>306.7316406093932</v>
      </c>
      <c r="P16" s="52">
        <f>P136*'Income Statement'!P14</f>
        <v>335.66485688651306</v>
      </c>
      <c r="Q16" s="40"/>
      <c r="R16" s="40"/>
      <c r="S16" s="42"/>
      <c r="T16" s="42"/>
      <c r="U16" s="42"/>
      <c r="V16" s="42"/>
      <c r="W16" s="42"/>
      <c r="X16" s="40"/>
      <c r="Y16" s="40"/>
      <c r="Z16" s="42"/>
      <c r="AA16" s="42"/>
      <c r="AB16" s="42"/>
      <c r="AC16" s="42"/>
      <c r="AD16" s="42"/>
    </row>
    <row r="17" spans="1:30">
      <c r="A17" s="46" t="s">
        <v>52</v>
      </c>
      <c r="B17" s="35">
        <v>404</v>
      </c>
      <c r="C17" s="35">
        <v>283</v>
      </c>
      <c r="D17" s="14">
        <v>347</v>
      </c>
      <c r="E17" s="14">
        <v>251</v>
      </c>
      <c r="F17" s="14">
        <v>382</v>
      </c>
      <c r="G17" s="14">
        <v>86</v>
      </c>
      <c r="H17" s="14">
        <v>760</v>
      </c>
      <c r="I17" s="36">
        <v>489</v>
      </c>
      <c r="J17" s="44">
        <v>421</v>
      </c>
      <c r="K17" s="45">
        <v>392</v>
      </c>
      <c r="L17" s="52">
        <f>L137*'Income Statement'!L20</f>
        <v>339.1118195883808</v>
      </c>
      <c r="M17" s="52">
        <f>M137*'Income Statement'!M20</f>
        <v>349.43494492074973</v>
      </c>
      <c r="N17" s="52">
        <f>N137*'Income Statement'!N20</f>
        <v>421.34823623705984</v>
      </c>
      <c r="O17" s="52">
        <f>O137*'Income Statement'!O20</f>
        <v>510.59662698049272</v>
      </c>
      <c r="P17" s="52">
        <f>P137*'Income Statement'!P20</f>
        <v>612.43945929066967</v>
      </c>
      <c r="Q17" s="40"/>
      <c r="R17" s="40"/>
      <c r="S17" s="40"/>
      <c r="T17" s="42"/>
      <c r="U17" s="51"/>
      <c r="V17" s="40"/>
      <c r="W17" s="42"/>
      <c r="X17" s="50"/>
      <c r="Y17" s="50"/>
      <c r="Z17" s="50"/>
      <c r="AA17" s="42"/>
      <c r="AB17" s="51"/>
      <c r="AC17" s="40"/>
      <c r="AD17" s="42"/>
    </row>
    <row r="18" spans="1:30">
      <c r="A18" s="46" t="s">
        <v>53</v>
      </c>
      <c r="B18" s="35">
        <v>1558</v>
      </c>
      <c r="C18" s="35">
        <v>1776</v>
      </c>
      <c r="D18" s="14">
        <v>1603</v>
      </c>
      <c r="E18" s="14">
        <v>3372</v>
      </c>
      <c r="F18" s="14">
        <v>6869</v>
      </c>
      <c r="G18" s="14">
        <v>8688</v>
      </c>
      <c r="H18" s="14">
        <v>9412</v>
      </c>
      <c r="I18" s="36">
        <v>10134</v>
      </c>
      <c r="J18" s="44">
        <v>9513</v>
      </c>
      <c r="K18" s="45">
        <v>9582</v>
      </c>
      <c r="L18" s="52">
        <f>L138*'Income Statement'!L7</f>
        <v>9555.5877951222974</v>
      </c>
      <c r="M18" s="52">
        <f>M138*'Income Statement'!M7</f>
        <v>9914.5686832699866</v>
      </c>
      <c r="N18" s="52">
        <f>N138*'Income Statement'!N7</f>
        <v>9674.8178077093053</v>
      </c>
      <c r="O18" s="52">
        <f>O138*'Income Statement'!O7</f>
        <v>10314.593813210733</v>
      </c>
      <c r="P18" s="52">
        <f>P138*'Income Statement'!P7</f>
        <v>11044.662747832363</v>
      </c>
      <c r="Q18" s="40"/>
      <c r="R18" s="40"/>
      <c r="S18" s="40"/>
      <c r="T18" s="42"/>
      <c r="U18" s="53"/>
      <c r="V18" s="40"/>
      <c r="W18" s="42"/>
      <c r="X18" s="50"/>
      <c r="Y18" s="50"/>
      <c r="Z18" s="50"/>
      <c r="AA18" s="42"/>
      <c r="AB18" s="53"/>
      <c r="AC18" s="40"/>
      <c r="AD18" s="42"/>
    </row>
    <row r="19" spans="1:30">
      <c r="A19" s="54" t="s">
        <v>54</v>
      </c>
      <c r="B19" s="55">
        <v>45451</v>
      </c>
      <c r="C19" s="55">
        <v>49316</v>
      </c>
      <c r="D19" s="56">
        <v>54146</v>
      </c>
      <c r="E19" s="57">
        <v>59470</v>
      </c>
      <c r="F19" s="57">
        <v>57773</v>
      </c>
      <c r="G19" s="57">
        <v>58679</v>
      </c>
      <c r="H19" s="57">
        <v>64586</v>
      </c>
      <c r="I19" s="58">
        <v>64470</v>
      </c>
      <c r="J19" s="59">
        <v>62275</v>
      </c>
      <c r="K19" s="60">
        <v>61525</v>
      </c>
      <c r="L19" s="57">
        <f t="shared" ref="L19:P19" si="2">SUM(L11,L12:L18)</f>
        <v>71252.075882899793</v>
      </c>
      <c r="M19" s="57">
        <f t="shared" si="2"/>
        <v>81979.095336377053</v>
      </c>
      <c r="N19" s="57">
        <f t="shared" si="2"/>
        <v>92990.574628950082</v>
      </c>
      <c r="O19" s="57">
        <f t="shared" si="2"/>
        <v>107020.57260236875</v>
      </c>
      <c r="P19" s="57">
        <f t="shared" si="2"/>
        <v>123691.78145528625</v>
      </c>
      <c r="Q19" s="61"/>
      <c r="R19" s="61"/>
      <c r="S19" s="61"/>
      <c r="T19" s="62"/>
      <c r="U19" s="63"/>
      <c r="V19" s="61"/>
      <c r="W19" s="62"/>
      <c r="X19" s="64"/>
      <c r="Y19" s="64"/>
      <c r="Z19" s="64"/>
      <c r="AA19" s="62"/>
      <c r="AB19" s="63"/>
      <c r="AC19" s="61"/>
      <c r="AD19" s="62"/>
    </row>
    <row r="20" spans="1:30">
      <c r="A20" s="47" t="s">
        <v>55</v>
      </c>
      <c r="B20" s="65"/>
      <c r="C20" s="12"/>
      <c r="D20" s="14"/>
      <c r="E20" s="66"/>
      <c r="F20" s="67"/>
      <c r="G20" s="67"/>
      <c r="H20" s="66"/>
      <c r="J20" s="44"/>
      <c r="K20" s="68"/>
      <c r="L20" s="69"/>
      <c r="O20" s="70"/>
      <c r="P20" s="49"/>
      <c r="Q20" s="40"/>
      <c r="R20" s="40"/>
      <c r="S20" s="40"/>
      <c r="T20" s="42"/>
      <c r="U20" s="51"/>
      <c r="V20" s="40"/>
      <c r="W20" s="42"/>
      <c r="X20" s="40"/>
      <c r="Y20" s="40"/>
      <c r="Z20" s="40"/>
      <c r="AA20" s="42"/>
      <c r="AB20" s="51"/>
      <c r="AC20" s="40"/>
      <c r="AD20" s="42"/>
    </row>
    <row r="21" spans="1:30">
      <c r="A21" s="43" t="s">
        <v>56</v>
      </c>
      <c r="B21" s="14"/>
      <c r="C21" s="14"/>
      <c r="D21" s="14"/>
      <c r="E21" s="44"/>
      <c r="F21" s="71"/>
      <c r="G21" s="71"/>
      <c r="H21" s="44"/>
      <c r="J21" s="44"/>
      <c r="K21" s="45"/>
      <c r="L21" s="72"/>
      <c r="O21" s="70"/>
      <c r="P21" s="49"/>
      <c r="Q21" s="40"/>
      <c r="R21" s="40"/>
      <c r="S21" s="40"/>
      <c r="T21" s="42"/>
      <c r="U21" s="51"/>
      <c r="V21" s="40"/>
      <c r="W21" s="42"/>
      <c r="X21" s="40"/>
      <c r="Y21" s="40"/>
      <c r="Z21" s="40"/>
      <c r="AA21" s="42"/>
      <c r="AB21" s="51"/>
      <c r="AC21" s="40"/>
      <c r="AD21" s="42"/>
    </row>
    <row r="22" spans="1:30">
      <c r="A22" s="46" t="s">
        <v>57</v>
      </c>
      <c r="B22" s="35">
        <v>5365</v>
      </c>
      <c r="C22" s="35">
        <v>5580</v>
      </c>
      <c r="D22" s="14">
        <v>5690</v>
      </c>
      <c r="E22" s="14">
        <v>6584</v>
      </c>
      <c r="F22" s="14">
        <v>5607</v>
      </c>
      <c r="G22" s="14">
        <v>5730</v>
      </c>
      <c r="H22" s="14">
        <v>5750</v>
      </c>
      <c r="I22" s="36">
        <v>6484</v>
      </c>
      <c r="J22" s="71">
        <v>6329</v>
      </c>
      <c r="K22" s="45">
        <v>6849</v>
      </c>
      <c r="L22" s="73">
        <f>L139*SUM('Income Statement'!L11,'Income Statement'!L13,'Income Statement'!L14)</f>
        <v>6999.4642957354736</v>
      </c>
      <c r="M22" s="73">
        <f>M139*SUM('Income Statement'!M11,'Income Statement'!M13,'Income Statement'!M14)</f>
        <v>7360.3151760706514</v>
      </c>
      <c r="N22" s="73">
        <f>N139*SUM('Income Statement'!N11,'Income Statement'!N13,'Income Statement'!N14)</f>
        <v>7603.4513233315838</v>
      </c>
      <c r="O22" s="73">
        <f>O139*SUM('Income Statement'!O11,'Income Statement'!O13,'Income Statement'!O14)</f>
        <v>7858.7491030281699</v>
      </c>
      <c r="P22" s="73">
        <f>P139*SUM('Income Statement'!P11,'Income Statement'!P13,'Income Statement'!P14)</f>
        <v>8150.0833754593805</v>
      </c>
      <c r="Q22" s="40"/>
      <c r="R22" s="40"/>
      <c r="S22" s="40"/>
      <c r="T22" s="42"/>
      <c r="U22" s="53"/>
      <c r="V22" s="40"/>
      <c r="W22" s="42"/>
      <c r="X22" s="50"/>
      <c r="Y22" s="50"/>
      <c r="Z22" s="50"/>
      <c r="AA22" s="42"/>
      <c r="AB22" s="53"/>
      <c r="AC22" s="40"/>
      <c r="AD22" s="42"/>
    </row>
    <row r="23" spans="1:30">
      <c r="A23" s="46" t="s">
        <v>58</v>
      </c>
      <c r="B23" s="35">
        <v>1698</v>
      </c>
      <c r="C23" s="35">
        <v>5937</v>
      </c>
      <c r="D23" s="14">
        <v>3366</v>
      </c>
      <c r="E23" s="14">
        <v>3958</v>
      </c>
      <c r="F23" s="14">
        <v>3586</v>
      </c>
      <c r="G23" s="14">
        <v>3516</v>
      </c>
      <c r="H23" s="14">
        <v>3597</v>
      </c>
      <c r="I23" s="36">
        <v>3542</v>
      </c>
      <c r="J23" s="44">
        <v>2717</v>
      </c>
      <c r="K23" s="45">
        <v>2085</v>
      </c>
      <c r="L23" s="73">
        <f>L140*SUM('Income Statement'!L11,'Income Statement'!L13,'Income Statement'!L14)</f>
        <v>2130.8049432922271</v>
      </c>
      <c r="M23" s="73">
        <f>M140*SUM('Income Statement'!M11,'Income Statement'!M13,'Income Statement'!M14)</f>
        <v>2240.6566129518628</v>
      </c>
      <c r="N23" s="73">
        <f>N140*SUM('Income Statement'!N11,'Income Statement'!N13,'Income Statement'!N14)</f>
        <v>2314.673092297613</v>
      </c>
      <c r="O23" s="73">
        <f>O140*SUM('Income Statement'!O11,'Income Statement'!O13,'Income Statement'!O14)</f>
        <v>2392.3918644785713</v>
      </c>
      <c r="P23" s="73">
        <f>P140*SUM('Income Statement'!P11,'Income Statement'!P13,'Income Statement'!P14)</f>
        <v>2481.0810100500521</v>
      </c>
      <c r="Q23" s="40"/>
      <c r="R23" s="40"/>
      <c r="S23" s="40"/>
      <c r="T23" s="42"/>
      <c r="U23" s="53"/>
      <c r="V23" s="40"/>
      <c r="W23" s="42"/>
      <c r="X23" s="40"/>
      <c r="Y23" s="40"/>
      <c r="Z23" s="40"/>
      <c r="AA23" s="42"/>
      <c r="AB23" s="53"/>
      <c r="AC23" s="40"/>
      <c r="AD23" s="42"/>
    </row>
    <row r="24" spans="1:30">
      <c r="A24" s="43" t="s">
        <v>59</v>
      </c>
      <c r="B24" s="35">
        <v>939</v>
      </c>
      <c r="C24" s="35">
        <v>577</v>
      </c>
      <c r="D24" s="14">
        <v>227</v>
      </c>
      <c r="E24" s="14">
        <v>1351</v>
      </c>
      <c r="F24" s="14">
        <v>2872</v>
      </c>
      <c r="G24" s="14">
        <v>1376</v>
      </c>
      <c r="H24" s="14">
        <v>2445</v>
      </c>
      <c r="I24" s="36">
        <v>1803</v>
      </c>
      <c r="J24" s="74">
        <v>1730</v>
      </c>
      <c r="K24" s="75">
        <v>1796</v>
      </c>
      <c r="L24" s="73">
        <f>L141*SUM('Income Statement'!L11,'Income Statement'!L13,'Income Statement'!L14)</f>
        <v>1835.4559607447675</v>
      </c>
      <c r="M24" s="73">
        <f>M141*SUM('Income Statement'!M11,'Income Statement'!M13,'Income Statement'!M14)</f>
        <v>1930.0811879431874</v>
      </c>
      <c r="N24" s="73">
        <f>N141*SUM('Income Statement'!N11,'Income Statement'!N13,'Income Statement'!N14)</f>
        <v>1993.8383087609179</v>
      </c>
      <c r="O24" s="73">
        <f>O141*SUM('Income Statement'!O11,'Income Statement'!O13,'Income Statement'!O14)</f>
        <v>2060.7845508889754</v>
      </c>
      <c r="P24" s="73">
        <f>P141*SUM('Income Statement'!P11,'Income Statement'!P13,'Income Statement'!P14)</f>
        <v>2137.1805726858006</v>
      </c>
      <c r="Q24" s="40"/>
      <c r="R24" s="40"/>
      <c r="S24" s="40"/>
      <c r="T24" s="42"/>
      <c r="U24" s="51"/>
      <c r="V24" s="40"/>
      <c r="W24" s="42"/>
      <c r="X24" s="40"/>
      <c r="Y24" s="40"/>
      <c r="Z24" s="40"/>
      <c r="AA24" s="42"/>
      <c r="AB24" s="51"/>
      <c r="AC24" s="40"/>
      <c r="AD24" s="42"/>
    </row>
    <row r="25" spans="1:30">
      <c r="A25" s="76" t="s">
        <v>60</v>
      </c>
      <c r="B25" s="35">
        <v>6771</v>
      </c>
      <c r="C25" s="35">
        <v>6277</v>
      </c>
      <c r="D25" s="14">
        <v>7048</v>
      </c>
      <c r="E25" s="14">
        <v>6968</v>
      </c>
      <c r="F25" s="14">
        <v>6859</v>
      </c>
      <c r="G25" s="14">
        <v>7476</v>
      </c>
      <c r="H25" s="14">
        <v>7405</v>
      </c>
      <c r="I25" s="36">
        <v>7679</v>
      </c>
      <c r="J25" s="77">
        <v>9162</v>
      </c>
      <c r="K25" s="38">
        <v>7809</v>
      </c>
      <c r="L25" s="73">
        <f>L142*SUM('Income Statement'!L11,'Income Statement'!L13,'Income Statement'!L14)</f>
        <v>7980.5543415678667</v>
      </c>
      <c r="M25" s="73">
        <f>M142*SUM('Income Statement'!M11,'Income Statement'!M13,'Income Statement'!M14)</f>
        <v>8391.9844079333798</v>
      </c>
      <c r="N25" s="73">
        <f>N142*SUM('Income Statement'!N11,'Income Statement'!N13,'Income Statement'!N14)</f>
        <v>8669.2000852527872</v>
      </c>
      <c r="O25" s="73">
        <f>O142*SUM('Income Statement'!O11,'Income Statement'!O13,'Income Statement'!O14)</f>
        <v>8960.2820478240592</v>
      </c>
      <c r="P25" s="73">
        <f>P142*SUM('Income Statement'!P11,'Income Statement'!P13,'Income Statement'!P14)</f>
        <v>9292.4516103025708</v>
      </c>
      <c r="Q25" s="40"/>
      <c r="R25" s="40"/>
      <c r="S25" s="42"/>
      <c r="T25" s="42"/>
      <c r="U25" s="42"/>
      <c r="V25" s="42"/>
      <c r="W25" s="42"/>
      <c r="X25" s="40"/>
      <c r="Y25" s="40"/>
      <c r="Z25" s="42"/>
      <c r="AA25" s="42"/>
      <c r="AB25" s="42"/>
      <c r="AC25" s="42"/>
      <c r="AD25" s="42"/>
    </row>
    <row r="26" spans="1:30">
      <c r="A26" s="78" t="s">
        <v>61</v>
      </c>
      <c r="B26" s="35">
        <v>14773</v>
      </c>
      <c r="C26" s="35">
        <v>18371</v>
      </c>
      <c r="D26" s="14">
        <v>16331</v>
      </c>
      <c r="E26" s="14">
        <v>18861</v>
      </c>
      <c r="F26" s="14">
        <v>18924</v>
      </c>
      <c r="G26" s="14">
        <v>18098</v>
      </c>
      <c r="H26" s="14">
        <v>19197</v>
      </c>
      <c r="I26" s="36">
        <v>19508</v>
      </c>
      <c r="J26" s="44">
        <v>19938</v>
      </c>
      <c r="K26" s="45">
        <v>18539</v>
      </c>
      <c r="L26" s="73">
        <f t="shared" ref="L26:P26" si="3">SUM(L22:L25)</f>
        <v>18946.279541340336</v>
      </c>
      <c r="M26" s="73">
        <f t="shared" si="3"/>
        <v>19923.037384899082</v>
      </c>
      <c r="N26" s="73">
        <f t="shared" si="3"/>
        <v>20581.162809642905</v>
      </c>
      <c r="O26" s="73">
        <f t="shared" si="3"/>
        <v>21272.207566219775</v>
      </c>
      <c r="P26" s="73">
        <f t="shared" si="3"/>
        <v>22060.796568497804</v>
      </c>
      <c r="Q26" s="40"/>
      <c r="R26" s="40"/>
      <c r="S26" s="49"/>
      <c r="T26" s="50"/>
      <c r="U26" s="51"/>
      <c r="V26" s="40"/>
      <c r="W26" s="42"/>
      <c r="X26" s="40"/>
      <c r="Y26" s="40"/>
      <c r="Z26" s="49"/>
      <c r="AA26" s="40"/>
      <c r="AB26" s="42"/>
      <c r="AC26" s="40"/>
      <c r="AD26" s="42"/>
    </row>
    <row r="27" spans="1:30">
      <c r="A27" s="46" t="s">
        <v>62</v>
      </c>
      <c r="B27" s="35">
        <v>6046</v>
      </c>
      <c r="C27" s="35">
        <v>5554</v>
      </c>
      <c r="D27" s="14">
        <v>12182</v>
      </c>
      <c r="E27" s="14">
        <v>12573</v>
      </c>
      <c r="F27" s="14">
        <v>9756</v>
      </c>
      <c r="G27" s="14">
        <v>11110</v>
      </c>
      <c r="H27" s="14">
        <v>16342</v>
      </c>
      <c r="I27" s="36">
        <v>14254</v>
      </c>
      <c r="J27" s="44">
        <v>15123</v>
      </c>
      <c r="K27" s="45">
        <v>16562</v>
      </c>
      <c r="L27" s="14">
        <f t="shared" ref="L27:P27" si="4">K27</f>
        <v>16562</v>
      </c>
      <c r="M27" s="14">
        <f t="shared" si="4"/>
        <v>16562</v>
      </c>
      <c r="N27" s="14">
        <f t="shared" si="4"/>
        <v>16562</v>
      </c>
      <c r="O27" s="14">
        <f t="shared" si="4"/>
        <v>16562</v>
      </c>
      <c r="P27" s="14">
        <f t="shared" si="4"/>
        <v>16562</v>
      </c>
      <c r="Q27" s="40"/>
      <c r="R27" s="40"/>
      <c r="S27" s="42"/>
      <c r="T27" s="42"/>
      <c r="U27" s="42"/>
      <c r="V27" s="42"/>
      <c r="W27" s="42"/>
      <c r="X27" s="40"/>
      <c r="Y27" s="40"/>
      <c r="Z27" s="42"/>
      <c r="AA27" s="42"/>
      <c r="AB27" s="42"/>
      <c r="AC27" s="42"/>
      <c r="AD27" s="42"/>
    </row>
    <row r="28" spans="1:30">
      <c r="A28" s="43" t="s">
        <v>52</v>
      </c>
      <c r="B28" s="35">
        <v>236</v>
      </c>
      <c r="C28" s="35">
        <v>558</v>
      </c>
      <c r="D28" s="14">
        <v>486</v>
      </c>
      <c r="E28" s="14">
        <v>2664</v>
      </c>
      <c r="F28" s="14">
        <v>1713</v>
      </c>
      <c r="G28" s="14">
        <v>1670</v>
      </c>
      <c r="H28" s="14">
        <v>2113</v>
      </c>
      <c r="I28" s="36">
        <v>2364</v>
      </c>
      <c r="J28" s="44">
        <v>2093</v>
      </c>
      <c r="K28" s="45">
        <v>2094</v>
      </c>
      <c r="L28" s="52">
        <f t="shared" ref="L28:P28" si="5">K28</f>
        <v>2094</v>
      </c>
      <c r="M28" s="52">
        <f t="shared" si="5"/>
        <v>2094</v>
      </c>
      <c r="N28" s="52">
        <f t="shared" si="5"/>
        <v>2094</v>
      </c>
      <c r="O28" s="52">
        <f t="shared" si="5"/>
        <v>2094</v>
      </c>
      <c r="P28" s="52">
        <f t="shared" si="5"/>
        <v>2094</v>
      </c>
      <c r="Q28" s="40"/>
      <c r="R28" s="40"/>
      <c r="S28" s="42"/>
      <c r="T28" s="42"/>
      <c r="U28" s="42"/>
      <c r="V28" s="42"/>
      <c r="W28" s="42"/>
      <c r="X28" s="40"/>
      <c r="Y28" s="40"/>
      <c r="Z28" s="42"/>
      <c r="AA28" s="42"/>
      <c r="AB28" s="42"/>
      <c r="AC28" s="42"/>
      <c r="AD28" s="42"/>
    </row>
    <row r="29" spans="1:30">
      <c r="A29" s="46" t="s">
        <v>63</v>
      </c>
      <c r="B29" s="35">
        <v>911</v>
      </c>
      <c r="C29" s="35">
        <v>526</v>
      </c>
      <c r="D29" s="14">
        <v>473</v>
      </c>
      <c r="E29" s="14">
        <v>512</v>
      </c>
      <c r="F29" s="14">
        <v>344</v>
      </c>
      <c r="G29" s="14">
        <v>326</v>
      </c>
      <c r="H29" s="14">
        <v>242</v>
      </c>
      <c r="I29" s="36">
        <v>208</v>
      </c>
      <c r="J29" s="44">
        <v>146</v>
      </c>
      <c r="K29" s="45">
        <v>134</v>
      </c>
      <c r="L29" s="52">
        <f t="shared" ref="L29:P29" si="6">K29</f>
        <v>134</v>
      </c>
      <c r="M29" s="52">
        <f t="shared" si="6"/>
        <v>134</v>
      </c>
      <c r="N29" s="52">
        <f t="shared" si="6"/>
        <v>134</v>
      </c>
      <c r="O29" s="52">
        <f t="shared" si="6"/>
        <v>134</v>
      </c>
      <c r="P29" s="52">
        <f t="shared" si="6"/>
        <v>134</v>
      </c>
      <c r="Q29" s="40"/>
      <c r="R29" s="40"/>
      <c r="S29" s="42"/>
      <c r="T29" s="42"/>
      <c r="U29" s="42"/>
      <c r="V29" s="42"/>
      <c r="W29" s="42"/>
      <c r="X29" s="40"/>
      <c r="Y29" s="40"/>
      <c r="Z29" s="42"/>
      <c r="AA29" s="42"/>
      <c r="AB29" s="42"/>
      <c r="AC29" s="42"/>
      <c r="AD29" s="42"/>
    </row>
    <row r="30" spans="1:30">
      <c r="A30" s="43" t="s">
        <v>64</v>
      </c>
      <c r="B30" s="35">
        <v>1200</v>
      </c>
      <c r="C30" s="35">
        <v>1251</v>
      </c>
      <c r="D30" s="14">
        <v>1014</v>
      </c>
      <c r="E30" s="14">
        <v>2260</v>
      </c>
      <c r="F30" s="14">
        <v>2269</v>
      </c>
      <c r="G30" s="14">
        <v>1996</v>
      </c>
      <c r="H30" s="14">
        <v>1920</v>
      </c>
      <c r="I30" s="36">
        <v>1800</v>
      </c>
      <c r="J30" s="44">
        <v>1180</v>
      </c>
      <c r="K30" s="45">
        <v>1490</v>
      </c>
      <c r="L30" s="52">
        <f t="shared" ref="L30:P30" si="7">K30</f>
        <v>1490</v>
      </c>
      <c r="M30" s="52">
        <f t="shared" si="7"/>
        <v>1490</v>
      </c>
      <c r="N30" s="52">
        <f t="shared" si="7"/>
        <v>1490</v>
      </c>
      <c r="O30" s="52">
        <f t="shared" si="7"/>
        <v>1490</v>
      </c>
      <c r="P30" s="52">
        <f t="shared" si="7"/>
        <v>1490</v>
      </c>
      <c r="Q30" s="40"/>
      <c r="R30" s="40"/>
      <c r="S30" s="49"/>
      <c r="T30" s="50"/>
      <c r="U30" s="51"/>
      <c r="V30" s="40"/>
      <c r="W30" s="42"/>
      <c r="X30" s="50"/>
      <c r="Y30" s="40"/>
      <c r="Z30" s="49"/>
      <c r="AA30" s="50"/>
      <c r="AB30" s="51"/>
      <c r="AC30" s="40"/>
      <c r="AD30" s="42"/>
    </row>
    <row r="31" spans="1:30">
      <c r="A31" s="46" t="s">
        <v>65</v>
      </c>
      <c r="B31" s="35">
        <v>4282</v>
      </c>
      <c r="C31" s="35">
        <v>4348</v>
      </c>
      <c r="D31" s="14">
        <v>4110</v>
      </c>
      <c r="E31" s="14">
        <v>5930</v>
      </c>
      <c r="F31" s="14">
        <v>6402</v>
      </c>
      <c r="G31" s="14">
        <v>6766</v>
      </c>
      <c r="H31" s="14">
        <v>6975</v>
      </c>
      <c r="I31" s="36">
        <v>7087</v>
      </c>
      <c r="J31" s="44">
        <v>6469</v>
      </c>
      <c r="K31" s="45">
        <v>6265</v>
      </c>
      <c r="L31" s="79">
        <f>L146*SUM('Income Statement'!M11,'Income Statement'!M13,'Income Statement'!M14)</f>
        <v>6732.7163933541578</v>
      </c>
      <c r="M31" s="73">
        <f>(M146*SUM('Income Statement'!M11,'Income Statement'!M13,'Income Statement'!M14))</f>
        <v>6732.7163933541578</v>
      </c>
      <c r="N31" s="73">
        <f>N146*SUM('Income Statement'!N11,'Income Statement'!N13,'Income Statement'!N14)</f>
        <v>6955.1208264961861</v>
      </c>
      <c r="O31" s="73">
        <f>O146*SUM('Income Statement'!O11,'Income Statement'!O13,'Income Statement'!O14)</f>
        <v>7188.6498949440038</v>
      </c>
      <c r="P31" s="73">
        <f>P146*SUM('Income Statement'!P11,'Income Statement'!P13,'Income Statement'!P14)</f>
        <v>7455.1426992631068</v>
      </c>
      <c r="Q31" s="40"/>
      <c r="R31" s="40"/>
      <c r="S31" s="40"/>
      <c r="T31" s="42"/>
      <c r="U31" s="51"/>
      <c r="V31" s="40"/>
      <c r="W31" s="42"/>
      <c r="X31" s="50"/>
      <c r="Y31" s="50"/>
      <c r="Z31" s="50"/>
      <c r="AA31" s="42"/>
      <c r="AB31" s="51"/>
      <c r="AC31" s="40"/>
      <c r="AD31" s="42"/>
    </row>
    <row r="32" spans="1:30">
      <c r="A32" s="46" t="s">
        <v>66</v>
      </c>
      <c r="B32" s="35">
        <v>219</v>
      </c>
      <c r="C32" s="35">
        <f>290000000/1000000</f>
        <v>290</v>
      </c>
      <c r="D32" s="14">
        <v>3</v>
      </c>
      <c r="E32" s="14">
        <v>5</v>
      </c>
      <c r="F32" s="14">
        <v>7</v>
      </c>
      <c r="G32" s="14">
        <v>7</v>
      </c>
      <c r="H32" s="14">
        <v>7</v>
      </c>
      <c r="I32" s="36">
        <v>7</v>
      </c>
      <c r="J32" s="44">
        <v>7</v>
      </c>
      <c r="K32" s="45">
        <v>7</v>
      </c>
      <c r="L32" s="52">
        <f t="shared" ref="L32:P32" si="8">K32</f>
        <v>7</v>
      </c>
      <c r="M32" s="52">
        <f t="shared" si="8"/>
        <v>7</v>
      </c>
      <c r="N32" s="52">
        <f t="shared" si="8"/>
        <v>7</v>
      </c>
      <c r="O32" s="52">
        <f t="shared" si="8"/>
        <v>7</v>
      </c>
      <c r="P32" s="52">
        <f t="shared" si="8"/>
        <v>7</v>
      </c>
      <c r="Q32" s="40"/>
      <c r="R32" s="40"/>
      <c r="S32" s="40"/>
      <c r="T32" s="42"/>
      <c r="U32" s="53"/>
      <c r="V32" s="40"/>
      <c r="W32" s="42"/>
      <c r="X32" s="50"/>
      <c r="Y32" s="50"/>
      <c r="Z32" s="50"/>
      <c r="AA32" s="42"/>
      <c r="AB32" s="53"/>
      <c r="AC32" s="40"/>
      <c r="AD32" s="42"/>
    </row>
    <row r="33" spans="1:30">
      <c r="A33" s="47" t="s">
        <v>67</v>
      </c>
      <c r="B33" s="12">
        <f t="shared" ref="B33:K33" si="9">SUM(B22:B32)</f>
        <v>42440</v>
      </c>
      <c r="C33" s="12">
        <f t="shared" si="9"/>
        <v>49269</v>
      </c>
      <c r="D33" s="12">
        <f t="shared" si="9"/>
        <v>50930</v>
      </c>
      <c r="E33" s="12">
        <f t="shared" si="9"/>
        <v>61666</v>
      </c>
      <c r="F33" s="12">
        <f t="shared" si="9"/>
        <v>58339</v>
      </c>
      <c r="G33" s="12">
        <f t="shared" si="9"/>
        <v>58071</v>
      </c>
      <c r="H33" s="12">
        <f t="shared" si="9"/>
        <v>65993</v>
      </c>
      <c r="I33" s="12">
        <f t="shared" si="9"/>
        <v>64736</v>
      </c>
      <c r="J33" s="12">
        <f t="shared" si="9"/>
        <v>64894</v>
      </c>
      <c r="K33" s="13">
        <f t="shared" si="9"/>
        <v>63630</v>
      </c>
      <c r="L33" s="10">
        <f>SUM(L22:L32)+1400</f>
        <v>66312.275476034833</v>
      </c>
      <c r="M33" s="10">
        <f>SUM(M22:M32)-6189.94</f>
        <v>60675.851163152314</v>
      </c>
      <c r="N33" s="10">
        <f>SUM(N22:N32)+3415.33</f>
        <v>71819.776445782001</v>
      </c>
      <c r="O33" s="10">
        <f>SUM(O22:O32)+14635.51</f>
        <v>84655.575027383544</v>
      </c>
      <c r="P33" s="10">
        <f>SUM(P22:P32)+26158.64</f>
        <v>98022.37583625871</v>
      </c>
      <c r="Q33" s="40"/>
      <c r="R33" s="40"/>
      <c r="S33" s="40"/>
      <c r="T33" s="40"/>
      <c r="U33" s="51"/>
      <c r="V33" s="40"/>
      <c r="W33" s="40"/>
      <c r="X33" s="40"/>
      <c r="Y33" s="40"/>
      <c r="Z33" s="40"/>
      <c r="AA33" s="40"/>
      <c r="AB33" s="51"/>
      <c r="AC33" s="40"/>
      <c r="AD33" s="40"/>
    </row>
    <row r="34" spans="1:30">
      <c r="A34" s="46" t="s">
        <v>68</v>
      </c>
      <c r="B34" s="12"/>
      <c r="C34" s="12"/>
      <c r="D34" s="14"/>
      <c r="E34" s="44"/>
      <c r="F34" s="71"/>
      <c r="G34" s="71"/>
      <c r="H34" s="44"/>
      <c r="I34" s="80"/>
      <c r="J34" s="44"/>
      <c r="K34" s="45"/>
      <c r="L34" s="81"/>
      <c r="O34" s="70"/>
      <c r="P34" s="49"/>
      <c r="Q34" s="40"/>
      <c r="R34" s="40"/>
      <c r="S34" s="40"/>
      <c r="T34" s="42"/>
      <c r="U34" s="51"/>
      <c r="V34" s="40"/>
      <c r="W34" s="42"/>
      <c r="X34" s="40"/>
      <c r="Y34" s="40"/>
      <c r="Z34" s="40"/>
      <c r="AA34" s="42"/>
      <c r="AB34" s="51"/>
      <c r="AC34" s="40"/>
      <c r="AD34" s="42"/>
    </row>
    <row r="35" spans="1:30">
      <c r="A35" s="46" t="s">
        <v>69</v>
      </c>
      <c r="B35" s="35">
        <v>958</v>
      </c>
      <c r="C35" s="35">
        <v>958</v>
      </c>
      <c r="D35" s="14">
        <v>958</v>
      </c>
      <c r="E35" s="14">
        <v>958</v>
      </c>
      <c r="F35" s="14">
        <v>958</v>
      </c>
      <c r="G35" s="14">
        <v>958</v>
      </c>
      <c r="H35" s="14">
        <v>958</v>
      </c>
      <c r="I35" s="36">
        <v>958</v>
      </c>
      <c r="J35" s="44">
        <v>958</v>
      </c>
      <c r="K35" s="45">
        <v>958</v>
      </c>
      <c r="L35" s="52">
        <v>958</v>
      </c>
      <c r="M35" s="52">
        <v>958</v>
      </c>
      <c r="N35" s="52">
        <v>958</v>
      </c>
      <c r="O35" s="52">
        <v>958</v>
      </c>
      <c r="P35" s="52">
        <v>958</v>
      </c>
      <c r="Q35" s="40"/>
      <c r="R35" s="40"/>
      <c r="S35" s="42"/>
      <c r="T35" s="42"/>
      <c r="U35" s="42"/>
      <c r="V35" s="42"/>
      <c r="W35" s="42"/>
      <c r="X35" s="40"/>
      <c r="Y35" s="40"/>
      <c r="Z35" s="42"/>
      <c r="AA35" s="42"/>
      <c r="AB35" s="42"/>
      <c r="AC35" s="42"/>
      <c r="AD35" s="42"/>
    </row>
    <row r="36" spans="1:30">
      <c r="A36" s="46" t="s">
        <v>70</v>
      </c>
      <c r="B36" s="35">
        <v>5038</v>
      </c>
      <c r="C36" s="35">
        <v>5377</v>
      </c>
      <c r="D36" s="14">
        <v>6212</v>
      </c>
      <c r="E36" s="14">
        <v>6212</v>
      </c>
      <c r="F36" s="14">
        <v>6452</v>
      </c>
      <c r="G36" s="14">
        <v>6876</v>
      </c>
      <c r="H36" s="14">
        <v>7292</v>
      </c>
      <c r="I36" s="36">
        <v>8141</v>
      </c>
      <c r="J36" s="44">
        <v>8564</v>
      </c>
      <c r="K36" s="45">
        <v>9062</v>
      </c>
      <c r="L36" s="52">
        <f t="shared" ref="L36:P36" si="10">K36</f>
        <v>9062</v>
      </c>
      <c r="M36" s="52">
        <f t="shared" si="10"/>
        <v>9062</v>
      </c>
      <c r="N36" s="52">
        <f t="shared" si="10"/>
        <v>9062</v>
      </c>
      <c r="O36" s="52">
        <f t="shared" si="10"/>
        <v>9062</v>
      </c>
      <c r="P36" s="52">
        <f t="shared" si="10"/>
        <v>9062</v>
      </c>
      <c r="Q36" s="40"/>
      <c r="R36" s="40"/>
      <c r="S36" s="40"/>
      <c r="T36" s="42"/>
      <c r="U36" s="51"/>
      <c r="V36" s="40"/>
      <c r="W36" s="42"/>
      <c r="X36" s="50"/>
      <c r="Y36" s="50"/>
      <c r="Z36" s="50"/>
      <c r="AA36" s="42"/>
      <c r="AB36" s="51"/>
      <c r="AC36" s="40"/>
      <c r="AD36" s="42"/>
    </row>
    <row r="37" spans="1:30">
      <c r="A37" s="46" t="s">
        <v>71</v>
      </c>
      <c r="B37" s="35">
        <v>-99950</v>
      </c>
      <c r="C37" s="35">
        <v>-11664</v>
      </c>
      <c r="D37" s="15">
        <v>-15914</v>
      </c>
      <c r="E37" s="15">
        <v>-15914</v>
      </c>
      <c r="F37" s="15">
        <v>-19771</v>
      </c>
      <c r="G37" s="14">
        <v>-23836</v>
      </c>
      <c r="H37" s="14">
        <v>-27229</v>
      </c>
      <c r="I37" s="36">
        <v>-30462</v>
      </c>
      <c r="J37" s="44">
        <v>-34443</v>
      </c>
      <c r="K37" s="45">
        <v>-38008</v>
      </c>
      <c r="L37" s="82">
        <v>-50000</v>
      </c>
      <c r="M37" s="83">
        <v>-40000</v>
      </c>
      <c r="N37" s="83">
        <v>-40000</v>
      </c>
      <c r="O37" s="83">
        <v>-40000</v>
      </c>
      <c r="P37" s="83">
        <v>-40000</v>
      </c>
      <c r="Q37" s="40"/>
      <c r="R37" s="40"/>
      <c r="S37" s="40"/>
      <c r="T37" s="42"/>
      <c r="U37" s="51"/>
      <c r="V37" s="40"/>
      <c r="W37" s="42"/>
      <c r="X37" s="40"/>
      <c r="Y37" s="40"/>
      <c r="Z37" s="40"/>
      <c r="AA37" s="42"/>
      <c r="AB37" s="51"/>
      <c r="AC37" s="40"/>
      <c r="AD37" s="42"/>
    </row>
    <row r="38" spans="1:30">
      <c r="A38" s="46" t="s">
        <v>72</v>
      </c>
      <c r="B38" s="35">
        <v>-1459</v>
      </c>
      <c r="C38" s="35">
        <v>-2535</v>
      </c>
      <c r="D38" s="15">
        <v>-2235</v>
      </c>
      <c r="E38" s="15">
        <v>-2235</v>
      </c>
      <c r="F38" s="15">
        <v>-3437</v>
      </c>
      <c r="G38" s="14">
        <v>-3197</v>
      </c>
      <c r="H38" s="14">
        <v>-3377</v>
      </c>
      <c r="I38" s="36">
        <v>-2895</v>
      </c>
      <c r="J38" s="44">
        <v>-3475</v>
      </c>
      <c r="K38" s="45">
        <v>-4135</v>
      </c>
      <c r="L38" s="83">
        <v>-4200</v>
      </c>
      <c r="M38" s="73">
        <f t="shared" ref="M38:P38" si="11">L38</f>
        <v>-4200</v>
      </c>
      <c r="N38" s="73">
        <f t="shared" si="11"/>
        <v>-4200</v>
      </c>
      <c r="O38" s="73">
        <f t="shared" si="11"/>
        <v>-4200</v>
      </c>
      <c r="P38" s="73">
        <f t="shared" si="11"/>
        <v>-4200</v>
      </c>
      <c r="Q38" s="40"/>
      <c r="R38" s="40"/>
      <c r="S38" s="40"/>
      <c r="T38" s="42"/>
      <c r="U38" s="53"/>
      <c r="V38" s="40"/>
      <c r="W38" s="42"/>
      <c r="X38" s="40"/>
      <c r="Y38" s="40"/>
      <c r="Z38" s="40"/>
      <c r="AA38" s="42"/>
      <c r="AB38" s="53"/>
      <c r="AC38" s="40"/>
      <c r="AD38" s="42"/>
    </row>
    <row r="39" spans="1:30">
      <c r="A39" s="46" t="s">
        <v>73</v>
      </c>
      <c r="B39" s="35">
        <v>23115</v>
      </c>
      <c r="C39" s="35">
        <v>26147</v>
      </c>
      <c r="D39" s="14">
        <v>28255</v>
      </c>
      <c r="E39" s="14">
        <v>27481</v>
      </c>
      <c r="F39" s="14">
        <v>33978</v>
      </c>
      <c r="G39" s="14">
        <v>37693</v>
      </c>
      <c r="H39" s="14">
        <v>39905</v>
      </c>
      <c r="I39" s="48">
        <v>42827</v>
      </c>
      <c r="J39" s="44">
        <v>45093</v>
      </c>
      <c r="K39" s="45">
        <v>47979</v>
      </c>
      <c r="L39" s="52">
        <f t="shared" ref="L39:P39" si="12">L154</f>
        <v>46365.847650625088</v>
      </c>
      <c r="M39" s="52">
        <f t="shared" si="12"/>
        <v>44965.472946771886</v>
      </c>
      <c r="N39" s="52">
        <f t="shared" si="12"/>
        <v>44650.975360420525</v>
      </c>
      <c r="O39" s="52">
        <f t="shared" si="12"/>
        <v>45663.955895894193</v>
      </c>
      <c r="P39" s="52">
        <f t="shared" si="12"/>
        <v>48178.916709126526</v>
      </c>
      <c r="Q39" s="40"/>
      <c r="R39" s="40"/>
      <c r="S39" s="40"/>
      <c r="T39" s="42"/>
      <c r="U39" s="53"/>
      <c r="V39" s="40"/>
      <c r="W39" s="42"/>
      <c r="X39" s="40"/>
      <c r="Y39" s="40"/>
      <c r="Z39" s="40"/>
      <c r="AA39" s="42"/>
      <c r="AB39" s="53"/>
      <c r="AC39" s="40"/>
      <c r="AD39" s="42"/>
    </row>
    <row r="40" spans="1:30">
      <c r="A40" s="46" t="s">
        <v>74</v>
      </c>
      <c r="B40" s="35">
        <v>17657</v>
      </c>
      <c r="C40" s="35">
        <v>18283</v>
      </c>
      <c r="D40" s="14">
        <v>19369</v>
      </c>
      <c r="E40" s="14">
        <v>16502</v>
      </c>
      <c r="F40" s="14">
        <v>18180</v>
      </c>
      <c r="G40" s="14">
        <v>18494</v>
      </c>
      <c r="H40" s="14">
        <v>17549</v>
      </c>
      <c r="I40" s="48">
        <v>18569</v>
      </c>
      <c r="J40" s="44">
        <v>16697</v>
      </c>
      <c r="K40" s="45">
        <v>15856</v>
      </c>
      <c r="L40" s="52">
        <f t="shared" ref="L40:P40" si="13">SUM(L35:L39)</f>
        <v>2185.8476506250881</v>
      </c>
      <c r="M40" s="52">
        <f t="shared" si="13"/>
        <v>10785.472946771886</v>
      </c>
      <c r="N40" s="52">
        <f t="shared" si="13"/>
        <v>10470.975360420525</v>
      </c>
      <c r="O40" s="52">
        <f t="shared" si="13"/>
        <v>11483.955895894193</v>
      </c>
      <c r="P40" s="52">
        <f t="shared" si="13"/>
        <v>13998.916709126526</v>
      </c>
      <c r="Q40" s="40"/>
      <c r="R40" s="40"/>
      <c r="S40" s="40"/>
      <c r="T40" s="42"/>
      <c r="U40" s="51"/>
      <c r="V40" s="40"/>
      <c r="W40" s="42"/>
      <c r="X40" s="50"/>
      <c r="Y40" s="50"/>
      <c r="Z40" s="50"/>
      <c r="AA40" s="42"/>
      <c r="AB40" s="51"/>
      <c r="AC40" s="40"/>
      <c r="AD40" s="42"/>
    </row>
    <row r="41" spans="1:30">
      <c r="A41" s="46" t="s">
        <v>75</v>
      </c>
      <c r="B41" s="35">
        <v>127</v>
      </c>
      <c r="C41" s="35">
        <v>135</v>
      </c>
      <c r="D41" s="14">
        <v>178</v>
      </c>
      <c r="E41" s="14">
        <v>163</v>
      </c>
      <c r="F41" s="14">
        <v>178</v>
      </c>
      <c r="G41" s="14">
        <v>212</v>
      </c>
      <c r="H41" s="14">
        <v>241</v>
      </c>
      <c r="I41" s="36">
        <v>673</v>
      </c>
      <c r="J41" s="44">
        <v>622</v>
      </c>
      <c r="K41" s="45">
        <v>578</v>
      </c>
      <c r="L41" s="84">
        <f>K41</f>
        <v>578</v>
      </c>
      <c r="M41" s="52"/>
      <c r="N41" s="73">
        <v>550</v>
      </c>
      <c r="O41" s="73">
        <v>550</v>
      </c>
      <c r="P41" s="73">
        <v>550</v>
      </c>
      <c r="Q41" s="40"/>
      <c r="R41" s="40"/>
      <c r="S41" s="40"/>
      <c r="T41" s="42"/>
      <c r="U41" s="51"/>
      <c r="V41" s="40"/>
      <c r="W41" s="42"/>
      <c r="X41" s="50"/>
      <c r="Y41" s="50"/>
      <c r="Z41" s="50"/>
      <c r="AA41" s="42"/>
      <c r="AB41" s="51"/>
      <c r="AC41" s="40"/>
      <c r="AD41" s="42"/>
    </row>
    <row r="42" spans="1:30">
      <c r="A42" s="47" t="s">
        <v>76</v>
      </c>
      <c r="B42" s="35">
        <v>17784</v>
      </c>
      <c r="C42" s="35">
        <v>18418</v>
      </c>
      <c r="D42" s="85">
        <v>19547</v>
      </c>
      <c r="E42" s="14">
        <v>16665</v>
      </c>
      <c r="F42" s="14">
        <v>18358</v>
      </c>
      <c r="G42" s="14">
        <v>18706</v>
      </c>
      <c r="H42" s="14">
        <v>17790</v>
      </c>
      <c r="I42" s="36">
        <v>19242</v>
      </c>
      <c r="J42" s="44">
        <v>17319</v>
      </c>
      <c r="K42" s="45">
        <v>16434</v>
      </c>
      <c r="L42" s="52">
        <f t="shared" ref="L42:P42" si="14">SUM(L35:L41)</f>
        <v>4949.6953012501763</v>
      </c>
      <c r="M42" s="52">
        <f t="shared" si="14"/>
        <v>21570.945893543772</v>
      </c>
      <c r="N42" s="52">
        <f t="shared" si="14"/>
        <v>21491.95072084105</v>
      </c>
      <c r="O42" s="52">
        <f t="shared" si="14"/>
        <v>23517.911791788385</v>
      </c>
      <c r="P42" s="52">
        <f t="shared" si="14"/>
        <v>28547.833418253053</v>
      </c>
      <c r="Q42" s="40"/>
      <c r="R42" s="40"/>
      <c r="S42" s="40"/>
      <c r="T42" s="42"/>
      <c r="U42" s="53"/>
      <c r="V42" s="40"/>
      <c r="W42" s="42"/>
      <c r="X42" s="50"/>
      <c r="Y42" s="50"/>
      <c r="Z42" s="50"/>
      <c r="AA42" s="42"/>
      <c r="AB42" s="53"/>
      <c r="AC42" s="40"/>
      <c r="AD42" s="42"/>
    </row>
    <row r="43" spans="1:30">
      <c r="A43" s="54" t="s">
        <v>77</v>
      </c>
      <c r="B43" s="55">
        <v>45451</v>
      </c>
      <c r="C43" s="55">
        <v>49316</v>
      </c>
      <c r="D43" s="57">
        <v>54146</v>
      </c>
      <c r="E43" s="57">
        <v>59470</v>
      </c>
      <c r="F43" s="57">
        <v>57773</v>
      </c>
      <c r="G43" s="57">
        <v>58679</v>
      </c>
      <c r="H43" s="57">
        <v>64586</v>
      </c>
      <c r="I43" s="86">
        <v>64470</v>
      </c>
      <c r="J43" s="59">
        <v>62275</v>
      </c>
      <c r="K43" s="87">
        <v>61525</v>
      </c>
      <c r="L43" s="88">
        <f t="shared" ref="L43:P43" si="15">L42+L33</f>
        <v>71261.970777285009</v>
      </c>
      <c r="M43" s="88">
        <f t="shared" si="15"/>
        <v>82246.797056696087</v>
      </c>
      <c r="N43" s="88">
        <f t="shared" si="15"/>
        <v>93311.727166623052</v>
      </c>
      <c r="O43" s="88">
        <f t="shared" si="15"/>
        <v>108173.48681917193</v>
      </c>
      <c r="P43" s="88">
        <f t="shared" si="15"/>
        <v>126570.20925451176</v>
      </c>
      <c r="Q43" s="61"/>
      <c r="R43" s="61"/>
      <c r="S43" s="62"/>
      <c r="T43" s="62"/>
      <c r="U43" s="62"/>
      <c r="V43" s="62"/>
      <c r="W43" s="62"/>
      <c r="X43" s="61"/>
      <c r="Y43" s="61"/>
      <c r="Z43" s="62"/>
      <c r="AA43" s="62"/>
      <c r="AB43" s="62"/>
      <c r="AC43" s="62"/>
      <c r="AD43" s="62"/>
    </row>
    <row r="44" spans="1:30">
      <c r="A44" s="89"/>
      <c r="B44" s="72"/>
      <c r="C44" s="72"/>
      <c r="D44" s="72"/>
      <c r="E44" s="72"/>
      <c r="F44" s="72"/>
      <c r="G44" s="72"/>
      <c r="H44" s="72"/>
      <c r="I44" s="90"/>
      <c r="J44" s="72"/>
      <c r="K44" s="91"/>
      <c r="O44" s="70"/>
      <c r="P44" s="49"/>
      <c r="Q44" s="40"/>
      <c r="R44" s="40"/>
      <c r="S44" s="40"/>
      <c r="T44" s="42"/>
      <c r="U44" s="53"/>
      <c r="V44" s="40"/>
      <c r="W44" s="42"/>
      <c r="X44" s="50"/>
      <c r="Y44" s="50"/>
      <c r="Z44" s="50"/>
      <c r="AA44" s="42"/>
      <c r="AB44" s="53"/>
      <c r="AC44" s="40"/>
      <c r="AD44" s="42"/>
    </row>
    <row r="45" spans="1:30">
      <c r="A45" s="92"/>
      <c r="B45" s="69"/>
      <c r="C45" s="69"/>
      <c r="D45" s="69"/>
      <c r="E45" s="69"/>
      <c r="F45" s="69"/>
      <c r="G45" s="69"/>
      <c r="H45" s="69"/>
      <c r="I45" s="93"/>
      <c r="J45" s="69"/>
      <c r="K45" s="94"/>
      <c r="O45" s="70"/>
      <c r="P45" s="49"/>
      <c r="Q45" s="40"/>
      <c r="R45" s="40"/>
      <c r="S45" s="40"/>
      <c r="T45" s="42"/>
      <c r="U45" s="51"/>
      <c r="V45" s="40"/>
      <c r="W45" s="42"/>
      <c r="X45" s="40"/>
      <c r="Y45" s="40"/>
      <c r="Z45" s="40"/>
      <c r="AA45" s="42"/>
      <c r="AB45" s="51"/>
      <c r="AC45" s="40"/>
      <c r="AD45" s="42"/>
    </row>
    <row r="46" spans="1:30">
      <c r="A46" s="95" t="s">
        <v>78</v>
      </c>
      <c r="B46" s="24">
        <v>2014</v>
      </c>
      <c r="C46" s="24">
        <v>2015</v>
      </c>
      <c r="D46" s="30">
        <v>2016</v>
      </c>
      <c r="E46" s="30">
        <v>2017</v>
      </c>
      <c r="F46" s="31">
        <v>2018</v>
      </c>
      <c r="G46" s="31">
        <v>2019</v>
      </c>
      <c r="H46" s="31">
        <v>2020</v>
      </c>
      <c r="I46" s="24">
        <v>2021</v>
      </c>
      <c r="J46" s="31">
        <v>2022</v>
      </c>
      <c r="K46" s="32">
        <v>2023</v>
      </c>
      <c r="L46" s="96"/>
      <c r="M46" s="96"/>
      <c r="N46" s="96"/>
      <c r="O46" s="97"/>
      <c r="P46" s="41"/>
      <c r="Q46" s="33"/>
      <c r="R46" s="33"/>
      <c r="S46" s="33"/>
      <c r="T46" s="30"/>
      <c r="U46" s="98"/>
      <c r="V46" s="41"/>
      <c r="W46" s="33"/>
      <c r="X46" s="99"/>
      <c r="Y46" s="99"/>
      <c r="Z46" s="99"/>
      <c r="AA46" s="30"/>
      <c r="AB46" s="98"/>
      <c r="AC46" s="41"/>
      <c r="AD46" s="33"/>
    </row>
    <row r="47" spans="1:30">
      <c r="A47" s="34" t="s">
        <v>39</v>
      </c>
      <c r="B47" s="100">
        <f>B6/B19</f>
        <v>0.15310994257552088</v>
      </c>
      <c r="C47" s="100">
        <f t="shared" ref="C47:C60" si="16">C6/$C$19</f>
        <v>0.11061318841755212</v>
      </c>
      <c r="D47" s="100">
        <f t="shared" ref="D47:D60" si="17">D6/$D$19</f>
        <v>0.14484911166106454</v>
      </c>
      <c r="E47" s="100">
        <f t="shared" ref="E47:E60" si="18">E6/$E$19</f>
        <v>0.11869850344711619</v>
      </c>
      <c r="F47" s="100">
        <f t="shared" ref="F47:F60" si="19">F6/$F$19</f>
        <v>0.16074983123604453</v>
      </c>
      <c r="G47" s="100">
        <f t="shared" ref="G47:G60" si="20">G6/$G$19</f>
        <v>0.15451865232877179</v>
      </c>
      <c r="H47" s="100">
        <f t="shared" ref="H47:H60" si="21">H6/$H$19</f>
        <v>0.22102313194810022</v>
      </c>
      <c r="I47" s="100">
        <f t="shared" ref="I47:I60" si="22">I6/$I$19</f>
        <v>0.16998604001861331</v>
      </c>
      <c r="J47" s="100">
        <f t="shared" ref="J47:J60" si="23">J6/$J$19</f>
        <v>0.15458851866720194</v>
      </c>
      <c r="K47" s="101">
        <f t="shared" ref="K47:K60" si="24">K6/$K$19</f>
        <v>0.12880942706216986</v>
      </c>
      <c r="O47" s="70"/>
      <c r="P47" s="49"/>
      <c r="Q47" s="40"/>
      <c r="R47" s="40"/>
      <c r="S47" s="40"/>
      <c r="T47" s="42"/>
      <c r="U47" s="53"/>
      <c r="V47" s="49"/>
      <c r="W47" s="40"/>
      <c r="X47" s="40"/>
      <c r="Y47" s="40"/>
      <c r="Z47" s="40"/>
      <c r="AA47" s="42"/>
      <c r="AB47" s="53"/>
      <c r="AC47" s="49"/>
      <c r="AD47" s="40"/>
    </row>
    <row r="48" spans="1:30">
      <c r="A48" s="43" t="s">
        <v>41</v>
      </c>
      <c r="B48" s="100">
        <f t="shared" ref="B48:B60" si="25">B7/$B$19</f>
        <v>0.17513366042551318</v>
      </c>
      <c r="C48" s="100">
        <f t="shared" si="16"/>
        <v>0.16373996268959365</v>
      </c>
      <c r="D48" s="100">
        <f t="shared" si="17"/>
        <v>2.8072249104273632E-2</v>
      </c>
      <c r="E48" s="100">
        <f t="shared" si="18"/>
        <v>6.3191525138725405E-2</v>
      </c>
      <c r="F48" s="100">
        <f t="shared" si="19"/>
        <v>2.8092707666210859E-2</v>
      </c>
      <c r="G48" s="100">
        <f t="shared" si="20"/>
        <v>2.2989485165050529E-2</v>
      </c>
      <c r="H48" s="100">
        <f t="shared" si="21"/>
        <v>1.4631653918805934E-2</v>
      </c>
      <c r="I48" s="100">
        <f t="shared" si="22"/>
        <v>8.7482550023266631E-3</v>
      </c>
      <c r="J48" s="100">
        <f t="shared" si="23"/>
        <v>7.7559213167402649E-3</v>
      </c>
      <c r="K48" s="101">
        <f t="shared" si="24"/>
        <v>2.7631044290938643E-3</v>
      </c>
      <c r="O48" s="70"/>
      <c r="P48" s="49"/>
      <c r="Q48" s="40"/>
      <c r="R48" s="40"/>
      <c r="S48" s="40"/>
      <c r="T48" s="42"/>
      <c r="U48" s="51"/>
      <c r="V48" s="40"/>
      <c r="W48" s="42"/>
      <c r="X48" s="40"/>
      <c r="Y48" s="40"/>
      <c r="Z48" s="40"/>
      <c r="AA48" s="42"/>
      <c r="AB48" s="51"/>
      <c r="AC48" s="40"/>
      <c r="AD48" s="42"/>
    </row>
    <row r="49" spans="1:30">
      <c r="A49" s="46" t="s">
        <v>42</v>
      </c>
      <c r="B49" s="100">
        <f t="shared" si="25"/>
        <v>9.6917559569646428E-2</v>
      </c>
      <c r="C49" s="100">
        <f t="shared" si="16"/>
        <v>8.962608484061968E-2</v>
      </c>
      <c r="D49" s="100">
        <f t="shared" si="17"/>
        <v>0.15101761903002991</v>
      </c>
      <c r="E49" s="100">
        <f t="shared" si="18"/>
        <v>0.14908357154868002</v>
      </c>
      <c r="F49" s="100">
        <f t="shared" si="19"/>
        <v>0.12995690028213872</v>
      </c>
      <c r="G49" s="100">
        <f t="shared" si="20"/>
        <v>0.12769474599089964</v>
      </c>
      <c r="H49" s="100">
        <f t="shared" si="21"/>
        <v>0.1057040225435853</v>
      </c>
      <c r="I49" s="100">
        <f t="shared" si="22"/>
        <v>0.10594074763455871</v>
      </c>
      <c r="J49" s="100">
        <f t="shared" si="23"/>
        <v>0.11947009233239662</v>
      </c>
      <c r="K49" s="101">
        <f t="shared" si="24"/>
        <v>0.12238927265339293</v>
      </c>
      <c r="O49" s="102"/>
      <c r="P49" s="40"/>
      <c r="Q49" s="40"/>
      <c r="R49" s="40"/>
      <c r="S49" s="42"/>
      <c r="T49" s="42"/>
      <c r="U49" s="42"/>
      <c r="V49" s="42"/>
      <c r="W49" s="42"/>
      <c r="X49" s="40"/>
      <c r="Y49" s="40"/>
      <c r="Z49" s="42"/>
      <c r="AA49" s="42"/>
      <c r="AB49" s="42"/>
      <c r="AC49" s="42"/>
      <c r="AD49" s="42"/>
    </row>
    <row r="50" spans="1:30">
      <c r="A50" s="46" t="s">
        <v>44</v>
      </c>
      <c r="B50" s="100">
        <f t="shared" si="25"/>
        <v>1.5885239048645795E-2</v>
      </c>
      <c r="C50" s="100">
        <f t="shared" si="16"/>
        <v>0</v>
      </c>
      <c r="D50" s="100">
        <f t="shared" si="17"/>
        <v>8.0633841835038605E-2</v>
      </c>
      <c r="E50" s="100">
        <f t="shared" si="18"/>
        <v>7.7568521943837232E-2</v>
      </c>
      <c r="F50" s="100">
        <f t="shared" si="19"/>
        <v>7.487926886261749E-2</v>
      </c>
      <c r="G50" s="100">
        <f t="shared" si="20"/>
        <v>7.5342115577975086E-2</v>
      </c>
      <c r="H50" s="100">
        <f t="shared" si="21"/>
        <v>6.9504226922243215E-2</v>
      </c>
      <c r="I50" s="100">
        <f t="shared" si="22"/>
        <v>7.9695982627578724E-2</v>
      </c>
      <c r="J50" s="100">
        <f t="shared" si="23"/>
        <v>8.8928141308711364E-2</v>
      </c>
      <c r="K50" s="101">
        <f t="shared" si="24"/>
        <v>0.10041446566436409</v>
      </c>
      <c r="O50" s="70"/>
      <c r="P50" s="49"/>
      <c r="Q50" s="40"/>
      <c r="R50" s="40"/>
      <c r="S50" s="40"/>
      <c r="T50" s="42"/>
      <c r="U50" s="51"/>
      <c r="V50" s="40"/>
      <c r="W50" s="42"/>
      <c r="X50" s="40"/>
      <c r="Y50" s="40"/>
      <c r="Z50" s="40"/>
      <c r="AA50" s="42"/>
      <c r="AB50" s="51"/>
      <c r="AC50" s="40"/>
      <c r="AD50" s="42"/>
    </row>
    <row r="51" spans="1:30">
      <c r="A51" s="43" t="s">
        <v>45</v>
      </c>
      <c r="B51" s="100">
        <f t="shared" si="25"/>
        <v>4.7193681107126358E-2</v>
      </c>
      <c r="C51" s="100">
        <f t="shared" si="16"/>
        <v>4.2643361180955471E-2</v>
      </c>
      <c r="D51" s="100">
        <f t="shared" si="17"/>
        <v>2.1275809847449489E-2</v>
      </c>
      <c r="E51" s="100">
        <f t="shared" si="18"/>
        <v>2.8686732806457036E-2</v>
      </c>
      <c r="F51" s="100">
        <f t="shared" si="19"/>
        <v>2.8006162048015509E-2</v>
      </c>
      <c r="G51" s="100">
        <f t="shared" si="20"/>
        <v>3.3623613217675832E-2</v>
      </c>
      <c r="H51" s="100">
        <f t="shared" si="21"/>
        <v>2.537701669092373E-2</v>
      </c>
      <c r="I51" s="100">
        <f t="shared" si="22"/>
        <v>2.9176361098185201E-2</v>
      </c>
      <c r="J51" s="100">
        <f t="shared" si="23"/>
        <v>3.0413488558811722E-2</v>
      </c>
      <c r="K51" s="101">
        <f t="shared" si="24"/>
        <v>2.7614790735473384E-2</v>
      </c>
      <c r="O51" s="70"/>
      <c r="P51" s="49"/>
      <c r="Q51" s="40"/>
      <c r="R51" s="40"/>
      <c r="S51" s="40"/>
      <c r="T51" s="42"/>
      <c r="U51" s="53"/>
      <c r="V51" s="40"/>
      <c r="W51" s="42"/>
      <c r="X51" s="40"/>
      <c r="Y51" s="40"/>
      <c r="Z51" s="40"/>
      <c r="AA51" s="42"/>
      <c r="AB51" s="53"/>
      <c r="AC51" s="40"/>
      <c r="AD51" s="42"/>
    </row>
    <row r="52" spans="1:30">
      <c r="A52" s="46" t="s">
        <v>46</v>
      </c>
      <c r="B52" s="100">
        <f t="shared" si="25"/>
        <v>0.48824008272645264</v>
      </c>
      <c r="C52" s="100">
        <f t="shared" si="16"/>
        <v>0.4066225971287209</v>
      </c>
      <c r="D52" s="100">
        <f t="shared" si="17"/>
        <v>0.42584863147785618</v>
      </c>
      <c r="E52" s="100">
        <f t="shared" si="18"/>
        <v>0.43722885488481589</v>
      </c>
      <c r="F52" s="100">
        <f t="shared" si="19"/>
        <v>0.42168487009502709</v>
      </c>
      <c r="G52" s="100">
        <f t="shared" si="20"/>
        <v>0.41416861228037288</v>
      </c>
      <c r="H52" s="100">
        <f t="shared" si="21"/>
        <v>0.4362400520236584</v>
      </c>
      <c r="I52" s="100">
        <f t="shared" si="22"/>
        <v>0.39354738638126258</v>
      </c>
      <c r="J52" s="100">
        <f t="shared" si="23"/>
        <v>0.40115616218386191</v>
      </c>
      <c r="K52" s="101">
        <f t="shared" si="24"/>
        <v>0.38199106054449411</v>
      </c>
      <c r="O52" s="102"/>
      <c r="P52" s="40"/>
      <c r="Q52" s="40"/>
      <c r="R52" s="40"/>
      <c r="S52" s="42"/>
      <c r="T52" s="42"/>
      <c r="U52" s="42"/>
      <c r="V52" s="42"/>
      <c r="W52" s="42"/>
      <c r="X52" s="40"/>
      <c r="Y52" s="40"/>
      <c r="Z52" s="42"/>
      <c r="AA52" s="42"/>
      <c r="AB52" s="42"/>
      <c r="AC52" s="42"/>
      <c r="AD52" s="42"/>
    </row>
    <row r="53" spans="1:30">
      <c r="A53" s="46" t="s">
        <v>47</v>
      </c>
      <c r="B53" s="100">
        <f t="shared" si="25"/>
        <v>1.0230798002244175E-2</v>
      </c>
      <c r="C53" s="100">
        <f t="shared" si="16"/>
        <v>1.0483413091086058E-2</v>
      </c>
      <c r="D53" s="100">
        <f t="shared" si="17"/>
        <v>1.0841059358031988E-2</v>
      </c>
      <c r="E53" s="100">
        <f t="shared" si="18"/>
        <v>1.1215739028081385E-2</v>
      </c>
      <c r="F53" s="100">
        <f t="shared" si="19"/>
        <v>1.2843369740190054E-2</v>
      </c>
      <c r="G53" s="100">
        <f t="shared" si="20"/>
        <v>1.0020620664973841E-2</v>
      </c>
      <c r="H53" s="100">
        <f t="shared" si="21"/>
        <v>1.0606013687176787E-2</v>
      </c>
      <c r="I53" s="100">
        <f t="shared" si="22"/>
        <v>1.8954552505041106E-2</v>
      </c>
      <c r="J53" s="100">
        <f t="shared" si="23"/>
        <v>1.5174628663187474E-2</v>
      </c>
      <c r="K53" s="101">
        <f t="shared" si="24"/>
        <v>1.5262088581877286E-2</v>
      </c>
      <c r="O53" s="70"/>
      <c r="P53" s="49"/>
      <c r="Q53" s="40"/>
      <c r="R53" s="40"/>
      <c r="S53" s="40"/>
      <c r="T53" s="42"/>
      <c r="U53" s="42"/>
      <c r="V53" s="40"/>
      <c r="W53" s="42"/>
      <c r="X53" s="40"/>
      <c r="Y53" s="40"/>
      <c r="Z53" s="40"/>
      <c r="AA53" s="42"/>
      <c r="AB53" s="51"/>
      <c r="AC53" s="40"/>
      <c r="AD53" s="42"/>
    </row>
    <row r="54" spans="1:30">
      <c r="A54" s="46" t="s">
        <v>48</v>
      </c>
      <c r="B54" s="100">
        <f t="shared" si="25"/>
        <v>0.11843523794855999</v>
      </c>
      <c r="C54" s="100">
        <f t="shared" si="16"/>
        <v>0.11738583826749939</v>
      </c>
      <c r="D54" s="100">
        <f t="shared" si="17"/>
        <v>0.10698851254016917</v>
      </c>
      <c r="E54" s="100">
        <f t="shared" si="18"/>
        <v>9.9646880780225322E-2</v>
      </c>
      <c r="F54" s="100">
        <f t="shared" si="19"/>
        <v>9.1669118792515533E-2</v>
      </c>
      <c r="G54" s="100">
        <f t="shared" si="20"/>
        <v>9.0747967756778403E-2</v>
      </c>
      <c r="H54" s="100">
        <f t="shared" si="21"/>
        <v>8.624160034682439E-2</v>
      </c>
      <c r="I54" s="100">
        <f t="shared" si="22"/>
        <v>8.6272684969753377E-2</v>
      </c>
      <c r="J54" s="100">
        <f t="shared" si="23"/>
        <v>8.7852268165395417E-2</v>
      </c>
      <c r="K54" s="101">
        <f t="shared" si="24"/>
        <v>9.1995123933360429E-2</v>
      </c>
      <c r="O54" s="102"/>
      <c r="P54" s="40"/>
      <c r="Q54" s="40"/>
      <c r="R54" s="40"/>
      <c r="S54" s="42"/>
      <c r="T54" s="42"/>
      <c r="U54" s="42"/>
      <c r="V54" s="42"/>
      <c r="W54" s="42"/>
      <c r="X54" s="40"/>
      <c r="Y54" s="40"/>
      <c r="Z54" s="42"/>
      <c r="AA54" s="42"/>
      <c r="AB54" s="42"/>
      <c r="AC54" s="42"/>
      <c r="AD54" s="42"/>
    </row>
    <row r="55" spans="1:30">
      <c r="A55" s="46" t="s">
        <v>49</v>
      </c>
      <c r="B55" s="100">
        <f t="shared" si="25"/>
        <v>0.28135794591978175</v>
      </c>
      <c r="C55" s="100">
        <f t="shared" si="16"/>
        <v>0.32230918971530537</v>
      </c>
      <c r="D55" s="100">
        <f t="shared" si="17"/>
        <v>0.32702323347985079</v>
      </c>
      <c r="E55" s="100">
        <f t="shared" si="18"/>
        <v>0.30733142761055993</v>
      </c>
      <c r="F55" s="100">
        <f t="shared" si="19"/>
        <v>0.26908763609298464</v>
      </c>
      <c r="G55" s="100">
        <f t="shared" si="20"/>
        <v>0.26522265205610185</v>
      </c>
      <c r="H55" s="100">
        <f t="shared" si="21"/>
        <v>0.24862973399808008</v>
      </c>
      <c r="I55" s="100">
        <f t="shared" si="22"/>
        <v>0.27541492166899334</v>
      </c>
      <c r="J55" s="100">
        <f t="shared" si="23"/>
        <v>0.28096346848655157</v>
      </c>
      <c r="K55" s="101">
        <f t="shared" si="24"/>
        <v>0.2933604225924421</v>
      </c>
      <c r="O55" s="70"/>
      <c r="P55" s="49"/>
      <c r="Q55" s="40"/>
      <c r="R55" s="40"/>
      <c r="S55" s="49"/>
      <c r="T55" s="50"/>
      <c r="U55" s="51"/>
      <c r="V55" s="40"/>
      <c r="W55" s="42"/>
      <c r="X55" s="40"/>
      <c r="Y55" s="40"/>
      <c r="Z55" s="49"/>
      <c r="AA55" s="50"/>
      <c r="AB55" s="51"/>
      <c r="AC55" s="40"/>
      <c r="AD55" s="42"/>
    </row>
    <row r="56" spans="1:30">
      <c r="A56" s="43" t="s">
        <v>50</v>
      </c>
      <c r="B56" s="100">
        <f t="shared" si="25"/>
        <v>4.857978922355944E-2</v>
      </c>
      <c r="C56" s="100">
        <f t="shared" si="16"/>
        <v>9.2809635817990108E-2</v>
      </c>
      <c r="D56" s="100">
        <f t="shared" si="17"/>
        <v>8.5583422598160527E-2</v>
      </c>
      <c r="E56" s="100">
        <f t="shared" si="18"/>
        <v>7.5601143433664031E-2</v>
      </c>
      <c r="F56" s="100">
        <f t="shared" si="19"/>
        <v>7.1642462742111362E-2</v>
      </c>
      <c r="G56" s="100">
        <f t="shared" si="20"/>
        <v>6.3634349596959724E-2</v>
      </c>
      <c r="H56" s="100">
        <f t="shared" si="21"/>
        <v>5.5120304709999068E-2</v>
      </c>
      <c r="I56" s="100">
        <f t="shared" si="22"/>
        <v>5.6041569722351484E-2</v>
      </c>
      <c r="J56" s="100">
        <f t="shared" si="23"/>
        <v>5.1738257727820154E-2</v>
      </c>
      <c r="K56" s="101">
        <f t="shared" si="24"/>
        <v>5.2515237708248681E-2</v>
      </c>
      <c r="O56" s="40"/>
      <c r="P56" s="40"/>
      <c r="Q56" s="40"/>
      <c r="R56" s="40"/>
      <c r="S56" s="42"/>
      <c r="T56" s="42"/>
      <c r="U56" s="42"/>
      <c r="V56" s="42"/>
      <c r="W56" s="42"/>
      <c r="X56" s="40"/>
      <c r="Y56" s="40"/>
      <c r="Z56" s="42"/>
      <c r="AA56" s="42"/>
      <c r="AB56" s="42"/>
      <c r="AC56" s="42"/>
      <c r="AD56" s="42"/>
    </row>
    <row r="57" spans="1:30">
      <c r="A57" s="46" t="s">
        <v>51</v>
      </c>
      <c r="B57" s="100">
        <f t="shared" si="25"/>
        <v>9.9887791247717326E-3</v>
      </c>
      <c r="C57" s="100">
        <f t="shared" si="16"/>
        <v>8.638170167896829E-3</v>
      </c>
      <c r="D57" s="100">
        <f t="shared" si="17"/>
        <v>7.7013999187382264E-3</v>
      </c>
      <c r="E57" s="100">
        <f t="shared" si="18"/>
        <v>8.0544812510509496E-3</v>
      </c>
      <c r="F57" s="100">
        <f t="shared" si="19"/>
        <v>7.5640870302736574E-3</v>
      </c>
      <c r="G57" s="100">
        <f t="shared" si="20"/>
        <v>6.6804137766492272E-3</v>
      </c>
      <c r="H57" s="100">
        <f t="shared" si="21"/>
        <v>5.6668627876010277E-3</v>
      </c>
      <c r="I57" s="100">
        <f t="shared" si="22"/>
        <v>4.9945711183496198E-3</v>
      </c>
      <c r="J57" s="100">
        <f t="shared" si="23"/>
        <v>3.5969490164592531E-3</v>
      </c>
      <c r="K57" s="101">
        <f t="shared" si="24"/>
        <v>2.7631044290938643E-3</v>
      </c>
      <c r="P57" s="103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spans="1:30">
      <c r="A58" s="46" t="s">
        <v>52</v>
      </c>
      <c r="B58" s="100">
        <f t="shared" si="25"/>
        <v>8.8886933180788094E-3</v>
      </c>
      <c r="C58" s="100">
        <f t="shared" si="16"/>
        <v>5.7385027171708977E-3</v>
      </c>
      <c r="D58" s="100">
        <f t="shared" si="17"/>
        <v>6.4085989731466775E-3</v>
      </c>
      <c r="E58" s="100">
        <f t="shared" si="18"/>
        <v>4.2206154363544643E-3</v>
      </c>
      <c r="F58" s="100">
        <f t="shared" si="19"/>
        <v>6.6120852301247987E-3</v>
      </c>
      <c r="G58" s="100">
        <f t="shared" si="20"/>
        <v>1.4656009816118203E-3</v>
      </c>
      <c r="H58" s="100">
        <f t="shared" si="21"/>
        <v>1.1767256061685195E-2</v>
      </c>
      <c r="I58" s="100">
        <f t="shared" si="22"/>
        <v>7.5849232201023733E-3</v>
      </c>
      <c r="J58" s="100">
        <f t="shared" si="23"/>
        <v>6.7603372139702928E-3</v>
      </c>
      <c r="K58" s="101">
        <f t="shared" si="24"/>
        <v>6.3713937423811456E-3</v>
      </c>
      <c r="P58" s="104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</row>
    <row r="59" spans="1:30">
      <c r="A59" s="46" t="s">
        <v>53</v>
      </c>
      <c r="B59" s="100">
        <f t="shared" si="25"/>
        <v>3.4278673736551454E-2</v>
      </c>
      <c r="C59" s="100">
        <f t="shared" si="16"/>
        <v>3.6012653094330438E-2</v>
      </c>
      <c r="D59" s="100">
        <f t="shared" si="17"/>
        <v>2.9605141654046468E-2</v>
      </c>
      <c r="E59" s="100">
        <f t="shared" si="18"/>
        <v>5.6700857575248023E-2</v>
      </c>
      <c r="F59" s="100">
        <f t="shared" si="19"/>
        <v>0.11889637027677288</v>
      </c>
      <c r="G59" s="100">
        <f t="shared" si="20"/>
        <v>0.14805978288655225</v>
      </c>
      <c r="H59" s="100">
        <f t="shared" si="21"/>
        <v>0.14572817638497507</v>
      </c>
      <c r="I59" s="100">
        <f t="shared" si="22"/>
        <v>0.15718939041414612</v>
      </c>
      <c r="J59" s="100">
        <f t="shared" si="23"/>
        <v>0.15275792854275391</v>
      </c>
      <c r="K59" s="101">
        <f t="shared" si="24"/>
        <v>0.15574156846810239</v>
      </c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</row>
    <row r="60" spans="1:30">
      <c r="A60" s="46" t="s">
        <v>54</v>
      </c>
      <c r="B60" s="100">
        <f t="shared" si="25"/>
        <v>1</v>
      </c>
      <c r="C60" s="100">
        <f t="shared" si="16"/>
        <v>1</v>
      </c>
      <c r="D60" s="100">
        <f t="shared" si="17"/>
        <v>1</v>
      </c>
      <c r="E60" s="100">
        <f t="shared" si="18"/>
        <v>1</v>
      </c>
      <c r="F60" s="100">
        <f t="shared" si="19"/>
        <v>1</v>
      </c>
      <c r="G60" s="100">
        <f t="shared" si="20"/>
        <v>1</v>
      </c>
      <c r="H60" s="100">
        <f t="shared" si="21"/>
        <v>1</v>
      </c>
      <c r="I60" s="100">
        <f t="shared" si="22"/>
        <v>1</v>
      </c>
      <c r="J60" s="100">
        <f t="shared" si="23"/>
        <v>1</v>
      </c>
      <c r="K60" s="101">
        <f t="shared" si="24"/>
        <v>1</v>
      </c>
    </row>
    <row r="61" spans="1:30">
      <c r="A61" s="46" t="s">
        <v>55</v>
      </c>
      <c r="B61" s="69"/>
      <c r="C61" s="100"/>
      <c r="D61" s="100"/>
      <c r="E61" s="100"/>
      <c r="F61" s="100"/>
      <c r="G61" s="100"/>
      <c r="H61" s="100"/>
      <c r="I61" s="100"/>
      <c r="J61" s="100"/>
      <c r="K61" s="101"/>
    </row>
    <row r="62" spans="1:30">
      <c r="A62" s="43" t="s">
        <v>56</v>
      </c>
      <c r="B62" s="69"/>
      <c r="C62" s="100"/>
      <c r="D62" s="100"/>
      <c r="E62" s="100"/>
      <c r="F62" s="100"/>
      <c r="G62" s="100"/>
      <c r="H62" s="100"/>
      <c r="I62" s="100"/>
      <c r="J62" s="100"/>
      <c r="K62" s="101"/>
    </row>
    <row r="63" spans="1:30">
      <c r="A63" s="46" t="s">
        <v>57</v>
      </c>
      <c r="B63" s="100">
        <f>B22/B19</f>
        <v>0.11803920705815053</v>
      </c>
      <c r="C63" s="100">
        <f t="shared" ref="C63:C73" si="26">C22/$C$19</f>
        <v>0.11314786276259227</v>
      </c>
      <c r="D63" s="100">
        <f t="shared" ref="D63:D73" si="27">D22/$D$19</f>
        <v>0.10508624829165589</v>
      </c>
      <c r="E63" s="100">
        <f t="shared" ref="E63:E73" si="28">E22/$E$19</f>
        <v>0.11071128299983185</v>
      </c>
      <c r="F63" s="100">
        <f t="shared" ref="F63:F73" si="29">F22/$F$19</f>
        <v>9.7052256244266347E-2</v>
      </c>
      <c r="G63" s="100">
        <f t="shared" ref="G63:G73" si="30">G22/$G$19</f>
        <v>9.7649925867857326E-2</v>
      </c>
      <c r="H63" s="100">
        <f t="shared" ref="H63:H73" si="31">H22/$H$19</f>
        <v>8.9028582045644566E-2</v>
      </c>
      <c r="I63" s="100">
        <f t="shared" ref="I63:I73" si="32">I22/$I$19</f>
        <v>0.10057391034589731</v>
      </c>
      <c r="J63" s="100">
        <f t="shared" ref="J63:J73" si="33">J22/$J$19</f>
        <v>0.1016298675230831</v>
      </c>
      <c r="K63" s="101">
        <f t="shared" ref="K63:K73" si="34">K22/$K$19</f>
        <v>0.11132060138155221</v>
      </c>
    </row>
    <row r="64" spans="1:30">
      <c r="A64" s="46" t="s">
        <v>58</v>
      </c>
      <c r="B64" s="100">
        <f t="shared" ref="B64:B73" si="35">B23/$B$19</f>
        <v>3.7358913995291634E-2</v>
      </c>
      <c r="C64" s="100">
        <f t="shared" si="26"/>
        <v>0.12038689269202693</v>
      </c>
      <c r="D64" s="100">
        <f t="shared" si="27"/>
        <v>6.2165256898016476E-2</v>
      </c>
      <c r="E64" s="100">
        <f t="shared" si="28"/>
        <v>6.6554565327055656E-2</v>
      </c>
      <c r="F64" s="100">
        <f t="shared" si="29"/>
        <v>6.207051736970557E-2</v>
      </c>
      <c r="G64" s="100">
        <f t="shared" si="30"/>
        <v>5.9919221527292559E-2</v>
      </c>
      <c r="H64" s="100">
        <f t="shared" si="31"/>
        <v>5.5693184281423218E-2</v>
      </c>
      <c r="I64" s="100">
        <f t="shared" si="32"/>
        <v>5.4940282301845819E-2</v>
      </c>
      <c r="J64" s="100">
        <f t="shared" si="33"/>
        <v>4.3629064632677642E-2</v>
      </c>
      <c r="K64" s="101">
        <f t="shared" si="34"/>
        <v>3.3888663145062982E-2</v>
      </c>
    </row>
    <row r="65" spans="1:17">
      <c r="A65" s="78" t="s">
        <v>59</v>
      </c>
      <c r="B65" s="100">
        <f t="shared" si="35"/>
        <v>2.0659611449693076E-2</v>
      </c>
      <c r="C65" s="100">
        <f t="shared" si="26"/>
        <v>1.1700056776705329E-2</v>
      </c>
      <c r="D65" s="100">
        <f t="shared" si="27"/>
        <v>4.1923687807040224E-3</v>
      </c>
      <c r="E65" s="100">
        <f t="shared" si="28"/>
        <v>2.2717336472170842E-2</v>
      </c>
      <c r="F65" s="100">
        <f t="shared" si="29"/>
        <v>4.9711803091409483E-2</v>
      </c>
      <c r="G65" s="100">
        <f t="shared" si="30"/>
        <v>2.3449615705789125E-2</v>
      </c>
      <c r="H65" s="100">
        <f t="shared" si="31"/>
        <v>3.7856501408974084E-2</v>
      </c>
      <c r="I65" s="100">
        <f t="shared" si="32"/>
        <v>2.796649604467194E-2</v>
      </c>
      <c r="J65" s="100">
        <f t="shared" si="33"/>
        <v>2.7780008028904055E-2</v>
      </c>
      <c r="K65" s="101">
        <f t="shared" si="34"/>
        <v>2.9191385615603412E-2</v>
      </c>
    </row>
    <row r="66" spans="1:17">
      <c r="A66" s="34" t="s">
        <v>60</v>
      </c>
      <c r="B66" s="100">
        <f t="shared" si="35"/>
        <v>0.1489736199423555</v>
      </c>
      <c r="C66" s="100">
        <f t="shared" si="26"/>
        <v>0.12728120691053613</v>
      </c>
      <c r="D66" s="100">
        <f t="shared" si="27"/>
        <v>0.13016658663613193</v>
      </c>
      <c r="E66" s="100">
        <f t="shared" si="28"/>
        <v>0.11716832016142593</v>
      </c>
      <c r="F66" s="100">
        <f t="shared" si="29"/>
        <v>0.11872327904038218</v>
      </c>
      <c r="G66" s="100">
        <f t="shared" si="30"/>
        <v>0.12740503416895313</v>
      </c>
      <c r="H66" s="100">
        <f t="shared" si="31"/>
        <v>0.11465333044313009</v>
      </c>
      <c r="I66" s="100">
        <f t="shared" si="32"/>
        <v>0.11910966340933768</v>
      </c>
      <c r="J66" s="100">
        <f t="shared" si="33"/>
        <v>0.14712163789642713</v>
      </c>
      <c r="K66" s="101">
        <f t="shared" si="34"/>
        <v>0.12692401462819991</v>
      </c>
    </row>
    <row r="67" spans="1:17">
      <c r="A67" s="43" t="s">
        <v>61</v>
      </c>
      <c r="B67" s="100">
        <f t="shared" si="35"/>
        <v>0.32503135244549075</v>
      </c>
      <c r="C67" s="100">
        <f t="shared" si="26"/>
        <v>0.37251601914186067</v>
      </c>
      <c r="D67" s="100">
        <f t="shared" si="27"/>
        <v>0.30161046060650831</v>
      </c>
      <c r="E67" s="100">
        <f t="shared" si="28"/>
        <v>0.31715150496048428</v>
      </c>
      <c r="F67" s="100">
        <f t="shared" si="29"/>
        <v>0.32755785574576357</v>
      </c>
      <c r="G67" s="100">
        <f t="shared" si="30"/>
        <v>0.30842379726989211</v>
      </c>
      <c r="H67" s="100">
        <f t="shared" si="31"/>
        <v>0.29723159817917194</v>
      </c>
      <c r="I67" s="100">
        <f t="shared" si="32"/>
        <v>0.30259035210175278</v>
      </c>
      <c r="J67" s="100">
        <f t="shared" si="33"/>
        <v>0.32016057808109194</v>
      </c>
      <c r="K67" s="101">
        <f t="shared" si="34"/>
        <v>0.30132466477041853</v>
      </c>
    </row>
    <row r="68" spans="1:17">
      <c r="A68" s="46" t="s">
        <v>62</v>
      </c>
      <c r="B68" s="100">
        <f t="shared" si="35"/>
        <v>0.13302237574530815</v>
      </c>
      <c r="C68" s="100">
        <f t="shared" si="26"/>
        <v>0.11262065049882392</v>
      </c>
      <c r="D68" s="100">
        <f t="shared" si="27"/>
        <v>0.22498430170280354</v>
      </c>
      <c r="E68" s="100">
        <f t="shared" si="28"/>
        <v>0.2114175214393812</v>
      </c>
      <c r="F68" s="100">
        <f t="shared" si="29"/>
        <v>0.16886781022276842</v>
      </c>
      <c r="G68" s="100">
        <f t="shared" si="30"/>
        <v>0.18933519657799214</v>
      </c>
      <c r="H68" s="100">
        <f t="shared" si="31"/>
        <v>0.25302697178955191</v>
      </c>
      <c r="I68" s="100">
        <f t="shared" si="32"/>
        <v>0.22109508298433381</v>
      </c>
      <c r="J68" s="100">
        <f t="shared" si="33"/>
        <v>0.24284223203532718</v>
      </c>
      <c r="K68" s="101">
        <f t="shared" si="34"/>
        <v>0.26919138561560341</v>
      </c>
    </row>
    <row r="69" spans="1:17">
      <c r="A69" s="43" t="s">
        <v>52</v>
      </c>
      <c r="B69" s="100">
        <f t="shared" si="35"/>
        <v>5.192405007590592E-3</v>
      </c>
      <c r="C69" s="100">
        <f t="shared" si="26"/>
        <v>1.1314786276259226E-2</v>
      </c>
      <c r="D69" s="100">
        <f t="shared" si="27"/>
        <v>8.9757322793927521E-3</v>
      </c>
      <c r="E69" s="100">
        <f t="shared" si="28"/>
        <v>4.4795695308558939E-2</v>
      </c>
      <c r="F69" s="100">
        <f t="shared" si="29"/>
        <v>2.9650528793727173E-2</v>
      </c>
      <c r="G69" s="100">
        <f t="shared" si="30"/>
        <v>2.8459926038276046E-2</v>
      </c>
      <c r="H69" s="100">
        <f t="shared" si="31"/>
        <v>3.2716068497816865E-2</v>
      </c>
      <c r="I69" s="100">
        <f t="shared" si="32"/>
        <v>3.6668217775709631E-2</v>
      </c>
      <c r="J69" s="100">
        <f t="shared" si="33"/>
        <v>3.3608992372541148E-2</v>
      </c>
      <c r="K69" s="101">
        <f t="shared" si="34"/>
        <v>3.4034945144250303E-2</v>
      </c>
    </row>
    <row r="70" spans="1:17">
      <c r="A70" s="46" t="s">
        <v>63</v>
      </c>
      <c r="B70" s="100">
        <f t="shared" si="35"/>
        <v>2.0043563397945038E-2</v>
      </c>
      <c r="C70" s="100">
        <f t="shared" si="26"/>
        <v>1.0665909643928948E-2</v>
      </c>
      <c r="D70" s="100">
        <f t="shared" si="27"/>
        <v>8.735640675211466E-3</v>
      </c>
      <c r="E70" s="100">
        <f t="shared" si="28"/>
        <v>8.6093828821254409E-3</v>
      </c>
      <c r="F70" s="100">
        <f t="shared" si="29"/>
        <v>5.9543385318401327E-3</v>
      </c>
      <c r="G70" s="100">
        <f t="shared" si="30"/>
        <v>5.555650232621551E-3</v>
      </c>
      <c r="H70" s="100">
        <f t="shared" si="31"/>
        <v>3.7469420617471279E-3</v>
      </c>
      <c r="I70" s="100">
        <f t="shared" si="32"/>
        <v>3.2263068093686988E-3</v>
      </c>
      <c r="J70" s="100">
        <f t="shared" si="33"/>
        <v>2.3444399839421919E-3</v>
      </c>
      <c r="K70" s="101">
        <f t="shared" si="34"/>
        <v>2.1779764323445754E-3</v>
      </c>
      <c r="L70" s="105"/>
      <c r="M70" s="105"/>
      <c r="N70" s="105"/>
      <c r="O70" s="105"/>
      <c r="P70" s="105"/>
      <c r="Q70" s="105"/>
    </row>
    <row r="71" spans="1:17">
      <c r="A71" s="43" t="s">
        <v>64</v>
      </c>
      <c r="B71" s="100">
        <f t="shared" si="35"/>
        <v>2.6402059360630128E-2</v>
      </c>
      <c r="C71" s="100">
        <f t="shared" si="26"/>
        <v>2.5367020845161813E-2</v>
      </c>
      <c r="D71" s="100">
        <f t="shared" si="27"/>
        <v>1.8727145126140435E-2</v>
      </c>
      <c r="E71" s="100">
        <f t="shared" si="28"/>
        <v>3.8002354128131834E-2</v>
      </c>
      <c r="F71" s="100">
        <f t="shared" si="29"/>
        <v>3.9274401537050183E-2</v>
      </c>
      <c r="G71" s="100">
        <f t="shared" si="30"/>
        <v>3.4015576270897595E-2</v>
      </c>
      <c r="H71" s="100">
        <f t="shared" si="31"/>
        <v>2.972780478741523E-2</v>
      </c>
      <c r="I71" s="100">
        <f t="shared" si="32"/>
        <v>2.7919962773382968E-2</v>
      </c>
      <c r="J71" s="100">
        <f t="shared" si="33"/>
        <v>1.8948213568847853E-2</v>
      </c>
      <c r="K71" s="101">
        <f t="shared" si="34"/>
        <v>2.4217797643234458E-2</v>
      </c>
    </row>
    <row r="72" spans="1:17">
      <c r="A72" s="46" t="s">
        <v>65</v>
      </c>
      <c r="B72" s="100">
        <f t="shared" si="35"/>
        <v>9.4211348485181839E-2</v>
      </c>
      <c r="C72" s="100">
        <f t="shared" si="26"/>
        <v>8.8166112417876558E-2</v>
      </c>
      <c r="D72" s="100">
        <f t="shared" si="27"/>
        <v>7.5905884091160933E-2</v>
      </c>
      <c r="E72" s="100">
        <f t="shared" si="28"/>
        <v>9.971414158399193E-2</v>
      </c>
      <c r="F72" s="100">
        <f t="shared" si="29"/>
        <v>0.11081300953732713</v>
      </c>
      <c r="G72" s="100">
        <f t="shared" si="30"/>
        <v>0.115305305134716</v>
      </c>
      <c r="H72" s="100">
        <f t="shared" si="31"/>
        <v>0.10799554082928189</v>
      </c>
      <c r="I72" s="100">
        <f t="shared" si="32"/>
        <v>0.10992709787498062</v>
      </c>
      <c r="J72" s="100">
        <f t="shared" si="33"/>
        <v>0.10387796065837013</v>
      </c>
      <c r="K72" s="101">
        <f t="shared" si="34"/>
        <v>0.10182852498984153</v>
      </c>
    </row>
    <row r="73" spans="1:17">
      <c r="A73" s="46" t="s">
        <v>66</v>
      </c>
      <c r="B73" s="100">
        <f t="shared" si="35"/>
        <v>4.8183758333149983E-3</v>
      </c>
      <c r="C73" s="100">
        <f t="shared" si="26"/>
        <v>5.8804444804931464E-3</v>
      </c>
      <c r="D73" s="100">
        <f t="shared" si="27"/>
        <v>5.5405754811066375E-5</v>
      </c>
      <c r="E73" s="100">
        <f t="shared" si="28"/>
        <v>8.4076004708256259E-5</v>
      </c>
      <c r="F73" s="100">
        <f t="shared" si="29"/>
        <v>1.2116386547349108E-4</v>
      </c>
      <c r="G73" s="100">
        <f t="shared" si="30"/>
        <v>1.1929310315445049E-4</v>
      </c>
      <c r="H73" s="100">
        <f t="shared" si="31"/>
        <v>1.0838262162078469E-4</v>
      </c>
      <c r="I73" s="100">
        <f t="shared" si="32"/>
        <v>1.0857763300760044E-4</v>
      </c>
      <c r="J73" s="100">
        <f t="shared" si="33"/>
        <v>1.1240465676435166E-4</v>
      </c>
      <c r="K73" s="101">
        <f t="shared" si="34"/>
        <v>1.1377488825680617E-4</v>
      </c>
    </row>
    <row r="74" spans="1:17">
      <c r="A74" s="46" t="s">
        <v>67</v>
      </c>
      <c r="B74" s="100">
        <f t="shared" ref="B74:K74" si="36">B33/B19</f>
        <v>0.93375283272095222</v>
      </c>
      <c r="C74" s="100">
        <f t="shared" si="36"/>
        <v>0.9990469624462649</v>
      </c>
      <c r="D74" s="100">
        <f t="shared" si="36"/>
        <v>0.94060503084253688</v>
      </c>
      <c r="E74" s="100">
        <f t="shared" si="36"/>
        <v>1.0369261812678661</v>
      </c>
      <c r="F74" s="100">
        <f t="shared" si="36"/>
        <v>1.0097969639797137</v>
      </c>
      <c r="G74" s="100">
        <f t="shared" si="36"/>
        <v>0.98963854189744205</v>
      </c>
      <c r="H74" s="100">
        <f t="shared" si="36"/>
        <v>1.0217849069457776</v>
      </c>
      <c r="I74" s="100">
        <f t="shared" si="36"/>
        <v>1.0041259500542887</v>
      </c>
      <c r="J74" s="100">
        <f t="shared" si="36"/>
        <v>1.0420553994379766</v>
      </c>
      <c r="K74" s="101">
        <f t="shared" si="36"/>
        <v>1.0342137342543682</v>
      </c>
    </row>
    <row r="75" spans="1:17">
      <c r="A75" s="46" t="s">
        <v>68</v>
      </c>
      <c r="B75" s="100">
        <f t="shared" ref="B75:B84" si="37">B34/$B$19</f>
        <v>0</v>
      </c>
      <c r="C75" s="100">
        <f t="shared" ref="C75:C84" si="38">C34/$C$19</f>
        <v>0</v>
      </c>
      <c r="D75" s="100">
        <f t="shared" ref="D75:D84" si="39">D34/$D$19</f>
        <v>0</v>
      </c>
      <c r="E75" s="100">
        <f t="shared" ref="E75:E84" si="40">E34/$E$19</f>
        <v>0</v>
      </c>
      <c r="F75" s="100">
        <f t="shared" ref="F75:F84" si="41">F34/$F$19</f>
        <v>0</v>
      </c>
      <c r="G75" s="100">
        <f t="shared" ref="G75:G84" si="42">G34/$G$19</f>
        <v>0</v>
      </c>
      <c r="H75" s="100">
        <f t="shared" ref="H75:H84" si="43">H34/$H$19</f>
        <v>0</v>
      </c>
      <c r="I75" s="100">
        <f t="shared" ref="I75:I84" si="44">I34/$I$19</f>
        <v>0</v>
      </c>
      <c r="J75" s="100">
        <f t="shared" ref="J75:J84" si="45">J34/$J$19</f>
        <v>0</v>
      </c>
      <c r="K75" s="101">
        <f t="shared" ref="K75:K84" si="46">K34/$K$19</f>
        <v>0</v>
      </c>
    </row>
    <row r="76" spans="1:17">
      <c r="A76" s="46" t="s">
        <v>69</v>
      </c>
      <c r="B76" s="100">
        <f t="shared" si="37"/>
        <v>2.1077644056236387E-2</v>
      </c>
      <c r="C76" s="100">
        <f t="shared" si="38"/>
        <v>1.9425744180387703E-2</v>
      </c>
      <c r="D76" s="100">
        <f t="shared" si="39"/>
        <v>1.7692904369667195E-2</v>
      </c>
      <c r="E76" s="100">
        <f t="shared" si="40"/>
        <v>1.6108962502101899E-2</v>
      </c>
      <c r="F76" s="100">
        <f t="shared" si="41"/>
        <v>1.6582140446229209E-2</v>
      </c>
      <c r="G76" s="100">
        <f t="shared" si="42"/>
        <v>1.6326113260280509E-2</v>
      </c>
      <c r="H76" s="100">
        <f t="shared" si="43"/>
        <v>1.4832935930387391E-2</v>
      </c>
      <c r="I76" s="100">
        <f t="shared" si="44"/>
        <v>1.4859624631611602E-2</v>
      </c>
      <c r="J76" s="100">
        <f t="shared" si="45"/>
        <v>1.5383380168606985E-2</v>
      </c>
      <c r="K76" s="101">
        <f t="shared" si="46"/>
        <v>1.5570906135717188E-2</v>
      </c>
    </row>
    <row r="77" spans="1:17">
      <c r="A77" s="46" t="s">
        <v>70</v>
      </c>
      <c r="B77" s="100">
        <f t="shared" si="37"/>
        <v>0.11084464588237883</v>
      </c>
      <c r="C77" s="100">
        <f t="shared" si="38"/>
        <v>0.10903155162624706</v>
      </c>
      <c r="D77" s="100">
        <f t="shared" si="39"/>
        <v>0.11472684962878145</v>
      </c>
      <c r="E77" s="100">
        <f t="shared" si="40"/>
        <v>0.10445602824953758</v>
      </c>
      <c r="F77" s="100">
        <f t="shared" si="41"/>
        <v>0.11167846571928064</v>
      </c>
      <c r="G77" s="100">
        <f t="shared" si="42"/>
        <v>0.11717991104142879</v>
      </c>
      <c r="H77" s="100">
        <f t="shared" si="43"/>
        <v>0.11290372526553742</v>
      </c>
      <c r="I77" s="100">
        <f t="shared" si="44"/>
        <v>0.1262757871878393</v>
      </c>
      <c r="J77" s="100">
        <f t="shared" si="45"/>
        <v>0.13751906864712968</v>
      </c>
      <c r="K77" s="101">
        <f t="shared" si="46"/>
        <v>0.14728971962616821</v>
      </c>
    </row>
    <row r="78" spans="1:17">
      <c r="A78" s="46" t="s">
        <v>71</v>
      </c>
      <c r="B78" s="100">
        <f t="shared" si="37"/>
        <v>-2.199071527579151</v>
      </c>
      <c r="C78" s="100">
        <f t="shared" si="38"/>
        <v>-0.23651553248438639</v>
      </c>
      <c r="D78" s="100">
        <f t="shared" si="39"/>
        <v>-0.29390906068777012</v>
      </c>
      <c r="E78" s="100">
        <f t="shared" si="40"/>
        <v>-0.26759710778543805</v>
      </c>
      <c r="F78" s="100">
        <f t="shared" si="41"/>
        <v>-0.34221868346805601</v>
      </c>
      <c r="G78" s="100">
        <f t="shared" si="42"/>
        <v>-0.4062100581127831</v>
      </c>
      <c r="H78" s="100">
        <f t="shared" si="43"/>
        <v>-0.42159291487319234</v>
      </c>
      <c r="I78" s="100">
        <f t="shared" si="44"/>
        <v>-0.47249883666821779</v>
      </c>
      <c r="J78" s="100">
        <f t="shared" si="45"/>
        <v>-0.55307908470493783</v>
      </c>
      <c r="K78" s="101">
        <f t="shared" si="46"/>
        <v>-0.61776513612352701</v>
      </c>
    </row>
    <row r="79" spans="1:17">
      <c r="A79" s="46" t="s">
        <v>72</v>
      </c>
      <c r="B79" s="100">
        <f t="shared" si="37"/>
        <v>-3.2100503839299466E-2</v>
      </c>
      <c r="C79" s="100">
        <f t="shared" si="38"/>
        <v>-5.1403195717414224E-2</v>
      </c>
      <c r="D79" s="100">
        <f t="shared" si="39"/>
        <v>-4.1277287334244447E-2</v>
      </c>
      <c r="E79" s="100">
        <f t="shared" si="40"/>
        <v>-3.7581974104590549E-2</v>
      </c>
      <c r="F79" s="100">
        <f t="shared" si="41"/>
        <v>-5.9491457947484117E-2</v>
      </c>
      <c r="G79" s="100">
        <f t="shared" si="42"/>
        <v>-5.4482864397825459E-2</v>
      </c>
      <c r="H79" s="100">
        <f t="shared" si="43"/>
        <v>-5.2286873316198558E-2</v>
      </c>
      <c r="I79" s="100">
        <f t="shared" si="44"/>
        <v>-4.4904606793857611E-2</v>
      </c>
      <c r="J79" s="100">
        <f t="shared" si="45"/>
        <v>-5.5800883179446002E-2</v>
      </c>
      <c r="K79" s="101">
        <f t="shared" si="46"/>
        <v>-6.720845184884193E-2</v>
      </c>
    </row>
    <row r="80" spans="1:17">
      <c r="A80" s="46" t="s">
        <v>73</v>
      </c>
      <c r="B80" s="100">
        <f t="shared" si="37"/>
        <v>0.50856966843413787</v>
      </c>
      <c r="C80" s="100">
        <f t="shared" si="38"/>
        <v>0.53019304079811824</v>
      </c>
      <c r="D80" s="100">
        <f t="shared" si="39"/>
        <v>0.52182986739556014</v>
      </c>
      <c r="E80" s="100">
        <f t="shared" si="40"/>
        <v>0.46209853707751808</v>
      </c>
      <c r="F80" s="100">
        <f t="shared" si="41"/>
        <v>0.58812940300832572</v>
      </c>
      <c r="G80" s="100">
        <f t="shared" si="42"/>
        <v>0.64235927674295745</v>
      </c>
      <c r="H80" s="100">
        <f t="shared" si="43"/>
        <v>0.61785835939677325</v>
      </c>
      <c r="I80" s="100">
        <f t="shared" si="44"/>
        <v>0.66429346983092907</v>
      </c>
      <c r="J80" s="100">
        <f t="shared" si="45"/>
        <v>0.72409474106784422</v>
      </c>
      <c r="K80" s="101">
        <f t="shared" si="46"/>
        <v>0.77982933766761475</v>
      </c>
    </row>
    <row r="81" spans="1:11">
      <c r="A81" s="46" t="s">
        <v>74</v>
      </c>
      <c r="B81" s="100">
        <f t="shared" si="37"/>
        <v>0.3884843017755385</v>
      </c>
      <c r="C81" s="100">
        <f t="shared" si="38"/>
        <v>0.37073160840295238</v>
      </c>
      <c r="D81" s="100">
        <f t="shared" si="39"/>
        <v>0.35771802164518157</v>
      </c>
      <c r="E81" s="100">
        <f t="shared" si="40"/>
        <v>0.27748444593912897</v>
      </c>
      <c r="F81" s="100">
        <f t="shared" si="41"/>
        <v>0.31467986775829537</v>
      </c>
      <c r="G81" s="100">
        <f t="shared" si="42"/>
        <v>0.31517237853405816</v>
      </c>
      <c r="H81" s="100">
        <f t="shared" si="43"/>
        <v>0.27171523240330719</v>
      </c>
      <c r="I81" s="100">
        <f t="shared" si="44"/>
        <v>0.28802543818830462</v>
      </c>
      <c r="J81" s="100">
        <f t="shared" si="45"/>
        <v>0.26811722199919713</v>
      </c>
      <c r="K81" s="101">
        <f t="shared" si="46"/>
        <v>0.25771637545713127</v>
      </c>
    </row>
    <row r="82" spans="1:11">
      <c r="A82" s="46" t="s">
        <v>75</v>
      </c>
      <c r="B82" s="100">
        <f t="shared" si="37"/>
        <v>2.7942179490000221E-3</v>
      </c>
      <c r="C82" s="100">
        <f t="shared" si="38"/>
        <v>2.7374482926433613E-3</v>
      </c>
      <c r="D82" s="100">
        <f t="shared" si="39"/>
        <v>3.2874081187899383E-3</v>
      </c>
      <c r="E82" s="100">
        <f t="shared" si="40"/>
        <v>2.7408777534891544E-3</v>
      </c>
      <c r="F82" s="100">
        <f t="shared" si="41"/>
        <v>3.0810240077544875E-3</v>
      </c>
      <c r="G82" s="100">
        <f t="shared" si="42"/>
        <v>3.6128768383919289E-3</v>
      </c>
      <c r="H82" s="100">
        <f t="shared" si="43"/>
        <v>3.7314588300870156E-3</v>
      </c>
      <c r="I82" s="100">
        <f t="shared" si="44"/>
        <v>1.0438963859159298E-2</v>
      </c>
      <c r="J82" s="100">
        <f t="shared" si="45"/>
        <v>9.9879566439181056E-3</v>
      </c>
      <c r="K82" s="101">
        <f t="shared" si="46"/>
        <v>9.3945550589191393E-3</v>
      </c>
    </row>
    <row r="83" spans="1:11">
      <c r="A83" s="46" t="s">
        <v>76</v>
      </c>
      <c r="B83" s="100">
        <f t="shared" si="37"/>
        <v>0.39127851972453853</v>
      </c>
      <c r="C83" s="100">
        <f t="shared" si="38"/>
        <v>0.37346905669559577</v>
      </c>
      <c r="D83" s="100">
        <f t="shared" si="39"/>
        <v>0.36100542976397149</v>
      </c>
      <c r="E83" s="100">
        <f t="shared" si="40"/>
        <v>0.2802253236926181</v>
      </c>
      <c r="F83" s="100">
        <f t="shared" si="41"/>
        <v>0.31776089176604988</v>
      </c>
      <c r="G83" s="100">
        <f t="shared" si="42"/>
        <v>0.31878525537245012</v>
      </c>
      <c r="H83" s="100">
        <f t="shared" si="43"/>
        <v>0.27544669123339421</v>
      </c>
      <c r="I83" s="100">
        <f t="shared" si="44"/>
        <v>0.29846440204746394</v>
      </c>
      <c r="J83" s="100">
        <f t="shared" si="45"/>
        <v>0.27810517864311524</v>
      </c>
      <c r="K83" s="101">
        <f t="shared" si="46"/>
        <v>0.26711093051605039</v>
      </c>
    </row>
    <row r="84" spans="1:11">
      <c r="A84" s="46" t="s">
        <v>77</v>
      </c>
      <c r="B84" s="100">
        <f t="shared" si="37"/>
        <v>1</v>
      </c>
      <c r="C84" s="100">
        <f t="shared" si="38"/>
        <v>1</v>
      </c>
      <c r="D84" s="100">
        <f t="shared" si="39"/>
        <v>1</v>
      </c>
      <c r="E84" s="100">
        <f t="shared" si="40"/>
        <v>1</v>
      </c>
      <c r="F84" s="100">
        <f t="shared" si="41"/>
        <v>1</v>
      </c>
      <c r="G84" s="100">
        <f t="shared" si="42"/>
        <v>1</v>
      </c>
      <c r="H84" s="100">
        <f t="shared" si="43"/>
        <v>1</v>
      </c>
      <c r="I84" s="100">
        <f t="shared" si="44"/>
        <v>1</v>
      </c>
      <c r="J84" s="100">
        <f t="shared" si="45"/>
        <v>1</v>
      </c>
      <c r="K84" s="101">
        <f t="shared" si="46"/>
        <v>1</v>
      </c>
    </row>
    <row r="85" spans="1:11">
      <c r="A85" s="92"/>
      <c r="B85" s="72"/>
      <c r="C85" s="72"/>
      <c r="D85" s="72"/>
      <c r="E85" s="72"/>
      <c r="F85" s="72"/>
      <c r="G85" s="72"/>
      <c r="H85" s="72"/>
      <c r="I85" s="72"/>
      <c r="J85" s="72"/>
      <c r="K85" s="91"/>
    </row>
    <row r="86" spans="1:11">
      <c r="A86" s="89"/>
      <c r="B86" s="69"/>
      <c r="C86" s="69"/>
      <c r="D86" s="69"/>
      <c r="E86" s="69"/>
      <c r="F86" s="69"/>
      <c r="G86" s="69"/>
      <c r="H86" s="69"/>
      <c r="I86" s="69"/>
      <c r="J86" s="69"/>
      <c r="K86" s="94"/>
    </row>
    <row r="87" spans="1:11">
      <c r="A87" s="89" t="s">
        <v>79</v>
      </c>
      <c r="B87" s="21">
        <v>2014</v>
      </c>
      <c r="C87" s="21">
        <v>2015</v>
      </c>
      <c r="D87" s="42">
        <v>2016</v>
      </c>
      <c r="E87" s="42">
        <v>2017</v>
      </c>
      <c r="F87" s="106">
        <v>2018</v>
      </c>
      <c r="G87" s="106">
        <v>2019</v>
      </c>
      <c r="H87" s="106">
        <v>2020</v>
      </c>
      <c r="I87" s="21">
        <v>2021</v>
      </c>
      <c r="J87" s="106">
        <v>2022</v>
      </c>
      <c r="K87" s="107">
        <v>2023</v>
      </c>
    </row>
    <row r="88" spans="1:11">
      <c r="A88" s="34" t="s">
        <v>39</v>
      </c>
      <c r="B88" s="108"/>
      <c r="C88" s="109">
        <f t="shared" ref="C88:K88" si="47">C6/B6-1</f>
        <v>-0.21612300617904867</v>
      </c>
      <c r="D88" s="109">
        <f t="shared" si="47"/>
        <v>0.43776351970669114</v>
      </c>
      <c r="E88" s="109">
        <f t="shared" si="47"/>
        <v>-9.9961749330613303E-2</v>
      </c>
      <c r="F88" s="109">
        <f t="shared" si="47"/>
        <v>0.315625442697266</v>
      </c>
      <c r="G88" s="109">
        <f t="shared" si="47"/>
        <v>-2.3689027673091445E-2</v>
      </c>
      <c r="H88" s="109">
        <f t="shared" si="47"/>
        <v>0.57439064740266899</v>
      </c>
      <c r="I88" s="109">
        <f t="shared" si="47"/>
        <v>-0.2322942206654991</v>
      </c>
      <c r="J88" s="109">
        <f t="shared" si="47"/>
        <v>-0.12154393649055573</v>
      </c>
      <c r="K88" s="110">
        <f t="shared" si="47"/>
        <v>-0.17679443232575054</v>
      </c>
    </row>
    <row r="89" spans="1:11">
      <c r="A89" s="43" t="s">
        <v>41</v>
      </c>
      <c r="B89" s="111"/>
      <c r="C89" s="109">
        <f t="shared" ref="C89:K89" si="48">C7/B7-1</f>
        <v>1.4447236180904488E-2</v>
      </c>
      <c r="D89" s="109">
        <f t="shared" si="48"/>
        <v>-0.81176470588235294</v>
      </c>
      <c r="E89" s="109">
        <f t="shared" si="48"/>
        <v>1.4723684210526318</v>
      </c>
      <c r="F89" s="109">
        <f t="shared" si="48"/>
        <v>-0.56812134113890367</v>
      </c>
      <c r="G89" s="109">
        <f t="shared" si="48"/>
        <v>-0.16882316697473809</v>
      </c>
      <c r="H89" s="109">
        <f t="shared" si="48"/>
        <v>-0.29948109710896964</v>
      </c>
      <c r="I89" s="109">
        <f t="shared" si="48"/>
        <v>-0.40317460317460319</v>
      </c>
      <c r="J89" s="109">
        <f t="shared" si="48"/>
        <v>-0.1436170212765957</v>
      </c>
      <c r="K89" s="110">
        <f t="shared" si="48"/>
        <v>-0.64803312629399579</v>
      </c>
    </row>
    <row r="90" spans="1:11">
      <c r="A90" s="46" t="s">
        <v>42</v>
      </c>
      <c r="B90" s="108"/>
      <c r="C90" s="109">
        <f t="shared" ref="C90:K90" si="49">C8/B8-1</f>
        <v>3.4052213393871433E-3</v>
      </c>
      <c r="D90" s="109">
        <f t="shared" si="49"/>
        <v>0.85000000000000009</v>
      </c>
      <c r="E90" s="109">
        <f t="shared" si="49"/>
        <v>8.4260731319554916E-2</v>
      </c>
      <c r="F90" s="109">
        <f t="shared" si="49"/>
        <v>-0.15316941123392736</v>
      </c>
      <c r="G90" s="109">
        <f t="shared" si="49"/>
        <v>-1.9978689397975868E-3</v>
      </c>
      <c r="H90" s="109">
        <f t="shared" si="49"/>
        <v>-8.8882957426931752E-2</v>
      </c>
      <c r="I90" s="109">
        <f t="shared" si="49"/>
        <v>4.3943166837556724E-4</v>
      </c>
      <c r="J90" s="109">
        <f t="shared" si="49"/>
        <v>8.931185944363107E-2</v>
      </c>
      <c r="K90" s="110">
        <f t="shared" si="49"/>
        <v>1.2096774193548487E-2</v>
      </c>
    </row>
    <row r="91" spans="1:11">
      <c r="A91" s="46" t="s">
        <v>44</v>
      </c>
      <c r="B91" s="81"/>
      <c r="C91" s="109">
        <f t="shared" ref="C91:K91" si="50">C9/B9-1</f>
        <v>-1</v>
      </c>
      <c r="D91" s="109" t="e">
        <f t="shared" si="50"/>
        <v>#DIV/0!</v>
      </c>
      <c r="E91" s="109">
        <f t="shared" si="50"/>
        <v>5.6573522675217536E-2</v>
      </c>
      <c r="F91" s="109">
        <f t="shared" si="50"/>
        <v>-6.2215477996965141E-2</v>
      </c>
      <c r="G91" s="109">
        <f t="shared" si="50"/>
        <v>2.1960240406842413E-2</v>
      </c>
      <c r="H91" s="109">
        <f t="shared" si="50"/>
        <v>1.5381135489708209E-2</v>
      </c>
      <c r="I91" s="109">
        <f t="shared" si="50"/>
        <v>0.14457562931610601</v>
      </c>
      <c r="J91" s="109">
        <f t="shared" si="50"/>
        <v>7.7851304009342259E-2</v>
      </c>
      <c r="K91" s="110">
        <f t="shared" si="50"/>
        <v>0.11556518598772114</v>
      </c>
    </row>
    <row r="92" spans="1:11">
      <c r="A92" s="43" t="s">
        <v>45</v>
      </c>
      <c r="B92" s="81"/>
      <c r="C92" s="109">
        <f t="shared" ref="C92:K92" si="51">C10/B10-1</f>
        <v>-1.9580419580419561E-2</v>
      </c>
      <c r="D92" s="109">
        <f t="shared" si="51"/>
        <v>-0.45221112696148358</v>
      </c>
      <c r="E92" s="109">
        <f t="shared" si="51"/>
        <v>0.48090277777777768</v>
      </c>
      <c r="F92" s="109">
        <f t="shared" si="51"/>
        <v>-5.1582649472450171E-2</v>
      </c>
      <c r="G92" s="109">
        <f t="shared" si="51"/>
        <v>0.21940667490729293</v>
      </c>
      <c r="H92" s="109">
        <f t="shared" si="51"/>
        <v>-0.16928535225544861</v>
      </c>
      <c r="I92" s="109">
        <f t="shared" si="51"/>
        <v>0.1476510067114094</v>
      </c>
      <c r="J92" s="109">
        <f t="shared" si="51"/>
        <v>6.9112174375332014E-3</v>
      </c>
      <c r="K92" s="110">
        <f t="shared" si="51"/>
        <v>-0.10295670538542767</v>
      </c>
    </row>
    <row r="93" spans="1:11">
      <c r="A93" s="46" t="s">
        <v>46</v>
      </c>
      <c r="B93" s="72"/>
      <c r="C93" s="109">
        <f t="shared" ref="C93:K93" si="52">C11/B11-1</f>
        <v>-9.6345365238159619E-2</v>
      </c>
      <c r="D93" s="109">
        <f t="shared" si="52"/>
        <v>0.14985288984191891</v>
      </c>
      <c r="E93" s="109">
        <f t="shared" si="52"/>
        <v>0.1276780293173736</v>
      </c>
      <c r="F93" s="109">
        <f t="shared" si="52"/>
        <v>-6.3072071379124628E-2</v>
      </c>
      <c r="G93" s="109">
        <f t="shared" si="52"/>
        <v>-2.4218044495525337E-3</v>
      </c>
      <c r="H93" s="109">
        <f t="shared" si="52"/>
        <v>0.15932189441632727</v>
      </c>
      <c r="I93" s="109">
        <f t="shared" si="52"/>
        <v>-9.9485359361135783E-2</v>
      </c>
      <c r="J93" s="109">
        <f t="shared" si="52"/>
        <v>-1.5371275421724784E-2</v>
      </c>
      <c r="K93" s="110">
        <f t="shared" si="52"/>
        <v>-5.9242654711392229E-2</v>
      </c>
    </row>
    <row r="94" spans="1:11">
      <c r="A94" s="46" t="s">
        <v>47</v>
      </c>
      <c r="B94" s="72"/>
      <c r="C94" s="109">
        <f t="shared" ref="C94:K94" si="53">C12/B12-1</f>
        <v>0.1118279569892473</v>
      </c>
      <c r="D94" s="109">
        <f t="shared" si="53"/>
        <v>0.13539651837524169</v>
      </c>
      <c r="E94" s="109">
        <f t="shared" si="53"/>
        <v>0.13628620102214661</v>
      </c>
      <c r="F94" s="109">
        <f t="shared" si="53"/>
        <v>0.11244377811094464</v>
      </c>
      <c r="G94" s="109">
        <f t="shared" si="53"/>
        <v>-0.20754716981132071</v>
      </c>
      <c r="H94" s="109">
        <f t="shared" si="53"/>
        <v>0.16496598639455784</v>
      </c>
      <c r="I94" s="109">
        <f t="shared" si="53"/>
        <v>0.78394160583941597</v>
      </c>
      <c r="J94" s="109">
        <f t="shared" si="53"/>
        <v>-0.22667757774140751</v>
      </c>
      <c r="K94" s="110">
        <f t="shared" si="53"/>
        <v>-6.3492063492063266E-3</v>
      </c>
    </row>
    <row r="95" spans="1:11">
      <c r="A95" s="46" t="s">
        <v>48</v>
      </c>
      <c r="B95" s="69"/>
      <c r="C95" s="109">
        <f t="shared" ref="C95:K95" si="54">C13/B13-1</f>
        <v>7.5422626788036462E-2</v>
      </c>
      <c r="D95" s="109">
        <f t="shared" si="54"/>
        <v>6.9096562446024912E-4</v>
      </c>
      <c r="E95" s="109">
        <f t="shared" si="54"/>
        <v>2.2958743310892427E-2</v>
      </c>
      <c r="F95" s="109">
        <f t="shared" si="54"/>
        <v>-0.10631117111036115</v>
      </c>
      <c r="G95" s="109">
        <f t="shared" si="54"/>
        <v>5.4758308157099034E-3</v>
      </c>
      <c r="H95" s="109">
        <f t="shared" si="54"/>
        <v>4.6009389671361589E-2</v>
      </c>
      <c r="I95" s="109">
        <f t="shared" si="54"/>
        <v>-1.4362657091562259E-3</v>
      </c>
      <c r="J95" s="109">
        <f t="shared" si="54"/>
        <v>-1.6361021215390181E-2</v>
      </c>
      <c r="K95" s="110">
        <f t="shared" si="54"/>
        <v>3.4545786876256646E-2</v>
      </c>
    </row>
    <row r="96" spans="1:11">
      <c r="A96" s="46" t="s">
        <v>49</v>
      </c>
      <c r="B96" s="72"/>
      <c r="C96" s="109">
        <f t="shared" ref="C96:K96" si="55">C14/B14-1</f>
        <v>0.24296215201751648</v>
      </c>
      <c r="D96" s="109">
        <f t="shared" si="55"/>
        <v>0.11399811261402948</v>
      </c>
      <c r="E96" s="109">
        <f t="shared" si="55"/>
        <v>3.2190659061388072E-2</v>
      </c>
      <c r="F96" s="109">
        <f t="shared" si="55"/>
        <v>-0.149422771789681</v>
      </c>
      <c r="G96" s="109">
        <f t="shared" si="55"/>
        <v>1.0935288820275169E-3</v>
      </c>
      <c r="H96" s="109">
        <f t="shared" si="55"/>
        <v>3.1806207029493105E-2</v>
      </c>
      <c r="I96" s="109">
        <f t="shared" si="55"/>
        <v>0.10574168638684767</v>
      </c>
      <c r="J96" s="109">
        <f t="shared" si="55"/>
        <v>-1.4586618607794533E-2</v>
      </c>
      <c r="K96" s="110">
        <f t="shared" si="55"/>
        <v>3.1548265416928567E-2</v>
      </c>
    </row>
    <row r="97" spans="1:11">
      <c r="A97" s="43" t="s">
        <v>50</v>
      </c>
      <c r="B97" s="81"/>
      <c r="C97" s="109">
        <f t="shared" ref="C97:K97" si="56">C15/B15-1</f>
        <v>1.0729166666666665</v>
      </c>
      <c r="D97" s="109">
        <f t="shared" si="56"/>
        <v>1.2453572208870334E-2</v>
      </c>
      <c r="E97" s="109">
        <f t="shared" si="56"/>
        <v>-2.9779887785930104E-2</v>
      </c>
      <c r="F97" s="109">
        <f t="shared" si="56"/>
        <v>-7.940391459074736E-2</v>
      </c>
      <c r="G97" s="109">
        <f t="shared" si="56"/>
        <v>-9.7849722155109897E-2</v>
      </c>
      <c r="H97" s="109">
        <f t="shared" si="56"/>
        <v>-4.6598821638992982E-2</v>
      </c>
      <c r="I97" s="109">
        <f t="shared" si="56"/>
        <v>1.4887640449438244E-2</v>
      </c>
      <c r="J97" s="109">
        <f t="shared" si="56"/>
        <v>-0.10822031552726263</v>
      </c>
      <c r="K97" s="110">
        <f t="shared" si="56"/>
        <v>2.7932960893854997E-3</v>
      </c>
    </row>
    <row r="98" spans="1:11">
      <c r="A98" s="46" t="s">
        <v>51</v>
      </c>
      <c r="B98" s="81"/>
      <c r="C98" s="109">
        <f t="shared" ref="C98:K98" si="57">C16/B16-1</f>
        <v>-6.1674008810572722E-2</v>
      </c>
      <c r="D98" s="109">
        <f t="shared" si="57"/>
        <v>-2.1126760563380254E-2</v>
      </c>
      <c r="E98" s="109">
        <f t="shared" si="57"/>
        <v>0.14868105515587526</v>
      </c>
      <c r="F98" s="109">
        <f t="shared" si="57"/>
        <v>-8.7682672233820425E-2</v>
      </c>
      <c r="G98" s="109">
        <f t="shared" si="57"/>
        <v>-0.10297482837528604</v>
      </c>
      <c r="H98" s="109">
        <f t="shared" si="57"/>
        <v>-6.6326530612244916E-2</v>
      </c>
      <c r="I98" s="109">
        <f t="shared" si="57"/>
        <v>-0.1202185792349727</v>
      </c>
      <c r="J98" s="109">
        <f t="shared" si="57"/>
        <v>-0.30434782608695654</v>
      </c>
      <c r="K98" s="110">
        <f t="shared" si="57"/>
        <v>-0.2410714285714286</v>
      </c>
    </row>
    <row r="99" spans="1:11">
      <c r="A99" s="46" t="s">
        <v>52</v>
      </c>
      <c r="B99" s="112"/>
      <c r="C99" s="109">
        <f t="shared" ref="C99:K99" si="58">C17/B17-1</f>
        <v>-0.29950495049504955</v>
      </c>
      <c r="D99" s="109">
        <f t="shared" si="58"/>
        <v>0.22614840989399299</v>
      </c>
      <c r="E99" s="109">
        <f t="shared" si="58"/>
        <v>-0.27665706051873196</v>
      </c>
      <c r="F99" s="109">
        <f t="shared" si="58"/>
        <v>0.52191235059760954</v>
      </c>
      <c r="G99" s="109">
        <f t="shared" si="58"/>
        <v>-0.77486910994764402</v>
      </c>
      <c r="H99" s="109">
        <f t="shared" si="58"/>
        <v>7.8372093023255811</v>
      </c>
      <c r="I99" s="109">
        <f t="shared" si="58"/>
        <v>-0.35657894736842111</v>
      </c>
      <c r="J99" s="109">
        <f t="shared" si="58"/>
        <v>-0.13905930470347649</v>
      </c>
      <c r="K99" s="110">
        <f t="shared" si="58"/>
        <v>-6.8883610451306421E-2</v>
      </c>
    </row>
    <row r="100" spans="1:11">
      <c r="A100" s="46" t="s">
        <v>53</v>
      </c>
      <c r="B100" s="69"/>
      <c r="C100" s="109">
        <f t="shared" ref="C100:K100" si="59">C18/B18-1</f>
        <v>0.13992297817715027</v>
      </c>
      <c r="D100" s="109">
        <f t="shared" si="59"/>
        <v>-9.7409909909909942E-2</v>
      </c>
      <c r="E100" s="109">
        <f t="shared" si="59"/>
        <v>1.1035558328134747</v>
      </c>
      <c r="F100" s="109">
        <f t="shared" si="59"/>
        <v>1.037069988137604</v>
      </c>
      <c r="G100" s="109">
        <f t="shared" si="59"/>
        <v>0.26481292764594566</v>
      </c>
      <c r="H100" s="109">
        <f t="shared" si="59"/>
        <v>8.3333333333333259E-2</v>
      </c>
      <c r="I100" s="109">
        <f t="shared" si="59"/>
        <v>7.6710582235444136E-2</v>
      </c>
      <c r="J100" s="109">
        <f t="shared" si="59"/>
        <v>-6.1278863232682057E-2</v>
      </c>
      <c r="K100" s="110">
        <f t="shared" si="59"/>
        <v>7.2532324187952746E-3</v>
      </c>
    </row>
    <row r="101" spans="1:11">
      <c r="A101" s="46" t="s">
        <v>54</v>
      </c>
      <c r="B101" s="69"/>
      <c r="C101" s="109">
        <f t="shared" ref="C101:K101" si="60">C19/B19-1</f>
        <v>8.5036632857362848E-2</v>
      </c>
      <c r="D101" s="109">
        <f t="shared" si="60"/>
        <v>9.79398166923513E-2</v>
      </c>
      <c r="E101" s="109">
        <f t="shared" si="60"/>
        <v>9.8326746204705717E-2</v>
      </c>
      <c r="F101" s="109">
        <f t="shared" si="60"/>
        <v>-2.853539599798216E-2</v>
      </c>
      <c r="G101" s="109">
        <f t="shared" si="60"/>
        <v>1.568206601699762E-2</v>
      </c>
      <c r="H101" s="109">
        <f t="shared" si="60"/>
        <v>0.10066633719047702</v>
      </c>
      <c r="I101" s="109">
        <f t="shared" si="60"/>
        <v>-1.7960548725729497E-3</v>
      </c>
      <c r="J101" s="109">
        <f t="shared" si="60"/>
        <v>-3.4046843493097612E-2</v>
      </c>
      <c r="K101" s="110">
        <f t="shared" si="60"/>
        <v>-1.2043356081894774E-2</v>
      </c>
    </row>
    <row r="102" spans="1:11">
      <c r="A102" s="46" t="s">
        <v>55</v>
      </c>
      <c r="B102" s="113"/>
      <c r="C102" s="109"/>
      <c r="D102" s="109"/>
      <c r="E102" s="109"/>
      <c r="F102" s="109"/>
      <c r="G102" s="109"/>
      <c r="H102" s="109"/>
      <c r="I102" s="109"/>
      <c r="J102" s="109"/>
      <c r="K102" s="110"/>
    </row>
    <row r="103" spans="1:11">
      <c r="A103" s="43" t="s">
        <v>56</v>
      </c>
      <c r="B103" s="113"/>
      <c r="C103" s="109"/>
      <c r="D103" s="109"/>
      <c r="E103" s="109"/>
      <c r="F103" s="109"/>
      <c r="G103" s="109"/>
      <c r="H103" s="109"/>
      <c r="I103" s="109"/>
      <c r="J103" s="109"/>
      <c r="K103" s="110"/>
    </row>
    <row r="104" spans="1:11">
      <c r="A104" s="46" t="s">
        <v>57</v>
      </c>
      <c r="B104" s="81"/>
      <c r="C104" s="109">
        <f t="shared" ref="C104:K104" si="61">C22/B22-1</f>
        <v>4.0074557315936676E-2</v>
      </c>
      <c r="D104" s="109">
        <f t="shared" si="61"/>
        <v>1.9713261648745428E-2</v>
      </c>
      <c r="E104" s="109">
        <f t="shared" si="61"/>
        <v>0.15711775043936727</v>
      </c>
      <c r="F104" s="109">
        <f t="shared" si="61"/>
        <v>-0.14839003645200488</v>
      </c>
      <c r="G104" s="109">
        <f t="shared" si="61"/>
        <v>2.1936864633493869E-2</v>
      </c>
      <c r="H104" s="109">
        <f t="shared" si="61"/>
        <v>3.4904013961605251E-3</v>
      </c>
      <c r="I104" s="109">
        <f t="shared" si="61"/>
        <v>0.1276521739130434</v>
      </c>
      <c r="J104" s="109">
        <f t="shared" si="61"/>
        <v>-2.3904996915484311E-2</v>
      </c>
      <c r="K104" s="110">
        <f t="shared" si="61"/>
        <v>8.2161478906620289E-2</v>
      </c>
    </row>
    <row r="105" spans="1:11">
      <c r="A105" s="46" t="s">
        <v>58</v>
      </c>
      <c r="B105" s="69"/>
      <c r="C105" s="109">
        <f t="shared" ref="C105:K105" si="62">C23/B23-1</f>
        <v>2.4964664310954063</v>
      </c>
      <c r="D105" s="109">
        <f t="shared" si="62"/>
        <v>-0.43304699343102582</v>
      </c>
      <c r="E105" s="109">
        <f t="shared" si="62"/>
        <v>0.17587641117052888</v>
      </c>
      <c r="F105" s="109">
        <f t="shared" si="62"/>
        <v>-9.3986862051541165E-2</v>
      </c>
      <c r="G105" s="109">
        <f t="shared" si="62"/>
        <v>-1.9520356943669825E-2</v>
      </c>
      <c r="H105" s="109">
        <f t="shared" si="62"/>
        <v>2.3037542662116106E-2</v>
      </c>
      <c r="I105" s="109">
        <f t="shared" si="62"/>
        <v>-1.5290519877675823E-2</v>
      </c>
      <c r="J105" s="109">
        <f t="shared" si="62"/>
        <v>-0.23291925465838514</v>
      </c>
      <c r="K105" s="110">
        <f t="shared" si="62"/>
        <v>-0.23260949576739054</v>
      </c>
    </row>
    <row r="106" spans="1:11">
      <c r="A106" s="78" t="s">
        <v>59</v>
      </c>
      <c r="B106" s="114"/>
      <c r="C106" s="109">
        <f t="shared" ref="C106:K106" si="63">C24/B24-1</f>
        <v>-0.3855165069222577</v>
      </c>
      <c r="D106" s="109">
        <f t="shared" si="63"/>
        <v>-0.60658578856152512</v>
      </c>
      <c r="E106" s="109">
        <f t="shared" si="63"/>
        <v>4.9515418502202646</v>
      </c>
      <c r="F106" s="109">
        <f t="shared" si="63"/>
        <v>1.1258327165062916</v>
      </c>
      <c r="G106" s="109">
        <f t="shared" si="63"/>
        <v>-0.52089136490250698</v>
      </c>
      <c r="H106" s="109">
        <f t="shared" si="63"/>
        <v>0.77688953488372103</v>
      </c>
      <c r="I106" s="109">
        <f t="shared" si="63"/>
        <v>-0.26257668711656446</v>
      </c>
      <c r="J106" s="109">
        <f t="shared" si="63"/>
        <v>-4.0488075429839121E-2</v>
      </c>
      <c r="K106" s="110">
        <f t="shared" si="63"/>
        <v>3.8150289017341077E-2</v>
      </c>
    </row>
    <row r="107" spans="1:11">
      <c r="A107" s="34" t="s">
        <v>60</v>
      </c>
      <c r="B107" s="115"/>
      <c r="C107" s="109">
        <f t="shared" ref="C107:K107" si="64">C25/B25-1</f>
        <v>-7.295820410574505E-2</v>
      </c>
      <c r="D107" s="109">
        <f t="shared" si="64"/>
        <v>0.12282937709096697</v>
      </c>
      <c r="E107" s="109">
        <f t="shared" si="64"/>
        <v>-1.1350737797956922E-2</v>
      </c>
      <c r="F107" s="109">
        <f t="shared" si="64"/>
        <v>-1.5642939150401824E-2</v>
      </c>
      <c r="G107" s="109">
        <f t="shared" si="64"/>
        <v>8.995480390727506E-2</v>
      </c>
      <c r="H107" s="109">
        <f t="shared" si="64"/>
        <v>-9.4970572498662698E-3</v>
      </c>
      <c r="I107" s="109">
        <f t="shared" si="64"/>
        <v>3.7002025658338988E-2</v>
      </c>
      <c r="J107" s="109">
        <f t="shared" si="64"/>
        <v>0.19312410470113295</v>
      </c>
      <c r="K107" s="110">
        <f t="shared" si="64"/>
        <v>-0.14767518009168301</v>
      </c>
    </row>
    <row r="108" spans="1:11">
      <c r="A108" s="43" t="s">
        <v>61</v>
      </c>
      <c r="C108" s="109">
        <f t="shared" ref="C108:K108" si="65">C26/B26-1</f>
        <v>0.24355242672442978</v>
      </c>
      <c r="D108" s="109">
        <f t="shared" si="65"/>
        <v>-0.11104458113330795</v>
      </c>
      <c r="E108" s="109">
        <f t="shared" si="65"/>
        <v>0.1549200906251913</v>
      </c>
      <c r="F108" s="109">
        <f t="shared" si="65"/>
        <v>3.3402258628916215E-3</v>
      </c>
      <c r="G108" s="109">
        <f t="shared" si="65"/>
        <v>-4.3648277319805584E-2</v>
      </c>
      <c r="H108" s="109">
        <f t="shared" si="65"/>
        <v>6.0724941982539526E-2</v>
      </c>
      <c r="I108" s="109">
        <f t="shared" si="65"/>
        <v>1.6200447986664646E-2</v>
      </c>
      <c r="J108" s="109">
        <f t="shared" si="65"/>
        <v>2.204223908140257E-2</v>
      </c>
      <c r="K108" s="110">
        <f t="shared" si="65"/>
        <v>-7.0167519309860538E-2</v>
      </c>
    </row>
    <row r="109" spans="1:11">
      <c r="A109" s="46" t="s">
        <v>62</v>
      </c>
      <c r="C109" s="109">
        <f t="shared" ref="C109:K109" si="66">C27/B27-1</f>
        <v>-8.1376116440621926E-2</v>
      </c>
      <c r="D109" s="109">
        <f t="shared" si="66"/>
        <v>1.1933741447605328</v>
      </c>
      <c r="E109" s="109">
        <f t="shared" si="66"/>
        <v>3.2096535872598864E-2</v>
      </c>
      <c r="F109" s="109">
        <f t="shared" si="66"/>
        <v>-0.2240515390121689</v>
      </c>
      <c r="G109" s="109">
        <f t="shared" si="66"/>
        <v>0.13878638786387865</v>
      </c>
      <c r="H109" s="109">
        <f t="shared" si="66"/>
        <v>0.47092709270927102</v>
      </c>
      <c r="I109" s="109">
        <f t="shared" si="66"/>
        <v>-0.12776893893036345</v>
      </c>
      <c r="J109" s="109">
        <f t="shared" si="66"/>
        <v>6.0965343061596844E-2</v>
      </c>
      <c r="K109" s="110">
        <f t="shared" si="66"/>
        <v>9.5153078092971022E-2</v>
      </c>
    </row>
    <row r="110" spans="1:11">
      <c r="A110" s="43" t="s">
        <v>52</v>
      </c>
      <c r="C110" s="109">
        <f t="shared" ref="C110:K110" si="67">C28/B28-1</f>
        <v>1.3644067796610169</v>
      </c>
      <c r="D110" s="109">
        <f t="shared" si="67"/>
        <v>-0.12903225806451613</v>
      </c>
      <c r="E110" s="109">
        <f t="shared" si="67"/>
        <v>4.4814814814814818</v>
      </c>
      <c r="F110" s="109">
        <f t="shared" si="67"/>
        <v>-0.35698198198198194</v>
      </c>
      <c r="G110" s="109">
        <f t="shared" si="67"/>
        <v>-2.5102159953298342E-2</v>
      </c>
      <c r="H110" s="109">
        <f t="shared" si="67"/>
        <v>0.26526946107784433</v>
      </c>
      <c r="I110" s="109">
        <f t="shared" si="67"/>
        <v>0.11878845243729286</v>
      </c>
      <c r="J110" s="109">
        <f t="shared" si="67"/>
        <v>-0.11463620981387479</v>
      </c>
      <c r="K110" s="110">
        <f t="shared" si="67"/>
        <v>4.777830864788335E-4</v>
      </c>
    </row>
    <row r="111" spans="1:11">
      <c r="A111" s="46" t="s">
        <v>63</v>
      </c>
      <c r="B111" s="116"/>
      <c r="C111" s="109">
        <f t="shared" ref="C111:K111" si="68">C29/B29-1</f>
        <v>-0.42261251372118547</v>
      </c>
      <c r="D111" s="109">
        <f t="shared" si="68"/>
        <v>-0.10076045627376429</v>
      </c>
      <c r="E111" s="109">
        <f t="shared" si="68"/>
        <v>8.2452431289640638E-2</v>
      </c>
      <c r="F111" s="109">
        <f t="shared" si="68"/>
        <v>-0.328125</v>
      </c>
      <c r="G111" s="109">
        <f t="shared" si="68"/>
        <v>-5.2325581395348819E-2</v>
      </c>
      <c r="H111" s="109">
        <f t="shared" si="68"/>
        <v>-0.25766871165644167</v>
      </c>
      <c r="I111" s="109">
        <f t="shared" si="68"/>
        <v>-0.14049586776859502</v>
      </c>
      <c r="J111" s="109">
        <f t="shared" si="68"/>
        <v>-0.29807692307692313</v>
      </c>
      <c r="K111" s="110">
        <f t="shared" si="68"/>
        <v>-8.2191780821917804E-2</v>
      </c>
    </row>
    <row r="112" spans="1:11">
      <c r="A112" s="43" t="s">
        <v>64</v>
      </c>
      <c r="C112" s="109">
        <f t="shared" ref="C112:K112" si="69">C30/B30-1</f>
        <v>4.2499999999999982E-2</v>
      </c>
      <c r="D112" s="109">
        <f t="shared" si="69"/>
        <v>-0.18944844124700244</v>
      </c>
      <c r="E112" s="109">
        <f t="shared" si="69"/>
        <v>1.2287968441814594</v>
      </c>
      <c r="F112" s="109">
        <f t="shared" si="69"/>
        <v>3.9823008849557695E-3</v>
      </c>
      <c r="G112" s="109">
        <f t="shared" si="69"/>
        <v>-0.12031732040546494</v>
      </c>
      <c r="H112" s="109">
        <f t="shared" si="69"/>
        <v>-3.8076152304609256E-2</v>
      </c>
      <c r="I112" s="109">
        <f t="shared" si="69"/>
        <v>-6.25E-2</v>
      </c>
      <c r="J112" s="109">
        <f t="shared" si="69"/>
        <v>-0.34444444444444444</v>
      </c>
      <c r="K112" s="110">
        <f t="shared" si="69"/>
        <v>0.26271186440677963</v>
      </c>
    </row>
    <row r="113" spans="1:30">
      <c r="A113" s="46" t="s">
        <v>65</v>
      </c>
      <c r="B113" s="16"/>
      <c r="C113" s="109">
        <f t="shared" ref="C113:K113" si="70">C31/B31-1</f>
        <v>1.5413358243811404E-2</v>
      </c>
      <c r="D113" s="109">
        <f t="shared" si="70"/>
        <v>-5.4737810487580529E-2</v>
      </c>
      <c r="E113" s="109">
        <f t="shared" si="70"/>
        <v>0.44282238442822375</v>
      </c>
      <c r="F113" s="109">
        <f t="shared" si="70"/>
        <v>7.9595278246205714E-2</v>
      </c>
      <c r="G113" s="109">
        <f t="shared" si="70"/>
        <v>5.6857232114964074E-2</v>
      </c>
      <c r="H113" s="109">
        <f t="shared" si="70"/>
        <v>3.0889742831806011E-2</v>
      </c>
      <c r="I113" s="109">
        <f t="shared" si="70"/>
        <v>1.6057347670250799E-2</v>
      </c>
      <c r="J113" s="109">
        <f t="shared" si="70"/>
        <v>-8.7201919006631878E-2</v>
      </c>
      <c r="K113" s="110">
        <f t="shared" si="70"/>
        <v>-3.1535013139588841E-2</v>
      </c>
    </row>
    <row r="114" spans="1:30">
      <c r="A114" s="46" t="s">
        <v>66</v>
      </c>
      <c r="B114" s="16"/>
      <c r="C114" s="109">
        <f t="shared" ref="C114:K114" si="71">C32/B32-1</f>
        <v>0.32420091324200917</v>
      </c>
      <c r="D114" s="109">
        <f t="shared" si="71"/>
        <v>-0.98965517241379308</v>
      </c>
      <c r="E114" s="109">
        <f t="shared" si="71"/>
        <v>0.66666666666666674</v>
      </c>
      <c r="F114" s="109">
        <f t="shared" si="71"/>
        <v>0.39999999999999991</v>
      </c>
      <c r="G114" s="109">
        <f t="shared" si="71"/>
        <v>0</v>
      </c>
      <c r="H114" s="109">
        <f t="shared" si="71"/>
        <v>0</v>
      </c>
      <c r="I114" s="109">
        <f t="shared" si="71"/>
        <v>0</v>
      </c>
      <c r="J114" s="109">
        <f t="shared" si="71"/>
        <v>0</v>
      </c>
      <c r="K114" s="110">
        <f t="shared" si="71"/>
        <v>0</v>
      </c>
    </row>
    <row r="115" spans="1:30">
      <c r="A115" s="47" t="s">
        <v>68</v>
      </c>
      <c r="B115" s="16"/>
      <c r="C115" s="109"/>
      <c r="D115" s="109"/>
      <c r="E115" s="109"/>
      <c r="F115" s="109"/>
      <c r="G115" s="109"/>
      <c r="H115" s="109"/>
      <c r="I115" s="109"/>
      <c r="J115" s="109"/>
      <c r="K115" s="110"/>
    </row>
    <row r="116" spans="1:30">
      <c r="A116" s="46" t="s">
        <v>69</v>
      </c>
      <c r="B116" s="16"/>
      <c r="C116" s="109">
        <f t="shared" ref="C116:K116" si="72">C35/B35-1</f>
        <v>0</v>
      </c>
      <c r="D116" s="109">
        <f t="shared" si="72"/>
        <v>0</v>
      </c>
      <c r="E116" s="109">
        <f t="shared" si="72"/>
        <v>0</v>
      </c>
      <c r="F116" s="109">
        <f t="shared" si="72"/>
        <v>0</v>
      </c>
      <c r="G116" s="109">
        <f t="shared" si="72"/>
        <v>0</v>
      </c>
      <c r="H116" s="109">
        <f t="shared" si="72"/>
        <v>0</v>
      </c>
      <c r="I116" s="109">
        <f t="shared" si="72"/>
        <v>0</v>
      </c>
      <c r="J116" s="109">
        <f t="shared" si="72"/>
        <v>0</v>
      </c>
      <c r="K116" s="110">
        <f t="shared" si="72"/>
        <v>0</v>
      </c>
    </row>
    <row r="117" spans="1:30">
      <c r="A117" s="46" t="s">
        <v>70</v>
      </c>
      <c r="B117" s="16"/>
      <c r="C117" s="109">
        <f t="shared" ref="C117:K117" si="73">C36/B36-1</f>
        <v>6.7288606589916533E-2</v>
      </c>
      <c r="D117" s="109">
        <f t="shared" si="73"/>
        <v>0.15529105449135217</v>
      </c>
      <c r="E117" s="109">
        <f t="shared" si="73"/>
        <v>0</v>
      </c>
      <c r="F117" s="109">
        <f t="shared" si="73"/>
        <v>3.8634900193174504E-2</v>
      </c>
      <c r="G117" s="109">
        <f t="shared" si="73"/>
        <v>6.5716057036577791E-2</v>
      </c>
      <c r="H117" s="109">
        <f t="shared" si="73"/>
        <v>6.0500290866783102E-2</v>
      </c>
      <c r="I117" s="109">
        <f t="shared" si="73"/>
        <v>0.11642896324739449</v>
      </c>
      <c r="J117" s="109">
        <f t="shared" si="73"/>
        <v>5.1959218769193072E-2</v>
      </c>
      <c r="K117" s="110">
        <f t="shared" si="73"/>
        <v>5.8150397010742649E-2</v>
      </c>
    </row>
    <row r="118" spans="1:30">
      <c r="A118" s="46" t="s">
        <v>71</v>
      </c>
      <c r="B118" s="16"/>
      <c r="C118" s="109">
        <f t="shared" ref="C118:K118" si="74">C37/B37-1</f>
        <v>-0.88330165082541268</v>
      </c>
      <c r="D118" s="109">
        <f t="shared" si="74"/>
        <v>0.36436899862825789</v>
      </c>
      <c r="E118" s="109">
        <f t="shared" si="74"/>
        <v>0</v>
      </c>
      <c r="F118" s="109">
        <f t="shared" si="74"/>
        <v>0.24236521301998248</v>
      </c>
      <c r="G118" s="109">
        <f t="shared" si="74"/>
        <v>0.20560416772039858</v>
      </c>
      <c r="H118" s="109">
        <f t="shared" si="74"/>
        <v>0.14234770934720586</v>
      </c>
      <c r="I118" s="109">
        <f t="shared" si="74"/>
        <v>0.11873370303720288</v>
      </c>
      <c r="J118" s="109">
        <f t="shared" si="74"/>
        <v>0.13068741382706328</v>
      </c>
      <c r="K118" s="110">
        <f t="shared" si="74"/>
        <v>0.10350434050460189</v>
      </c>
    </row>
    <row r="119" spans="1:30">
      <c r="A119" s="46" t="s">
        <v>72</v>
      </c>
      <c r="B119" s="16"/>
      <c r="C119" s="109">
        <f t="shared" ref="C119:K119" si="75">C38/B38-1</f>
        <v>0.73749143248800553</v>
      </c>
      <c r="D119" s="109">
        <f t="shared" si="75"/>
        <v>-0.11834319526627224</v>
      </c>
      <c r="E119" s="109">
        <f t="shared" si="75"/>
        <v>0</v>
      </c>
      <c r="F119" s="109">
        <f t="shared" si="75"/>
        <v>0.53780760626398205</v>
      </c>
      <c r="G119" s="109">
        <f t="shared" si="75"/>
        <v>-6.9828338667442535E-2</v>
      </c>
      <c r="H119" s="109">
        <f t="shared" si="75"/>
        <v>5.6302783859868644E-2</v>
      </c>
      <c r="I119" s="109">
        <f t="shared" si="75"/>
        <v>-0.14273023393544571</v>
      </c>
      <c r="J119" s="109">
        <f t="shared" si="75"/>
        <v>0.20034542314335058</v>
      </c>
      <c r="K119" s="110">
        <f t="shared" si="75"/>
        <v>0.18992805755395681</v>
      </c>
    </row>
    <row r="120" spans="1:30">
      <c r="A120" s="46" t="s">
        <v>73</v>
      </c>
      <c r="B120" s="16"/>
      <c r="C120" s="109">
        <f t="shared" ref="C120:K120" si="76">C39/B39-1</f>
        <v>0.13117023577763365</v>
      </c>
      <c r="D120" s="109">
        <f t="shared" si="76"/>
        <v>8.0621103759513479E-2</v>
      </c>
      <c r="E120" s="109">
        <f t="shared" si="76"/>
        <v>-2.7393381702353614E-2</v>
      </c>
      <c r="F120" s="109">
        <f t="shared" si="76"/>
        <v>0.23641788872311786</v>
      </c>
      <c r="G120" s="109">
        <f t="shared" si="76"/>
        <v>0.10933545235152153</v>
      </c>
      <c r="H120" s="109">
        <f t="shared" si="76"/>
        <v>5.8684636404637391E-2</v>
      </c>
      <c r="I120" s="109">
        <f t="shared" si="76"/>
        <v>7.3223906778599135E-2</v>
      </c>
      <c r="J120" s="109">
        <f t="shared" si="76"/>
        <v>5.2910547084783044E-2</v>
      </c>
      <c r="K120" s="110">
        <f t="shared" si="76"/>
        <v>6.4001064466768787E-2</v>
      </c>
    </row>
    <row r="121" spans="1:30">
      <c r="A121" s="46" t="s">
        <v>74</v>
      </c>
      <c r="B121" s="16"/>
      <c r="C121" s="109">
        <f t="shared" ref="C121:K121" si="77">C40/B40-1</f>
        <v>3.5453361273149353E-2</v>
      </c>
      <c r="D121" s="109">
        <f t="shared" si="77"/>
        <v>5.9399442104687505E-2</v>
      </c>
      <c r="E121" s="109">
        <f t="shared" si="77"/>
        <v>-0.14802003200991276</v>
      </c>
      <c r="F121" s="109">
        <f t="shared" si="77"/>
        <v>0.10168464428554125</v>
      </c>
      <c r="G121" s="109">
        <f t="shared" si="77"/>
        <v>1.7271727172717188E-2</v>
      </c>
      <c r="H121" s="109">
        <f t="shared" si="77"/>
        <v>-5.1097653292959899E-2</v>
      </c>
      <c r="I121" s="109">
        <f t="shared" si="77"/>
        <v>5.8122969969798932E-2</v>
      </c>
      <c r="J121" s="109">
        <f t="shared" si="77"/>
        <v>-0.10081318326242661</v>
      </c>
      <c r="K121" s="110">
        <f t="shared" si="77"/>
        <v>-5.0368329640055109E-2</v>
      </c>
    </row>
    <row r="122" spans="1:30">
      <c r="A122" s="46" t="s">
        <v>75</v>
      </c>
      <c r="B122" s="16"/>
      <c r="C122" s="109">
        <f t="shared" ref="C122:K122" si="78">C41/B41-1</f>
        <v>6.2992125984252079E-2</v>
      </c>
      <c r="D122" s="109">
        <f t="shared" si="78"/>
        <v>0.31851851851851842</v>
      </c>
      <c r="E122" s="109">
        <f t="shared" si="78"/>
        <v>-8.4269662921348298E-2</v>
      </c>
      <c r="F122" s="109">
        <f t="shared" si="78"/>
        <v>9.2024539877300526E-2</v>
      </c>
      <c r="G122" s="109">
        <f t="shared" si="78"/>
        <v>0.1910112359550562</v>
      </c>
      <c r="H122" s="109">
        <f t="shared" si="78"/>
        <v>0.1367924528301887</v>
      </c>
      <c r="I122" s="109">
        <f t="shared" si="78"/>
        <v>1.7925311203319501</v>
      </c>
      <c r="J122" s="109">
        <f t="shared" si="78"/>
        <v>-7.5780089153046015E-2</v>
      </c>
      <c r="K122" s="110">
        <f t="shared" si="78"/>
        <v>-7.0739549839228255E-2</v>
      </c>
    </row>
    <row r="123" spans="1:30">
      <c r="A123" s="46" t="s">
        <v>76</v>
      </c>
      <c r="B123" s="16"/>
      <c r="C123" s="109">
        <f t="shared" ref="C123:K123" si="79">C42/B42-1</f>
        <v>3.5650022492127675E-2</v>
      </c>
      <c r="D123" s="109">
        <f t="shared" si="79"/>
        <v>6.1298729503746374E-2</v>
      </c>
      <c r="E123" s="109">
        <f t="shared" si="79"/>
        <v>-0.14743950478334267</v>
      </c>
      <c r="F123" s="109">
        <f t="shared" si="79"/>
        <v>0.10159015901590163</v>
      </c>
      <c r="G123" s="109">
        <f t="shared" si="79"/>
        <v>1.8956313323891472E-2</v>
      </c>
      <c r="H123" s="109">
        <f t="shared" si="79"/>
        <v>-4.896824548273282E-2</v>
      </c>
      <c r="I123" s="109">
        <f t="shared" si="79"/>
        <v>8.1618887015177055E-2</v>
      </c>
      <c r="J123" s="109">
        <f t="shared" si="79"/>
        <v>-9.9937636420330489E-2</v>
      </c>
      <c r="K123" s="110">
        <f t="shared" si="79"/>
        <v>-5.1099948033951126E-2</v>
      </c>
    </row>
    <row r="124" spans="1:30">
      <c r="A124" s="46" t="s">
        <v>77</v>
      </c>
      <c r="B124" s="16"/>
      <c r="C124" s="109">
        <f t="shared" ref="C124:K124" si="80">C43/B43-1</f>
        <v>8.5036632857362848E-2</v>
      </c>
      <c r="D124" s="109">
        <f t="shared" si="80"/>
        <v>9.79398166923513E-2</v>
      </c>
      <c r="E124" s="109">
        <f t="shared" si="80"/>
        <v>9.8326746204705717E-2</v>
      </c>
      <c r="F124" s="109">
        <f t="shared" si="80"/>
        <v>-2.853539599798216E-2</v>
      </c>
      <c r="G124" s="109">
        <f t="shared" si="80"/>
        <v>1.568206601699762E-2</v>
      </c>
      <c r="H124" s="109">
        <f t="shared" si="80"/>
        <v>0.10066633719047702</v>
      </c>
      <c r="I124" s="109">
        <f t="shared" si="80"/>
        <v>-1.7960548725729497E-3</v>
      </c>
      <c r="J124" s="109">
        <f t="shared" si="80"/>
        <v>-3.4046843493097612E-2</v>
      </c>
      <c r="K124" s="110">
        <f t="shared" si="80"/>
        <v>-1.2043356081894774E-2</v>
      </c>
    </row>
    <row r="125" spans="1:30">
      <c r="A125" s="92"/>
      <c r="B125" s="16"/>
      <c r="C125" s="16"/>
      <c r="D125" s="16"/>
      <c r="E125" s="16"/>
      <c r="F125" s="16"/>
      <c r="G125" s="16"/>
      <c r="H125" s="16"/>
      <c r="I125" s="16"/>
      <c r="J125" s="16"/>
      <c r="K125" s="17"/>
    </row>
    <row r="126" spans="1:30">
      <c r="A126" s="92"/>
      <c r="B126" s="16"/>
      <c r="C126" s="16"/>
      <c r="D126" s="16"/>
      <c r="E126" s="16"/>
      <c r="F126" s="16"/>
      <c r="G126" s="16"/>
      <c r="H126" s="16"/>
      <c r="I126" s="16"/>
      <c r="J126" s="16"/>
      <c r="K126" s="17"/>
    </row>
    <row r="127" spans="1:30">
      <c r="A127" s="117" t="s">
        <v>34</v>
      </c>
      <c r="B127" s="118">
        <v>2014</v>
      </c>
      <c r="C127" s="118">
        <v>2015</v>
      </c>
      <c r="D127" s="119">
        <v>2016</v>
      </c>
      <c r="E127" s="119">
        <v>2017</v>
      </c>
      <c r="F127" s="120">
        <v>2018</v>
      </c>
      <c r="G127" s="120">
        <v>2019</v>
      </c>
      <c r="H127" s="120">
        <v>2020</v>
      </c>
      <c r="I127" s="118">
        <v>2021</v>
      </c>
      <c r="J127" s="120">
        <v>2022</v>
      </c>
      <c r="K127" s="121">
        <v>2023</v>
      </c>
      <c r="L127" s="122">
        <v>2024</v>
      </c>
      <c r="M127" s="122">
        <v>2025</v>
      </c>
      <c r="N127" s="122">
        <v>2026</v>
      </c>
      <c r="O127" s="122">
        <v>2027</v>
      </c>
      <c r="P127" s="122">
        <v>2028</v>
      </c>
      <c r="Q127" s="123" t="s">
        <v>1</v>
      </c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</row>
    <row r="128" spans="1:30">
      <c r="A128" s="125" t="s">
        <v>41</v>
      </c>
      <c r="B128" s="126">
        <f>B7/'Income Statement'!B7</f>
        <v>0.19748920756214955</v>
      </c>
      <c r="C128" s="126">
        <f>C7/'Income Statement'!C7</f>
        <v>0.20929991446566962</v>
      </c>
      <c r="D128" s="126">
        <f>D7/'Income Statement'!D7</f>
        <v>3.8674876596610862E-2</v>
      </c>
      <c r="E128" s="126">
        <f>E7/'Income Statement'!E7</f>
        <v>9.2712290916267828E-2</v>
      </c>
      <c r="F128" s="126">
        <f>F7/'Income Statement'!F7</f>
        <v>3.8825893497918762E-2</v>
      </c>
      <c r="G128" s="126">
        <f>G7/'Income Statement'!G7</f>
        <v>3.6748481298864037E-2</v>
      </c>
      <c r="H128" s="126">
        <f>H7/'Income Statement'!H7</f>
        <v>2.8954867175291846E-2</v>
      </c>
      <c r="I128" s="126">
        <f>I7/'Income Statement'!I7</f>
        <v>1.6399162595952546E-2</v>
      </c>
      <c r="J128" s="126">
        <f>J7/'Income Statement'!J7</f>
        <v>1.3618677042801557E-2</v>
      </c>
      <c r="K128" s="127">
        <f>K7/'Income Statement'!K7</f>
        <v>4.6369537941192513E-3</v>
      </c>
      <c r="L128" s="126">
        <v>4.5999999999999999E-3</v>
      </c>
      <c r="M128" s="126">
        <v>4.5999999999999999E-3</v>
      </c>
      <c r="N128" s="126">
        <v>4.5999999999999999E-3</v>
      </c>
      <c r="O128" s="126">
        <v>4.5999999999999999E-3</v>
      </c>
      <c r="P128" s="126">
        <v>4.5999999999999999E-3</v>
      </c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</row>
    <row r="129" spans="1:30">
      <c r="A129" s="128" t="s">
        <v>42</v>
      </c>
      <c r="B129" s="126">
        <f>B8/'Income Statement'!B7</f>
        <v>0.10928893961196844</v>
      </c>
      <c r="C129" s="126">
        <f>C8/'Income Statement'!C7</f>
        <v>0.11456416370752442</v>
      </c>
      <c r="D129" s="126">
        <f>D8/'Income Statement'!D7</f>
        <v>0.20805556969110986</v>
      </c>
      <c r="E129" s="126">
        <f>E8/'Income Statement'!E7</f>
        <v>0.2187299550994227</v>
      </c>
      <c r="F129" s="126">
        <f>F8/'Income Statement'!F7</f>
        <v>0.17960863116597292</v>
      </c>
      <c r="G129" s="126">
        <f>G8/'Income Statement'!G7</f>
        <v>0.20411888092838268</v>
      </c>
      <c r="H129" s="126">
        <f>H8/'Income Statement'!H7</f>
        <v>0.20917976529705548</v>
      </c>
      <c r="I129" s="126">
        <f>I8/'Income Statement'!I7</f>
        <v>0.19859269597580834</v>
      </c>
      <c r="J129" s="126">
        <f>J8/'Income Statement'!J7</f>
        <v>0.20977837929284385</v>
      </c>
      <c r="K129" s="127">
        <f>K8/'Income Statement'!K7</f>
        <v>0.2053897768806939</v>
      </c>
      <c r="L129" s="126">
        <f>AVERAGE(I129:K129)</f>
        <v>0.2045869507164487</v>
      </c>
      <c r="M129" s="126">
        <v>0.2046</v>
      </c>
      <c r="N129" s="126">
        <v>0.2046</v>
      </c>
      <c r="O129" s="126">
        <v>0.2046</v>
      </c>
      <c r="P129" s="126">
        <v>0.2046</v>
      </c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</row>
    <row r="130" spans="1:30">
      <c r="A130" s="128" t="s">
        <v>44</v>
      </c>
      <c r="B130" s="126">
        <f>B9/'Income Statement'!B7</f>
        <v>1.7912965811541705E-2</v>
      </c>
      <c r="C130" s="126">
        <f>C9/'Income Statement'!C7</f>
        <v>0</v>
      </c>
      <c r="D130" s="126">
        <f>D9/'Income Statement'!D7</f>
        <v>0.11108849422421251</v>
      </c>
      <c r="E130" s="126">
        <f>E9/'Income Statement'!E7</f>
        <v>0.11380569398529629</v>
      </c>
      <c r="F130" s="126">
        <f>F9/'Income Statement'!F7</f>
        <v>0.10348787139371322</v>
      </c>
      <c r="G130" s="126">
        <f>G9/'Income Statement'!G7</f>
        <v>0.12043368111362336</v>
      </c>
      <c r="H130" s="126">
        <f>H9/'Income Statement'!H7</f>
        <v>0.13754327910040751</v>
      </c>
      <c r="I130" s="126">
        <f>I9/'Income Statement'!I7</f>
        <v>0.14939520818795068</v>
      </c>
      <c r="J130" s="126">
        <f>J9/'Income Statement'!J7</f>
        <v>0.15614955168330233</v>
      </c>
      <c r="K130" s="127">
        <f>K9/'Income Statement'!K7</f>
        <v>0.16851235611805138</v>
      </c>
      <c r="L130" s="129">
        <v>0.17</v>
      </c>
      <c r="M130" s="126">
        <v>0.17199999999999999</v>
      </c>
      <c r="N130" s="126">
        <v>0.17199999999999999</v>
      </c>
      <c r="O130" s="126">
        <v>0.17199999999999999</v>
      </c>
      <c r="P130" s="126">
        <v>0.17199999999999999</v>
      </c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</row>
    <row r="131" spans="1:30">
      <c r="A131" s="125" t="s">
        <v>45</v>
      </c>
      <c r="B131" s="126">
        <f>B10/'Income Statement'!B7</f>
        <v>5.3217883193569196E-2</v>
      </c>
      <c r="C131" s="126">
        <f>C10/'Income Statement'!C7</f>
        <v>5.450869599025427E-2</v>
      </c>
      <c r="D131" s="126">
        <f>D10/'Income Statement'!D7</f>
        <v>2.9311485420589284E-2</v>
      </c>
      <c r="E131" s="126">
        <f>E10/'Income Statement'!E7</f>
        <v>4.2088123550599495E-2</v>
      </c>
      <c r="F131" s="126">
        <f>F10/'Income Statement'!F7</f>
        <v>3.8706281996076744E-2</v>
      </c>
      <c r="G131" s="126">
        <f>G10/'Income Statement'!G7</f>
        <v>5.3747037511237029E-2</v>
      </c>
      <c r="H131" s="126">
        <f>H10/'Income Statement'!H7</f>
        <v>5.02190765082575E-2</v>
      </c>
      <c r="I131" s="126">
        <f>I10/'Income Statement'!I7</f>
        <v>5.4692951849267271E-2</v>
      </c>
      <c r="J131" s="126">
        <f>J10/'Income Statement'!J7</f>
        <v>5.3403259459764284E-2</v>
      </c>
      <c r="K131" s="127">
        <f>K10/'Income Statement'!K7</f>
        <v>4.6342261742403579E-2</v>
      </c>
      <c r="L131" s="130">
        <v>4.6300000000000001E-2</v>
      </c>
      <c r="M131" s="126">
        <v>4.6300000000000001E-2</v>
      </c>
      <c r="N131" s="126">
        <v>4.6300000000000001E-2</v>
      </c>
      <c r="O131" s="126">
        <v>4.6300000000000001E-2</v>
      </c>
      <c r="P131" s="126">
        <v>4.6300000000000001E-2</v>
      </c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</row>
    <row r="132" spans="1:30">
      <c r="A132" s="128" t="s">
        <v>47</v>
      </c>
      <c r="B132" s="126">
        <f>B12/'Income Statement'!B7</f>
        <v>1.1536743909095421E-2</v>
      </c>
      <c r="C132" s="126">
        <f>C12/'Income Statement'!C7</f>
        <v>1.3400378424613151E-2</v>
      </c>
      <c r="D132" s="126">
        <f>D12/'Income Statement'!D7</f>
        <v>1.4935626685664852E-2</v>
      </c>
      <c r="E132" s="126">
        <f>E12/'Income Statement'!E7</f>
        <v>1.6455321458528644E-2</v>
      </c>
      <c r="F132" s="126">
        <f>F12/'Income Statement'!F7</f>
        <v>1.7750346873355343E-2</v>
      </c>
      <c r="G132" s="126">
        <f>G12/'Income Statement'!G7</f>
        <v>1.6017870277043777E-2</v>
      </c>
      <c r="H132" s="126">
        <f>H12/'Income Statement'!H7</f>
        <v>2.0988448693200969E-2</v>
      </c>
      <c r="I132" s="126">
        <f>I12/'Income Statement'!I7</f>
        <v>3.5531518957897183E-2</v>
      </c>
      <c r="J132" s="126">
        <f>J12/'Income Statement'!J7</f>
        <v>2.6645237692437828E-2</v>
      </c>
      <c r="K132" s="127">
        <f>K12/'Income Statement'!K7</f>
        <v>2.5612350662811631E-2</v>
      </c>
      <c r="L132" s="126">
        <v>2.5600000000000001E-2</v>
      </c>
      <c r="M132" s="126">
        <v>2.5600000000000001E-2</v>
      </c>
      <c r="N132" s="126">
        <v>2.5600000000000001E-2</v>
      </c>
      <c r="O132" s="126">
        <v>2.5600000000000001E-2</v>
      </c>
      <c r="P132" s="126">
        <v>2.5600000000000001E-2</v>
      </c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</row>
    <row r="133" spans="1:30">
      <c r="A133" s="128" t="s">
        <v>48</v>
      </c>
      <c r="B133" s="126"/>
      <c r="C133" s="126">
        <f>(C13-B13)/'Income Statement'!C7</f>
        <v>1.0523314584899303E-2</v>
      </c>
      <c r="D133" s="126">
        <f>(D13-C13)/'Income Statement'!D7</f>
        <v>1.0177599104371279E-4</v>
      </c>
      <c r="E133" s="126">
        <f>(E13-D13)/'Income Statement'!E7</f>
        <v>3.2811960329599842E-3</v>
      </c>
      <c r="F133" s="126">
        <f>(F13-E13)/'Income Statement'!F7</f>
        <v>-1.5071049232094158E-2</v>
      </c>
      <c r="G133" s="126">
        <f>(G13-F13)/'Income Statement'!G7</f>
        <v>7.8999700345964204E-4</v>
      </c>
      <c r="H133" s="126">
        <f>(H13-G13)/'Income Statement'!H7</f>
        <v>7.5068174158164046E-3</v>
      </c>
      <c r="I133" s="126">
        <f>(I13-H13)/'Income Statement'!I7</f>
        <v>-2.3261223540358222E-4</v>
      </c>
      <c r="J133" s="126">
        <f>(J13-I13)/'Income Statement'!J7</f>
        <v>-2.5658377037162351E-3</v>
      </c>
      <c r="K133" s="126">
        <f>(K13-J13)/'Income Statement'!K7</f>
        <v>5.1552015711090506E-3</v>
      </c>
      <c r="L133" s="126">
        <f t="shared" ref="L133:P133" si="81">K133</f>
        <v>5.1552015711090506E-3</v>
      </c>
      <c r="M133" s="126">
        <f t="shared" si="81"/>
        <v>5.1552015711090506E-3</v>
      </c>
      <c r="N133" s="126">
        <f t="shared" si="81"/>
        <v>5.1552015711090506E-3</v>
      </c>
      <c r="O133" s="126">
        <f t="shared" si="81"/>
        <v>5.1552015711090506E-3</v>
      </c>
      <c r="P133" s="126">
        <f t="shared" si="81"/>
        <v>5.1552015711090506E-3</v>
      </c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</row>
    <row r="134" spans="1:30">
      <c r="A134" s="128" t="s">
        <v>49</v>
      </c>
      <c r="B134" s="126">
        <f>B14/'Income Statement'!B7</f>
        <v>0.31727286260110155</v>
      </c>
      <c r="C134" s="126">
        <f>C14/'Income Statement'!C7</f>
        <v>0.41199035794821287</v>
      </c>
      <c r="D134" s="126">
        <f>D14/'Income Statement'!D7</f>
        <v>0.45053686835275558</v>
      </c>
      <c r="E134" s="126">
        <f>E14/'Income Statement'!E7</f>
        <v>0.45090541273992202</v>
      </c>
      <c r="F134" s="126">
        <f>F14/'Income Statement'!F7</f>
        <v>0.37189608152719966</v>
      </c>
      <c r="G134" s="126">
        <f>G14/'Income Statement'!G7</f>
        <v>0.42395597809801411</v>
      </c>
      <c r="H134" s="126">
        <f>H14/'Income Statement'!H7</f>
        <v>0.49201826148236666</v>
      </c>
      <c r="I134" s="126">
        <f>I14/'Income Statement'!I7</f>
        <v>0.51628285647825078</v>
      </c>
      <c r="J134" s="126">
        <f>J14/'Income Statement'!J7</f>
        <v>0.49334573958157107</v>
      </c>
      <c r="K134" s="126">
        <f>K14/'Income Statement'!K7</f>
        <v>0.49230811194151985</v>
      </c>
      <c r="L134" s="131">
        <v>0.49</v>
      </c>
      <c r="M134" s="126">
        <f t="shared" ref="M134:P134" si="82">L134</f>
        <v>0.49</v>
      </c>
      <c r="N134" s="126">
        <f t="shared" si="82"/>
        <v>0.49</v>
      </c>
      <c r="O134" s="126">
        <f t="shared" si="82"/>
        <v>0.49</v>
      </c>
      <c r="P134" s="126">
        <f t="shared" si="82"/>
        <v>0.49</v>
      </c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</row>
    <row r="135" spans="1:30">
      <c r="A135" s="125" t="s">
        <v>50</v>
      </c>
      <c r="B135" s="126">
        <f>B15/'Income Statement'!B7</f>
        <v>5.4780925916736965E-2</v>
      </c>
      <c r="C135" s="126">
        <f>C15/'Income Statement'!C7</f>
        <v>0.11863352427360618</v>
      </c>
      <c r="D135" s="126">
        <f>D15/'Income Statement'!D7</f>
        <v>0.11790748562414126</v>
      </c>
      <c r="E135" s="126">
        <f>E15/'Income Statement'!E7</f>
        <v>0.11091922830216608</v>
      </c>
      <c r="F135" s="126">
        <f>F15/'Income Statement'!F7</f>
        <v>9.9014401224821774E-2</v>
      </c>
      <c r="G135" s="126">
        <f>G15/'Income Statement'!G7</f>
        <v>0.10171892451442426</v>
      </c>
      <c r="H135" s="126">
        <f>H15/'Income Statement'!H7</f>
        <v>0.10907865306247511</v>
      </c>
      <c r="I135" s="126">
        <f>I15/'Income Statement'!I7</f>
        <v>0.10505350081414283</v>
      </c>
      <c r="J135" s="126">
        <f>J15/'Income Statement'!J7</f>
        <v>9.084757232278802E-2</v>
      </c>
      <c r="K135" s="126">
        <f>K15/'Income Statement'!K7</f>
        <v>8.8129398287054711E-2</v>
      </c>
      <c r="L135" s="126">
        <f t="shared" ref="L135:P135" si="83">K135</f>
        <v>8.8129398287054711E-2</v>
      </c>
      <c r="M135" s="126">
        <f t="shared" si="83"/>
        <v>8.8129398287054711E-2</v>
      </c>
      <c r="N135" s="126">
        <f t="shared" si="83"/>
        <v>8.8129398287054711E-2</v>
      </c>
      <c r="O135" s="126">
        <f t="shared" si="83"/>
        <v>8.8129398287054711E-2</v>
      </c>
      <c r="P135" s="126">
        <f t="shared" si="83"/>
        <v>8.8129398287054711E-2</v>
      </c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</row>
    <row r="136" spans="1:30">
      <c r="A136" s="128" t="s">
        <v>51</v>
      </c>
      <c r="B136" s="126">
        <f>B16/'Income Statement'!B14</f>
        <v>8.2276187024284159E-2</v>
      </c>
      <c r="C136" s="126">
        <f>C16/'Income Statement'!C14</f>
        <v>8.5097882540950853E-2</v>
      </c>
      <c r="D136" s="126">
        <f>D16/'Income Statement'!D14</f>
        <v>7.624794295117937E-2</v>
      </c>
      <c r="E136" s="126">
        <f>E16/'Income Statement'!E14</f>
        <v>8.2472451790633602E-2</v>
      </c>
      <c r="F136" s="126">
        <f>F16/'Income Statement'!F14</f>
        <v>7.221946785655263E-2</v>
      </c>
      <c r="G136" s="126">
        <f>G16/'Income Statement'!G14</f>
        <v>7.1027360028990766E-2</v>
      </c>
      <c r="H136" s="126">
        <f>H16/'Income Statement'!H14</f>
        <v>7.6697401508801347E-2</v>
      </c>
      <c r="I136" s="126">
        <f>I16/'Income Statement'!I14</f>
        <v>6.7111296373488949E-2</v>
      </c>
      <c r="J136" s="126">
        <f>J16/'Income Statement'!J14</f>
        <v>4.2961258151131568E-2</v>
      </c>
      <c r="K136" s="126">
        <f>K16/'Income Statement'!K14</f>
        <v>3.3157792081139066E-2</v>
      </c>
      <c r="L136" s="126">
        <f t="shared" ref="L136:P136" si="84">AVERAGE(G136:K136)</f>
        <v>5.8191021628710336E-2</v>
      </c>
      <c r="M136" s="126">
        <f t="shared" si="84"/>
        <v>5.5623753948654243E-2</v>
      </c>
      <c r="N136" s="126">
        <f t="shared" si="84"/>
        <v>5.1409024436624838E-2</v>
      </c>
      <c r="O136" s="126">
        <f t="shared" si="84"/>
        <v>4.8268570049252016E-2</v>
      </c>
      <c r="P136" s="126">
        <f t="shared" si="84"/>
        <v>4.9330032428876104E-2</v>
      </c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</row>
    <row r="137" spans="1:30">
      <c r="A137" s="128" t="s">
        <v>52</v>
      </c>
      <c r="B137" s="126">
        <f>B17/'Income Statement'!B20</f>
        <v>6.9439669989687175E-2</v>
      </c>
      <c r="C137" s="126">
        <f>C17/'Income Statement'!C20</f>
        <v>4.2969936228363197E-2</v>
      </c>
      <c r="D137" s="126">
        <f>D17/'Income Statement'!D20</f>
        <v>5.3823483790910502E-2</v>
      </c>
      <c r="E137" s="126">
        <f>E17/'Income Statement'!E20</f>
        <v>3.6366270646189511E-2</v>
      </c>
      <c r="F137" s="126">
        <f>F17/'Income Statement'!F20</f>
        <v>5.1021771069854414E-2</v>
      </c>
      <c r="G137" s="126">
        <f>G17/'Income Statement'!G20</f>
        <v>1.1377166291837545E-2</v>
      </c>
      <c r="H137" s="126">
        <f>H17/'Income Statement'!H20</f>
        <v>0.1264138389886893</v>
      </c>
      <c r="I137" s="126">
        <f>I17/'Income Statement'!I20</f>
        <v>6.758811333794057E-2</v>
      </c>
      <c r="J137" s="126">
        <f>J17/'Income Statement'!J20</f>
        <v>6.599780529863615E-2</v>
      </c>
      <c r="K137" s="126">
        <f>K17/'Income Statement'!K20</f>
        <v>5.4756250873026956E-2</v>
      </c>
      <c r="L137" s="126">
        <f t="shared" ref="L137:P137" si="85">K137</f>
        <v>5.4756250873026956E-2</v>
      </c>
      <c r="M137" s="126">
        <f t="shared" si="85"/>
        <v>5.4756250873026956E-2</v>
      </c>
      <c r="N137" s="126">
        <f t="shared" si="85"/>
        <v>5.4756250873026956E-2</v>
      </c>
      <c r="O137" s="126">
        <f t="shared" si="85"/>
        <v>5.4756250873026956E-2</v>
      </c>
      <c r="P137" s="126">
        <f t="shared" si="85"/>
        <v>5.4756250873026956E-2</v>
      </c>
      <c r="Q137" s="119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</row>
    <row r="138" spans="1:30">
      <c r="A138" s="128" t="s">
        <v>53</v>
      </c>
      <c r="B138" s="126">
        <f>B18/'Income Statement'!B7</f>
        <v>3.8654294645958417E-2</v>
      </c>
      <c r="C138" s="126">
        <f>C18/'Income Statement'!C7</f>
        <v>4.6033021435421581E-2</v>
      </c>
      <c r="D138" s="126">
        <f>D18/'Income Statement'!D7</f>
        <v>4.07867284107679E-2</v>
      </c>
      <c r="E138" s="126">
        <f>E18/'Income Statement'!E7</f>
        <v>8.3189421226624566E-2</v>
      </c>
      <c r="F138" s="126">
        <f>F18/'Income Statement'!F7</f>
        <v>0.16432228123056314</v>
      </c>
      <c r="G138" s="126">
        <f>G18/'Income Statement'!G7</f>
        <v>0.23667220572611622</v>
      </c>
      <c r="H138" s="126">
        <f>H18/'Income Statement'!H7</f>
        <v>0.2883843490516898</v>
      </c>
      <c r="I138" s="126">
        <f>I18/'Income Statement'!I7</f>
        <v>0.29466154919748777</v>
      </c>
      <c r="J138" s="126">
        <f>J18/'Income Statement'!J7</f>
        <v>0.26822872610387416</v>
      </c>
      <c r="K138" s="126">
        <f>K18/'Income Statement'!K7</f>
        <v>0.26136053679559218</v>
      </c>
      <c r="L138" s="130">
        <f>AVERAGE(F138:K138)</f>
        <v>0.25227160801755394</v>
      </c>
      <c r="M138" s="130">
        <v>0.25</v>
      </c>
      <c r="N138" s="130">
        <v>0.23</v>
      </c>
      <c r="O138" s="126">
        <f t="shared" ref="O138:P138" si="86">N138</f>
        <v>0.23</v>
      </c>
      <c r="P138" s="126">
        <f t="shared" si="86"/>
        <v>0.23</v>
      </c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</row>
    <row r="139" spans="1:30">
      <c r="A139" s="128" t="s">
        <v>57</v>
      </c>
      <c r="B139" s="126">
        <f>B22/SUM('Income Statement'!B11,'Income Statement'!B13,'Income Statement'!B14)</f>
        <v>0.15562001450326324</v>
      </c>
      <c r="C139" s="126">
        <f>C22/SUM('Income Statement'!C11,'Income Statement'!C13,'Income Statement'!C14)</f>
        <v>0.17573142695178409</v>
      </c>
      <c r="D139" s="126">
        <f>D22/SUM('Income Statement'!D11,'Income Statement'!D13,'Income Statement'!D14)</f>
        <v>0.17443821085870198</v>
      </c>
      <c r="E139" s="126">
        <f>E22/SUM('Income Statement'!E11,'Income Statement'!E13,'Income Statement'!E14)</f>
        <v>0.197226133061738</v>
      </c>
      <c r="F139" s="126">
        <f>F22/SUM('Income Statement'!F11,'Income Statement'!F13,'Income Statement'!F14)</f>
        <v>0.15975724420890675</v>
      </c>
      <c r="G139" s="126">
        <f>G22/SUM('Income Statement'!G11,'Income Statement'!G13,'Income Statement'!G14)</f>
        <v>0.19190836626699712</v>
      </c>
      <c r="H139" s="126">
        <f>H22/SUM('Income Statement'!H11,'Income Statement'!H13,'Income Statement'!H14)</f>
        <v>0.21342934560706731</v>
      </c>
      <c r="I139" s="126">
        <f>I22/SUM('Income Statement'!I11,'Income Statement'!I13,'Income Statement'!I14)</f>
        <v>0.22999432463110103</v>
      </c>
      <c r="J139" s="126">
        <f>J22/SUM('Income Statement'!J11,'Income Statement'!J13,'Income Statement'!J14)</f>
        <v>0.21794827645580081</v>
      </c>
      <c r="K139" s="126">
        <f>K22/SUM('Income Statement'!K11,'Income Statement'!K13,'Income Statement'!K14)</f>
        <v>0.23155723848806545</v>
      </c>
      <c r="L139" s="126">
        <f t="shared" ref="L139:P139" si="87">K139</f>
        <v>0.23155723848806545</v>
      </c>
      <c r="M139" s="126">
        <f t="shared" si="87"/>
        <v>0.23155723848806545</v>
      </c>
      <c r="N139" s="126">
        <f t="shared" si="87"/>
        <v>0.23155723848806545</v>
      </c>
      <c r="O139" s="126">
        <f t="shared" si="87"/>
        <v>0.23155723848806545</v>
      </c>
      <c r="P139" s="126">
        <f t="shared" si="87"/>
        <v>0.23155723848806545</v>
      </c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</row>
    <row r="140" spans="1:30">
      <c r="A140" s="128" t="s">
        <v>58</v>
      </c>
      <c r="B140" s="126">
        <f>B23/SUM('Income Statement'!B11,'Income Statement'!B13,'Income Statement'!B14)</f>
        <v>4.925308194343727E-2</v>
      </c>
      <c r="C140" s="126">
        <f>C23/SUM('Income Statement'!C11,'Income Statement'!C13,'Income Statement'!C14)</f>
        <v>0.18697445910622618</v>
      </c>
      <c r="D140" s="126">
        <f>D23/SUM('Income Statement'!D11,'Income Statement'!D13,'Income Statement'!D14)</f>
        <v>0.10319139152027959</v>
      </c>
      <c r="E140" s="126">
        <f>E23/SUM('Income Statement'!E11,'Income Statement'!E13,'Income Statement'!E14)</f>
        <v>0.11856334062247252</v>
      </c>
      <c r="F140" s="126">
        <f>F23/SUM('Income Statement'!F11,'Income Statement'!F13,'Income Statement'!F14)</f>
        <v>0.10217397498361683</v>
      </c>
      <c r="G140" s="126">
        <f>G23/SUM('Income Statement'!G11,'Income Statement'!G13,'Income Statement'!G14)</f>
        <v>0.11775738495545582</v>
      </c>
      <c r="H140" s="126">
        <f>H23/SUM('Income Statement'!H11,'Income Statement'!H13,'Income Statement'!H14)</f>
        <v>0.13351397498236889</v>
      </c>
      <c r="I140" s="126">
        <f>I23/SUM('Income Statement'!I11,'Income Statement'!I13,'Income Statement'!I14)</f>
        <v>0.12563847900113506</v>
      </c>
      <c r="J140" s="126">
        <f>J23/SUM('Income Statement'!J11,'Income Statement'!J13,'Income Statement'!J14)</f>
        <v>9.3563827955508105E-2</v>
      </c>
      <c r="K140" s="126">
        <f>K23/SUM('Income Statement'!K11,'Income Statement'!K13,'Income Statement'!K14)</f>
        <v>7.0491581580904725E-2</v>
      </c>
      <c r="L140" s="126">
        <f t="shared" ref="L140:P140" si="88">K140</f>
        <v>7.0491581580904725E-2</v>
      </c>
      <c r="M140" s="126">
        <f t="shared" si="88"/>
        <v>7.0491581580904725E-2</v>
      </c>
      <c r="N140" s="126">
        <f t="shared" si="88"/>
        <v>7.0491581580904725E-2</v>
      </c>
      <c r="O140" s="126">
        <f t="shared" si="88"/>
        <v>7.0491581580904725E-2</v>
      </c>
      <c r="P140" s="126">
        <f t="shared" si="88"/>
        <v>7.0491581580904725E-2</v>
      </c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</row>
    <row r="141" spans="1:30">
      <c r="A141" s="132" t="s">
        <v>59</v>
      </c>
      <c r="B141" s="126">
        <f>B24/SUM('Income Statement'!B11,'Income Statement'!B13,'Income Statement'!B14)</f>
        <v>2.7237128353879623E-2</v>
      </c>
      <c r="C141" s="126">
        <f>C24/SUM('Income Statement'!C11,'Income Statement'!C13,'Income Statement'!C14)</f>
        <v>1.8171511353257959E-2</v>
      </c>
      <c r="D141" s="126">
        <f>D24/SUM('Income Statement'!D11,'Income Statement'!D13,'Income Statement'!D14)</f>
        <v>6.9591342469113096E-3</v>
      </c>
      <c r="E141" s="126">
        <f>E24/SUM('Income Statement'!E11,'Income Statement'!E13,'Income Statement'!E14)</f>
        <v>4.0469700146781293E-2</v>
      </c>
      <c r="F141" s="126">
        <f>F24/SUM('Income Statement'!F11,'Income Statement'!F13,'Income Statement'!F14)</f>
        <v>8.183035587087216E-2</v>
      </c>
      <c r="G141" s="126">
        <f>G24/SUM('Income Statement'!G11,'Income Statement'!G13,'Income Statement'!G14)</f>
        <v>4.6084801393261439E-2</v>
      </c>
      <c r="H141" s="126">
        <f>H24/SUM('Income Statement'!H11,'Income Statement'!H13,'Income Statement'!H14)</f>
        <v>9.0753869566831222E-2</v>
      </c>
      <c r="I141" s="126">
        <f>I24/SUM('Income Statement'!I11,'Income Statement'!I13,'Income Statement'!I14)</f>
        <v>6.3954313280363217E-2</v>
      </c>
      <c r="J141" s="126">
        <f>J24/SUM('Income Statement'!J11,'Income Statement'!J13,'Income Statement'!J14)</f>
        <v>5.9575054237404869E-2</v>
      </c>
      <c r="K141" s="126">
        <f>K24/SUM('Income Statement'!K11,'Income Statement'!K13,'Income Statement'!K14)</f>
        <v>6.072080600446278E-2</v>
      </c>
      <c r="L141" s="126">
        <f t="shared" ref="L141:P141" si="89">K141</f>
        <v>6.072080600446278E-2</v>
      </c>
      <c r="M141" s="126">
        <f t="shared" si="89"/>
        <v>6.072080600446278E-2</v>
      </c>
      <c r="N141" s="126">
        <f t="shared" si="89"/>
        <v>6.072080600446278E-2</v>
      </c>
      <c r="O141" s="126">
        <f t="shared" si="89"/>
        <v>6.072080600446278E-2</v>
      </c>
      <c r="P141" s="126">
        <f t="shared" si="89"/>
        <v>6.072080600446278E-2</v>
      </c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</row>
    <row r="142" spans="1:30">
      <c r="A142" s="133" t="s">
        <v>60</v>
      </c>
      <c r="B142" s="126">
        <f>B25/SUM('Income Statement'!B11,'Income Statement'!B13,'Income Statement'!B14)</f>
        <v>0.19640319071791154</v>
      </c>
      <c r="C142" s="126">
        <f>C25/SUM('Income Statement'!C11,'Income Statement'!C13,'Income Statement'!C14)</f>
        <v>0.19768210877712342</v>
      </c>
      <c r="D142" s="126">
        <f>D25/SUM('Income Statement'!D11,'Income Statement'!D13,'Income Statement'!D14)</f>
        <v>0.2160703884239247</v>
      </c>
      <c r="E142" s="126">
        <f>E25/SUM('Income Statement'!E11,'Income Statement'!E13,'Income Statement'!E14)</f>
        <v>0.20872899379923912</v>
      </c>
      <c r="F142" s="126">
        <f>F25/SUM('Income Statement'!F11,'Income Statement'!F13,'Income Statement'!F14)</f>
        <v>0.19542980881556829</v>
      </c>
      <c r="G142" s="126">
        <f>G25/SUM('Income Statement'!G11,'Income Statement'!G13,'Income Statement'!G14)</f>
        <v>0.2503851564069931</v>
      </c>
      <c r="H142" s="126">
        <f>H25/SUM('Income Statement'!H11,'Income Statement'!H13,'Income Statement'!H14)</f>
        <v>0.2748598789948406</v>
      </c>
      <c r="I142" s="126">
        <f>I25/SUM('Income Statement'!I11,'Income Statement'!I13,'Income Statement'!I14)</f>
        <v>0.27238223609534618</v>
      </c>
      <c r="J142" s="126">
        <f>J25/SUM('Income Statement'!J11,'Income Statement'!J13,'Income Statement'!J14)</f>
        <v>0.31550673232549331</v>
      </c>
      <c r="K142" s="126">
        <f>K25/SUM('Income Statement'!K11,'Income Statement'!K13,'Income Statement'!K14)</f>
        <v>0.26401379403610792</v>
      </c>
      <c r="L142" s="126">
        <f t="shared" ref="L142:P142" si="90">K142</f>
        <v>0.26401379403610792</v>
      </c>
      <c r="M142" s="126">
        <f t="shared" si="90"/>
        <v>0.26401379403610792</v>
      </c>
      <c r="N142" s="126">
        <f t="shared" si="90"/>
        <v>0.26401379403610792</v>
      </c>
      <c r="O142" s="126">
        <f t="shared" si="90"/>
        <v>0.26401379403610792</v>
      </c>
      <c r="P142" s="126">
        <f t="shared" si="90"/>
        <v>0.26401379403610792</v>
      </c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</row>
    <row r="143" spans="1:30">
      <c r="A143" s="125" t="s">
        <v>52</v>
      </c>
      <c r="B143" s="126">
        <f>B28/'Income Statement'!B21</f>
        <v>0.1584956346541303</v>
      </c>
      <c r="C143" s="126">
        <f>C28/'Income Statement'!C21</f>
        <v>0.3208740655549166</v>
      </c>
      <c r="D143" s="126">
        <f>D28/'Income Statement'!D21</f>
        <v>0.30356027482823233</v>
      </c>
      <c r="E143" s="126">
        <f>E28/'Income Statement'!E21</f>
        <v>0.51191391237509609</v>
      </c>
      <c r="F143" s="126">
        <f>F28/'Income Statement'!F21</f>
        <v>2.5993930197268589</v>
      </c>
      <c r="G143" s="126">
        <f>G28/'Income Statement'!G21</f>
        <v>1.2565838976674191</v>
      </c>
      <c r="H143" s="126">
        <f>H28/'Income Statement'!H21</f>
        <v>1.8421970357454229</v>
      </c>
      <c r="I143" s="126">
        <f>I28/'Income Statement'!I21</f>
        <v>1.4547692307692308</v>
      </c>
      <c r="J143" s="126">
        <f>J28/'Income Statement'!J21</f>
        <v>1.4822946175637395</v>
      </c>
      <c r="K143" s="126">
        <f>K28/'Income Statement'!K21</f>
        <v>1.4082044384667114</v>
      </c>
      <c r="L143" s="126">
        <f t="shared" ref="L143:P143" si="91">AVERAGE(G143:K143)</f>
        <v>1.4888098440425046</v>
      </c>
      <c r="M143" s="126">
        <f t="shared" si="91"/>
        <v>1.5352550333175219</v>
      </c>
      <c r="N143" s="126">
        <f t="shared" si="91"/>
        <v>1.4738666328319419</v>
      </c>
      <c r="O143" s="126">
        <f t="shared" si="91"/>
        <v>1.4776861132444838</v>
      </c>
      <c r="P143" s="126">
        <f t="shared" si="91"/>
        <v>1.4767644123806327</v>
      </c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</row>
    <row r="144" spans="1:30">
      <c r="A144" s="128" t="s">
        <v>63</v>
      </c>
      <c r="B144" s="126">
        <f>B29/'Income Statement'!B14+'Income Statement'!B13</f>
        <v>0.16509604929322219</v>
      </c>
      <c r="C144" s="126">
        <f>C29/'Income Statement'!C14+'Income Statement'!C13</f>
        <v>0.10507391130643227</v>
      </c>
      <c r="D144" s="126">
        <f>D29/'Income Statement'!D14+'Income Statement'!D13</f>
        <v>8.6487474858292196E-2</v>
      </c>
      <c r="E144" s="126">
        <f>E29/'Income Statement'!E14+'Income Statement'!E13</f>
        <v>8.8154269972451793E-2</v>
      </c>
      <c r="F144" s="126">
        <f>F29/'Income Statement'!F14+'Income Statement'!F13</f>
        <v>5.6850107420261115E-2</v>
      </c>
      <c r="G144" s="126">
        <f>G29/'Income Statement'!G14+'Income Statement'!G13</f>
        <v>5.9068671860844357E-2</v>
      </c>
      <c r="H144" s="126">
        <f>H29/'Income Statement'!H14+'Income Statement'!H13</f>
        <v>5.0712489522212911E-2</v>
      </c>
      <c r="I144" s="126">
        <f>I29/'Income Statement'!I13</f>
        <v>0.15603900975243812</v>
      </c>
      <c r="J144" s="126">
        <f>J29/'Income Statement'!J13</f>
        <v>9.8782138024357244E-2</v>
      </c>
      <c r="K144" s="126">
        <f>K29/'Income Statement'!K13</f>
        <v>9.2032967032967039E-2</v>
      </c>
      <c r="L144" s="126">
        <f t="shared" ref="L144:P144" si="92">AVERAGE(G144:K144)</f>
        <v>9.1327055238563937E-2</v>
      </c>
      <c r="M144" s="126">
        <f t="shared" si="92"/>
        <v>9.7778731914107853E-2</v>
      </c>
      <c r="N144" s="126">
        <f t="shared" si="92"/>
        <v>0.10719198039248683</v>
      </c>
      <c r="O144" s="126">
        <f t="shared" si="92"/>
        <v>9.7422574520496588E-2</v>
      </c>
      <c r="P144" s="126">
        <f t="shared" si="92"/>
        <v>9.7150661819724454E-2</v>
      </c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</row>
    <row r="145" spans="1:30">
      <c r="A145" s="125" t="s">
        <v>64</v>
      </c>
      <c r="B145" s="126">
        <f>B30/'Income Statement'!B14</f>
        <v>0.21747009786154403</v>
      </c>
      <c r="C145" s="126">
        <f>C30/'Income Statement'!C14</f>
        <v>0.24990011985617258</v>
      </c>
      <c r="D145" s="126">
        <f>D30/'Income Statement'!D14</f>
        <v>0.18540866703236422</v>
      </c>
      <c r="E145" s="126">
        <f>E30/'Income Statement'!E14</f>
        <v>0.3891184573002755</v>
      </c>
      <c r="F145" s="126">
        <f>F30/'Income Statement'!F14</f>
        <v>0.37497934225747809</v>
      </c>
      <c r="G145" s="126">
        <f>G30/'Income Statement'!G14</f>
        <v>0.36165972096394272</v>
      </c>
      <c r="H145" s="126">
        <f>H30/'Income Statement'!H14</f>
        <v>0.40234702430846603</v>
      </c>
      <c r="I145" s="126">
        <f>I30/'Income Statement'!I14</f>
        <v>0.37515631513130471</v>
      </c>
      <c r="J145" s="126">
        <f>J30/'Income Statement'!J14</f>
        <v>0.22631377061756808</v>
      </c>
      <c r="K145" s="126">
        <f>K30/'Income Statement'!K14</f>
        <v>0.29061829529939537</v>
      </c>
      <c r="L145" s="126">
        <f t="shared" ref="L145:P145" si="93">AVERAGE(F145:K145)</f>
        <v>0.33851241142969252</v>
      </c>
      <c r="M145" s="126">
        <f t="shared" si="93"/>
        <v>0.33243458962506162</v>
      </c>
      <c r="N145" s="126">
        <f t="shared" si="93"/>
        <v>0.32756373440191472</v>
      </c>
      <c r="O145" s="126">
        <f t="shared" si="93"/>
        <v>0.31509985275082281</v>
      </c>
      <c r="P145" s="126">
        <f t="shared" si="93"/>
        <v>0.30509044235407584</v>
      </c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</row>
    <row r="146" spans="1:30">
      <c r="A146" s="128" t="s">
        <v>65</v>
      </c>
      <c r="B146" s="126">
        <f>B31/SUM('Income Statement'!B11,'Income Statement'!B13,'Income Statement'!B14)</f>
        <v>0.12420594633792603</v>
      </c>
      <c r="C146" s="126">
        <f>C31/SUM('Income Statement'!C11,'Income Statement'!C13,'Income Statement'!C14)</f>
        <v>0.13693194343841528</v>
      </c>
      <c r="D146" s="126">
        <f>D31/SUM('Income Statement'!D11,'Income Statement'!D13,'Income Statement'!D14)</f>
        <v>0.12600018394187437</v>
      </c>
      <c r="E146" s="126">
        <f>E31/SUM('Income Statement'!E11,'Income Statement'!E13,'Income Statement'!E14)</f>
        <v>0.17763532336818141</v>
      </c>
      <c r="F146" s="126">
        <f>F31/SUM('Income Statement'!F11,'Income Statement'!F13,'Income Statement'!F14)</f>
        <v>0.18240875288486194</v>
      </c>
      <c r="G146" s="126">
        <f>G31/SUM('Income Statement'!G11,'Income Statement'!G13,'Income Statement'!G14)</f>
        <v>0.22660593475785384</v>
      </c>
      <c r="H146" s="126">
        <f>H31/SUM('Income Statement'!H11,'Income Statement'!H13,'Income Statement'!H14)</f>
        <v>0.25889907575813814</v>
      </c>
      <c r="I146" s="126">
        <f>I31/SUM('Income Statement'!I11,'Income Statement'!I13,'Income Statement'!I14)</f>
        <v>0.25138337116912601</v>
      </c>
      <c r="J146" s="126">
        <f>J31/SUM('Income Statement'!J11,'Income Statement'!J13,'Income Statement'!J14)</f>
        <v>0.22276937911085093</v>
      </c>
      <c r="K146" s="126">
        <f>K31/SUM('Income Statement'!K11,'Income Statement'!K13,'Income Statement'!K14)</f>
        <v>0.21181283386300628</v>
      </c>
      <c r="L146" s="126">
        <f t="shared" ref="L146:P146" si="94">K146</f>
        <v>0.21181283386300628</v>
      </c>
      <c r="M146" s="126">
        <f t="shared" si="94"/>
        <v>0.21181283386300628</v>
      </c>
      <c r="N146" s="126">
        <f t="shared" si="94"/>
        <v>0.21181283386300628</v>
      </c>
      <c r="O146" s="126">
        <f t="shared" si="94"/>
        <v>0.21181283386300628</v>
      </c>
      <c r="P146" s="126">
        <f t="shared" si="94"/>
        <v>0.21181283386300628</v>
      </c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</row>
    <row r="147" spans="1:30">
      <c r="A147" s="92" t="s">
        <v>80</v>
      </c>
      <c r="B147" s="16"/>
      <c r="K147" s="2"/>
    </row>
    <row r="148" spans="1:30">
      <c r="A148" s="89"/>
      <c r="B148" s="16"/>
      <c r="K148" s="2"/>
    </row>
    <row r="149" spans="1:30">
      <c r="A149" s="95" t="s">
        <v>81</v>
      </c>
      <c r="B149" s="16"/>
      <c r="K149" s="2"/>
    </row>
    <row r="150" spans="1:30">
      <c r="A150" s="134" t="s">
        <v>82</v>
      </c>
      <c r="B150" s="16"/>
      <c r="K150" s="2"/>
      <c r="L150" s="52">
        <f t="shared" ref="L150:M150" si="95">K39</f>
        <v>47979</v>
      </c>
      <c r="M150" s="52">
        <f t="shared" si="95"/>
        <v>46365.847650625088</v>
      </c>
      <c r="N150" s="52">
        <f t="shared" ref="N150:P150" si="96">M154</f>
        <v>44965.472946771886</v>
      </c>
      <c r="O150" s="52">
        <f t="shared" si="96"/>
        <v>44650.975360420525</v>
      </c>
      <c r="P150" s="52">
        <f t="shared" si="96"/>
        <v>45663.955895894193</v>
      </c>
    </row>
    <row r="151" spans="1:30">
      <c r="A151" s="134" t="s">
        <v>83</v>
      </c>
      <c r="B151" s="16"/>
      <c r="K151" s="2"/>
      <c r="L151" s="52">
        <f>'Income Statement'!L22</f>
        <v>4843.7093784493845</v>
      </c>
      <c r="M151" s="52">
        <f>'Income Statement'!M22</f>
        <v>4991.084416211248</v>
      </c>
      <c r="N151" s="52">
        <f>'Income Statement'!N22</f>
        <v>6018.2435851051823</v>
      </c>
      <c r="O151" s="52">
        <f>'Income Statement'!O22</f>
        <v>7293.0051929131969</v>
      </c>
      <c r="P151" s="52">
        <f>'Income Statement'!P22</f>
        <v>8747.6569975900911</v>
      </c>
    </row>
    <row r="152" spans="1:30">
      <c r="A152" s="134" t="s">
        <v>84</v>
      </c>
      <c r="B152" s="14">
        <f>'Cash Flow'!B39</f>
        <v>1510</v>
      </c>
      <c r="C152" s="14">
        <f>'Cash Flow'!C39</f>
        <v>1726</v>
      </c>
      <c r="D152" s="14">
        <f>'Cash Flow'!D39</f>
        <v>1915</v>
      </c>
      <c r="E152" s="14">
        <f>'Cash Flow'!E39</f>
        <v>2119</v>
      </c>
      <c r="F152" s="14">
        <f>'Cash Flow'!F39</f>
        <v>2272</v>
      </c>
      <c r="G152" s="14">
        <f>'Cash Flow'!G39</f>
        <v>2442</v>
      </c>
      <c r="H152" s="14">
        <f>'Cash Flow'!H39</f>
        <v>2592</v>
      </c>
      <c r="I152" s="14">
        <f>'Cash Flow'!I39</f>
        <v>2626</v>
      </c>
      <c r="J152" s="14">
        <f>'Cash Flow'!J39</f>
        <v>2719</v>
      </c>
      <c r="K152" s="14">
        <f>'Cash Flow'!K39</f>
        <v>2855</v>
      </c>
      <c r="L152" s="52">
        <f>-L156*'Income Statement'!L34</f>
        <v>-2691.8617278242968</v>
      </c>
      <c r="M152" s="52">
        <f>-M156*'Income Statement'!M34</f>
        <v>-2626.4591200644531</v>
      </c>
      <c r="N152" s="52">
        <f>-N156*'Income Statement'!N34</f>
        <v>-2567.7411714565442</v>
      </c>
      <c r="O152" s="52">
        <f>-O156*'Income Statement'!O34</f>
        <v>-2515.0246574395301</v>
      </c>
      <c r="P152" s="52">
        <f>-P156*'Income Statement'!P34</f>
        <v>-2467.6961843577624</v>
      </c>
    </row>
    <row r="153" spans="1:30">
      <c r="A153" s="134" t="s">
        <v>85</v>
      </c>
      <c r="B153" s="14">
        <f>'Cash Flow'!B44</f>
        <v>924</v>
      </c>
      <c r="C153" s="14">
        <f>'Cash Flow'!C44</f>
        <v>1884</v>
      </c>
      <c r="D153" s="14">
        <f>'Cash Flow'!D44</f>
        <v>2079</v>
      </c>
      <c r="E153" s="14">
        <f>'Cash Flow'!E44</f>
        <v>2889</v>
      </c>
      <c r="F153" s="14">
        <f>'Cash Flow'!F44</f>
        <v>4000</v>
      </c>
      <c r="G153" s="14">
        <f>'Cash Flow'!G44</f>
        <v>4400</v>
      </c>
      <c r="H153" s="14">
        <f>'Cash Flow'!H44</f>
        <v>3714</v>
      </c>
      <c r="I153" s="14">
        <f>'Cash Flow'!I44</f>
        <v>3380</v>
      </c>
      <c r="J153" s="14">
        <f>'Cash Flow'!J44</f>
        <v>4200</v>
      </c>
      <c r="K153" s="14">
        <f>'Cash Flow'!K44</f>
        <v>3715</v>
      </c>
      <c r="L153" s="52">
        <f>-AVERAGE(I153:K153)</f>
        <v>-3765</v>
      </c>
      <c r="M153" s="52">
        <f t="shared" ref="M153:P153" si="97">L153</f>
        <v>-3765</v>
      </c>
      <c r="N153" s="52">
        <f t="shared" si="97"/>
        <v>-3765</v>
      </c>
      <c r="O153" s="52">
        <f t="shared" si="97"/>
        <v>-3765</v>
      </c>
      <c r="P153" s="52">
        <f t="shared" si="97"/>
        <v>-3765</v>
      </c>
    </row>
    <row r="154" spans="1:30">
      <c r="A154" s="135" t="s">
        <v>86</v>
      </c>
      <c r="B154" s="16"/>
      <c r="K154" s="2"/>
      <c r="L154" s="52">
        <f t="shared" ref="L154:P154" si="98">SUM(L150:L153)</f>
        <v>46365.847650625088</v>
      </c>
      <c r="M154" s="52">
        <f t="shared" si="98"/>
        <v>44965.472946771886</v>
      </c>
      <c r="N154" s="52">
        <f t="shared" si="98"/>
        <v>44650.975360420525</v>
      </c>
      <c r="O154" s="52">
        <f t="shared" si="98"/>
        <v>45663.955895894193</v>
      </c>
      <c r="P154" s="52">
        <f t="shared" si="98"/>
        <v>48178.916709126526</v>
      </c>
    </row>
    <row r="155" spans="1:30">
      <c r="A155" s="92"/>
      <c r="B155" s="16"/>
      <c r="K155" s="2"/>
    </row>
    <row r="156" spans="1:30">
      <c r="A156" s="136" t="s">
        <v>87</v>
      </c>
      <c r="B156" s="15">
        <v>1.87</v>
      </c>
      <c r="C156" s="137">
        <v>2.15</v>
      </c>
      <c r="D156" s="137">
        <v>2.4500000000000002</v>
      </c>
      <c r="E156" s="137">
        <v>2.74</v>
      </c>
      <c r="F156" s="137">
        <v>3.06</v>
      </c>
      <c r="G156" s="137">
        <v>3.36</v>
      </c>
      <c r="H156" s="137">
        <v>3.63</v>
      </c>
      <c r="I156" s="137">
        <v>3.77</v>
      </c>
      <c r="J156" s="137">
        <v>3.97</v>
      </c>
      <c r="K156" s="138">
        <v>4.17</v>
      </c>
      <c r="L156" s="138">
        <v>4.17</v>
      </c>
      <c r="M156" s="138">
        <v>4.17</v>
      </c>
      <c r="N156" s="138">
        <v>4.17</v>
      </c>
      <c r="O156" s="138">
        <v>4.17</v>
      </c>
      <c r="P156" s="138">
        <v>4.17</v>
      </c>
      <c r="Q156" s="73" t="s">
        <v>88</v>
      </c>
    </row>
    <row r="157" spans="1:30">
      <c r="A157" s="139" t="s">
        <v>89</v>
      </c>
      <c r="B157" s="21">
        <v>10</v>
      </c>
      <c r="C157" s="73">
        <v>18.8</v>
      </c>
      <c r="D157" s="73">
        <v>19.3</v>
      </c>
      <c r="E157" s="73">
        <v>20.5</v>
      </c>
      <c r="F157" s="73">
        <v>26.5</v>
      </c>
      <c r="G157" s="73">
        <v>26.5</v>
      </c>
      <c r="H157" s="73">
        <v>20.7</v>
      </c>
      <c r="I157" s="73">
        <v>15.8</v>
      </c>
      <c r="J157" s="73">
        <v>21.9</v>
      </c>
      <c r="K157" s="140">
        <v>19.2</v>
      </c>
      <c r="L157" s="73">
        <f t="shared" ref="L157:P157" si="99">-L153/L158</f>
        <v>17.469609634461253</v>
      </c>
      <c r="M157" s="73">
        <f t="shared" si="99"/>
        <v>15.684078599482824</v>
      </c>
      <c r="N157" s="73">
        <f t="shared" si="99"/>
        <v>14.081042831632866</v>
      </c>
      <c r="O157" s="73">
        <f t="shared" si="99"/>
        <v>12.641849884176006</v>
      </c>
      <c r="P157" s="73">
        <f t="shared" si="99"/>
        <v>11.349753736634879</v>
      </c>
    </row>
    <row r="158" spans="1:30">
      <c r="A158" s="136" t="s">
        <v>90</v>
      </c>
      <c r="B158" s="14">
        <f t="shared" ref="B158:K158" si="100">B153/B157</f>
        <v>92.4</v>
      </c>
      <c r="C158" s="14">
        <f t="shared" si="100"/>
        <v>100.21276595744681</v>
      </c>
      <c r="D158" s="14">
        <f t="shared" si="100"/>
        <v>107.720207253886</v>
      </c>
      <c r="E158" s="14">
        <f t="shared" si="100"/>
        <v>140.92682926829269</v>
      </c>
      <c r="F158" s="14">
        <f t="shared" si="100"/>
        <v>150.9433962264151</v>
      </c>
      <c r="G158" s="14">
        <f t="shared" si="100"/>
        <v>166.03773584905662</v>
      </c>
      <c r="H158" s="14">
        <f t="shared" si="100"/>
        <v>179.42028985507247</v>
      </c>
      <c r="I158" s="14">
        <f t="shared" si="100"/>
        <v>213.92405063291139</v>
      </c>
      <c r="J158" s="14">
        <f t="shared" si="100"/>
        <v>191.78082191780823</v>
      </c>
      <c r="K158" s="14">
        <f t="shared" si="100"/>
        <v>193.48958333333334</v>
      </c>
      <c r="L158" s="141">
        <f>K158*(1+FCFE!$B$4)</f>
        <v>215.51712252190282</v>
      </c>
      <c r="M158" s="141">
        <f>L158*(1+FCFE!$B$4)</f>
        <v>240.0523547570177</v>
      </c>
      <c r="N158" s="141">
        <f>M158*(1+FCFE!$B$4)</f>
        <v>267.38076469322147</v>
      </c>
      <c r="O158" s="141">
        <f>N158*(1+FCFE!$B$4)</f>
        <v>297.820337568848</v>
      </c>
      <c r="P158" s="141">
        <f>O158*(1+FCFE!$B$4)</f>
        <v>331.72525918754388</v>
      </c>
      <c r="Q158" s="73" t="s">
        <v>91</v>
      </c>
    </row>
    <row r="159" spans="1:30">
      <c r="A159" s="139"/>
      <c r="K159" s="2"/>
    </row>
    <row r="160" spans="1:30">
      <c r="A160" s="89"/>
      <c r="K160" s="2"/>
    </row>
    <row r="161" spans="1:11">
      <c r="A161" s="92"/>
      <c r="K161" s="2"/>
    </row>
    <row r="162" spans="1:11">
      <c r="A162" s="92"/>
      <c r="K162" s="2"/>
    </row>
    <row r="163" spans="1:11">
      <c r="A163" s="89"/>
      <c r="K163" s="2"/>
    </row>
    <row r="164" spans="1:11">
      <c r="A164" s="92"/>
      <c r="K164" s="2"/>
    </row>
    <row r="165" spans="1:11">
      <c r="A165" s="92"/>
      <c r="K165" s="2"/>
    </row>
    <row r="166" spans="1:11">
      <c r="A166" s="92"/>
      <c r="K166" s="2"/>
    </row>
    <row r="167" spans="1:11">
      <c r="A167" s="92"/>
      <c r="K167" s="2"/>
    </row>
    <row r="168" spans="1:11">
      <c r="A168" s="89"/>
      <c r="K168" s="2"/>
    </row>
    <row r="169" spans="1:11">
      <c r="A169" s="89"/>
      <c r="K169" s="2"/>
    </row>
    <row r="170" spans="1:11">
      <c r="A170" s="89"/>
      <c r="K170" s="2"/>
    </row>
    <row r="171" spans="1:11">
      <c r="A171" s="92"/>
      <c r="K171" s="2"/>
    </row>
    <row r="172" spans="1:11">
      <c r="A172" s="92"/>
      <c r="K172" s="2"/>
    </row>
    <row r="173" spans="1:11">
      <c r="A173" s="136"/>
      <c r="K173" s="2"/>
    </row>
    <row r="174" spans="1:11">
      <c r="A174" s="142"/>
      <c r="K174" s="2"/>
    </row>
    <row r="175" spans="1:11">
      <c r="A175" s="89"/>
      <c r="K175" s="2"/>
    </row>
    <row r="176" spans="1:11">
      <c r="A176" s="92"/>
      <c r="K176" s="2"/>
    </row>
    <row r="177" spans="1:11">
      <c r="A177" s="92"/>
      <c r="K177" s="2"/>
    </row>
    <row r="178" spans="1:11">
      <c r="A178" s="92"/>
      <c r="K178" s="2"/>
    </row>
    <row r="179" spans="1:11">
      <c r="A179" s="89"/>
      <c r="K179" s="2"/>
    </row>
    <row r="180" spans="1:11">
      <c r="A180" s="92"/>
      <c r="K180" s="2"/>
    </row>
    <row r="181" spans="1:11">
      <c r="A181" s="89"/>
      <c r="K181" s="2"/>
    </row>
    <row r="182" spans="1:11">
      <c r="A182" s="89"/>
      <c r="K182" s="2"/>
    </row>
    <row r="183" spans="1:11">
      <c r="A183" s="92"/>
      <c r="K183" s="2"/>
    </row>
    <row r="184" spans="1:11">
      <c r="A184" s="92"/>
      <c r="K184" s="2"/>
    </row>
    <row r="185" spans="1:11">
      <c r="A185" s="92"/>
      <c r="K185" s="2"/>
    </row>
    <row r="186" spans="1:11">
      <c r="A186" s="92"/>
      <c r="K186" s="2"/>
    </row>
    <row r="187" spans="1:11">
      <c r="A187" s="92"/>
      <c r="K187" s="2"/>
    </row>
    <row r="188" spans="1:11">
      <c r="A188" s="92"/>
      <c r="K188" s="2"/>
    </row>
    <row r="189" spans="1:11">
      <c r="A189" s="89"/>
      <c r="K189" s="2"/>
    </row>
    <row r="190" spans="1:11">
      <c r="A190" s="89"/>
      <c r="K190" s="2"/>
    </row>
    <row r="191" spans="1:11">
      <c r="A191" s="142"/>
      <c r="K191" s="2"/>
    </row>
    <row r="192" spans="1:11">
      <c r="A192" s="136"/>
      <c r="K192" s="2"/>
    </row>
    <row r="193" spans="1:11">
      <c r="A193" s="142"/>
      <c r="K193" s="2"/>
    </row>
    <row r="194" spans="1:11">
      <c r="A194" s="89"/>
      <c r="K194" s="2"/>
    </row>
    <row r="195" spans="1:11">
      <c r="A195" s="92"/>
      <c r="K195" s="2"/>
    </row>
    <row r="196" spans="1:11">
      <c r="A196" s="92"/>
      <c r="K196" s="2"/>
    </row>
    <row r="197" spans="1:11">
      <c r="A197" s="92"/>
      <c r="K197" s="2"/>
    </row>
    <row r="198" spans="1:11">
      <c r="A198" s="92"/>
      <c r="K198" s="2"/>
    </row>
    <row r="199" spans="1:11">
      <c r="A199" s="92"/>
      <c r="K199" s="2"/>
    </row>
    <row r="200" spans="1:11">
      <c r="A200" s="92"/>
      <c r="K200" s="2"/>
    </row>
    <row r="201" spans="1:11">
      <c r="A201" s="92"/>
      <c r="K201" s="2"/>
    </row>
    <row r="202" spans="1:11">
      <c r="A202" s="92"/>
      <c r="K202" s="2"/>
    </row>
    <row r="203" spans="1:11">
      <c r="A203" s="92"/>
      <c r="K203" s="2"/>
    </row>
    <row r="204" spans="1:11">
      <c r="A204" s="92"/>
      <c r="K204" s="2"/>
    </row>
    <row r="205" spans="1:11">
      <c r="A205" s="92"/>
      <c r="K205" s="2"/>
    </row>
    <row r="206" spans="1:11">
      <c r="A206" s="92"/>
      <c r="K206" s="2"/>
    </row>
    <row r="207" spans="1:11">
      <c r="A207" s="92"/>
      <c r="K207" s="2"/>
    </row>
    <row r="208" spans="1:11">
      <c r="A208" s="89"/>
      <c r="K208" s="2"/>
    </row>
    <row r="209" spans="1:11">
      <c r="A209" s="142"/>
      <c r="K209" s="2"/>
    </row>
    <row r="210" spans="1:11">
      <c r="A210" s="136"/>
      <c r="K210" s="2"/>
    </row>
    <row r="211" spans="1:11">
      <c r="A211" s="1"/>
      <c r="K211" s="2"/>
    </row>
    <row r="212" spans="1:11">
      <c r="A212" s="1"/>
      <c r="K212" s="2"/>
    </row>
    <row r="213" spans="1:11">
      <c r="A213" s="1"/>
      <c r="K213" s="2"/>
    </row>
    <row r="214" spans="1:11">
      <c r="A214" s="1"/>
      <c r="K214" s="2"/>
    </row>
    <row r="215" spans="1:11">
      <c r="A215" s="1"/>
      <c r="K215" s="2"/>
    </row>
    <row r="216" spans="1:11">
      <c r="A216" s="1"/>
      <c r="K216" s="2"/>
    </row>
    <row r="217" spans="1:11">
      <c r="A217" s="1"/>
      <c r="K217" s="2"/>
    </row>
    <row r="218" spans="1:11">
      <c r="A218" s="1"/>
      <c r="K218" s="2"/>
    </row>
    <row r="219" spans="1:11">
      <c r="A219" s="1"/>
      <c r="K219" s="2"/>
    </row>
    <row r="220" spans="1:11">
      <c r="A220" s="1"/>
      <c r="K220" s="2"/>
    </row>
    <row r="221" spans="1:11">
      <c r="A221" s="1"/>
      <c r="K221" s="2"/>
    </row>
    <row r="222" spans="1:11">
      <c r="A222" s="1"/>
      <c r="K222" s="2"/>
    </row>
    <row r="223" spans="1:11">
      <c r="A223" s="1"/>
      <c r="K223" s="2"/>
    </row>
    <row r="224" spans="1:11">
      <c r="A224" s="1"/>
      <c r="K224" s="2"/>
    </row>
    <row r="225" spans="1:11">
      <c r="A225" s="1"/>
      <c r="K225" s="2"/>
    </row>
    <row r="226" spans="1:11">
      <c r="A226" s="1"/>
      <c r="K226" s="2"/>
    </row>
    <row r="227" spans="1:11">
      <c r="A227" s="1"/>
      <c r="K227" s="2"/>
    </row>
    <row r="228" spans="1:11">
      <c r="A228" s="1"/>
      <c r="K228" s="2"/>
    </row>
    <row r="229" spans="1:11">
      <c r="A229" s="1"/>
      <c r="K229" s="2"/>
    </row>
    <row r="230" spans="1:11">
      <c r="A230" s="1"/>
      <c r="K230" s="2"/>
    </row>
    <row r="231" spans="1:11">
      <c r="A231" s="1"/>
      <c r="K231" s="2"/>
    </row>
    <row r="232" spans="1:11">
      <c r="A232" s="1"/>
      <c r="K232" s="2"/>
    </row>
    <row r="233" spans="1:11">
      <c r="A233" s="1"/>
      <c r="K233" s="2"/>
    </row>
    <row r="234" spans="1:11">
      <c r="A234" s="1"/>
      <c r="K234" s="2"/>
    </row>
    <row r="235" spans="1:11">
      <c r="A235" s="1"/>
      <c r="K235" s="2"/>
    </row>
    <row r="236" spans="1:11">
      <c r="A236" s="1"/>
      <c r="K236" s="2"/>
    </row>
    <row r="237" spans="1:11">
      <c r="A237" s="1"/>
      <c r="K237" s="2"/>
    </row>
    <row r="238" spans="1:11">
      <c r="A238" s="1"/>
      <c r="K238" s="2"/>
    </row>
    <row r="239" spans="1:11">
      <c r="A239" s="1"/>
      <c r="K239" s="2"/>
    </row>
    <row r="240" spans="1:11">
      <c r="A240" s="1"/>
      <c r="K240" s="2"/>
    </row>
    <row r="241" spans="1:11">
      <c r="A241" s="1"/>
      <c r="K241" s="2"/>
    </row>
    <row r="242" spans="1:11">
      <c r="A242" s="1"/>
      <c r="K242" s="2"/>
    </row>
    <row r="243" spans="1:11">
      <c r="A243" s="1"/>
      <c r="K243" s="2"/>
    </row>
    <row r="244" spans="1:11">
      <c r="A244" s="1"/>
      <c r="K244" s="2"/>
    </row>
    <row r="245" spans="1:11">
      <c r="A245" s="1"/>
      <c r="K245" s="2"/>
    </row>
    <row r="246" spans="1:11">
      <c r="A246" s="1"/>
      <c r="K246" s="2"/>
    </row>
    <row r="247" spans="1:11">
      <c r="A247" s="1"/>
      <c r="K247" s="2"/>
    </row>
    <row r="248" spans="1:11">
      <c r="A248" s="1"/>
      <c r="K248" s="2"/>
    </row>
    <row r="249" spans="1:11">
      <c r="A249" s="1"/>
      <c r="K249" s="2"/>
    </row>
    <row r="250" spans="1:11">
      <c r="A250" s="1"/>
      <c r="K250" s="2"/>
    </row>
    <row r="251" spans="1:11">
      <c r="A251" s="1"/>
      <c r="K251" s="2"/>
    </row>
    <row r="252" spans="1:11">
      <c r="A252" s="1"/>
      <c r="K252" s="2"/>
    </row>
    <row r="253" spans="1:11">
      <c r="A253" s="1"/>
      <c r="K253" s="2"/>
    </row>
    <row r="254" spans="1:11">
      <c r="A254" s="1"/>
      <c r="K254" s="2"/>
    </row>
    <row r="255" spans="1:11">
      <c r="A255" s="1"/>
      <c r="K255" s="2"/>
    </row>
    <row r="256" spans="1:11">
      <c r="A256" s="1"/>
      <c r="K256" s="2"/>
    </row>
    <row r="257" spans="1:11">
      <c r="A257" s="1"/>
      <c r="K257" s="2"/>
    </row>
    <row r="258" spans="1:11">
      <c r="A258" s="1"/>
      <c r="K258" s="2"/>
    </row>
    <row r="259" spans="1:11">
      <c r="A259" s="1"/>
      <c r="K259" s="2"/>
    </row>
    <row r="260" spans="1:11">
      <c r="A260" s="1"/>
      <c r="K260" s="2"/>
    </row>
    <row r="261" spans="1:11">
      <c r="A261" s="1"/>
      <c r="K261" s="2"/>
    </row>
    <row r="262" spans="1:11">
      <c r="A262" s="1"/>
      <c r="K262" s="2"/>
    </row>
    <row r="263" spans="1:11">
      <c r="A263" s="1"/>
      <c r="K263" s="2"/>
    </row>
    <row r="264" spans="1:11">
      <c r="A264" s="1"/>
      <c r="K264" s="2"/>
    </row>
    <row r="265" spans="1:11">
      <c r="A265" s="1"/>
      <c r="K265" s="2"/>
    </row>
    <row r="266" spans="1:11">
      <c r="A266" s="1"/>
      <c r="K266" s="2"/>
    </row>
    <row r="267" spans="1:11">
      <c r="A267" s="1"/>
      <c r="K267" s="2"/>
    </row>
    <row r="268" spans="1:11">
      <c r="A268" s="1"/>
      <c r="K268" s="2"/>
    </row>
    <row r="269" spans="1:11">
      <c r="A269" s="1"/>
      <c r="K269" s="2"/>
    </row>
    <row r="270" spans="1:11">
      <c r="A270" s="1"/>
      <c r="K270" s="2"/>
    </row>
    <row r="271" spans="1:11">
      <c r="A271" s="1"/>
      <c r="K271" s="2"/>
    </row>
    <row r="272" spans="1:11">
      <c r="A272" s="1"/>
      <c r="K272" s="2"/>
    </row>
    <row r="273" spans="1:11">
      <c r="A273" s="1"/>
      <c r="K273" s="2"/>
    </row>
    <row r="274" spans="1:11">
      <c r="A274" s="1"/>
      <c r="K274" s="2"/>
    </row>
    <row r="275" spans="1:11">
      <c r="A275" s="1"/>
      <c r="K275" s="2"/>
    </row>
    <row r="276" spans="1:11">
      <c r="A276" s="1"/>
      <c r="K276" s="2"/>
    </row>
    <row r="277" spans="1:11">
      <c r="A277" s="1"/>
      <c r="K277" s="2"/>
    </row>
    <row r="278" spans="1:11">
      <c r="A278" s="1"/>
      <c r="K278" s="2"/>
    </row>
    <row r="279" spans="1:11">
      <c r="A279" s="1"/>
      <c r="K279" s="2"/>
    </row>
    <row r="280" spans="1:11">
      <c r="A280" s="1"/>
      <c r="K280" s="2"/>
    </row>
    <row r="281" spans="1:11">
      <c r="A281" s="1"/>
      <c r="K281" s="2"/>
    </row>
    <row r="282" spans="1:11">
      <c r="A282" s="1"/>
      <c r="K282" s="2"/>
    </row>
    <row r="283" spans="1:11">
      <c r="A283" s="1"/>
      <c r="K283" s="2"/>
    </row>
    <row r="284" spans="1:11">
      <c r="A284" s="1"/>
      <c r="K284" s="2"/>
    </row>
    <row r="285" spans="1:11">
      <c r="A285" s="1"/>
      <c r="K285" s="2"/>
    </row>
    <row r="286" spans="1:11">
      <c r="A286" s="1"/>
      <c r="K286" s="2"/>
    </row>
    <row r="287" spans="1:11">
      <c r="A287" s="1"/>
      <c r="K287" s="2"/>
    </row>
    <row r="288" spans="1:11">
      <c r="A288" s="1"/>
      <c r="K288" s="2"/>
    </row>
    <row r="289" spans="1:11">
      <c r="A289" s="1"/>
      <c r="K289" s="2"/>
    </row>
    <row r="290" spans="1:11">
      <c r="A290" s="1"/>
      <c r="K290" s="2"/>
    </row>
    <row r="291" spans="1:11">
      <c r="A291" s="1"/>
      <c r="K291" s="2"/>
    </row>
    <row r="292" spans="1:11">
      <c r="A292" s="1"/>
      <c r="K292" s="2"/>
    </row>
    <row r="293" spans="1:11">
      <c r="A293" s="1"/>
      <c r="K293" s="2"/>
    </row>
    <row r="294" spans="1:11">
      <c r="A294" s="1"/>
      <c r="K294" s="2"/>
    </row>
    <row r="295" spans="1:11">
      <c r="A295" s="1"/>
      <c r="K295" s="2"/>
    </row>
    <row r="296" spans="1:11">
      <c r="A296" s="1"/>
      <c r="K296" s="2"/>
    </row>
    <row r="297" spans="1:11">
      <c r="A297" s="1"/>
      <c r="K297" s="2"/>
    </row>
    <row r="298" spans="1:11">
      <c r="A298" s="1"/>
      <c r="K298" s="2"/>
    </row>
    <row r="299" spans="1:11">
      <c r="A299" s="1"/>
      <c r="K299" s="2"/>
    </row>
    <row r="300" spans="1:11">
      <c r="A300" s="1"/>
      <c r="K300" s="2"/>
    </row>
    <row r="301" spans="1:11">
      <c r="A301" s="1"/>
      <c r="K301" s="2"/>
    </row>
    <row r="302" spans="1:11">
      <c r="A302" s="1"/>
      <c r="K302" s="2"/>
    </row>
    <row r="303" spans="1:11">
      <c r="A303" s="1"/>
      <c r="K303" s="2"/>
    </row>
    <row r="304" spans="1:11">
      <c r="A304" s="1"/>
      <c r="K304" s="2"/>
    </row>
    <row r="305" spans="1:11">
      <c r="A305" s="1"/>
      <c r="K305" s="2"/>
    </row>
    <row r="306" spans="1:11">
      <c r="A306" s="1"/>
      <c r="K306" s="2"/>
    </row>
    <row r="307" spans="1:11">
      <c r="A307" s="1"/>
      <c r="K307" s="2"/>
    </row>
    <row r="308" spans="1:11">
      <c r="A308" s="1"/>
      <c r="K308" s="2"/>
    </row>
    <row r="309" spans="1:11">
      <c r="A309" s="1"/>
      <c r="K309" s="2"/>
    </row>
    <row r="310" spans="1:11">
      <c r="A310" s="1"/>
      <c r="K310" s="2"/>
    </row>
    <row r="311" spans="1:11">
      <c r="A311" s="1"/>
      <c r="K311" s="2"/>
    </row>
    <row r="312" spans="1:11">
      <c r="A312" s="1"/>
      <c r="K312" s="2"/>
    </row>
    <row r="313" spans="1:11">
      <c r="A313" s="1"/>
      <c r="K313" s="2"/>
    </row>
    <row r="314" spans="1:11">
      <c r="A314" s="1"/>
      <c r="K314" s="2"/>
    </row>
    <row r="315" spans="1:11">
      <c r="A315" s="1"/>
      <c r="K315" s="2"/>
    </row>
    <row r="316" spans="1:11">
      <c r="A316" s="1"/>
      <c r="K316" s="2"/>
    </row>
    <row r="317" spans="1:11">
      <c r="A317" s="1"/>
      <c r="K317" s="2"/>
    </row>
    <row r="318" spans="1:11">
      <c r="A318" s="1"/>
      <c r="K318" s="2"/>
    </row>
    <row r="319" spans="1:11">
      <c r="A319" s="1"/>
      <c r="K319" s="2"/>
    </row>
    <row r="320" spans="1:11">
      <c r="A320" s="1"/>
      <c r="K320" s="2"/>
    </row>
    <row r="321" spans="1:11">
      <c r="A321" s="1"/>
      <c r="K321" s="2"/>
    </row>
    <row r="322" spans="1:11">
      <c r="A322" s="1"/>
      <c r="K322" s="2"/>
    </row>
    <row r="323" spans="1:11">
      <c r="A323" s="1"/>
      <c r="K323" s="2"/>
    </row>
    <row r="324" spans="1:11">
      <c r="A324" s="1"/>
      <c r="K324" s="2"/>
    </row>
    <row r="325" spans="1:11">
      <c r="A325" s="1"/>
      <c r="K325" s="2"/>
    </row>
    <row r="326" spans="1:11">
      <c r="A326" s="1"/>
      <c r="K326" s="2"/>
    </row>
    <row r="327" spans="1:11">
      <c r="A327" s="1"/>
      <c r="K327" s="2"/>
    </row>
    <row r="328" spans="1:11">
      <c r="A328" s="1"/>
      <c r="K328" s="2"/>
    </row>
    <row r="329" spans="1:11">
      <c r="A329" s="1"/>
      <c r="K329" s="2"/>
    </row>
    <row r="330" spans="1:11">
      <c r="A330" s="1"/>
      <c r="K330" s="2"/>
    </row>
    <row r="331" spans="1:11">
      <c r="A331" s="1"/>
      <c r="K331" s="2"/>
    </row>
    <row r="332" spans="1:11">
      <c r="A332" s="1"/>
      <c r="K332" s="2"/>
    </row>
    <row r="333" spans="1:11">
      <c r="A333" s="1"/>
      <c r="K333" s="2"/>
    </row>
    <row r="334" spans="1:11">
      <c r="A334" s="1"/>
      <c r="K334" s="2"/>
    </row>
    <row r="335" spans="1:11">
      <c r="A335" s="1"/>
      <c r="K335" s="2"/>
    </row>
    <row r="336" spans="1:11">
      <c r="A336" s="1"/>
      <c r="K336" s="2"/>
    </row>
    <row r="337" spans="1:11">
      <c r="A337" s="1"/>
      <c r="K337" s="2"/>
    </row>
    <row r="338" spans="1:11">
      <c r="A338" s="1"/>
      <c r="K338" s="2"/>
    </row>
    <row r="339" spans="1:11">
      <c r="A339" s="1"/>
      <c r="K339" s="2"/>
    </row>
    <row r="340" spans="1:11">
      <c r="A340" s="1"/>
      <c r="K340" s="2"/>
    </row>
    <row r="341" spans="1:11">
      <c r="A341" s="1"/>
      <c r="K341" s="2"/>
    </row>
    <row r="342" spans="1:11">
      <c r="A342" s="1"/>
      <c r="K342" s="2"/>
    </row>
    <row r="343" spans="1:11">
      <c r="A343" s="1"/>
      <c r="K343" s="2"/>
    </row>
    <row r="344" spans="1:11">
      <c r="A344" s="1"/>
      <c r="K344" s="2"/>
    </row>
    <row r="345" spans="1:11">
      <c r="A345" s="1"/>
      <c r="K345" s="2"/>
    </row>
    <row r="346" spans="1:11">
      <c r="A346" s="1"/>
      <c r="K346" s="2"/>
    </row>
    <row r="347" spans="1:11">
      <c r="A347" s="1"/>
      <c r="K347" s="2"/>
    </row>
    <row r="348" spans="1:11">
      <c r="A348" s="1"/>
      <c r="K348" s="2"/>
    </row>
    <row r="349" spans="1:11">
      <c r="A349" s="1"/>
      <c r="K349" s="2"/>
    </row>
    <row r="350" spans="1:11">
      <c r="A350" s="1"/>
      <c r="K350" s="2"/>
    </row>
    <row r="351" spans="1:11">
      <c r="A351" s="1"/>
      <c r="K351" s="2"/>
    </row>
    <row r="352" spans="1:11">
      <c r="A352" s="1"/>
      <c r="K352" s="2"/>
    </row>
    <row r="353" spans="1:11">
      <c r="A353" s="1"/>
      <c r="K353" s="2"/>
    </row>
    <row r="354" spans="1:11">
      <c r="A354" s="1"/>
      <c r="K354" s="2"/>
    </row>
    <row r="355" spans="1:11">
      <c r="A355" s="1"/>
      <c r="K355" s="2"/>
    </row>
    <row r="356" spans="1:11">
      <c r="A356" s="1"/>
      <c r="K356" s="2"/>
    </row>
    <row r="357" spans="1:11">
      <c r="A357" s="1"/>
      <c r="K357" s="2"/>
    </row>
    <row r="358" spans="1:11">
      <c r="A358" s="1"/>
      <c r="K358" s="2"/>
    </row>
    <row r="359" spans="1:11">
      <c r="A359" s="1"/>
      <c r="K359" s="2"/>
    </row>
    <row r="360" spans="1:11">
      <c r="A360" s="1"/>
      <c r="K360" s="2"/>
    </row>
    <row r="361" spans="1:11">
      <c r="A361" s="1"/>
      <c r="K361" s="2"/>
    </row>
    <row r="362" spans="1:11">
      <c r="A362" s="1"/>
      <c r="K362" s="2"/>
    </row>
    <row r="363" spans="1:11">
      <c r="A363" s="1"/>
      <c r="K363" s="2"/>
    </row>
    <row r="364" spans="1:11">
      <c r="A364" s="1"/>
      <c r="K364" s="2"/>
    </row>
    <row r="365" spans="1:11">
      <c r="A365" s="1"/>
      <c r="K365" s="2"/>
    </row>
    <row r="366" spans="1:11">
      <c r="A366" s="1"/>
      <c r="K366" s="2"/>
    </row>
    <row r="367" spans="1:11">
      <c r="A367" s="1"/>
      <c r="K367" s="2"/>
    </row>
    <row r="368" spans="1:11">
      <c r="A368" s="1"/>
      <c r="K368" s="2"/>
    </row>
    <row r="369" spans="1:11">
      <c r="A369" s="1"/>
      <c r="K369" s="2"/>
    </row>
    <row r="370" spans="1:11">
      <c r="A370" s="1"/>
      <c r="K370" s="2"/>
    </row>
    <row r="371" spans="1:11">
      <c r="A371" s="1"/>
      <c r="K371" s="2"/>
    </row>
    <row r="372" spans="1:11">
      <c r="A372" s="1"/>
      <c r="K372" s="2"/>
    </row>
    <row r="373" spans="1:11">
      <c r="A373" s="1"/>
      <c r="K373" s="2"/>
    </row>
    <row r="374" spans="1:11">
      <c r="A374" s="1"/>
      <c r="K374" s="2"/>
    </row>
    <row r="375" spans="1:11">
      <c r="A375" s="1"/>
      <c r="K375" s="2"/>
    </row>
    <row r="376" spans="1:11">
      <c r="A376" s="1"/>
      <c r="K376" s="2"/>
    </row>
    <row r="377" spans="1:11">
      <c r="A377" s="1"/>
      <c r="K377" s="2"/>
    </row>
    <row r="378" spans="1:11">
      <c r="A378" s="1"/>
      <c r="K378" s="2"/>
    </row>
    <row r="379" spans="1:11">
      <c r="A379" s="1"/>
      <c r="K379" s="2"/>
    </row>
    <row r="380" spans="1:11">
      <c r="A380" s="1"/>
      <c r="K380" s="2"/>
    </row>
    <row r="381" spans="1:11">
      <c r="A381" s="1"/>
      <c r="K381" s="2"/>
    </row>
    <row r="382" spans="1:11">
      <c r="A382" s="1"/>
      <c r="K382" s="2"/>
    </row>
    <row r="383" spans="1:11">
      <c r="A383" s="1"/>
      <c r="K383" s="2"/>
    </row>
    <row r="384" spans="1:11">
      <c r="A384" s="1"/>
      <c r="K384" s="2"/>
    </row>
    <row r="385" spans="1:11">
      <c r="A385" s="1"/>
      <c r="K385" s="2"/>
    </row>
    <row r="386" spans="1:11">
      <c r="A386" s="1"/>
      <c r="K386" s="2"/>
    </row>
    <row r="387" spans="1:11">
      <c r="A387" s="1"/>
      <c r="K387" s="2"/>
    </row>
    <row r="388" spans="1:11">
      <c r="A388" s="1"/>
      <c r="K388" s="2"/>
    </row>
    <row r="389" spans="1:11">
      <c r="A389" s="1"/>
      <c r="K389" s="2"/>
    </row>
    <row r="390" spans="1:11">
      <c r="A390" s="1"/>
      <c r="K390" s="2"/>
    </row>
    <row r="391" spans="1:11">
      <c r="A391" s="1"/>
      <c r="K391" s="2"/>
    </row>
    <row r="392" spans="1:11">
      <c r="A392" s="1"/>
      <c r="K392" s="2"/>
    </row>
    <row r="393" spans="1:11">
      <c r="A393" s="1"/>
      <c r="K393" s="2"/>
    </row>
    <row r="394" spans="1:11">
      <c r="A394" s="1"/>
      <c r="K394" s="2"/>
    </row>
    <row r="395" spans="1:11">
      <c r="A395" s="1"/>
      <c r="K395" s="2"/>
    </row>
    <row r="396" spans="1:11">
      <c r="A396" s="1"/>
      <c r="K396" s="2"/>
    </row>
    <row r="397" spans="1:11">
      <c r="A397" s="1"/>
      <c r="K397" s="2"/>
    </row>
    <row r="398" spans="1:11">
      <c r="A398" s="1"/>
      <c r="K398" s="2"/>
    </row>
    <row r="399" spans="1:11">
      <c r="A399" s="1"/>
      <c r="K399" s="2"/>
    </row>
    <row r="400" spans="1:11">
      <c r="A400" s="1"/>
      <c r="K400" s="2"/>
    </row>
    <row r="401" spans="1:11">
      <c r="A401" s="1"/>
      <c r="K401" s="2"/>
    </row>
    <row r="402" spans="1:11">
      <c r="A402" s="1"/>
      <c r="K402" s="2"/>
    </row>
    <row r="403" spans="1:11">
      <c r="A403" s="1"/>
      <c r="K403" s="2"/>
    </row>
    <row r="404" spans="1:11">
      <c r="A404" s="1"/>
      <c r="K404" s="2"/>
    </row>
    <row r="405" spans="1:11">
      <c r="A405" s="1"/>
      <c r="K405" s="2"/>
    </row>
    <row r="406" spans="1:11">
      <c r="A406" s="1"/>
      <c r="K406" s="2"/>
    </row>
    <row r="407" spans="1:11">
      <c r="A407" s="1"/>
      <c r="K407" s="2"/>
    </row>
    <row r="408" spans="1:11">
      <c r="A408" s="1"/>
      <c r="K408" s="2"/>
    </row>
    <row r="409" spans="1:11">
      <c r="A409" s="1"/>
      <c r="K409" s="2"/>
    </row>
    <row r="410" spans="1:11">
      <c r="A410" s="1"/>
      <c r="K410" s="2"/>
    </row>
    <row r="411" spans="1:11">
      <c r="A411" s="1"/>
      <c r="K411" s="2"/>
    </row>
    <row r="412" spans="1:11">
      <c r="A412" s="1"/>
      <c r="K412" s="2"/>
    </row>
    <row r="413" spans="1:11">
      <c r="A413" s="1"/>
      <c r="K413" s="2"/>
    </row>
    <row r="414" spans="1:11">
      <c r="A414" s="1"/>
      <c r="K414" s="2"/>
    </row>
    <row r="415" spans="1:11">
      <c r="A415" s="1"/>
      <c r="K415" s="2"/>
    </row>
    <row r="416" spans="1:11">
      <c r="A416" s="1"/>
      <c r="K416" s="2"/>
    </row>
    <row r="417" spans="1:11">
      <c r="A417" s="1"/>
      <c r="K417" s="2"/>
    </row>
    <row r="418" spans="1:11">
      <c r="A418" s="1"/>
      <c r="K418" s="2"/>
    </row>
    <row r="419" spans="1:11">
      <c r="A419" s="1"/>
      <c r="K419" s="2"/>
    </row>
    <row r="420" spans="1:11">
      <c r="A420" s="1"/>
      <c r="K420" s="2"/>
    </row>
    <row r="421" spans="1:11">
      <c r="A421" s="1"/>
      <c r="K421" s="2"/>
    </row>
    <row r="422" spans="1:11">
      <c r="A422" s="1"/>
      <c r="K422" s="2"/>
    </row>
    <row r="423" spans="1:11">
      <c r="A423" s="1"/>
      <c r="K423" s="2"/>
    </row>
    <row r="424" spans="1:11">
      <c r="A424" s="1"/>
      <c r="K424" s="2"/>
    </row>
    <row r="425" spans="1:11">
      <c r="A425" s="1"/>
      <c r="K425" s="2"/>
    </row>
    <row r="426" spans="1:11">
      <c r="A426" s="1"/>
      <c r="K426" s="2"/>
    </row>
    <row r="427" spans="1:11">
      <c r="A427" s="1"/>
      <c r="K427" s="2"/>
    </row>
    <row r="428" spans="1:11">
      <c r="A428" s="1"/>
      <c r="K428" s="2"/>
    </row>
    <row r="429" spans="1:11">
      <c r="A429" s="1"/>
      <c r="K429" s="2"/>
    </row>
    <row r="430" spans="1:11">
      <c r="A430" s="1"/>
      <c r="K430" s="2"/>
    </row>
    <row r="431" spans="1:11">
      <c r="A431" s="1"/>
      <c r="K431" s="2"/>
    </row>
    <row r="432" spans="1:11">
      <c r="A432" s="1"/>
      <c r="K432" s="2"/>
    </row>
    <row r="433" spans="1:11">
      <c r="A433" s="1"/>
      <c r="K433" s="2"/>
    </row>
    <row r="434" spans="1:11">
      <c r="A434" s="1"/>
      <c r="K434" s="2"/>
    </row>
    <row r="435" spans="1:11">
      <c r="A435" s="1"/>
      <c r="K435" s="2"/>
    </row>
    <row r="436" spans="1:11">
      <c r="A436" s="1"/>
      <c r="K436" s="2"/>
    </row>
    <row r="437" spans="1:11">
      <c r="A437" s="1"/>
      <c r="K437" s="2"/>
    </row>
    <row r="438" spans="1:11">
      <c r="A438" s="1"/>
      <c r="K438" s="2"/>
    </row>
    <row r="439" spans="1:11">
      <c r="A439" s="1"/>
      <c r="K439" s="2"/>
    </row>
    <row r="440" spans="1:11">
      <c r="A440" s="1"/>
      <c r="K440" s="2"/>
    </row>
    <row r="441" spans="1:11">
      <c r="A441" s="1"/>
      <c r="K441" s="2"/>
    </row>
    <row r="442" spans="1:11">
      <c r="A442" s="1"/>
      <c r="K442" s="2"/>
    </row>
    <row r="443" spans="1:11">
      <c r="A443" s="1"/>
      <c r="K443" s="2"/>
    </row>
    <row r="444" spans="1:11">
      <c r="A444" s="1"/>
      <c r="K444" s="2"/>
    </row>
    <row r="445" spans="1:11">
      <c r="A445" s="1"/>
      <c r="K445" s="2"/>
    </row>
    <row r="446" spans="1:11">
      <c r="A446" s="1"/>
      <c r="K446" s="2"/>
    </row>
    <row r="447" spans="1:11">
      <c r="A447" s="1"/>
      <c r="K447" s="2"/>
    </row>
    <row r="448" spans="1:11">
      <c r="A448" s="1"/>
      <c r="K448" s="2"/>
    </row>
    <row r="449" spans="1:11">
      <c r="A449" s="1"/>
      <c r="K449" s="2"/>
    </row>
    <row r="450" spans="1:11">
      <c r="A450" s="1"/>
      <c r="K450" s="2"/>
    </row>
    <row r="451" spans="1:11">
      <c r="A451" s="1"/>
      <c r="K451" s="2"/>
    </row>
    <row r="452" spans="1:11">
      <c r="A452" s="1"/>
      <c r="K452" s="2"/>
    </row>
    <row r="453" spans="1:11">
      <c r="A453" s="1"/>
      <c r="K453" s="2"/>
    </row>
    <row r="454" spans="1:11">
      <c r="A454" s="1"/>
      <c r="K454" s="2"/>
    </row>
    <row r="455" spans="1:11">
      <c r="A455" s="1"/>
      <c r="K455" s="2"/>
    </row>
    <row r="456" spans="1:11">
      <c r="A456" s="1"/>
      <c r="K456" s="2"/>
    </row>
    <row r="457" spans="1:11">
      <c r="A457" s="1"/>
      <c r="K457" s="2"/>
    </row>
    <row r="458" spans="1:11">
      <c r="A458" s="1"/>
      <c r="K458" s="2"/>
    </row>
    <row r="459" spans="1:11">
      <c r="A459" s="1"/>
      <c r="K459" s="2"/>
    </row>
    <row r="460" spans="1:11">
      <c r="A460" s="1"/>
      <c r="K460" s="2"/>
    </row>
    <row r="461" spans="1:11">
      <c r="A461" s="1"/>
      <c r="K461" s="2"/>
    </row>
    <row r="462" spans="1:11">
      <c r="A462" s="1"/>
      <c r="K462" s="2"/>
    </row>
    <row r="463" spans="1:11">
      <c r="A463" s="1"/>
      <c r="K463" s="2"/>
    </row>
    <row r="464" spans="1:11">
      <c r="A464" s="1"/>
      <c r="K464" s="2"/>
    </row>
    <row r="465" spans="1:11">
      <c r="A465" s="1"/>
      <c r="K465" s="2"/>
    </row>
    <row r="466" spans="1:11">
      <c r="A466" s="1"/>
      <c r="K466" s="2"/>
    </row>
    <row r="467" spans="1:11">
      <c r="A467" s="1"/>
      <c r="K467" s="2"/>
    </row>
    <row r="468" spans="1:11">
      <c r="A468" s="1"/>
      <c r="K468" s="2"/>
    </row>
    <row r="469" spans="1:11">
      <c r="A469" s="1"/>
      <c r="K469" s="2"/>
    </row>
    <row r="470" spans="1:11">
      <c r="A470" s="1"/>
      <c r="K470" s="2"/>
    </row>
    <row r="471" spans="1:11">
      <c r="A471" s="1"/>
      <c r="K471" s="2"/>
    </row>
    <row r="472" spans="1:11">
      <c r="A472" s="1"/>
      <c r="K472" s="2"/>
    </row>
    <row r="473" spans="1:11">
      <c r="A473" s="1"/>
      <c r="K473" s="2"/>
    </row>
    <row r="474" spans="1:11">
      <c r="A474" s="1"/>
      <c r="K474" s="2"/>
    </row>
    <row r="475" spans="1:11">
      <c r="A475" s="1"/>
      <c r="K475" s="2"/>
    </row>
    <row r="476" spans="1:11">
      <c r="A476" s="1"/>
      <c r="K476" s="2"/>
    </row>
    <row r="477" spans="1:11">
      <c r="A477" s="1"/>
      <c r="K477" s="2"/>
    </row>
    <row r="478" spans="1:11">
      <c r="A478" s="1"/>
      <c r="K478" s="2"/>
    </row>
    <row r="479" spans="1:11">
      <c r="A479" s="1"/>
      <c r="K479" s="2"/>
    </row>
    <row r="480" spans="1:11">
      <c r="A480" s="1"/>
      <c r="K480" s="2"/>
    </row>
    <row r="481" spans="1:11">
      <c r="A481" s="1"/>
      <c r="K481" s="2"/>
    </row>
    <row r="482" spans="1:11">
      <c r="A482" s="1"/>
      <c r="K482" s="2"/>
    </row>
    <row r="483" spans="1:11">
      <c r="A483" s="1"/>
      <c r="K483" s="2"/>
    </row>
    <row r="484" spans="1:11">
      <c r="A484" s="1"/>
      <c r="K484" s="2"/>
    </row>
    <row r="485" spans="1:11">
      <c r="A485" s="1"/>
      <c r="K485" s="2"/>
    </row>
    <row r="486" spans="1:11">
      <c r="A486" s="1"/>
      <c r="K486" s="2"/>
    </row>
    <row r="487" spans="1:11">
      <c r="A487" s="1"/>
      <c r="K487" s="2"/>
    </row>
    <row r="488" spans="1:11">
      <c r="A488" s="1"/>
      <c r="K488" s="2"/>
    </row>
    <row r="489" spans="1:11">
      <c r="A489" s="1"/>
      <c r="K489" s="2"/>
    </row>
    <row r="490" spans="1:11">
      <c r="A490" s="1"/>
      <c r="K490" s="2"/>
    </row>
    <row r="491" spans="1:11">
      <c r="A491" s="1"/>
      <c r="K491" s="2"/>
    </row>
    <row r="492" spans="1:11">
      <c r="A492" s="1"/>
      <c r="K492" s="2"/>
    </row>
    <row r="493" spans="1:11">
      <c r="A493" s="1"/>
      <c r="K493" s="2"/>
    </row>
    <row r="494" spans="1:11">
      <c r="A494" s="1"/>
      <c r="K494" s="2"/>
    </row>
    <row r="495" spans="1:11">
      <c r="A495" s="1"/>
      <c r="K495" s="2"/>
    </row>
    <row r="496" spans="1:11">
      <c r="A496" s="1"/>
      <c r="K496" s="2"/>
    </row>
    <row r="497" spans="1:11">
      <c r="A497" s="1"/>
      <c r="K497" s="2"/>
    </row>
    <row r="498" spans="1:11">
      <c r="A498" s="1"/>
      <c r="K498" s="2"/>
    </row>
    <row r="499" spans="1:11">
      <c r="A499" s="1"/>
      <c r="K499" s="2"/>
    </row>
    <row r="500" spans="1:11">
      <c r="A500" s="1"/>
      <c r="K500" s="2"/>
    </row>
    <row r="501" spans="1:11">
      <c r="A501" s="1"/>
      <c r="K501" s="2"/>
    </row>
    <row r="502" spans="1:11">
      <c r="A502" s="1"/>
      <c r="K502" s="2"/>
    </row>
    <row r="503" spans="1:11">
      <c r="A503" s="1"/>
      <c r="K503" s="2"/>
    </row>
    <row r="504" spans="1:11">
      <c r="A504" s="1"/>
      <c r="K504" s="2"/>
    </row>
    <row r="505" spans="1:11">
      <c r="A505" s="1"/>
      <c r="K505" s="2"/>
    </row>
    <row r="506" spans="1:11">
      <c r="A506" s="1"/>
      <c r="K506" s="2"/>
    </row>
    <row r="507" spans="1:11">
      <c r="A507" s="1"/>
      <c r="K507" s="2"/>
    </row>
    <row r="508" spans="1:11">
      <c r="A508" s="1"/>
      <c r="K508" s="2"/>
    </row>
    <row r="509" spans="1:11">
      <c r="A509" s="1"/>
      <c r="K509" s="2"/>
    </row>
    <row r="510" spans="1:11">
      <c r="A510" s="1"/>
      <c r="K510" s="2"/>
    </row>
    <row r="511" spans="1:11">
      <c r="A511" s="1"/>
      <c r="K511" s="2"/>
    </row>
    <row r="512" spans="1:11">
      <c r="A512" s="1"/>
      <c r="K512" s="2"/>
    </row>
    <row r="513" spans="1:11">
      <c r="A513" s="1"/>
      <c r="K513" s="2"/>
    </row>
    <row r="514" spans="1:11">
      <c r="A514" s="1"/>
      <c r="K514" s="2"/>
    </row>
    <row r="515" spans="1:11">
      <c r="A515" s="1"/>
      <c r="K515" s="2"/>
    </row>
    <row r="516" spans="1:11">
      <c r="A516" s="1"/>
      <c r="K516" s="2"/>
    </row>
    <row r="517" spans="1:11">
      <c r="A517" s="1"/>
      <c r="K517" s="2"/>
    </row>
    <row r="518" spans="1:11">
      <c r="A518" s="1"/>
      <c r="K518" s="2"/>
    </row>
    <row r="519" spans="1:11">
      <c r="A519" s="1"/>
      <c r="K519" s="2"/>
    </row>
    <row r="520" spans="1:11">
      <c r="A520" s="1"/>
      <c r="K520" s="2"/>
    </row>
    <row r="521" spans="1:11">
      <c r="A521" s="1"/>
      <c r="K521" s="2"/>
    </row>
    <row r="522" spans="1:11">
      <c r="A522" s="1"/>
      <c r="K522" s="2"/>
    </row>
    <row r="523" spans="1:11">
      <c r="A523" s="1"/>
      <c r="K523" s="2"/>
    </row>
    <row r="524" spans="1:11">
      <c r="A524" s="1"/>
      <c r="K524" s="2"/>
    </row>
    <row r="525" spans="1:11">
      <c r="A525" s="1"/>
      <c r="K525" s="2"/>
    </row>
    <row r="526" spans="1:11">
      <c r="A526" s="1"/>
      <c r="K526" s="2"/>
    </row>
    <row r="527" spans="1:11">
      <c r="A527" s="1"/>
      <c r="K527" s="2"/>
    </row>
    <row r="528" spans="1:11">
      <c r="A528" s="1"/>
      <c r="K528" s="2"/>
    </row>
    <row r="529" spans="1:11">
      <c r="A529" s="1"/>
      <c r="K529" s="2"/>
    </row>
    <row r="530" spans="1:11">
      <c r="A530" s="1"/>
      <c r="K530" s="2"/>
    </row>
    <row r="531" spans="1:11">
      <c r="A531" s="1"/>
      <c r="K531" s="2"/>
    </row>
    <row r="532" spans="1:11">
      <c r="A532" s="1"/>
      <c r="K532" s="2"/>
    </row>
    <row r="533" spans="1:11">
      <c r="A533" s="1"/>
      <c r="K533" s="2"/>
    </row>
    <row r="534" spans="1:11">
      <c r="A534" s="1"/>
      <c r="K534" s="2"/>
    </row>
    <row r="535" spans="1:11">
      <c r="A535" s="1"/>
      <c r="K535" s="2"/>
    </row>
    <row r="536" spans="1:11">
      <c r="A536" s="1"/>
      <c r="K536" s="2"/>
    </row>
    <row r="537" spans="1:11">
      <c r="A537" s="1"/>
      <c r="K537" s="2"/>
    </row>
    <row r="538" spans="1:11">
      <c r="A538" s="1"/>
      <c r="K538" s="2"/>
    </row>
    <row r="539" spans="1:11">
      <c r="A539" s="1"/>
      <c r="K539" s="2"/>
    </row>
    <row r="540" spans="1:11">
      <c r="A540" s="1"/>
      <c r="K540" s="2"/>
    </row>
    <row r="541" spans="1:11">
      <c r="A541" s="1"/>
      <c r="K541" s="2"/>
    </row>
    <row r="542" spans="1:11">
      <c r="A542" s="1"/>
      <c r="K542" s="2"/>
    </row>
    <row r="543" spans="1:11">
      <c r="A543" s="1"/>
      <c r="K543" s="2"/>
    </row>
    <row r="544" spans="1:11">
      <c r="A544" s="1"/>
      <c r="K544" s="2"/>
    </row>
    <row r="545" spans="1:11">
      <c r="A545" s="1"/>
      <c r="K545" s="2"/>
    </row>
    <row r="546" spans="1:11">
      <c r="A546" s="1"/>
      <c r="K546" s="2"/>
    </row>
    <row r="547" spans="1:11">
      <c r="A547" s="1"/>
      <c r="K547" s="2"/>
    </row>
    <row r="548" spans="1:11">
      <c r="A548" s="1"/>
      <c r="K548" s="2"/>
    </row>
    <row r="549" spans="1:11">
      <c r="A549" s="1"/>
      <c r="K549" s="2"/>
    </row>
    <row r="550" spans="1:11">
      <c r="A550" s="1"/>
      <c r="K550" s="2"/>
    </row>
    <row r="551" spans="1:11">
      <c r="A551" s="1"/>
      <c r="K551" s="2"/>
    </row>
    <row r="552" spans="1:11">
      <c r="A552" s="1"/>
      <c r="K552" s="2"/>
    </row>
    <row r="553" spans="1:11">
      <c r="A553" s="1"/>
      <c r="K553" s="2"/>
    </row>
    <row r="554" spans="1:11">
      <c r="A554" s="1"/>
      <c r="K554" s="2"/>
    </row>
    <row r="555" spans="1:11">
      <c r="A555" s="1"/>
      <c r="K555" s="2"/>
    </row>
    <row r="556" spans="1:11">
      <c r="A556" s="1"/>
      <c r="K556" s="2"/>
    </row>
    <row r="557" spans="1:11">
      <c r="A557" s="1"/>
      <c r="K557" s="2"/>
    </row>
    <row r="558" spans="1:11">
      <c r="A558" s="1"/>
      <c r="K558" s="2"/>
    </row>
    <row r="559" spans="1:11">
      <c r="A559" s="1"/>
      <c r="K559" s="2"/>
    </row>
    <row r="560" spans="1:11">
      <c r="A560" s="1"/>
      <c r="K560" s="2"/>
    </row>
    <row r="561" spans="1:11">
      <c r="A561" s="1"/>
      <c r="K561" s="2"/>
    </row>
    <row r="562" spans="1:11">
      <c r="A562" s="1"/>
      <c r="K562" s="2"/>
    </row>
    <row r="563" spans="1:11">
      <c r="A563" s="1"/>
      <c r="K563" s="2"/>
    </row>
    <row r="564" spans="1:11">
      <c r="A564" s="1"/>
      <c r="K564" s="2"/>
    </row>
    <row r="565" spans="1:11">
      <c r="A565" s="1"/>
      <c r="K565" s="2"/>
    </row>
    <row r="566" spans="1:11">
      <c r="A566" s="1"/>
      <c r="K566" s="2"/>
    </row>
    <row r="567" spans="1:11">
      <c r="A567" s="1"/>
      <c r="K567" s="2"/>
    </row>
    <row r="568" spans="1:11">
      <c r="A568" s="1"/>
      <c r="K568" s="2"/>
    </row>
    <row r="569" spans="1:11">
      <c r="A569" s="1"/>
      <c r="K569" s="2"/>
    </row>
    <row r="570" spans="1:11">
      <c r="A570" s="1"/>
      <c r="K570" s="2"/>
    </row>
    <row r="571" spans="1:11">
      <c r="A571" s="1"/>
      <c r="K571" s="2"/>
    </row>
    <row r="572" spans="1:11">
      <c r="A572" s="1"/>
      <c r="K572" s="2"/>
    </row>
    <row r="573" spans="1:11">
      <c r="A573" s="1"/>
      <c r="K573" s="2"/>
    </row>
    <row r="574" spans="1:11">
      <c r="A574" s="1"/>
      <c r="K574" s="2"/>
    </row>
    <row r="575" spans="1:11">
      <c r="A575" s="1"/>
      <c r="K575" s="2"/>
    </row>
    <row r="576" spans="1:11">
      <c r="A576" s="1"/>
      <c r="K576" s="2"/>
    </row>
    <row r="577" spans="1:11">
      <c r="A577" s="1"/>
      <c r="K577" s="2"/>
    </row>
    <row r="578" spans="1:11">
      <c r="A578" s="1"/>
      <c r="K578" s="2"/>
    </row>
    <row r="579" spans="1:11">
      <c r="A579" s="1"/>
      <c r="K579" s="2"/>
    </row>
    <row r="580" spans="1:11">
      <c r="A580" s="1"/>
      <c r="K580" s="2"/>
    </row>
    <row r="581" spans="1:11">
      <c r="A581" s="1"/>
      <c r="K581" s="2"/>
    </row>
    <row r="582" spans="1:11">
      <c r="A582" s="1"/>
      <c r="K582" s="2"/>
    </row>
    <row r="583" spans="1:11">
      <c r="A583" s="1"/>
      <c r="K583" s="2"/>
    </row>
    <row r="584" spans="1:11">
      <c r="A584" s="1"/>
      <c r="K584" s="2"/>
    </row>
    <row r="585" spans="1:11">
      <c r="A585" s="1"/>
      <c r="K585" s="2"/>
    </row>
    <row r="586" spans="1:11">
      <c r="A586" s="1"/>
      <c r="K586" s="2"/>
    </row>
    <row r="587" spans="1:11">
      <c r="A587" s="1"/>
      <c r="K587" s="2"/>
    </row>
    <row r="588" spans="1:11">
      <c r="A588" s="1"/>
      <c r="K588" s="2"/>
    </row>
    <row r="589" spans="1:11">
      <c r="A589" s="1"/>
      <c r="K589" s="2"/>
    </row>
    <row r="590" spans="1:11">
      <c r="A590" s="1"/>
      <c r="K590" s="2"/>
    </row>
    <row r="591" spans="1:11">
      <c r="A591" s="1"/>
      <c r="K591" s="2"/>
    </row>
    <row r="592" spans="1:11">
      <c r="A592" s="1"/>
      <c r="K592" s="2"/>
    </row>
    <row r="593" spans="1:11">
      <c r="A593" s="1"/>
      <c r="K593" s="2"/>
    </row>
    <row r="594" spans="1:11">
      <c r="A594" s="1"/>
      <c r="K594" s="2"/>
    </row>
    <row r="595" spans="1:11">
      <c r="A595" s="1"/>
      <c r="K595" s="2"/>
    </row>
    <row r="596" spans="1:11">
      <c r="A596" s="1"/>
      <c r="K596" s="2"/>
    </row>
    <row r="597" spans="1:11">
      <c r="A597" s="1"/>
      <c r="K597" s="2"/>
    </row>
    <row r="598" spans="1:11">
      <c r="A598" s="1"/>
      <c r="K598" s="2"/>
    </row>
    <row r="599" spans="1:11">
      <c r="A599" s="1"/>
      <c r="K599" s="2"/>
    </row>
    <row r="600" spans="1:11">
      <c r="A600" s="1"/>
      <c r="K600" s="2"/>
    </row>
    <row r="601" spans="1:11">
      <c r="A601" s="1"/>
      <c r="K601" s="2"/>
    </row>
    <row r="602" spans="1:11">
      <c r="A602" s="1"/>
      <c r="K602" s="2"/>
    </row>
    <row r="603" spans="1:11">
      <c r="A603" s="1"/>
      <c r="K603" s="2"/>
    </row>
    <row r="604" spans="1:11">
      <c r="A604" s="1"/>
      <c r="K604" s="2"/>
    </row>
    <row r="605" spans="1:11">
      <c r="A605" s="1"/>
      <c r="K605" s="2"/>
    </row>
    <row r="606" spans="1:11">
      <c r="A606" s="1"/>
      <c r="K606" s="2"/>
    </row>
    <row r="607" spans="1:11">
      <c r="A607" s="1"/>
      <c r="K607" s="2"/>
    </row>
    <row r="608" spans="1:11">
      <c r="A608" s="1"/>
      <c r="K608" s="2"/>
    </row>
    <row r="609" spans="1:11">
      <c r="A609" s="1"/>
      <c r="K609" s="2"/>
    </row>
    <row r="610" spans="1:11">
      <c r="A610" s="1"/>
      <c r="K610" s="2"/>
    </row>
    <row r="611" spans="1:11">
      <c r="A611" s="1"/>
      <c r="K611" s="2"/>
    </row>
    <row r="612" spans="1:11">
      <c r="A612" s="1"/>
      <c r="K612" s="2"/>
    </row>
    <row r="613" spans="1:11">
      <c r="A613" s="1"/>
      <c r="K613" s="2"/>
    </row>
    <row r="614" spans="1:11">
      <c r="A614" s="1"/>
      <c r="K614" s="2"/>
    </row>
    <row r="615" spans="1:11">
      <c r="A615" s="1"/>
      <c r="K615" s="2"/>
    </row>
    <row r="616" spans="1:11">
      <c r="A616" s="1"/>
      <c r="K616" s="2"/>
    </row>
    <row r="617" spans="1:11">
      <c r="A617" s="1"/>
      <c r="K617" s="2"/>
    </row>
    <row r="618" spans="1:11">
      <c r="A618" s="1"/>
      <c r="K618" s="2"/>
    </row>
    <row r="619" spans="1:11">
      <c r="A619" s="1"/>
      <c r="K619" s="2"/>
    </row>
    <row r="620" spans="1:11">
      <c r="A620" s="1"/>
      <c r="K620" s="2"/>
    </row>
    <row r="621" spans="1:11">
      <c r="A621" s="1"/>
      <c r="K621" s="2"/>
    </row>
    <row r="622" spans="1:11">
      <c r="A622" s="1"/>
      <c r="K622" s="2"/>
    </row>
    <row r="623" spans="1:11">
      <c r="A623" s="1"/>
      <c r="K623" s="2"/>
    </row>
    <row r="624" spans="1:11">
      <c r="A624" s="1"/>
      <c r="K624" s="2"/>
    </row>
    <row r="625" spans="1:11">
      <c r="A625" s="1"/>
      <c r="K625" s="2"/>
    </row>
    <row r="626" spans="1:11">
      <c r="A626" s="1"/>
      <c r="K626" s="2"/>
    </row>
    <row r="627" spans="1:11">
      <c r="A627" s="1"/>
      <c r="K627" s="2"/>
    </row>
    <row r="628" spans="1:11">
      <c r="A628" s="1"/>
      <c r="K628" s="2"/>
    </row>
    <row r="629" spans="1:11">
      <c r="A629" s="1"/>
      <c r="K629" s="2"/>
    </row>
    <row r="630" spans="1:11">
      <c r="A630" s="1"/>
      <c r="K630" s="2"/>
    </row>
    <row r="631" spans="1:11">
      <c r="A631" s="1"/>
      <c r="K631" s="2"/>
    </row>
    <row r="632" spans="1:11">
      <c r="A632" s="1"/>
      <c r="K632" s="2"/>
    </row>
    <row r="633" spans="1:11">
      <c r="A633" s="1"/>
      <c r="K633" s="2"/>
    </row>
    <row r="634" spans="1:11">
      <c r="A634" s="1"/>
      <c r="K634" s="2"/>
    </row>
    <row r="635" spans="1:11">
      <c r="A635" s="1"/>
      <c r="K635" s="2"/>
    </row>
    <row r="636" spans="1:11">
      <c r="A636" s="1"/>
      <c r="K636" s="2"/>
    </row>
    <row r="637" spans="1:11">
      <c r="A637" s="1"/>
      <c r="K637" s="2"/>
    </row>
    <row r="638" spans="1:11">
      <c r="A638" s="1"/>
      <c r="K638" s="2"/>
    </row>
    <row r="639" spans="1:11">
      <c r="A639" s="1"/>
      <c r="K639" s="2"/>
    </row>
    <row r="640" spans="1:11">
      <c r="A640" s="1"/>
      <c r="K640" s="2"/>
    </row>
    <row r="641" spans="1:11">
      <c r="A641" s="1"/>
      <c r="K641" s="2"/>
    </row>
    <row r="642" spans="1:11">
      <c r="A642" s="1"/>
      <c r="K642" s="2"/>
    </row>
    <row r="643" spans="1:11">
      <c r="A643" s="1"/>
      <c r="K643" s="2"/>
    </row>
    <row r="644" spans="1:11">
      <c r="A644" s="1"/>
      <c r="K644" s="2"/>
    </row>
    <row r="645" spans="1:11">
      <c r="A645" s="1"/>
      <c r="K645" s="2"/>
    </row>
    <row r="646" spans="1:11">
      <c r="A646" s="1"/>
      <c r="K646" s="2"/>
    </row>
    <row r="647" spans="1:11">
      <c r="A647" s="1"/>
      <c r="K647" s="2"/>
    </row>
    <row r="648" spans="1:11">
      <c r="A648" s="1"/>
      <c r="K648" s="2"/>
    </row>
    <row r="649" spans="1:11">
      <c r="A649" s="1"/>
      <c r="K649" s="2"/>
    </row>
    <row r="650" spans="1:11">
      <c r="A650" s="1"/>
      <c r="K650" s="2"/>
    </row>
    <row r="651" spans="1:11">
      <c r="A651" s="1"/>
      <c r="K651" s="2"/>
    </row>
    <row r="652" spans="1:11">
      <c r="A652" s="1"/>
      <c r="K652" s="2"/>
    </row>
    <row r="653" spans="1:11">
      <c r="A653" s="1"/>
      <c r="K653" s="2"/>
    </row>
    <row r="654" spans="1:11">
      <c r="A654" s="1"/>
      <c r="K654" s="2"/>
    </row>
    <row r="655" spans="1:11">
      <c r="A655" s="1"/>
      <c r="K655" s="2"/>
    </row>
    <row r="656" spans="1:11">
      <c r="A656" s="1"/>
      <c r="K656" s="2"/>
    </row>
    <row r="657" spans="1:11">
      <c r="A657" s="1"/>
      <c r="K657" s="2"/>
    </row>
    <row r="658" spans="1:11">
      <c r="A658" s="1"/>
      <c r="K658" s="2"/>
    </row>
    <row r="659" spans="1:11">
      <c r="A659" s="1"/>
      <c r="K659" s="2"/>
    </row>
    <row r="660" spans="1:11">
      <c r="A660" s="1"/>
      <c r="K660" s="2"/>
    </row>
    <row r="661" spans="1:11">
      <c r="A661" s="1"/>
      <c r="K661" s="2"/>
    </row>
    <row r="662" spans="1:11">
      <c r="A662" s="1"/>
      <c r="K662" s="2"/>
    </row>
    <row r="663" spans="1:11">
      <c r="A663" s="1"/>
      <c r="K663" s="2"/>
    </row>
    <row r="664" spans="1:11">
      <c r="A664" s="1"/>
      <c r="K664" s="2"/>
    </row>
    <row r="665" spans="1:11">
      <c r="A665" s="1"/>
      <c r="K665" s="2"/>
    </row>
    <row r="666" spans="1:11">
      <c r="A666" s="1"/>
      <c r="K666" s="2"/>
    </row>
    <row r="667" spans="1:11">
      <c r="A667" s="1"/>
      <c r="K667" s="2"/>
    </row>
    <row r="668" spans="1:11">
      <c r="A668" s="1"/>
      <c r="K668" s="2"/>
    </row>
    <row r="669" spans="1:11">
      <c r="A669" s="1"/>
      <c r="K669" s="2"/>
    </row>
    <row r="670" spans="1:11">
      <c r="A670" s="1"/>
      <c r="K670" s="2"/>
    </row>
    <row r="671" spans="1:11">
      <c r="A671" s="1"/>
      <c r="K671" s="2"/>
    </row>
    <row r="672" spans="1:11">
      <c r="A672" s="1"/>
      <c r="K672" s="2"/>
    </row>
    <row r="673" spans="1:11">
      <c r="A673" s="1"/>
      <c r="K673" s="2"/>
    </row>
    <row r="674" spans="1:11">
      <c r="A674" s="1"/>
      <c r="K674" s="2"/>
    </row>
    <row r="675" spans="1:11">
      <c r="A675" s="1"/>
      <c r="K675" s="2"/>
    </row>
    <row r="676" spans="1:11">
      <c r="A676" s="1"/>
      <c r="K676" s="2"/>
    </row>
    <row r="677" spans="1:11">
      <c r="A677" s="1"/>
      <c r="K677" s="2"/>
    </row>
    <row r="678" spans="1:11">
      <c r="A678" s="1"/>
      <c r="K678" s="2"/>
    </row>
    <row r="679" spans="1:11">
      <c r="A679" s="1"/>
      <c r="K679" s="2"/>
    </row>
    <row r="680" spans="1:11">
      <c r="A680" s="1"/>
      <c r="K680" s="2"/>
    </row>
    <row r="681" spans="1:11">
      <c r="A681" s="1"/>
      <c r="K681" s="2"/>
    </row>
    <row r="682" spans="1:11">
      <c r="A682" s="1"/>
      <c r="K682" s="2"/>
    </row>
    <row r="683" spans="1:11">
      <c r="A683" s="1"/>
      <c r="K683" s="2"/>
    </row>
    <row r="684" spans="1:11">
      <c r="A684" s="1"/>
      <c r="K684" s="2"/>
    </row>
    <row r="685" spans="1:11">
      <c r="A685" s="1"/>
      <c r="K685" s="2"/>
    </row>
    <row r="686" spans="1:11">
      <c r="A686" s="1"/>
      <c r="K686" s="2"/>
    </row>
    <row r="687" spans="1:11">
      <c r="A687" s="1"/>
      <c r="K687" s="2"/>
    </row>
    <row r="688" spans="1:11">
      <c r="A688" s="1"/>
      <c r="K688" s="2"/>
    </row>
    <row r="689" spans="1:11">
      <c r="A689" s="1"/>
      <c r="K689" s="2"/>
    </row>
    <row r="690" spans="1:11">
      <c r="A690" s="1"/>
      <c r="K690" s="2"/>
    </row>
    <row r="691" spans="1:11">
      <c r="A691" s="1"/>
      <c r="K691" s="2"/>
    </row>
    <row r="692" spans="1:11">
      <c r="A692" s="1"/>
      <c r="K692" s="2"/>
    </row>
    <row r="693" spans="1:11">
      <c r="A693" s="1"/>
      <c r="K693" s="2"/>
    </row>
    <row r="694" spans="1:11">
      <c r="A694" s="1"/>
      <c r="K694" s="2"/>
    </row>
    <row r="695" spans="1:11">
      <c r="A695" s="1"/>
      <c r="K695" s="2"/>
    </row>
    <row r="696" spans="1:11">
      <c r="A696" s="1"/>
      <c r="K696" s="2"/>
    </row>
    <row r="697" spans="1:11">
      <c r="A697" s="1"/>
      <c r="K697" s="2"/>
    </row>
    <row r="698" spans="1:11">
      <c r="A698" s="1"/>
      <c r="K698" s="2"/>
    </row>
    <row r="699" spans="1:11">
      <c r="A699" s="1"/>
      <c r="K699" s="2"/>
    </row>
    <row r="700" spans="1:11">
      <c r="A700" s="1"/>
      <c r="K700" s="2"/>
    </row>
    <row r="701" spans="1:11">
      <c r="A701" s="1"/>
      <c r="K701" s="2"/>
    </row>
    <row r="702" spans="1:11">
      <c r="A702" s="1"/>
      <c r="K702" s="2"/>
    </row>
    <row r="703" spans="1:11">
      <c r="A703" s="1"/>
      <c r="K703" s="2"/>
    </row>
    <row r="704" spans="1:11">
      <c r="A704" s="1"/>
      <c r="K704" s="2"/>
    </row>
    <row r="705" spans="1:11">
      <c r="A705" s="1"/>
      <c r="K705" s="2"/>
    </row>
    <row r="706" spans="1:11">
      <c r="A706" s="1"/>
      <c r="K706" s="2"/>
    </row>
    <row r="707" spans="1:11">
      <c r="A707" s="1"/>
      <c r="K707" s="2"/>
    </row>
    <row r="708" spans="1:11">
      <c r="A708" s="1"/>
      <c r="K708" s="2"/>
    </row>
    <row r="709" spans="1:11">
      <c r="A709" s="1"/>
      <c r="K709" s="2"/>
    </row>
    <row r="710" spans="1:11">
      <c r="A710" s="1"/>
      <c r="K710" s="2"/>
    </row>
    <row r="711" spans="1:11">
      <c r="A711" s="1"/>
      <c r="K711" s="2"/>
    </row>
    <row r="712" spans="1:11">
      <c r="A712" s="1"/>
      <c r="K712" s="2"/>
    </row>
    <row r="713" spans="1:11">
      <c r="A713" s="1"/>
      <c r="K713" s="2"/>
    </row>
    <row r="714" spans="1:11">
      <c r="A714" s="1"/>
      <c r="K714" s="2"/>
    </row>
    <row r="715" spans="1:11">
      <c r="A715" s="1"/>
      <c r="K715" s="2"/>
    </row>
    <row r="716" spans="1:11">
      <c r="A716" s="1"/>
      <c r="K716" s="2"/>
    </row>
    <row r="717" spans="1:11">
      <c r="A717" s="1"/>
      <c r="K717" s="2"/>
    </row>
    <row r="718" spans="1:11">
      <c r="A718" s="1"/>
      <c r="K718" s="2"/>
    </row>
    <row r="719" spans="1:11">
      <c r="A719" s="1"/>
      <c r="K719" s="2"/>
    </row>
    <row r="720" spans="1:11">
      <c r="A720" s="1"/>
      <c r="K720" s="2"/>
    </row>
    <row r="721" spans="1:11">
      <c r="A721" s="1"/>
      <c r="K721" s="2"/>
    </row>
    <row r="722" spans="1:11">
      <c r="A722" s="1"/>
      <c r="K722" s="2"/>
    </row>
    <row r="723" spans="1:11">
      <c r="A723" s="1"/>
      <c r="K723" s="2"/>
    </row>
    <row r="724" spans="1:11">
      <c r="A724" s="1"/>
      <c r="K724" s="2"/>
    </row>
    <row r="725" spans="1:11">
      <c r="A725" s="1"/>
      <c r="K725" s="2"/>
    </row>
    <row r="726" spans="1:11">
      <c r="A726" s="1"/>
      <c r="K726" s="2"/>
    </row>
    <row r="727" spans="1:11">
      <c r="A727" s="1"/>
      <c r="K727" s="2"/>
    </row>
    <row r="728" spans="1:11">
      <c r="A728" s="1"/>
      <c r="K728" s="2"/>
    </row>
    <row r="729" spans="1:11">
      <c r="A729" s="1"/>
      <c r="K729" s="2"/>
    </row>
    <row r="730" spans="1:11">
      <c r="A730" s="1"/>
      <c r="K730" s="2"/>
    </row>
    <row r="731" spans="1:11">
      <c r="A731" s="1"/>
      <c r="K731" s="2"/>
    </row>
    <row r="732" spans="1:11">
      <c r="A732" s="1"/>
      <c r="K732" s="2"/>
    </row>
    <row r="733" spans="1:11">
      <c r="A733" s="1"/>
      <c r="K733" s="2"/>
    </row>
    <row r="734" spans="1:11">
      <c r="A734" s="1"/>
      <c r="K734" s="2"/>
    </row>
    <row r="735" spans="1:11">
      <c r="A735" s="1"/>
      <c r="K735" s="2"/>
    </row>
    <row r="736" spans="1:11">
      <c r="A736" s="1"/>
      <c r="K736" s="2"/>
    </row>
    <row r="737" spans="1:11">
      <c r="A737" s="1"/>
      <c r="K737" s="2"/>
    </row>
    <row r="738" spans="1:11">
      <c r="A738" s="1"/>
      <c r="K738" s="2"/>
    </row>
    <row r="739" spans="1:11">
      <c r="A739" s="1"/>
      <c r="K739" s="2"/>
    </row>
    <row r="740" spans="1:11">
      <c r="A740" s="1"/>
      <c r="K740" s="2"/>
    </row>
    <row r="741" spans="1:11">
      <c r="A741" s="1"/>
      <c r="K741" s="2"/>
    </row>
    <row r="742" spans="1:11">
      <c r="A742" s="1"/>
      <c r="K742" s="2"/>
    </row>
    <row r="743" spans="1:11">
      <c r="A743" s="1"/>
      <c r="K743" s="2"/>
    </row>
    <row r="744" spans="1:11">
      <c r="A744" s="1"/>
      <c r="K744" s="2"/>
    </row>
    <row r="745" spans="1:11">
      <c r="A745" s="1"/>
      <c r="K745" s="2"/>
    </row>
    <row r="746" spans="1:11">
      <c r="A746" s="1"/>
      <c r="K746" s="2"/>
    </row>
    <row r="747" spans="1:11">
      <c r="A747" s="1"/>
      <c r="K747" s="2"/>
    </row>
    <row r="748" spans="1:11">
      <c r="A748" s="1"/>
      <c r="K748" s="2"/>
    </row>
    <row r="749" spans="1:11">
      <c r="A749" s="1"/>
      <c r="K749" s="2"/>
    </row>
    <row r="750" spans="1:11">
      <c r="A750" s="1"/>
      <c r="K750" s="2"/>
    </row>
    <row r="751" spans="1:11">
      <c r="A751" s="1"/>
      <c r="K751" s="2"/>
    </row>
    <row r="752" spans="1:11">
      <c r="A752" s="1"/>
      <c r="K752" s="2"/>
    </row>
    <row r="753" spans="1:11">
      <c r="A753" s="1"/>
      <c r="K753" s="2"/>
    </row>
    <row r="754" spans="1:11">
      <c r="A754" s="1"/>
      <c r="K754" s="2"/>
    </row>
    <row r="755" spans="1:11">
      <c r="A755" s="1"/>
      <c r="K755" s="2"/>
    </row>
    <row r="756" spans="1:11">
      <c r="A756" s="1"/>
      <c r="K756" s="2"/>
    </row>
    <row r="757" spans="1:11">
      <c r="A757" s="1"/>
      <c r="K757" s="2"/>
    </row>
    <row r="758" spans="1:11">
      <c r="A758" s="1"/>
      <c r="K758" s="2"/>
    </row>
    <row r="759" spans="1:11">
      <c r="A759" s="1"/>
      <c r="K759" s="2"/>
    </row>
    <row r="760" spans="1:11">
      <c r="A760" s="1"/>
      <c r="K760" s="2"/>
    </row>
    <row r="761" spans="1:11">
      <c r="A761" s="1"/>
      <c r="K761" s="2"/>
    </row>
    <row r="762" spans="1:11">
      <c r="A762" s="1"/>
      <c r="K762" s="2"/>
    </row>
    <row r="763" spans="1:11">
      <c r="A763" s="1"/>
      <c r="K763" s="2"/>
    </row>
    <row r="764" spans="1:11">
      <c r="A764" s="1"/>
      <c r="K764" s="2"/>
    </row>
    <row r="765" spans="1:11">
      <c r="A765" s="1"/>
      <c r="K765" s="2"/>
    </row>
    <row r="766" spans="1:11">
      <c r="A766" s="1"/>
      <c r="K766" s="2"/>
    </row>
    <row r="767" spans="1:11">
      <c r="A767" s="1"/>
      <c r="K767" s="2"/>
    </row>
    <row r="768" spans="1:11">
      <c r="A768" s="1"/>
      <c r="K768" s="2"/>
    </row>
    <row r="769" spans="1:11">
      <c r="A769" s="1"/>
      <c r="K769" s="2"/>
    </row>
    <row r="770" spans="1:11">
      <c r="A770" s="1"/>
      <c r="K770" s="2"/>
    </row>
    <row r="771" spans="1:11">
      <c r="A771" s="1"/>
      <c r="K771" s="2"/>
    </row>
    <row r="772" spans="1:11">
      <c r="A772" s="1"/>
      <c r="K772" s="2"/>
    </row>
    <row r="773" spans="1:11">
      <c r="A773" s="1"/>
      <c r="K773" s="2"/>
    </row>
    <row r="774" spans="1:11">
      <c r="A774" s="1"/>
      <c r="K774" s="2"/>
    </row>
    <row r="775" spans="1:11">
      <c r="A775" s="1"/>
      <c r="K775" s="2"/>
    </row>
    <row r="776" spans="1:11">
      <c r="A776" s="1"/>
      <c r="K776" s="2"/>
    </row>
    <row r="777" spans="1:11">
      <c r="A777" s="1"/>
      <c r="K777" s="2"/>
    </row>
    <row r="778" spans="1:11">
      <c r="A778" s="1"/>
      <c r="K778" s="2"/>
    </row>
    <row r="779" spans="1:11">
      <c r="A779" s="1"/>
      <c r="K779" s="2"/>
    </row>
    <row r="780" spans="1:11">
      <c r="A780" s="1"/>
      <c r="K780" s="2"/>
    </row>
    <row r="781" spans="1:11">
      <c r="A781" s="1"/>
      <c r="K781" s="2"/>
    </row>
    <row r="782" spans="1:11">
      <c r="A782" s="1"/>
      <c r="K782" s="2"/>
    </row>
    <row r="783" spans="1:11">
      <c r="A783" s="1"/>
      <c r="K783" s="2"/>
    </row>
    <row r="784" spans="1:11">
      <c r="A784" s="1"/>
      <c r="K784" s="2"/>
    </row>
    <row r="785" spans="1:11">
      <c r="A785" s="1"/>
      <c r="K785" s="2"/>
    </row>
    <row r="786" spans="1:11">
      <c r="A786" s="1"/>
      <c r="K786" s="2"/>
    </row>
    <row r="787" spans="1:11">
      <c r="A787" s="1"/>
      <c r="K787" s="2"/>
    </row>
    <row r="788" spans="1:11">
      <c r="A788" s="1"/>
      <c r="K788" s="2"/>
    </row>
    <row r="789" spans="1:11">
      <c r="A789" s="1"/>
      <c r="K789" s="2"/>
    </row>
    <row r="790" spans="1:11">
      <c r="A790" s="1"/>
      <c r="K790" s="2"/>
    </row>
    <row r="791" spans="1:11">
      <c r="A791" s="1"/>
      <c r="K791" s="2"/>
    </row>
    <row r="792" spans="1:11">
      <c r="A792" s="1"/>
      <c r="K792" s="2"/>
    </row>
    <row r="793" spans="1:11">
      <c r="A793" s="1"/>
      <c r="K793" s="2"/>
    </row>
    <row r="794" spans="1:11">
      <c r="A794" s="1"/>
      <c r="K794" s="2"/>
    </row>
    <row r="795" spans="1:11">
      <c r="A795" s="1"/>
      <c r="K795" s="2"/>
    </row>
    <row r="796" spans="1:11">
      <c r="A796" s="1"/>
      <c r="K796" s="2"/>
    </row>
    <row r="797" spans="1:11">
      <c r="A797" s="1"/>
      <c r="K797" s="2"/>
    </row>
    <row r="798" spans="1:11">
      <c r="A798" s="1"/>
      <c r="K798" s="2"/>
    </row>
    <row r="799" spans="1:11">
      <c r="A799" s="1"/>
      <c r="K799" s="2"/>
    </row>
    <row r="800" spans="1:11">
      <c r="A800" s="1"/>
      <c r="K800" s="2"/>
    </row>
    <row r="801" spans="1:11">
      <c r="A801" s="1"/>
      <c r="K801" s="2"/>
    </row>
    <row r="802" spans="1:11">
      <c r="A802" s="1"/>
      <c r="K802" s="2"/>
    </row>
    <row r="803" spans="1:11">
      <c r="A803" s="1"/>
      <c r="K803" s="2"/>
    </row>
    <row r="804" spans="1:11">
      <c r="A804" s="1"/>
      <c r="K804" s="2"/>
    </row>
    <row r="805" spans="1:11">
      <c r="A805" s="1"/>
      <c r="K805" s="2"/>
    </row>
    <row r="806" spans="1:11">
      <c r="A806" s="1"/>
      <c r="K806" s="2"/>
    </row>
    <row r="807" spans="1:11">
      <c r="A807" s="1"/>
      <c r="K807" s="2"/>
    </row>
    <row r="808" spans="1:11">
      <c r="A808" s="1"/>
      <c r="K808" s="2"/>
    </row>
    <row r="809" spans="1:11">
      <c r="A809" s="1"/>
      <c r="K809" s="2"/>
    </row>
    <row r="810" spans="1:11">
      <c r="A810" s="1"/>
      <c r="K810" s="2"/>
    </row>
    <row r="811" spans="1:11">
      <c r="A811" s="1"/>
      <c r="K811" s="2"/>
    </row>
    <row r="812" spans="1:11">
      <c r="A812" s="1"/>
      <c r="K812" s="2"/>
    </row>
    <row r="813" spans="1:11">
      <c r="A813" s="1"/>
      <c r="K813" s="2"/>
    </row>
    <row r="814" spans="1:11">
      <c r="A814" s="1"/>
      <c r="K814" s="2"/>
    </row>
    <row r="815" spans="1:11">
      <c r="A815" s="1"/>
      <c r="K815" s="2"/>
    </row>
    <row r="816" spans="1:11">
      <c r="A816" s="1"/>
      <c r="K816" s="2"/>
    </row>
    <row r="817" spans="1:11">
      <c r="A817" s="1"/>
      <c r="K817" s="2"/>
    </row>
    <row r="818" spans="1:11">
      <c r="A818" s="1"/>
      <c r="K818" s="2"/>
    </row>
    <row r="819" spans="1:11">
      <c r="A819" s="1"/>
      <c r="K819" s="2"/>
    </row>
    <row r="820" spans="1:11">
      <c r="A820" s="1"/>
      <c r="K820" s="2"/>
    </row>
    <row r="821" spans="1:11">
      <c r="A821" s="1"/>
      <c r="K821" s="2"/>
    </row>
    <row r="822" spans="1:11">
      <c r="A822" s="1"/>
      <c r="K822" s="2"/>
    </row>
    <row r="823" spans="1:11">
      <c r="A823" s="1"/>
      <c r="K823" s="2"/>
    </row>
    <row r="824" spans="1:11">
      <c r="A824" s="1"/>
      <c r="K824" s="2"/>
    </row>
    <row r="825" spans="1:11">
      <c r="A825" s="1"/>
      <c r="K825" s="2"/>
    </row>
    <row r="826" spans="1:11">
      <c r="A826" s="1"/>
      <c r="K826" s="2"/>
    </row>
    <row r="827" spans="1:11">
      <c r="A827" s="1"/>
      <c r="K827" s="2"/>
    </row>
    <row r="828" spans="1:11">
      <c r="A828" s="1"/>
      <c r="K828" s="2"/>
    </row>
    <row r="829" spans="1:11">
      <c r="A829" s="1"/>
      <c r="K829" s="2"/>
    </row>
    <row r="830" spans="1:11">
      <c r="A830" s="1"/>
      <c r="K830" s="2"/>
    </row>
    <row r="831" spans="1:11">
      <c r="A831" s="1"/>
      <c r="K831" s="2"/>
    </row>
    <row r="832" spans="1:11">
      <c r="A832" s="1"/>
      <c r="K832" s="2"/>
    </row>
    <row r="833" spans="1:11">
      <c r="A833" s="1"/>
      <c r="K833" s="2"/>
    </row>
    <row r="834" spans="1:11">
      <c r="A834" s="1"/>
      <c r="K834" s="2"/>
    </row>
    <row r="835" spans="1:11">
      <c r="A835" s="1"/>
      <c r="K835" s="2"/>
    </row>
    <row r="836" spans="1:11">
      <c r="A836" s="1"/>
      <c r="K836" s="2"/>
    </row>
    <row r="837" spans="1:11">
      <c r="A837" s="1"/>
      <c r="K837" s="2"/>
    </row>
    <row r="838" spans="1:11">
      <c r="A838" s="1"/>
      <c r="K838" s="2"/>
    </row>
    <row r="839" spans="1:11">
      <c r="A839" s="1"/>
      <c r="K839" s="2"/>
    </row>
    <row r="840" spans="1:11">
      <c r="A840" s="1"/>
      <c r="K840" s="2"/>
    </row>
    <row r="841" spans="1:11">
      <c r="A841" s="1"/>
      <c r="K841" s="2"/>
    </row>
    <row r="842" spans="1:11">
      <c r="A842" s="1"/>
      <c r="K842" s="2"/>
    </row>
    <row r="843" spans="1:11">
      <c r="A843" s="1"/>
      <c r="K843" s="2"/>
    </row>
    <row r="844" spans="1:11">
      <c r="A844" s="1"/>
      <c r="K844" s="2"/>
    </row>
    <row r="845" spans="1:11">
      <c r="A845" s="1"/>
      <c r="K845" s="2"/>
    </row>
    <row r="846" spans="1:11">
      <c r="A846" s="1"/>
      <c r="K846" s="2"/>
    </row>
    <row r="847" spans="1:11">
      <c r="A847" s="1"/>
      <c r="K847" s="2"/>
    </row>
    <row r="848" spans="1:11">
      <c r="A848" s="1"/>
      <c r="K848" s="2"/>
    </row>
    <row r="849" spans="1:11">
      <c r="A849" s="1"/>
      <c r="K849" s="2"/>
    </row>
    <row r="850" spans="1:11">
      <c r="A850" s="1"/>
      <c r="K850" s="2"/>
    </row>
    <row r="851" spans="1:11">
      <c r="A851" s="1"/>
      <c r="K851" s="2"/>
    </row>
    <row r="852" spans="1:11">
      <c r="A852" s="1"/>
      <c r="K852" s="2"/>
    </row>
    <row r="853" spans="1:11">
      <c r="A853" s="1"/>
      <c r="K853" s="2"/>
    </row>
    <row r="854" spans="1:11">
      <c r="A854" s="1"/>
      <c r="K854" s="2"/>
    </row>
    <row r="855" spans="1:11">
      <c r="A855" s="1"/>
      <c r="K855" s="2"/>
    </row>
    <row r="856" spans="1:11">
      <c r="A856" s="1"/>
      <c r="K856" s="2"/>
    </row>
    <row r="857" spans="1:11">
      <c r="A857" s="1"/>
      <c r="K857" s="2"/>
    </row>
    <row r="858" spans="1:11">
      <c r="A858" s="1"/>
      <c r="K858" s="2"/>
    </row>
    <row r="859" spans="1:11">
      <c r="A859" s="1"/>
      <c r="K859" s="2"/>
    </row>
    <row r="860" spans="1:11">
      <c r="A860" s="1"/>
      <c r="K860" s="2"/>
    </row>
    <row r="861" spans="1:11">
      <c r="A861" s="1"/>
      <c r="K861" s="2"/>
    </row>
    <row r="862" spans="1:11">
      <c r="A862" s="1"/>
      <c r="K862" s="2"/>
    </row>
    <row r="863" spans="1:11">
      <c r="A863" s="1"/>
      <c r="K863" s="2"/>
    </row>
    <row r="864" spans="1:11">
      <c r="A864" s="1"/>
      <c r="K864" s="2"/>
    </row>
    <row r="865" spans="1:11">
      <c r="A865" s="1"/>
      <c r="K865" s="2"/>
    </row>
    <row r="866" spans="1:11">
      <c r="A866" s="1"/>
      <c r="K866" s="2"/>
    </row>
    <row r="867" spans="1:11">
      <c r="A867" s="1"/>
      <c r="K867" s="2"/>
    </row>
    <row r="868" spans="1:11">
      <c r="A868" s="1"/>
      <c r="K868" s="2"/>
    </row>
    <row r="869" spans="1:11">
      <c r="A869" s="1"/>
      <c r="K869" s="2"/>
    </row>
    <row r="870" spans="1:11">
      <c r="A870" s="1"/>
      <c r="K870" s="2"/>
    </row>
    <row r="871" spans="1:11">
      <c r="A871" s="1"/>
      <c r="K871" s="2"/>
    </row>
    <row r="872" spans="1:11">
      <c r="A872" s="1"/>
      <c r="K872" s="2"/>
    </row>
    <row r="873" spans="1:11">
      <c r="A873" s="1"/>
      <c r="K873" s="2"/>
    </row>
    <row r="874" spans="1:11">
      <c r="A874" s="1"/>
      <c r="K874" s="2"/>
    </row>
    <row r="875" spans="1:11">
      <c r="A875" s="1"/>
      <c r="K875" s="2"/>
    </row>
    <row r="876" spans="1:11">
      <c r="A876" s="1"/>
      <c r="K876" s="2"/>
    </row>
    <row r="877" spans="1:11">
      <c r="A877" s="1"/>
      <c r="K877" s="2"/>
    </row>
    <row r="878" spans="1:11">
      <c r="A878" s="1"/>
      <c r="K878" s="2"/>
    </row>
    <row r="879" spans="1:11">
      <c r="A879" s="1"/>
      <c r="K879" s="2"/>
    </row>
    <row r="880" spans="1:11">
      <c r="A880" s="1"/>
      <c r="K880" s="2"/>
    </row>
    <row r="881" spans="1:11">
      <c r="A881" s="1"/>
      <c r="K881" s="2"/>
    </row>
    <row r="882" spans="1:11">
      <c r="A882" s="1"/>
      <c r="K882" s="2"/>
    </row>
    <row r="883" spans="1:11">
      <c r="A883" s="1"/>
      <c r="K883" s="2"/>
    </row>
    <row r="884" spans="1:11">
      <c r="A884" s="1"/>
      <c r="K884" s="2"/>
    </row>
    <row r="885" spans="1:11">
      <c r="A885" s="1"/>
      <c r="K885" s="2"/>
    </row>
    <row r="886" spans="1:11">
      <c r="A886" s="1"/>
      <c r="K886" s="2"/>
    </row>
    <row r="887" spans="1:11">
      <c r="A887" s="1"/>
      <c r="K887" s="2"/>
    </row>
    <row r="888" spans="1:11">
      <c r="A888" s="1"/>
      <c r="K888" s="2"/>
    </row>
    <row r="889" spans="1:11">
      <c r="A889" s="1"/>
      <c r="K889" s="2"/>
    </row>
    <row r="890" spans="1:11">
      <c r="A890" s="1"/>
      <c r="K890" s="2"/>
    </row>
    <row r="891" spans="1:11">
      <c r="A891" s="1"/>
      <c r="K891" s="2"/>
    </row>
    <row r="892" spans="1:11">
      <c r="A892" s="1"/>
      <c r="K892" s="2"/>
    </row>
    <row r="893" spans="1:11">
      <c r="A893" s="1"/>
      <c r="K893" s="2"/>
    </row>
    <row r="894" spans="1:11">
      <c r="A894" s="1"/>
      <c r="K894" s="2"/>
    </row>
    <row r="895" spans="1:11">
      <c r="A895" s="1"/>
      <c r="K895" s="2"/>
    </row>
    <row r="896" spans="1:11">
      <c r="A896" s="1"/>
      <c r="K896" s="2"/>
    </row>
    <row r="897" spans="1:11">
      <c r="A897" s="1"/>
      <c r="K897" s="2"/>
    </row>
    <row r="898" spans="1:11">
      <c r="A898" s="1"/>
      <c r="K898" s="2"/>
    </row>
    <row r="899" spans="1:11">
      <c r="A899" s="1"/>
      <c r="K899" s="2"/>
    </row>
    <row r="900" spans="1:11">
      <c r="A900" s="1"/>
      <c r="K900" s="2"/>
    </row>
    <row r="901" spans="1:11">
      <c r="A901" s="1"/>
      <c r="K901" s="2"/>
    </row>
    <row r="902" spans="1:11">
      <c r="A902" s="1"/>
      <c r="K902" s="2"/>
    </row>
    <row r="903" spans="1:11">
      <c r="A903" s="1"/>
      <c r="K903" s="2"/>
    </row>
    <row r="904" spans="1:11">
      <c r="A904" s="1"/>
      <c r="K904" s="2"/>
    </row>
    <row r="905" spans="1:11">
      <c r="A905" s="1"/>
      <c r="K905" s="2"/>
    </row>
    <row r="906" spans="1:11">
      <c r="A906" s="1"/>
      <c r="K906" s="2"/>
    </row>
    <row r="907" spans="1:11">
      <c r="A907" s="1"/>
      <c r="K907" s="2"/>
    </row>
    <row r="908" spans="1:11">
      <c r="A908" s="1"/>
      <c r="K908" s="2"/>
    </row>
    <row r="909" spans="1:11">
      <c r="A909" s="1"/>
      <c r="K909" s="2"/>
    </row>
    <row r="910" spans="1:11">
      <c r="A910" s="1"/>
      <c r="K910" s="2"/>
    </row>
    <row r="911" spans="1:11">
      <c r="A911" s="1"/>
      <c r="K911" s="2"/>
    </row>
    <row r="912" spans="1:11">
      <c r="A912" s="1"/>
      <c r="K912" s="2"/>
    </row>
    <row r="913" spans="1:11">
      <c r="A913" s="1"/>
      <c r="K913" s="2"/>
    </row>
    <row r="914" spans="1:11">
      <c r="A914" s="1"/>
      <c r="K914" s="2"/>
    </row>
    <row r="915" spans="1:11">
      <c r="A915" s="1"/>
      <c r="K915" s="2"/>
    </row>
    <row r="916" spans="1:11">
      <c r="A916" s="1"/>
      <c r="K916" s="2"/>
    </row>
    <row r="917" spans="1:11">
      <c r="A917" s="1"/>
      <c r="K917" s="2"/>
    </row>
    <row r="918" spans="1:11">
      <c r="A918" s="1"/>
      <c r="K918" s="2"/>
    </row>
    <row r="919" spans="1:11">
      <c r="A919" s="1"/>
      <c r="K919" s="2"/>
    </row>
    <row r="920" spans="1:11">
      <c r="A920" s="1"/>
      <c r="K920" s="2"/>
    </row>
    <row r="921" spans="1:11">
      <c r="A921" s="1"/>
      <c r="K921" s="2"/>
    </row>
    <row r="922" spans="1:11">
      <c r="A922" s="1"/>
      <c r="K922" s="2"/>
    </row>
    <row r="923" spans="1:11">
      <c r="A923" s="1"/>
      <c r="K923" s="2"/>
    </row>
    <row r="924" spans="1:11">
      <c r="A924" s="1"/>
      <c r="K924" s="2"/>
    </row>
    <row r="925" spans="1:11">
      <c r="A925" s="1"/>
      <c r="K925" s="2"/>
    </row>
    <row r="926" spans="1:11">
      <c r="A926" s="1"/>
      <c r="K926" s="2"/>
    </row>
    <row r="927" spans="1:11">
      <c r="A927" s="1"/>
      <c r="K927" s="2"/>
    </row>
    <row r="928" spans="1:11">
      <c r="A928" s="1"/>
      <c r="K928" s="2"/>
    </row>
    <row r="929" spans="1:11">
      <c r="A929" s="1"/>
      <c r="K929" s="2"/>
    </row>
    <row r="930" spans="1:11">
      <c r="A930" s="1"/>
      <c r="K930" s="2"/>
    </row>
    <row r="931" spans="1:11">
      <c r="A931" s="1"/>
      <c r="K931" s="2"/>
    </row>
    <row r="932" spans="1:11">
      <c r="A932" s="1"/>
      <c r="K932" s="2"/>
    </row>
    <row r="933" spans="1:11">
      <c r="A933" s="1"/>
      <c r="K933" s="2"/>
    </row>
    <row r="934" spans="1:11">
      <c r="A934" s="1"/>
      <c r="K934" s="2"/>
    </row>
    <row r="935" spans="1:11">
      <c r="A935" s="1"/>
      <c r="K935" s="2"/>
    </row>
    <row r="936" spans="1:11">
      <c r="A936" s="1"/>
      <c r="K936" s="2"/>
    </row>
    <row r="937" spans="1:11">
      <c r="A937" s="1"/>
      <c r="K937" s="2"/>
    </row>
    <row r="938" spans="1:11">
      <c r="A938" s="1"/>
      <c r="K938" s="2"/>
    </row>
    <row r="939" spans="1:11">
      <c r="A939" s="1"/>
      <c r="K939" s="2"/>
    </row>
    <row r="940" spans="1:11">
      <c r="A940" s="1"/>
      <c r="K940" s="2"/>
    </row>
    <row r="941" spans="1:11">
      <c r="A941" s="1"/>
      <c r="K941" s="2"/>
    </row>
    <row r="942" spans="1:11">
      <c r="A942" s="1"/>
      <c r="K942" s="2"/>
    </row>
    <row r="943" spans="1:11">
      <c r="A943" s="1"/>
      <c r="K943" s="2"/>
    </row>
    <row r="944" spans="1:11">
      <c r="A944" s="1"/>
      <c r="K944" s="2"/>
    </row>
    <row r="945" spans="1:11">
      <c r="A945" s="1"/>
      <c r="K945" s="2"/>
    </row>
    <row r="946" spans="1:11">
      <c r="A946" s="1"/>
      <c r="K946" s="2"/>
    </row>
    <row r="947" spans="1:11">
      <c r="A947" s="1"/>
      <c r="K947" s="2"/>
    </row>
    <row r="948" spans="1:11">
      <c r="A948" s="1"/>
      <c r="K948" s="2"/>
    </row>
    <row r="949" spans="1:11">
      <c r="A949" s="1"/>
      <c r="K949" s="2"/>
    </row>
    <row r="950" spans="1:11">
      <c r="A950" s="1"/>
      <c r="K950" s="2"/>
    </row>
    <row r="951" spans="1:11">
      <c r="A951" s="1"/>
      <c r="K951" s="2"/>
    </row>
    <row r="952" spans="1:11">
      <c r="A952" s="1"/>
      <c r="K952" s="2"/>
    </row>
    <row r="953" spans="1:11">
      <c r="A953" s="1"/>
      <c r="K953" s="2"/>
    </row>
    <row r="954" spans="1:11">
      <c r="A954" s="1"/>
      <c r="K954" s="2"/>
    </row>
    <row r="955" spans="1:11">
      <c r="A955" s="1"/>
      <c r="K955" s="2"/>
    </row>
    <row r="956" spans="1:11">
      <c r="A956" s="1"/>
      <c r="K956" s="2"/>
    </row>
    <row r="957" spans="1:11">
      <c r="A957" s="1"/>
      <c r="K957" s="2"/>
    </row>
    <row r="958" spans="1:11">
      <c r="A958" s="1"/>
      <c r="K958" s="2"/>
    </row>
    <row r="959" spans="1:11">
      <c r="A959" s="1"/>
      <c r="K959" s="2"/>
    </row>
    <row r="960" spans="1:11">
      <c r="A960" s="1"/>
      <c r="K960" s="2"/>
    </row>
    <row r="961" spans="1:11">
      <c r="A961" s="1"/>
      <c r="K961" s="2"/>
    </row>
    <row r="962" spans="1:11">
      <c r="A962" s="1"/>
      <c r="K962" s="2"/>
    </row>
    <row r="963" spans="1:11">
      <c r="A963" s="1"/>
      <c r="K963" s="2"/>
    </row>
    <row r="964" spans="1:11">
      <c r="A964" s="1"/>
      <c r="K964" s="2"/>
    </row>
    <row r="965" spans="1:11">
      <c r="A965" s="1"/>
      <c r="K965" s="2"/>
    </row>
    <row r="966" spans="1:11">
      <c r="A966" s="1"/>
      <c r="K966" s="2"/>
    </row>
    <row r="967" spans="1:11">
      <c r="A967" s="1"/>
      <c r="K967" s="2"/>
    </row>
    <row r="968" spans="1:11">
      <c r="A968" s="1"/>
      <c r="K968" s="2"/>
    </row>
    <row r="969" spans="1:11">
      <c r="A969" s="1"/>
      <c r="K969" s="2"/>
    </row>
    <row r="970" spans="1:11">
      <c r="A970" s="1"/>
      <c r="K970" s="2"/>
    </row>
    <row r="971" spans="1:11">
      <c r="A971" s="1"/>
      <c r="K971" s="2"/>
    </row>
    <row r="972" spans="1:11">
      <c r="A972" s="1"/>
      <c r="K972" s="2"/>
    </row>
    <row r="973" spans="1:11">
      <c r="A973" s="1"/>
      <c r="K973" s="2"/>
    </row>
    <row r="974" spans="1:11">
      <c r="A974" s="1"/>
      <c r="K974" s="2"/>
    </row>
    <row r="975" spans="1:11">
      <c r="A975" s="1"/>
      <c r="K975" s="2"/>
    </row>
    <row r="976" spans="1:11">
      <c r="A976" s="1"/>
      <c r="K976" s="2"/>
    </row>
    <row r="977" spans="1:11">
      <c r="A977" s="1"/>
      <c r="K977" s="2"/>
    </row>
    <row r="978" spans="1:11">
      <c r="A978" s="1"/>
      <c r="K978" s="2"/>
    </row>
    <row r="979" spans="1:11">
      <c r="A979" s="1"/>
      <c r="K979" s="2"/>
    </row>
    <row r="980" spans="1:11">
      <c r="A980" s="1"/>
      <c r="K980" s="2"/>
    </row>
    <row r="981" spans="1:11">
      <c r="A981" s="1"/>
      <c r="K981" s="2"/>
    </row>
    <row r="982" spans="1:11">
      <c r="A982" s="1"/>
      <c r="K982" s="2"/>
    </row>
    <row r="983" spans="1:11">
      <c r="A983" s="1"/>
      <c r="K983" s="2"/>
    </row>
    <row r="984" spans="1:11">
      <c r="A984" s="1"/>
      <c r="K984" s="2"/>
    </row>
    <row r="985" spans="1:11">
      <c r="A985" s="1"/>
      <c r="K985" s="2"/>
    </row>
    <row r="986" spans="1:11">
      <c r="A986" s="1"/>
      <c r="K986" s="2"/>
    </row>
    <row r="987" spans="1:11">
      <c r="A987" s="1"/>
      <c r="K987" s="2"/>
    </row>
    <row r="988" spans="1:11">
      <c r="A988" s="1"/>
      <c r="K988" s="2"/>
    </row>
    <row r="989" spans="1:11">
      <c r="A989" s="1"/>
      <c r="K989" s="2"/>
    </row>
    <row r="990" spans="1:11">
      <c r="A990" s="1"/>
      <c r="K990" s="2"/>
    </row>
    <row r="991" spans="1:11">
      <c r="A991" s="1"/>
      <c r="K991" s="2"/>
    </row>
    <row r="992" spans="1:11">
      <c r="A992" s="1"/>
      <c r="K992" s="2"/>
    </row>
    <row r="993" spans="1:11">
      <c r="A993" s="1"/>
      <c r="K993" s="2"/>
    </row>
    <row r="994" spans="1:11">
      <c r="A994" s="1"/>
      <c r="K994" s="2"/>
    </row>
    <row r="995" spans="1:11">
      <c r="A995" s="1"/>
      <c r="K995" s="2"/>
    </row>
    <row r="996" spans="1:11">
      <c r="A996" s="1"/>
      <c r="K996" s="2"/>
    </row>
    <row r="997" spans="1:11">
      <c r="A997" s="1"/>
      <c r="K997" s="2"/>
    </row>
    <row r="998" spans="1:11">
      <c r="A998" s="1"/>
      <c r="K998" s="2"/>
    </row>
    <row r="999" spans="1:11">
      <c r="A999" s="1"/>
      <c r="K999" s="2"/>
    </row>
    <row r="1000" spans="1:11">
      <c r="A1000" s="1"/>
      <c r="K1000" s="2"/>
    </row>
    <row r="1001" spans="1:11">
      <c r="A1001" s="1"/>
      <c r="K1001" s="2"/>
    </row>
    <row r="1002" spans="1:11">
      <c r="A1002" s="1"/>
      <c r="K1002" s="2"/>
    </row>
    <row r="1003" spans="1:11">
      <c r="K1003" s="2"/>
    </row>
  </sheetData>
  <mergeCells count="2">
    <mergeCell ref="A3:C3"/>
    <mergeCell ref="A4:C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31" workbookViewId="0"/>
  </sheetViews>
  <sheetFormatPr defaultColWidth="12.6328125" defaultRowHeight="15" customHeight="1"/>
  <cols>
    <col min="1" max="1" width="64.08984375" customWidth="1"/>
    <col min="2" max="2" width="14.6328125" customWidth="1"/>
    <col min="3" max="3" width="12.26953125" customWidth="1"/>
    <col min="4" max="4" width="14.453125" customWidth="1"/>
    <col min="5" max="5" width="11.08984375" customWidth="1"/>
    <col min="6" max="6" width="11.90625" customWidth="1"/>
    <col min="7" max="26" width="10.6328125" customWidth="1"/>
  </cols>
  <sheetData>
    <row r="1" spans="1:7" ht="14.5">
      <c r="A1" s="143" t="s">
        <v>92</v>
      </c>
      <c r="B1" s="30">
        <v>2024</v>
      </c>
      <c r="C1" s="30">
        <v>2025</v>
      </c>
      <c r="D1" s="30">
        <v>2026</v>
      </c>
      <c r="E1" s="30">
        <v>2027</v>
      </c>
      <c r="F1" s="24">
        <v>2028</v>
      </c>
    </row>
    <row r="2" spans="1:7" ht="14.5">
      <c r="A2" s="144" t="s">
        <v>93</v>
      </c>
      <c r="B2" s="52">
        <f>'Income Statement'!L22</f>
        <v>4843.7093784493845</v>
      </c>
      <c r="C2" s="52">
        <f>'Income Statement'!M22</f>
        <v>4991.084416211248</v>
      </c>
      <c r="D2" s="52">
        <f>'Income Statement'!N22</f>
        <v>6018.2435851051823</v>
      </c>
      <c r="E2" s="52">
        <f>'Income Statement'!O22</f>
        <v>7293.0051929131969</v>
      </c>
      <c r="F2" s="52">
        <f>'Income Statement'!P22</f>
        <v>8747.6569975900911</v>
      </c>
      <c r="G2" s="145" t="s">
        <v>94</v>
      </c>
    </row>
    <row r="3" spans="1:7" ht="14.5">
      <c r="A3" s="146" t="s">
        <v>95</v>
      </c>
    </row>
    <row r="4" spans="1:7" ht="14.5">
      <c r="A4" s="147" t="s">
        <v>39</v>
      </c>
    </row>
    <row r="5" spans="1:7" ht="14.5">
      <c r="A5" s="148" t="s">
        <v>96</v>
      </c>
      <c r="B5" s="52">
        <f>'Balance Sheet'!K7-'Balance Sheet'!L7</f>
        <v>-15.407600000000002</v>
      </c>
      <c r="C5" s="52">
        <f>'Balance Sheet'!L7-'Balance Sheet'!M7</f>
        <v>0</v>
      </c>
      <c r="D5" s="52">
        <f>'Balance Sheet'!M7-'Balance Sheet'!N7</f>
        <v>0</v>
      </c>
      <c r="E5" s="52">
        <f>'Balance Sheet'!N7-'Balance Sheet'!O7</f>
        <v>0</v>
      </c>
      <c r="F5" s="52">
        <f>'Balance Sheet'!O7-'Balance Sheet'!P7</f>
        <v>0</v>
      </c>
      <c r="G5" s="149" t="s">
        <v>97</v>
      </c>
    </row>
    <row r="6" spans="1:7" ht="14.5">
      <c r="A6" s="148" t="s">
        <v>42</v>
      </c>
      <c r="B6" s="52">
        <f>'Balance Sheet'!K8-'Balance Sheet'!L8</f>
        <v>-219.38006171250072</v>
      </c>
      <c r="C6" s="52">
        <f>'Balance Sheet'!L8-'Balance Sheet'!M8</f>
        <v>-364.70294867565644</v>
      </c>
      <c r="D6" s="52">
        <f>'Balance Sheet'!M8-'Balance Sheet'!N8</f>
        <v>-492.29839594803252</v>
      </c>
      <c r="E6" s="52">
        <f>'Balance Sheet'!N8-'Balance Sheet'!O8</f>
        <v>-569.12248141561759</v>
      </c>
      <c r="F6" s="52">
        <f>'Balance Sheet'!O8-'Balance Sheet'!P8</f>
        <v>-649.44393053732892</v>
      </c>
      <c r="G6" s="150"/>
    </row>
    <row r="7" spans="1:7" ht="14.5">
      <c r="A7" s="148" t="s">
        <v>44</v>
      </c>
      <c r="B7" s="52">
        <f>'Balance Sheet'!K9-'Balance Sheet'!L9</f>
        <v>-261.28953375425317</v>
      </c>
      <c r="C7" s="52">
        <f>'Balance Sheet'!L9-'Balance Sheet'!M9</f>
        <v>-381.93372033549713</v>
      </c>
      <c r="D7" s="52">
        <f>'Balance Sheet'!M9-'Balance Sheet'!N9</f>
        <v>-413.85788906677226</v>
      </c>
      <c r="E7" s="52">
        <f>'Balance Sheet'!N9-'Balance Sheet'!O9</f>
        <v>-478.44118672280638</v>
      </c>
      <c r="F7" s="52">
        <f>'Balance Sheet'!O9-'Balance Sheet'!P9</f>
        <v>-545.96459458661138</v>
      </c>
      <c r="G7" s="150"/>
    </row>
    <row r="8" spans="1:7" ht="14.5">
      <c r="A8" s="151" t="s">
        <v>45</v>
      </c>
      <c r="B8" s="52">
        <f>'Balance Sheet'!K10-'Balance Sheet'!L10</f>
        <v>-54.759443604834587</v>
      </c>
      <c r="C8" s="52">
        <f>'Balance Sheet'!L10-'Balance Sheet'!M10</f>
        <v>-82.418676536766952</v>
      </c>
      <c r="D8" s="52">
        <f>'Balance Sheet'!M10-'Balance Sheet'!N10</f>
        <v>-111.40476897553231</v>
      </c>
      <c r="E8" s="52">
        <f>'Balance Sheet'!N10-'Balance Sheet'!O10</f>
        <v>-128.7896915422441</v>
      </c>
      <c r="F8" s="52">
        <f>'Balance Sheet'!O10-'Balance Sheet'!P10</f>
        <v>-146.96605075209345</v>
      </c>
      <c r="G8" s="150"/>
    </row>
    <row r="9" spans="1:7" ht="14.5">
      <c r="A9" s="147" t="s">
        <v>46</v>
      </c>
      <c r="G9" s="42"/>
    </row>
    <row r="10" spans="1:7" ht="14.5">
      <c r="A10" s="148" t="s">
        <v>47</v>
      </c>
      <c r="B10" s="52">
        <f>'Balance Sheet'!K12-'Balance Sheet'!L12</f>
        <v>-30.681247435934552</v>
      </c>
      <c r="C10" s="52">
        <f>'Balance Sheet'!L12-'Balance Sheet'!M12</f>
        <v>-45.570585730912171</v>
      </c>
      <c r="D10" s="52">
        <f>'Balance Sheet'!M12-'Balance Sheet'!N12</f>
        <v>-61.597453256449739</v>
      </c>
      <c r="E10" s="52">
        <f>'Balance Sheet'!N12-'Balance Sheet'!O12</f>
        <v>-71.209851047115535</v>
      </c>
      <c r="F10" s="52">
        <f>'Balance Sheet'!O12-'Balance Sheet'!P12</f>
        <v>-81.259846636146676</v>
      </c>
      <c r="G10" s="152"/>
    </row>
    <row r="11" spans="1:7" ht="14.5">
      <c r="A11" s="153" t="s">
        <v>98</v>
      </c>
      <c r="B11" s="52">
        <f>'Balance Sheet'!K13-'Balance Sheet'!L13</f>
        <v>-195.26962071315302</v>
      </c>
      <c r="C11" s="52">
        <f>'Balance Sheet'!L13-'Balance Sheet'!M13</f>
        <v>-204.44640021144824</v>
      </c>
      <c r="D11" s="52">
        <f>'Balance Sheet'!M13-'Balance Sheet'!N13</f>
        <v>-216.85059114129035</v>
      </c>
      <c r="E11" s="52">
        <f>'Balance Sheet'!N13-'Balance Sheet'!O13</f>
        <v>-231.19047926615531</v>
      </c>
      <c r="F11" s="52">
        <f>'Balance Sheet'!O13-'Balance Sheet'!P13</f>
        <v>-247.55418586954329</v>
      </c>
      <c r="G11" s="154" t="s">
        <v>99</v>
      </c>
    </row>
    <row r="12" spans="1:7" ht="14.5">
      <c r="A12" s="148" t="s">
        <v>49</v>
      </c>
      <c r="B12" s="52">
        <f>'Balance Sheet'!K14-'Balance Sheet'!L14</f>
        <v>-511.3051267034316</v>
      </c>
      <c r="C12" s="52">
        <f>'Balance Sheet'!L14-'Balance Sheet'!M14</f>
        <v>-872.24949250574355</v>
      </c>
      <c r="D12" s="52">
        <f>'Balance Sheet'!M14-'Balance Sheet'!N14</f>
        <v>-1179.0137537367336</v>
      </c>
      <c r="E12" s="52">
        <f>'Balance Sheet'!N14-'Balance Sheet'!O14</f>
        <v>-1363.0010551986925</v>
      </c>
      <c r="F12" s="52">
        <f>'Balance Sheet'!O14-'Balance Sheet'!P14</f>
        <v>-1555.3642520199974</v>
      </c>
      <c r="G12" s="152"/>
    </row>
    <row r="13" spans="1:7" ht="14.5">
      <c r="A13" s="148" t="s">
        <v>100</v>
      </c>
      <c r="B13" s="52">
        <f>'Balance Sheet'!K15-'Balance Sheet'!L15</f>
        <v>-107.18065885818442</v>
      </c>
      <c r="C13" s="52">
        <f>'Balance Sheet'!L15-'Balance Sheet'!M15</f>
        <v>-156.87923047085678</v>
      </c>
      <c r="D13" s="52">
        <f>'Balance Sheet'!M15-'Balance Sheet'!N15</f>
        <v>-212.05259732444893</v>
      </c>
      <c r="E13" s="52">
        <f>'Balance Sheet'!N15-'Balance Sheet'!O15</f>
        <v>-245.14380175363567</v>
      </c>
      <c r="F13" s="52">
        <f>'Balance Sheet'!O15-'Balance Sheet'!P15</f>
        <v>-279.74146050554555</v>
      </c>
      <c r="G13" s="152"/>
    </row>
    <row r="14" spans="1:7" ht="14.5">
      <c r="A14" s="151" t="s">
        <v>53</v>
      </c>
      <c r="B14" s="52">
        <f>SUM('Balance Sheet'!L16:L18)</f>
        <v>10206.98133843353</v>
      </c>
      <c r="C14" s="52">
        <f>SUM('Balance Sheet'!M16:M18)</f>
        <v>10576.5856259969</v>
      </c>
      <c r="D14" s="52">
        <f>SUM('Balance Sheet'!N16:N18)</f>
        <v>10402.591027947074</v>
      </c>
      <c r="E14" s="52">
        <f>SUM('Balance Sheet'!O16:O18)</f>
        <v>11131.922080800619</v>
      </c>
      <c r="F14" s="52">
        <f>SUM('Balance Sheet'!P16:P18)</f>
        <v>11992.767064009546</v>
      </c>
      <c r="G14" s="152"/>
    </row>
    <row r="15" spans="1:7" ht="14.5">
      <c r="A15" s="155" t="s">
        <v>54</v>
      </c>
    </row>
    <row r="16" spans="1:7" ht="14.5">
      <c r="A16" s="146" t="s">
        <v>101</v>
      </c>
    </row>
    <row r="17" spans="1:26" ht="14.5">
      <c r="A17" s="148" t="s">
        <v>57</v>
      </c>
      <c r="B17" s="52">
        <f>'Balance Sheet'!L22-'Balance Sheet'!K22</f>
        <v>150.46429573547357</v>
      </c>
      <c r="C17" s="73">
        <f>'Balance Sheet'!M22-'Balance Sheet'!L22</f>
        <v>360.85088033517786</v>
      </c>
      <c r="D17" s="73">
        <f>'Balance Sheet'!N22-'Balance Sheet'!M22</f>
        <v>243.13614726093238</v>
      </c>
      <c r="E17" s="73">
        <f>'Balance Sheet'!O22-'Balance Sheet'!N22</f>
        <v>255.29777969658608</v>
      </c>
      <c r="F17" s="73">
        <f>'Balance Sheet'!P22-'Balance Sheet'!O22</f>
        <v>291.33427243121059</v>
      </c>
      <c r="G17" s="150"/>
    </row>
    <row r="18" spans="1:26" ht="14.5">
      <c r="A18" s="46" t="s">
        <v>58</v>
      </c>
      <c r="B18" s="52">
        <f>'Balance Sheet'!L23-'Balance Sheet'!K23</f>
        <v>45.804943292227108</v>
      </c>
      <c r="C18" s="73">
        <f>'Balance Sheet'!M23-'Balance Sheet'!L23</f>
        <v>109.85166965963572</v>
      </c>
      <c r="D18" s="73">
        <f>'Balance Sheet'!N23-'Balance Sheet'!M23</f>
        <v>74.016479345750213</v>
      </c>
      <c r="E18" s="73">
        <f>'Balance Sheet'!O23-'Balance Sheet'!N23</f>
        <v>77.71877218095824</v>
      </c>
      <c r="F18" s="73">
        <f>'Balance Sheet'!P23-'Balance Sheet'!O23</f>
        <v>88.689145571480822</v>
      </c>
      <c r="G18" s="150"/>
    </row>
    <row r="19" spans="1:26" ht="14.5">
      <c r="A19" s="78" t="s">
        <v>59</v>
      </c>
      <c r="B19" s="52">
        <f>'Balance Sheet'!L24-'Balance Sheet'!K24</f>
        <v>39.455960744767481</v>
      </c>
      <c r="C19" s="73">
        <f>'Balance Sheet'!M24-'Balance Sheet'!L24</f>
        <v>94.625227198419907</v>
      </c>
      <c r="D19" s="73">
        <f>'Balance Sheet'!N24-'Balance Sheet'!M24</f>
        <v>63.757120817730538</v>
      </c>
      <c r="E19" s="73">
        <f>'Balance Sheet'!O24-'Balance Sheet'!N24</f>
        <v>66.94624212805752</v>
      </c>
      <c r="F19" s="73">
        <f>'Balance Sheet'!P24-'Balance Sheet'!O24</f>
        <v>76.396021796825153</v>
      </c>
      <c r="G19" s="150"/>
    </row>
    <row r="20" spans="1:26" ht="14.5">
      <c r="A20" s="34" t="s">
        <v>60</v>
      </c>
      <c r="B20" s="52">
        <f>'Balance Sheet'!L25-'Balance Sheet'!K25</f>
        <v>171.55434156786669</v>
      </c>
      <c r="C20" s="73">
        <f>'Balance Sheet'!M25-'Balance Sheet'!L25</f>
        <v>411.43006636551308</v>
      </c>
      <c r="D20" s="73">
        <f>'Balance Sheet'!N25-'Balance Sheet'!M25</f>
        <v>277.2156773194074</v>
      </c>
      <c r="E20" s="73">
        <f>'Balance Sheet'!O25-'Balance Sheet'!N25</f>
        <v>291.08196257127202</v>
      </c>
      <c r="F20" s="73">
        <f>'Balance Sheet'!P25-'Balance Sheet'!O25</f>
        <v>332.16956247851158</v>
      </c>
      <c r="G20" s="156"/>
    </row>
    <row r="21" spans="1:26" ht="15.75" customHeight="1">
      <c r="A21" s="157" t="s">
        <v>61</v>
      </c>
      <c r="G21" s="42"/>
    </row>
    <row r="22" spans="1:26" ht="15.75" customHeight="1">
      <c r="A22" s="46" t="s">
        <v>62</v>
      </c>
      <c r="B22" s="52">
        <f>'Balance Sheet'!L27-'Balance Sheet'!K27</f>
        <v>0</v>
      </c>
      <c r="C22" s="52">
        <f>'Balance Sheet'!M27-'Balance Sheet'!L27</f>
        <v>0</v>
      </c>
      <c r="D22" s="52">
        <f>'Balance Sheet'!N27-'Balance Sheet'!M27</f>
        <v>0</v>
      </c>
      <c r="E22" s="52">
        <f>'Balance Sheet'!O27-'Balance Sheet'!N27</f>
        <v>0</v>
      </c>
      <c r="F22" s="52">
        <f>'Balance Sheet'!P27-'Balance Sheet'!O27</f>
        <v>0</v>
      </c>
      <c r="G22" s="158" t="s">
        <v>102</v>
      </c>
    </row>
    <row r="23" spans="1:26" ht="15.75" customHeight="1">
      <c r="A23" s="43" t="s">
        <v>52</v>
      </c>
      <c r="B23" s="52">
        <f>'Balance Sheet'!L28-'Balance Sheet'!K28</f>
        <v>0</v>
      </c>
      <c r="C23" s="52">
        <f>'Balance Sheet'!M28-'Balance Sheet'!L28</f>
        <v>0</v>
      </c>
      <c r="D23" s="52">
        <f>'Balance Sheet'!N28-'Balance Sheet'!M28</f>
        <v>0</v>
      </c>
      <c r="E23" s="52">
        <f>'Balance Sheet'!O28-'Balance Sheet'!N28</f>
        <v>0</v>
      </c>
      <c r="F23" s="52">
        <f>'Balance Sheet'!P28-'Balance Sheet'!O28</f>
        <v>0</v>
      </c>
      <c r="G23" s="152"/>
    </row>
    <row r="24" spans="1:26" ht="15.75" customHeight="1">
      <c r="A24" s="46" t="s">
        <v>63</v>
      </c>
      <c r="B24" s="52">
        <f>'Balance Sheet'!L29-'Balance Sheet'!K29</f>
        <v>0</v>
      </c>
      <c r="C24" s="52">
        <f>'Balance Sheet'!M29-'Balance Sheet'!L29</f>
        <v>0</v>
      </c>
      <c r="D24" s="52">
        <f>'Balance Sheet'!N29-'Balance Sheet'!M29</f>
        <v>0</v>
      </c>
      <c r="E24" s="52">
        <f>'Balance Sheet'!O29-'Balance Sheet'!N29</f>
        <v>0</v>
      </c>
      <c r="F24" s="52">
        <f>'Balance Sheet'!P29-'Balance Sheet'!O29</f>
        <v>0</v>
      </c>
      <c r="G24" s="152"/>
    </row>
    <row r="25" spans="1:26" ht="15.75" customHeight="1">
      <c r="A25" s="43" t="s">
        <v>64</v>
      </c>
      <c r="B25" s="52">
        <f>'Balance Sheet'!L30-'Balance Sheet'!K30</f>
        <v>0</v>
      </c>
      <c r="C25" s="52">
        <f>'Balance Sheet'!M30-'Balance Sheet'!L30</f>
        <v>0</v>
      </c>
      <c r="D25" s="52">
        <f>'Balance Sheet'!N30-'Balance Sheet'!M30</f>
        <v>0</v>
      </c>
      <c r="E25" s="52">
        <f>'Balance Sheet'!O30-'Balance Sheet'!N30</f>
        <v>0</v>
      </c>
      <c r="F25" s="52">
        <f>'Balance Sheet'!P30-'Balance Sheet'!O30</f>
        <v>0</v>
      </c>
      <c r="G25" s="152"/>
    </row>
    <row r="26" spans="1:26" ht="15.75" customHeight="1">
      <c r="A26" s="46" t="s">
        <v>65</v>
      </c>
      <c r="B26" s="52">
        <f>'Balance Sheet'!L31-'Balance Sheet'!K31</f>
        <v>467.71639335415784</v>
      </c>
      <c r="C26" s="52">
        <f>'Balance Sheet'!M31-'Balance Sheet'!L31</f>
        <v>0</v>
      </c>
      <c r="D26" s="52">
        <f>'Balance Sheet'!N31-'Balance Sheet'!M31</f>
        <v>222.40443314202821</v>
      </c>
      <c r="E26" s="52">
        <f>'Balance Sheet'!O31-'Balance Sheet'!N31</f>
        <v>233.52906844781774</v>
      </c>
      <c r="F26" s="52">
        <f>'Balance Sheet'!P31-'Balance Sheet'!O31</f>
        <v>266.49280431910302</v>
      </c>
      <c r="G26" s="152"/>
    </row>
    <row r="27" spans="1:26" ht="15.75" customHeight="1">
      <c r="A27" s="46" t="s">
        <v>66</v>
      </c>
      <c r="B27" s="52">
        <f>'Balance Sheet'!L32-'Balance Sheet'!K32</f>
        <v>0</v>
      </c>
      <c r="C27" s="52">
        <f>'Balance Sheet'!M32-'Balance Sheet'!L32</f>
        <v>0</v>
      </c>
      <c r="D27" s="52">
        <f>'Balance Sheet'!N32-'Balance Sheet'!M32</f>
        <v>0</v>
      </c>
      <c r="E27" s="52">
        <f>'Balance Sheet'!O32-'Balance Sheet'!N32</f>
        <v>0</v>
      </c>
      <c r="F27" s="52">
        <f>'Balance Sheet'!P32-'Balance Sheet'!O32</f>
        <v>0</v>
      </c>
      <c r="G27" s="152"/>
    </row>
    <row r="28" spans="1:26" ht="15.75" customHeight="1">
      <c r="A28" s="159" t="s">
        <v>103</v>
      </c>
    </row>
    <row r="29" spans="1:26" ht="15.75" customHeight="1">
      <c r="A29" s="160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>
      <c r="A30" s="161" t="s">
        <v>104</v>
      </c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 spans="1:26" ht="15.75" customHeight="1">
      <c r="A31" s="163" t="s">
        <v>105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 ht="15.75" customHeight="1">
      <c r="A32" s="163" t="s">
        <v>73</v>
      </c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 ht="15.75" customHeight="1">
      <c r="A33" s="163" t="s">
        <v>106</v>
      </c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spans="1:26" ht="15.75" customHeight="1">
      <c r="A34" s="163" t="s">
        <v>107</v>
      </c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 ht="15.75" customHeight="1">
      <c r="A35" s="164" t="s">
        <v>108</v>
      </c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5.75" customHeight="1">
      <c r="A36" s="160"/>
    </row>
    <row r="37" spans="1:26" ht="15.75" customHeight="1">
      <c r="A37" s="160" t="s">
        <v>109</v>
      </c>
      <c r="B37" s="52">
        <f>'Balance Sheet'!L152</f>
        <v>-2691.8617278242968</v>
      </c>
      <c r="C37" s="52">
        <f>'Balance Sheet'!M152</f>
        <v>-2626.4591200644531</v>
      </c>
      <c r="D37" s="52">
        <f>'Balance Sheet'!N152</f>
        <v>-2567.7411714565442</v>
      </c>
      <c r="E37" s="52">
        <f>'Balance Sheet'!O152</f>
        <v>-2515.0246574395301</v>
      </c>
      <c r="F37" s="52">
        <f>'Balance Sheet'!P152</f>
        <v>-2467.6961843577624</v>
      </c>
    </row>
    <row r="38" spans="1:26" ht="15.75" customHeight="1">
      <c r="A38" s="160" t="s">
        <v>110</v>
      </c>
      <c r="B38" s="52">
        <f>'Balance Sheet'!L153</f>
        <v>-3765</v>
      </c>
      <c r="C38" s="52">
        <f>'Balance Sheet'!M153</f>
        <v>-3765</v>
      </c>
      <c r="D38" s="52">
        <f>'Balance Sheet'!N153</f>
        <v>-3765</v>
      </c>
      <c r="E38" s="52">
        <f>'Balance Sheet'!O153</f>
        <v>-3765</v>
      </c>
      <c r="F38" s="52">
        <f>'Balance Sheet'!P153</f>
        <v>-3765</v>
      </c>
    </row>
    <row r="39" spans="1:26" ht="15.75" customHeight="1">
      <c r="A39" s="160"/>
    </row>
    <row r="40" spans="1:26" ht="15.75" customHeight="1">
      <c r="A40" s="165" t="s">
        <v>111</v>
      </c>
      <c r="B40" s="52">
        <f t="shared" ref="B40:F40" si="0">SUM(B2,B5:B8,B10,B12:B14,B17:B20,B22:B27,B31,B33)+SUM(B37:B38)</f>
        <v>8268.8212516839722</v>
      </c>
      <c r="C40" s="52">
        <f t="shared" si="0"/>
        <v>8249.2141114470069</v>
      </c>
      <c r="D40" s="52">
        <f t="shared" si="0"/>
        <v>8498.398441173591</v>
      </c>
      <c r="E40" s="52">
        <f t="shared" si="0"/>
        <v>10213.768373618865</v>
      </c>
      <c r="F40" s="52">
        <f t="shared" si="0"/>
        <v>12304.069548801283</v>
      </c>
    </row>
    <row r="41" spans="1:26" ht="15.75" customHeight="1">
      <c r="A41" s="160"/>
    </row>
    <row r="42" spans="1:26" ht="15.75" customHeight="1">
      <c r="A42" s="166" t="s">
        <v>112</v>
      </c>
      <c r="B42" s="52">
        <f>'Balance Sheet'!K6</f>
        <v>7925</v>
      </c>
      <c r="C42" s="52">
        <f>'Balance Sheet'!L6</f>
        <v>16193.821251683972</v>
      </c>
      <c r="D42" s="52">
        <f>'Balance Sheet'!M6</f>
        <v>24443.035363130977</v>
      </c>
      <c r="E42" s="52">
        <f>'Balance Sheet'!N6</f>
        <v>32941.433804304572</v>
      </c>
      <c r="F42" s="52">
        <f>'Balance Sheet'!O6</f>
        <v>43155.202177923435</v>
      </c>
    </row>
    <row r="43" spans="1:26" ht="15.75" customHeight="1">
      <c r="A43" s="167" t="s">
        <v>113</v>
      </c>
      <c r="B43" s="52">
        <f t="shared" ref="B43:F43" si="1">SUM(B40,B42)</f>
        <v>16193.821251683972</v>
      </c>
      <c r="C43" s="52">
        <f t="shared" si="1"/>
        <v>24443.035363130977</v>
      </c>
      <c r="D43" s="52">
        <f t="shared" si="1"/>
        <v>32941.433804304572</v>
      </c>
      <c r="E43" s="52">
        <f t="shared" si="1"/>
        <v>43155.202177923435</v>
      </c>
      <c r="F43" s="52">
        <f t="shared" si="1"/>
        <v>55459.271726724721</v>
      </c>
    </row>
    <row r="44" spans="1:26" ht="15.75" customHeight="1">
      <c r="A44" s="160"/>
    </row>
    <row r="45" spans="1:26" ht="15.75" customHeight="1">
      <c r="A45" s="168" t="s">
        <v>114</v>
      </c>
      <c r="B45" s="52">
        <f t="shared" ref="B45:F45" si="2">B40-B38-B37</f>
        <v>14725.682979508269</v>
      </c>
      <c r="C45" s="52">
        <f t="shared" si="2"/>
        <v>14640.67323151146</v>
      </c>
      <c r="D45" s="52">
        <f t="shared" si="2"/>
        <v>14831.139612630135</v>
      </c>
      <c r="E45" s="52">
        <f t="shared" si="2"/>
        <v>16493.793031058394</v>
      </c>
      <c r="F45" s="52">
        <f t="shared" si="2"/>
        <v>18536.765733159045</v>
      </c>
    </row>
    <row r="46" spans="1:26" ht="15.75" customHeight="1">
      <c r="A46" s="160"/>
    </row>
    <row r="47" spans="1:26" ht="15.75" customHeight="1">
      <c r="A47" s="169" t="s">
        <v>115</v>
      </c>
      <c r="B47" s="170">
        <f>'Balance Sheet'!L43-'Balance Sheet'!L19</f>
        <v>9.8948943852155935</v>
      </c>
      <c r="C47" s="170">
        <f>'Balance Sheet'!M19-'Balance Sheet'!M43</f>
        <v>-267.70172031903348</v>
      </c>
      <c r="D47" s="170">
        <f>'Balance Sheet'!N19-'Balance Sheet'!N43</f>
        <v>-321.15253767296963</v>
      </c>
      <c r="E47" s="170">
        <f>'Balance Sheet'!O19-'Balance Sheet'!O43</f>
        <v>-1152.9142168031831</v>
      </c>
      <c r="F47" s="170">
        <f>'Balance Sheet'!P19-'Balance Sheet'!P43</f>
        <v>-2878.4277992255084</v>
      </c>
    </row>
    <row r="48" spans="1:26" ht="15.75" customHeight="1"/>
    <row r="49" spans="2:4" ht="15.75" customHeight="1">
      <c r="B49" s="137"/>
      <c r="D49" s="52"/>
    </row>
    <row r="50" spans="2:4" ht="15.75" customHeight="1">
      <c r="B50" s="170"/>
      <c r="C50" s="52"/>
    </row>
    <row r="51" spans="2:4" ht="15.75" customHeight="1"/>
    <row r="52" spans="2:4" ht="15.75" customHeight="1"/>
    <row r="53" spans="2:4" ht="15.75" customHeight="1"/>
    <row r="54" spans="2:4" ht="15.75" customHeight="1"/>
    <row r="55" spans="2:4" ht="15.75" customHeight="1"/>
    <row r="56" spans="2:4" ht="15.75" customHeight="1"/>
    <row r="57" spans="2:4" ht="15.75" customHeight="1"/>
    <row r="58" spans="2:4" ht="15.75" customHeight="1"/>
    <row r="59" spans="2:4" ht="15.75" customHeight="1"/>
    <row r="60" spans="2:4" ht="15.75" customHeight="1"/>
    <row r="61" spans="2:4" ht="15.75" customHeight="1"/>
    <row r="62" spans="2:4" ht="15.75" customHeight="1"/>
    <row r="63" spans="2:4" ht="15.75" customHeight="1"/>
    <row r="64" spans="2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89"/>
  <sheetViews>
    <sheetView workbookViewId="0"/>
  </sheetViews>
  <sheetFormatPr defaultColWidth="12.6328125" defaultRowHeight="15" customHeight="1"/>
  <cols>
    <col min="1" max="1" width="50" customWidth="1"/>
  </cols>
  <sheetData>
    <row r="1" spans="1:11">
      <c r="A1" s="190" t="s">
        <v>148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</row>
    <row r="2" spans="1:11">
      <c r="A2" s="192" t="s">
        <v>149</v>
      </c>
      <c r="B2" s="193" t="s">
        <v>150</v>
      </c>
      <c r="C2" s="193" t="s">
        <v>151</v>
      </c>
      <c r="D2" s="193" t="s">
        <v>152</v>
      </c>
      <c r="E2" s="193" t="s">
        <v>153</v>
      </c>
      <c r="F2" s="193" t="s">
        <v>154</v>
      </c>
      <c r="G2" s="193" t="s">
        <v>155</v>
      </c>
      <c r="H2" s="193" t="s">
        <v>156</v>
      </c>
      <c r="I2" s="193" t="s">
        <v>157</v>
      </c>
      <c r="J2" s="193" t="s">
        <v>158</v>
      </c>
      <c r="K2" s="193" t="s">
        <v>159</v>
      </c>
    </row>
    <row r="3" spans="1:11">
      <c r="A3" s="194" t="s">
        <v>160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</row>
    <row r="4" spans="1:11">
      <c r="A4" s="196" t="s">
        <v>161</v>
      </c>
      <c r="B4" s="72">
        <v>4329</v>
      </c>
      <c r="C4" s="72">
        <v>4847</v>
      </c>
      <c r="D4" s="72">
        <v>4846</v>
      </c>
      <c r="E4" s="72">
        <v>1698</v>
      </c>
      <c r="F4" s="72">
        <v>6828</v>
      </c>
      <c r="G4" s="72">
        <v>6230</v>
      </c>
      <c r="H4" s="72">
        <v>4865</v>
      </c>
      <c r="I4" s="72">
        <v>5610</v>
      </c>
      <c r="J4" s="72">
        <v>4967</v>
      </c>
      <c r="K4" s="72">
        <v>5672</v>
      </c>
    </row>
    <row r="5" spans="1:11">
      <c r="A5" s="196" t="s">
        <v>162</v>
      </c>
      <c r="B5" s="69">
        <v>459</v>
      </c>
      <c r="C5" s="69">
        <v>835</v>
      </c>
      <c r="D5" s="69">
        <v>836</v>
      </c>
      <c r="E5" s="72">
        <v>4831</v>
      </c>
      <c r="F5" s="113">
        <v>-680</v>
      </c>
      <c r="G5" s="69">
        <v>623</v>
      </c>
      <c r="H5" s="113">
        <v>-20</v>
      </c>
      <c r="I5" s="69">
        <v>140</v>
      </c>
      <c r="J5" s="72">
        <v>1052</v>
      </c>
      <c r="K5" s="113">
        <v>-693</v>
      </c>
    </row>
    <row r="6" spans="1:11">
      <c r="A6" s="197" t="s">
        <v>163</v>
      </c>
      <c r="B6" s="113">
        <v>-90</v>
      </c>
      <c r="C6" s="113">
        <v>-79</v>
      </c>
      <c r="D6" s="113">
        <v>-37</v>
      </c>
      <c r="E6" s="113">
        <v>-43</v>
      </c>
      <c r="F6" s="113">
        <v>-63</v>
      </c>
      <c r="G6" s="113">
        <v>-87</v>
      </c>
      <c r="H6" s="113">
        <v>-86</v>
      </c>
      <c r="I6" s="113">
        <v>-68</v>
      </c>
      <c r="J6" s="113">
        <v>-1</v>
      </c>
      <c r="K6" s="113">
        <v>-14</v>
      </c>
    </row>
    <row r="7" spans="1:11">
      <c r="A7" s="197" t="s">
        <v>164</v>
      </c>
      <c r="B7" s="113">
        <v>-484</v>
      </c>
      <c r="C7" s="113">
        <v>-460</v>
      </c>
      <c r="D7" s="113">
        <v>-239</v>
      </c>
      <c r="E7" s="72">
        <v>1282</v>
      </c>
      <c r="F7" s="112">
        <v>-1322</v>
      </c>
      <c r="G7" s="113">
        <v>-711</v>
      </c>
      <c r="H7" s="113">
        <v>-929</v>
      </c>
      <c r="I7" s="112">
        <v>-1308</v>
      </c>
      <c r="J7" s="113">
        <v>-137</v>
      </c>
      <c r="K7" s="112">
        <v>-2205</v>
      </c>
    </row>
    <row r="8" spans="1:11">
      <c r="A8" s="197" t="s">
        <v>165</v>
      </c>
      <c r="B8" s="69">
        <v>924</v>
      </c>
      <c r="C8" s="69">
        <v>883</v>
      </c>
      <c r="D8" s="72">
        <v>1030</v>
      </c>
      <c r="E8" s="72">
        <v>1115</v>
      </c>
      <c r="F8" s="72">
        <v>1116</v>
      </c>
      <c r="G8" s="72">
        <v>1088</v>
      </c>
      <c r="H8" s="72">
        <v>1002</v>
      </c>
      <c r="I8" s="72">
        <v>1223</v>
      </c>
      <c r="J8" s="72">
        <v>1204</v>
      </c>
      <c r="K8" s="72">
        <v>1176</v>
      </c>
    </row>
    <row r="9" spans="1:11">
      <c r="A9" s="197" t="s">
        <v>166</v>
      </c>
      <c r="B9" s="69">
        <v>667</v>
      </c>
      <c r="C9" s="69">
        <v>672</v>
      </c>
      <c r="D9" s="69">
        <v>726</v>
      </c>
      <c r="E9" s="69">
        <v>717</v>
      </c>
      <c r="F9" s="69">
        <v>721</v>
      </c>
      <c r="G9" s="69">
        <v>673</v>
      </c>
      <c r="H9" s="69">
        <v>644</v>
      </c>
      <c r="I9" s="69">
        <v>674</v>
      </c>
      <c r="J9" s="69">
        <v>657</v>
      </c>
      <c r="K9" s="69">
        <v>659</v>
      </c>
    </row>
    <row r="10" spans="1:11">
      <c r="A10" s="197" t="s">
        <v>167</v>
      </c>
      <c r="B10" s="69">
        <v>257</v>
      </c>
      <c r="C10" s="69">
        <v>211</v>
      </c>
      <c r="D10" s="69">
        <v>304</v>
      </c>
      <c r="E10" s="69">
        <v>398</v>
      </c>
      <c r="F10" s="69">
        <v>395</v>
      </c>
      <c r="G10" s="69">
        <v>415</v>
      </c>
      <c r="H10" s="69">
        <v>358</v>
      </c>
      <c r="I10" s="69">
        <v>549</v>
      </c>
      <c r="J10" s="69">
        <v>547</v>
      </c>
      <c r="K10" s="69">
        <v>517</v>
      </c>
    </row>
    <row r="11" spans="1:11">
      <c r="A11" s="197" t="s">
        <v>168</v>
      </c>
      <c r="B11" s="69">
        <v>132</v>
      </c>
      <c r="C11" s="69">
        <v>315</v>
      </c>
      <c r="D11" s="69">
        <v>76</v>
      </c>
      <c r="E11" s="72">
        <v>2294</v>
      </c>
      <c r="F11" s="113">
        <v>-586</v>
      </c>
      <c r="G11" s="69">
        <v>179</v>
      </c>
      <c r="H11" s="113">
        <v>-175</v>
      </c>
      <c r="I11" s="69">
        <v>178</v>
      </c>
      <c r="J11" s="113">
        <v>-180</v>
      </c>
      <c r="K11" s="69">
        <v>153</v>
      </c>
    </row>
    <row r="12" spans="1:11">
      <c r="A12" s="197" t="s">
        <v>169</v>
      </c>
      <c r="B12" s="113">
        <v>-210</v>
      </c>
      <c r="C12" s="69">
        <v>1</v>
      </c>
      <c r="D12" s="113">
        <v>-178</v>
      </c>
      <c r="E12" s="69">
        <v>7</v>
      </c>
      <c r="F12" s="69">
        <v>0</v>
      </c>
      <c r="G12" s="69">
        <v>1</v>
      </c>
      <c r="H12" s="69"/>
      <c r="I12" s="113">
        <v>-102</v>
      </c>
      <c r="J12" s="113">
        <v>-22</v>
      </c>
      <c r="K12" s="113">
        <v>-5</v>
      </c>
    </row>
    <row r="13" spans="1:11">
      <c r="A13" s="197" t="s">
        <v>170</v>
      </c>
      <c r="B13" s="69">
        <v>187</v>
      </c>
      <c r="C13" s="69">
        <v>175</v>
      </c>
      <c r="D13" s="69">
        <v>184</v>
      </c>
      <c r="E13" s="69">
        <v>176</v>
      </c>
      <c r="F13" s="69">
        <v>175</v>
      </c>
      <c r="G13" s="69">
        <v>153</v>
      </c>
      <c r="H13" s="69">
        <v>168</v>
      </c>
      <c r="I13" s="69">
        <v>217</v>
      </c>
      <c r="J13" s="69">
        <v>188</v>
      </c>
      <c r="K13" s="69">
        <v>202</v>
      </c>
    </row>
    <row r="14" spans="1:11">
      <c r="A14" s="196" t="s">
        <v>171</v>
      </c>
      <c r="B14" s="72">
        <v>4788</v>
      </c>
      <c r="C14" s="72">
        <v>5682</v>
      </c>
      <c r="D14" s="72">
        <v>5682</v>
      </c>
      <c r="E14" s="72">
        <v>6529</v>
      </c>
      <c r="F14" s="72">
        <v>6148</v>
      </c>
      <c r="G14" s="72">
        <v>6853</v>
      </c>
      <c r="H14" s="72">
        <v>4845</v>
      </c>
      <c r="I14" s="72">
        <v>5750</v>
      </c>
      <c r="J14" s="72">
        <v>6019</v>
      </c>
      <c r="K14" s="72">
        <v>4979</v>
      </c>
    </row>
    <row r="15" spans="1:11">
      <c r="A15" s="196" t="s">
        <v>172</v>
      </c>
      <c r="B15" s="69">
        <v>236</v>
      </c>
      <c r="C15" s="113">
        <v>-163</v>
      </c>
      <c r="D15" s="113">
        <v>-184</v>
      </c>
      <c r="E15" s="113">
        <v>-563</v>
      </c>
      <c r="F15" s="69">
        <v>286</v>
      </c>
      <c r="G15" s="69">
        <v>44</v>
      </c>
      <c r="H15" s="72">
        <v>1363</v>
      </c>
      <c r="I15" s="69">
        <v>288</v>
      </c>
      <c r="J15" s="113">
        <v>-745</v>
      </c>
      <c r="K15" s="69">
        <v>361</v>
      </c>
    </row>
    <row r="16" spans="1:11">
      <c r="A16" s="197" t="s">
        <v>173</v>
      </c>
      <c r="B16" s="113">
        <v>-172</v>
      </c>
      <c r="C16" s="69">
        <v>211</v>
      </c>
      <c r="D16" s="113">
        <v>-770</v>
      </c>
      <c r="E16" s="113">
        <v>-682</v>
      </c>
      <c r="F16" s="113">
        <v>-236</v>
      </c>
      <c r="G16" s="69">
        <v>11</v>
      </c>
      <c r="H16" s="69">
        <v>669</v>
      </c>
      <c r="I16" s="113">
        <v>-8</v>
      </c>
      <c r="J16" s="113">
        <v>-739</v>
      </c>
      <c r="K16" s="113">
        <v>-42</v>
      </c>
    </row>
    <row r="17" spans="1:11">
      <c r="A17" s="197" t="s">
        <v>174</v>
      </c>
      <c r="B17" s="113">
        <v>-200</v>
      </c>
      <c r="C17" s="69">
        <v>230</v>
      </c>
      <c r="D17" s="113">
        <v>-18</v>
      </c>
      <c r="E17" s="113">
        <v>-259</v>
      </c>
      <c r="F17" s="113">
        <v>-503</v>
      </c>
      <c r="G17" s="113">
        <v>-100</v>
      </c>
      <c r="H17" s="113">
        <v>-67</v>
      </c>
      <c r="I17" s="113">
        <v>-685</v>
      </c>
      <c r="J17" s="113">
        <v>-440</v>
      </c>
      <c r="K17" s="113">
        <v>-626</v>
      </c>
    </row>
    <row r="18" spans="1:11">
      <c r="A18" s="197" t="s">
        <v>175</v>
      </c>
      <c r="B18" s="69">
        <v>120</v>
      </c>
      <c r="C18" s="69">
        <v>80</v>
      </c>
      <c r="D18" s="69">
        <v>117</v>
      </c>
      <c r="E18" s="113">
        <v>-568</v>
      </c>
      <c r="F18" s="69">
        <v>218</v>
      </c>
      <c r="G18" s="113">
        <v>-430</v>
      </c>
      <c r="H18" s="69">
        <v>191</v>
      </c>
      <c r="I18" s="113">
        <v>-276</v>
      </c>
      <c r="J18" s="69">
        <v>232</v>
      </c>
      <c r="K18" s="69">
        <v>17</v>
      </c>
    </row>
    <row r="19" spans="1:11">
      <c r="A19" s="197" t="s">
        <v>176</v>
      </c>
      <c r="B19" s="69">
        <v>307</v>
      </c>
      <c r="C19" s="113">
        <v>-17</v>
      </c>
      <c r="D19" s="69">
        <v>254</v>
      </c>
      <c r="E19" s="69">
        <v>924</v>
      </c>
      <c r="F19" s="69">
        <v>733</v>
      </c>
      <c r="G19" s="69">
        <v>118</v>
      </c>
      <c r="H19" s="69">
        <v>15</v>
      </c>
      <c r="I19" s="69">
        <v>744</v>
      </c>
      <c r="J19" s="113">
        <v>-155</v>
      </c>
      <c r="K19" s="69">
        <v>518</v>
      </c>
    </row>
    <row r="20" spans="1:11">
      <c r="A20" s="197" t="s">
        <v>177</v>
      </c>
      <c r="B20" s="69">
        <v>181</v>
      </c>
      <c r="C20" s="113">
        <v>-667</v>
      </c>
      <c r="D20" s="69">
        <v>233</v>
      </c>
      <c r="E20" s="69">
        <v>22</v>
      </c>
      <c r="F20" s="69">
        <v>74</v>
      </c>
      <c r="G20" s="69">
        <v>445</v>
      </c>
      <c r="H20" s="69">
        <v>555</v>
      </c>
      <c r="I20" s="69">
        <v>513</v>
      </c>
      <c r="J20" s="69">
        <v>357</v>
      </c>
      <c r="K20" s="69">
        <v>494</v>
      </c>
    </row>
    <row r="21" spans="1:11">
      <c r="A21" s="198" t="s">
        <v>178</v>
      </c>
      <c r="B21" s="199">
        <v>5024</v>
      </c>
      <c r="C21" s="199">
        <v>5519</v>
      </c>
      <c r="D21" s="199">
        <v>5498</v>
      </c>
      <c r="E21" s="199">
        <v>5966</v>
      </c>
      <c r="F21" s="199">
        <v>6434</v>
      </c>
      <c r="G21" s="199">
        <v>6897</v>
      </c>
      <c r="H21" s="199">
        <v>6208</v>
      </c>
      <c r="I21" s="199">
        <v>6038</v>
      </c>
      <c r="J21" s="199">
        <v>5274</v>
      </c>
      <c r="K21" s="199">
        <v>5340</v>
      </c>
    </row>
    <row r="22" spans="1:11">
      <c r="A22" s="200" t="s">
        <v>179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</row>
    <row r="23" spans="1:11">
      <c r="A23" s="196" t="s">
        <v>180</v>
      </c>
      <c r="B23" s="72">
        <v>1076</v>
      </c>
      <c r="C23" s="72">
        <v>1058</v>
      </c>
      <c r="D23" s="72">
        <v>1074</v>
      </c>
      <c r="E23" s="69">
        <v>945</v>
      </c>
      <c r="F23" s="69">
        <v>813</v>
      </c>
      <c r="G23" s="69">
        <v>796</v>
      </c>
      <c r="H23" s="69">
        <v>849</v>
      </c>
      <c r="I23" s="69">
        <v>868</v>
      </c>
      <c r="J23" s="69">
        <v>737</v>
      </c>
      <c r="K23" s="69">
        <v>996</v>
      </c>
    </row>
    <row r="24" spans="1:11">
      <c r="A24" s="197" t="s">
        <v>181</v>
      </c>
      <c r="B24" s="72">
        <v>1076</v>
      </c>
      <c r="C24" s="72">
        <v>1058</v>
      </c>
      <c r="D24" s="72">
        <v>1074</v>
      </c>
      <c r="E24" s="69">
        <v>945</v>
      </c>
      <c r="F24" s="69">
        <v>813</v>
      </c>
      <c r="G24" s="69">
        <v>796</v>
      </c>
      <c r="H24" s="69">
        <v>849</v>
      </c>
      <c r="I24" s="69">
        <v>868</v>
      </c>
      <c r="J24" s="69">
        <v>737</v>
      </c>
      <c r="K24" s="69">
        <v>996</v>
      </c>
    </row>
    <row r="25" spans="1:11">
      <c r="A25" s="197" t="s">
        <v>182</v>
      </c>
      <c r="B25" s="72">
        <v>1094</v>
      </c>
      <c r="C25" s="72">
        <v>1073</v>
      </c>
      <c r="D25" s="72">
        <v>1095</v>
      </c>
      <c r="E25" s="72">
        <v>1031</v>
      </c>
      <c r="F25" s="69">
        <v>828</v>
      </c>
      <c r="G25" s="69">
        <v>839</v>
      </c>
      <c r="H25" s="69">
        <v>906</v>
      </c>
      <c r="I25" s="69">
        <v>895</v>
      </c>
      <c r="J25" s="69">
        <v>766</v>
      </c>
      <c r="K25" s="72">
        <v>1039</v>
      </c>
    </row>
    <row r="26" spans="1:11">
      <c r="A26" s="197" t="s">
        <v>183</v>
      </c>
      <c r="B26" s="69">
        <v>18</v>
      </c>
      <c r="C26" s="69">
        <v>15</v>
      </c>
      <c r="D26" s="69">
        <v>21</v>
      </c>
      <c r="E26" s="69">
        <v>86</v>
      </c>
      <c r="F26" s="69">
        <v>15</v>
      </c>
      <c r="G26" s="69">
        <v>43</v>
      </c>
      <c r="H26" s="69">
        <v>57</v>
      </c>
      <c r="I26" s="69">
        <v>27</v>
      </c>
      <c r="J26" s="69">
        <v>29</v>
      </c>
      <c r="K26" s="69">
        <v>43</v>
      </c>
    </row>
    <row r="27" spans="1:11">
      <c r="A27" s="197" t="s">
        <v>184</v>
      </c>
      <c r="B27" s="72">
        <v>1094</v>
      </c>
      <c r="C27" s="72">
        <v>1073</v>
      </c>
      <c r="D27" s="72">
        <v>1095</v>
      </c>
      <c r="E27" s="72">
        <v>1031</v>
      </c>
      <c r="F27" s="69">
        <v>828</v>
      </c>
      <c r="G27" s="69">
        <v>839</v>
      </c>
      <c r="H27" s="69">
        <v>906</v>
      </c>
      <c r="I27" s="69">
        <v>895</v>
      </c>
      <c r="J27" s="69">
        <v>766</v>
      </c>
      <c r="K27" s="72">
        <v>1039</v>
      </c>
    </row>
    <row r="28" spans="1:11">
      <c r="A28" s="196" t="s">
        <v>185</v>
      </c>
      <c r="B28" s="69">
        <v>156</v>
      </c>
      <c r="C28" s="112">
        <v>-5227</v>
      </c>
      <c r="D28" s="112">
        <v>-2277</v>
      </c>
      <c r="E28" s="113">
        <v>-82</v>
      </c>
      <c r="F28" s="113">
        <v>-535</v>
      </c>
      <c r="G28" s="113">
        <v>-50</v>
      </c>
      <c r="H28" s="113">
        <v>-261</v>
      </c>
      <c r="I28" s="112">
        <v>-1123</v>
      </c>
      <c r="J28" s="113">
        <v>-178</v>
      </c>
      <c r="K28" s="113">
        <v>-714</v>
      </c>
    </row>
    <row r="29" spans="1:11">
      <c r="A29" s="197" t="s">
        <v>186</v>
      </c>
      <c r="B29" s="69">
        <v>4</v>
      </c>
      <c r="C29" s="72">
        <v>5228</v>
      </c>
      <c r="D29" s="72">
        <v>2573</v>
      </c>
      <c r="E29" s="69">
        <v>82</v>
      </c>
      <c r="F29" s="69">
        <v>535</v>
      </c>
      <c r="G29" s="69">
        <v>50</v>
      </c>
      <c r="H29" s="69">
        <v>261</v>
      </c>
      <c r="I29" s="72">
        <v>1326</v>
      </c>
      <c r="J29" s="69">
        <v>178</v>
      </c>
      <c r="K29" s="69">
        <v>718</v>
      </c>
    </row>
    <row r="30" spans="1:11">
      <c r="A30" s="197" t="s">
        <v>187</v>
      </c>
      <c r="B30" s="69">
        <v>160</v>
      </c>
      <c r="C30" s="69">
        <v>1</v>
      </c>
      <c r="D30" s="69">
        <v>296</v>
      </c>
      <c r="E30" s="69">
        <v>0</v>
      </c>
      <c r="F30" s="69">
        <v>0</v>
      </c>
      <c r="G30" s="69"/>
      <c r="H30" s="69"/>
      <c r="I30" s="69">
        <v>203</v>
      </c>
      <c r="J30" s="69">
        <v>0</v>
      </c>
      <c r="K30" s="69">
        <v>4</v>
      </c>
    </row>
    <row r="31" spans="1:11">
      <c r="A31" s="196" t="s">
        <v>188</v>
      </c>
      <c r="B31" s="113">
        <v>-786</v>
      </c>
      <c r="C31" s="113">
        <v>-127</v>
      </c>
      <c r="D31" s="113">
        <v>-273</v>
      </c>
      <c r="E31" s="112">
        <v>-2329</v>
      </c>
      <c r="F31" s="72">
        <v>1973</v>
      </c>
      <c r="G31" s="69">
        <v>211</v>
      </c>
      <c r="H31" s="69">
        <v>272</v>
      </c>
      <c r="I31" s="69">
        <v>738</v>
      </c>
      <c r="J31" s="69">
        <v>453</v>
      </c>
      <c r="K31" s="69">
        <v>411</v>
      </c>
    </row>
    <row r="32" spans="1:11">
      <c r="A32" s="197" t="s">
        <v>189</v>
      </c>
      <c r="B32" s="113">
        <v>-786</v>
      </c>
      <c r="C32" s="113">
        <v>-127</v>
      </c>
      <c r="D32" s="113">
        <v>-273</v>
      </c>
      <c r="E32" s="112">
        <v>-2329</v>
      </c>
      <c r="F32" s="72">
        <v>1973</v>
      </c>
      <c r="G32" s="69">
        <v>211</v>
      </c>
      <c r="H32" s="69">
        <v>272</v>
      </c>
      <c r="I32" s="69">
        <v>738</v>
      </c>
      <c r="J32" s="69">
        <v>453</v>
      </c>
      <c r="K32" s="69">
        <v>411</v>
      </c>
    </row>
    <row r="33" spans="1:11">
      <c r="A33" s="197" t="s">
        <v>190</v>
      </c>
      <c r="B33" s="72">
        <v>3288</v>
      </c>
      <c r="C33" s="72">
        <v>6587</v>
      </c>
      <c r="D33" s="72">
        <v>3681</v>
      </c>
      <c r="E33" s="72">
        <v>4414</v>
      </c>
      <c r="F33" s="72">
        <v>6032</v>
      </c>
      <c r="G33" s="72">
        <v>4464</v>
      </c>
      <c r="H33" s="72">
        <v>3508</v>
      </c>
      <c r="I33" s="72">
        <v>3111</v>
      </c>
      <c r="J33" s="72">
        <v>1664</v>
      </c>
      <c r="K33" s="69">
        <v>971</v>
      </c>
    </row>
    <row r="34" spans="1:11">
      <c r="A34" s="197" t="s">
        <v>191</v>
      </c>
      <c r="B34" s="72">
        <v>4074</v>
      </c>
      <c r="C34" s="72">
        <v>6714</v>
      </c>
      <c r="D34" s="72">
        <v>3954</v>
      </c>
      <c r="E34" s="72">
        <v>6743</v>
      </c>
      <c r="F34" s="72">
        <v>4059</v>
      </c>
      <c r="G34" s="72">
        <v>4253</v>
      </c>
      <c r="H34" s="72">
        <v>3236</v>
      </c>
      <c r="I34" s="72">
        <v>2373</v>
      </c>
      <c r="J34" s="72">
        <v>1211</v>
      </c>
      <c r="K34" s="69">
        <v>560</v>
      </c>
    </row>
    <row r="35" spans="1:11">
      <c r="A35" s="196" t="s">
        <v>192</v>
      </c>
      <c r="B35" s="113">
        <v>-170</v>
      </c>
      <c r="C35" s="113">
        <v>-102</v>
      </c>
      <c r="D35" s="69">
        <v>282</v>
      </c>
      <c r="E35" s="113">
        <v>-218</v>
      </c>
      <c r="F35" s="69">
        <v>402</v>
      </c>
      <c r="G35" s="69">
        <v>102</v>
      </c>
      <c r="H35" s="113">
        <v>-149</v>
      </c>
      <c r="I35" s="69">
        <v>192</v>
      </c>
      <c r="J35" s="69">
        <v>369</v>
      </c>
      <c r="K35" s="69">
        <v>6</v>
      </c>
    </row>
    <row r="36" spans="1:11">
      <c r="A36" s="198" t="s">
        <v>193</v>
      </c>
      <c r="B36" s="201">
        <v>-1876</v>
      </c>
      <c r="C36" s="201">
        <v>-6514</v>
      </c>
      <c r="D36" s="201">
        <v>-3342</v>
      </c>
      <c r="E36" s="201">
        <v>-3574</v>
      </c>
      <c r="F36" s="199">
        <v>1027</v>
      </c>
      <c r="G36" s="202">
        <v>-533</v>
      </c>
      <c r="H36" s="202">
        <v>-987</v>
      </c>
      <c r="I36" s="201">
        <v>-1061</v>
      </c>
      <c r="J36" s="202">
        <v>-93</v>
      </c>
      <c r="K36" s="201">
        <v>-1293</v>
      </c>
    </row>
    <row r="37" spans="1:11">
      <c r="A37" s="200" t="s">
        <v>194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</row>
    <row r="38" spans="1:11">
      <c r="A38" s="196" t="s">
        <v>195</v>
      </c>
      <c r="B38" s="72">
        <v>1510</v>
      </c>
      <c r="C38" s="72">
        <v>1726</v>
      </c>
      <c r="D38" s="72">
        <v>1915</v>
      </c>
      <c r="E38" s="72">
        <v>2119</v>
      </c>
      <c r="F38" s="72">
        <v>2272</v>
      </c>
      <c r="G38" s="72">
        <v>2442</v>
      </c>
      <c r="H38" s="72">
        <v>2592</v>
      </c>
      <c r="I38" s="72">
        <v>2626</v>
      </c>
      <c r="J38" s="72">
        <v>2719</v>
      </c>
      <c r="K38" s="72">
        <v>2855</v>
      </c>
    </row>
    <row r="39" spans="1:11">
      <c r="A39" s="197" t="s">
        <v>196</v>
      </c>
      <c r="B39" s="72">
        <v>1510</v>
      </c>
      <c r="C39" s="72">
        <v>1726</v>
      </c>
      <c r="D39" s="72">
        <v>1915</v>
      </c>
      <c r="E39" s="72">
        <v>2119</v>
      </c>
      <c r="F39" s="72">
        <v>2272</v>
      </c>
      <c r="G39" s="72">
        <v>2442</v>
      </c>
      <c r="H39" s="72">
        <v>2592</v>
      </c>
      <c r="I39" s="72">
        <v>2626</v>
      </c>
      <c r="J39" s="72">
        <v>2719</v>
      </c>
      <c r="K39" s="72">
        <v>2855</v>
      </c>
    </row>
    <row r="40" spans="1:11">
      <c r="A40" s="196" t="s">
        <v>197</v>
      </c>
      <c r="B40" s="113">
        <v>-659</v>
      </c>
      <c r="C40" s="112">
        <v>-1698</v>
      </c>
      <c r="D40" s="112">
        <v>-1670</v>
      </c>
      <c r="E40" s="112">
        <v>-2369</v>
      </c>
      <c r="F40" s="112">
        <v>-3733</v>
      </c>
      <c r="G40" s="112">
        <v>-3902</v>
      </c>
      <c r="H40" s="112">
        <v>-3321</v>
      </c>
      <c r="I40" s="112">
        <v>-3151</v>
      </c>
      <c r="J40" s="112">
        <v>-3880</v>
      </c>
      <c r="K40" s="112">
        <v>-3519</v>
      </c>
    </row>
    <row r="41" spans="1:11">
      <c r="A41" s="197" t="s">
        <v>198</v>
      </c>
      <c r="B41" s="113">
        <v>-659</v>
      </c>
      <c r="C41" s="112">
        <v>-1698</v>
      </c>
      <c r="D41" s="112">
        <v>-1670</v>
      </c>
      <c r="E41" s="112">
        <v>-2369</v>
      </c>
      <c r="F41" s="112">
        <v>-3733</v>
      </c>
      <c r="G41" s="112">
        <v>-3902</v>
      </c>
      <c r="H41" s="112">
        <v>-3321</v>
      </c>
      <c r="I41" s="112">
        <v>-3151</v>
      </c>
      <c r="J41" s="112">
        <v>-3880</v>
      </c>
      <c r="K41" s="112">
        <v>-3519</v>
      </c>
    </row>
    <row r="42" spans="1:11">
      <c r="A42" s="197" t="s">
        <v>199</v>
      </c>
      <c r="B42" s="113">
        <v>-659</v>
      </c>
      <c r="C42" s="112">
        <v>-1698</v>
      </c>
      <c r="D42" s="112">
        <v>-1670</v>
      </c>
      <c r="E42" s="112">
        <v>-2369</v>
      </c>
      <c r="F42" s="112">
        <v>-3733</v>
      </c>
      <c r="G42" s="112">
        <v>-3902</v>
      </c>
      <c r="H42" s="112">
        <v>-3321</v>
      </c>
      <c r="I42" s="112">
        <v>-3151</v>
      </c>
      <c r="J42" s="112">
        <v>-3880</v>
      </c>
      <c r="K42" s="112">
        <v>-3519</v>
      </c>
    </row>
    <row r="43" spans="1:11">
      <c r="A43" s="197" t="s">
        <v>200</v>
      </c>
      <c r="B43" s="69">
        <v>265</v>
      </c>
      <c r="C43" s="69">
        <v>186</v>
      </c>
      <c r="D43" s="69">
        <v>409</v>
      </c>
      <c r="E43" s="69">
        <v>520</v>
      </c>
      <c r="F43" s="69">
        <v>267</v>
      </c>
      <c r="G43" s="69">
        <v>498</v>
      </c>
      <c r="H43" s="69">
        <v>393</v>
      </c>
      <c r="I43" s="69">
        <v>229</v>
      </c>
      <c r="J43" s="69">
        <v>320</v>
      </c>
      <c r="K43" s="69">
        <v>196</v>
      </c>
    </row>
    <row r="44" spans="1:11">
      <c r="A44" s="197" t="s">
        <v>201</v>
      </c>
      <c r="B44" s="69">
        <v>924</v>
      </c>
      <c r="C44" s="72">
        <v>1884</v>
      </c>
      <c r="D44" s="72">
        <v>2079</v>
      </c>
      <c r="E44" s="72">
        <v>2889</v>
      </c>
      <c r="F44" s="72">
        <v>4000</v>
      </c>
      <c r="G44" s="72">
        <v>4400</v>
      </c>
      <c r="H44" s="72">
        <v>3714</v>
      </c>
      <c r="I44" s="72">
        <v>3380</v>
      </c>
      <c r="J44" s="72">
        <v>4200</v>
      </c>
      <c r="K44" s="72">
        <v>3715</v>
      </c>
    </row>
    <row r="45" spans="1:11">
      <c r="A45" s="196" t="s">
        <v>202</v>
      </c>
      <c r="B45" s="69"/>
      <c r="C45" s="69">
        <v>0</v>
      </c>
      <c r="D45" s="113">
        <v>-238</v>
      </c>
      <c r="E45" s="69">
        <v>0</v>
      </c>
      <c r="F45" s="69">
        <v>0</v>
      </c>
      <c r="G45" s="69"/>
      <c r="H45" s="69"/>
      <c r="I45" s="69"/>
      <c r="J45" s="69"/>
      <c r="K45" s="69"/>
    </row>
    <row r="46" spans="1:11">
      <c r="A46" s="196" t="s">
        <v>203</v>
      </c>
      <c r="B46" s="113">
        <v>-203</v>
      </c>
      <c r="C46" s="72">
        <v>3445</v>
      </c>
      <c r="D46" s="72">
        <v>3942</v>
      </c>
      <c r="E46" s="72">
        <v>1115</v>
      </c>
      <c r="F46" s="112">
        <v>-1507</v>
      </c>
      <c r="G46" s="113">
        <v>-177</v>
      </c>
      <c r="H46" s="72">
        <v>5891</v>
      </c>
      <c r="I46" s="112">
        <v>-2396</v>
      </c>
      <c r="J46" s="69">
        <v>317</v>
      </c>
      <c r="K46" s="69">
        <v>583</v>
      </c>
    </row>
    <row r="47" spans="1:11">
      <c r="A47" s="197" t="s">
        <v>204</v>
      </c>
      <c r="B47" s="69">
        <v>309</v>
      </c>
      <c r="C47" s="72">
        <v>4265</v>
      </c>
      <c r="D47" s="112">
        <v>-2464</v>
      </c>
      <c r="E47" s="69">
        <v>169</v>
      </c>
      <c r="F47" s="113">
        <v>-204</v>
      </c>
      <c r="G47" s="69">
        <v>0</v>
      </c>
      <c r="H47" s="69">
        <v>74</v>
      </c>
      <c r="I47" s="69">
        <v>4</v>
      </c>
      <c r="J47" s="113">
        <v>-786</v>
      </c>
      <c r="K47" s="113">
        <v>-672</v>
      </c>
    </row>
    <row r="48" spans="1:11">
      <c r="A48" s="197" t="s">
        <v>205</v>
      </c>
      <c r="B48" s="69"/>
      <c r="C48" s="69"/>
      <c r="D48" s="69"/>
      <c r="E48" s="81">
        <v>13701</v>
      </c>
      <c r="F48" s="81">
        <v>23891</v>
      </c>
      <c r="G48" s="81">
        <v>14199</v>
      </c>
      <c r="H48" s="81">
        <v>10474</v>
      </c>
      <c r="I48" s="72">
        <v>5194</v>
      </c>
      <c r="J48" s="72">
        <v>7661</v>
      </c>
      <c r="K48" s="81">
        <v>12991</v>
      </c>
    </row>
    <row r="49" spans="1:11">
      <c r="A49" s="197" t="s">
        <v>206</v>
      </c>
      <c r="B49" s="69"/>
      <c r="C49" s="69"/>
      <c r="D49" s="69"/>
      <c r="E49" s="81">
        <v>13532</v>
      </c>
      <c r="F49" s="81">
        <v>24095</v>
      </c>
      <c r="G49" s="81">
        <v>14199</v>
      </c>
      <c r="H49" s="81">
        <v>10400</v>
      </c>
      <c r="I49" s="72">
        <v>5190</v>
      </c>
      <c r="J49" s="72">
        <v>8447</v>
      </c>
      <c r="K49" s="81">
        <v>13663</v>
      </c>
    </row>
    <row r="50" spans="1:11">
      <c r="A50" s="197" t="s">
        <v>207</v>
      </c>
      <c r="B50" s="113">
        <v>-512</v>
      </c>
      <c r="C50" s="113">
        <v>-820</v>
      </c>
      <c r="D50" s="72">
        <v>6406</v>
      </c>
      <c r="E50" s="69">
        <v>946</v>
      </c>
      <c r="F50" s="112">
        <v>-1303</v>
      </c>
      <c r="G50" s="113">
        <v>-177</v>
      </c>
      <c r="H50" s="72">
        <v>5817</v>
      </c>
      <c r="I50" s="112">
        <v>-2400</v>
      </c>
      <c r="J50" s="72">
        <v>1103</v>
      </c>
      <c r="K50" s="72">
        <v>1255</v>
      </c>
    </row>
    <row r="51" spans="1:11">
      <c r="A51" s="197" t="s">
        <v>208</v>
      </c>
      <c r="B51" s="69">
        <v>97</v>
      </c>
      <c r="C51" s="69">
        <v>60</v>
      </c>
      <c r="D51" s="72">
        <v>9245</v>
      </c>
      <c r="E51" s="72">
        <v>1238</v>
      </c>
      <c r="F51" s="69">
        <v>27</v>
      </c>
      <c r="G51" s="72">
        <v>2726</v>
      </c>
      <c r="H51" s="81">
        <v>10125</v>
      </c>
      <c r="I51" s="72">
        <v>2517</v>
      </c>
      <c r="J51" s="72">
        <v>2953</v>
      </c>
      <c r="K51" s="72">
        <v>2986</v>
      </c>
    </row>
    <row r="52" spans="1:11">
      <c r="A52" s="197" t="s">
        <v>209</v>
      </c>
      <c r="B52" s="69">
        <v>609</v>
      </c>
      <c r="C52" s="69">
        <v>880</v>
      </c>
      <c r="D52" s="72">
        <v>2839</v>
      </c>
      <c r="E52" s="69">
        <v>292</v>
      </c>
      <c r="F52" s="72">
        <v>1330</v>
      </c>
      <c r="G52" s="72">
        <v>2903</v>
      </c>
      <c r="H52" s="72">
        <v>4308</v>
      </c>
      <c r="I52" s="72">
        <v>4917</v>
      </c>
      <c r="J52" s="72">
        <v>1850</v>
      </c>
      <c r="K52" s="72">
        <v>1731</v>
      </c>
    </row>
    <row r="53" spans="1:11">
      <c r="A53" s="196" t="s">
        <v>210</v>
      </c>
      <c r="B53" s="69">
        <v>100</v>
      </c>
      <c r="C53" s="69">
        <v>16</v>
      </c>
      <c r="D53" s="69">
        <v>227</v>
      </c>
      <c r="E53" s="113">
        <v>-143</v>
      </c>
      <c r="F53" s="72">
        <v>2480</v>
      </c>
      <c r="G53" s="113">
        <v>-79</v>
      </c>
      <c r="H53" s="113">
        <v>-59</v>
      </c>
      <c r="I53" s="113">
        <v>-81</v>
      </c>
      <c r="J53" s="113">
        <v>-48</v>
      </c>
      <c r="K53" s="69">
        <v>28</v>
      </c>
    </row>
    <row r="54" spans="1:11">
      <c r="A54" s="197" t="s">
        <v>211</v>
      </c>
      <c r="B54" s="113">
        <v>-102</v>
      </c>
      <c r="C54" s="113">
        <v>-81</v>
      </c>
      <c r="D54" s="69">
        <v>0</v>
      </c>
      <c r="E54" s="69">
        <v>0</v>
      </c>
      <c r="F54" s="69"/>
      <c r="G54" s="69"/>
      <c r="H54" s="69"/>
      <c r="I54" s="69"/>
      <c r="J54" s="69"/>
      <c r="K54" s="69"/>
    </row>
    <row r="55" spans="1:11">
      <c r="A55" s="198" t="s">
        <v>212</v>
      </c>
      <c r="B55" s="201">
        <v>-2272</v>
      </c>
      <c r="C55" s="203">
        <v>37</v>
      </c>
      <c r="D55" s="203">
        <v>346</v>
      </c>
      <c r="E55" s="201">
        <v>-3516</v>
      </c>
      <c r="F55" s="201">
        <v>-5032</v>
      </c>
      <c r="G55" s="201">
        <v>-6600</v>
      </c>
      <c r="H55" s="202">
        <v>-81</v>
      </c>
      <c r="I55" s="201">
        <v>-8254</v>
      </c>
      <c r="J55" s="201">
        <v>-6330</v>
      </c>
      <c r="K55" s="201">
        <v>-5763</v>
      </c>
    </row>
    <row r="56" spans="1:11">
      <c r="A56" s="200" t="s">
        <v>213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</row>
    <row r="57" spans="1:11">
      <c r="A57" s="196" t="s">
        <v>214</v>
      </c>
      <c r="B57" s="113">
        <v>-339</v>
      </c>
      <c r="C57" s="113">
        <v>-546</v>
      </c>
      <c r="D57" s="113">
        <v>-114</v>
      </c>
      <c r="E57" s="69">
        <v>340</v>
      </c>
      <c r="F57" s="113">
        <v>-201</v>
      </c>
      <c r="G57" s="69">
        <v>16</v>
      </c>
      <c r="H57" s="69">
        <v>68</v>
      </c>
      <c r="I57" s="113">
        <v>-39</v>
      </c>
      <c r="J57" s="113">
        <v>-183</v>
      </c>
      <c r="K57" s="69">
        <v>14</v>
      </c>
    </row>
    <row r="58" spans="1:11">
      <c r="A58" s="200" t="s">
        <v>215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</row>
    <row r="59" spans="1:11">
      <c r="A59" s="198" t="s">
        <v>216</v>
      </c>
      <c r="B59" s="203">
        <v>537</v>
      </c>
      <c r="C59" s="201">
        <v>-1504</v>
      </c>
      <c r="D59" s="199">
        <v>2388</v>
      </c>
      <c r="E59" s="202">
        <v>-784</v>
      </c>
      <c r="F59" s="199">
        <v>2228</v>
      </c>
      <c r="G59" s="202">
        <v>-220</v>
      </c>
      <c r="H59" s="199">
        <v>5208</v>
      </c>
      <c r="I59" s="201">
        <v>-3316</v>
      </c>
      <c r="J59" s="201">
        <v>-1332</v>
      </c>
      <c r="K59" s="201">
        <v>-1702</v>
      </c>
    </row>
    <row r="60" spans="1:11">
      <c r="A60" s="197" t="s">
        <v>217</v>
      </c>
      <c r="B60" s="69">
        <v>537</v>
      </c>
      <c r="C60" s="112">
        <v>-1504</v>
      </c>
      <c r="D60" s="72">
        <v>2388</v>
      </c>
      <c r="E60" s="113">
        <v>-784</v>
      </c>
      <c r="F60" s="72">
        <v>2228</v>
      </c>
      <c r="G60" s="113">
        <v>-220</v>
      </c>
      <c r="H60" s="72">
        <v>5208</v>
      </c>
      <c r="I60" s="112">
        <v>-3316</v>
      </c>
      <c r="J60" s="112">
        <v>-1332</v>
      </c>
      <c r="K60" s="112">
        <v>-1702</v>
      </c>
    </row>
    <row r="61" spans="1:11">
      <c r="A61" s="196" t="s">
        <v>218</v>
      </c>
      <c r="B61" s="72">
        <v>6422</v>
      </c>
      <c r="C61" s="72">
        <v>6959</v>
      </c>
      <c r="D61" s="72">
        <v>5455</v>
      </c>
      <c r="E61" s="72">
        <v>7843</v>
      </c>
      <c r="F61" s="72">
        <v>7059</v>
      </c>
      <c r="G61" s="72">
        <v>9287</v>
      </c>
      <c r="H61" s="72">
        <v>9067</v>
      </c>
      <c r="I61" s="81">
        <v>14275</v>
      </c>
      <c r="J61" s="81">
        <v>10959</v>
      </c>
      <c r="K61" s="72">
        <v>9627</v>
      </c>
    </row>
    <row r="62" spans="1:11">
      <c r="A62" s="196" t="s">
        <v>219</v>
      </c>
      <c r="B62" s="72">
        <v>6959</v>
      </c>
      <c r="C62" s="72">
        <v>5455</v>
      </c>
      <c r="D62" s="72">
        <v>7843</v>
      </c>
      <c r="E62" s="72">
        <v>7059</v>
      </c>
      <c r="F62" s="72">
        <v>9287</v>
      </c>
      <c r="G62" s="72">
        <v>9067</v>
      </c>
      <c r="H62" s="81">
        <v>14275</v>
      </c>
      <c r="I62" s="81">
        <v>10959</v>
      </c>
      <c r="J62" s="72">
        <v>9627</v>
      </c>
      <c r="K62" s="72">
        <v>7925</v>
      </c>
    </row>
    <row r="64" spans="1:11">
      <c r="A64" s="42" t="s">
        <v>220</v>
      </c>
    </row>
    <row r="65" spans="1:11">
      <c r="B65" s="193" t="s">
        <v>150</v>
      </c>
      <c r="C65" s="193" t="s">
        <v>151</v>
      </c>
      <c r="D65" s="193" t="s">
        <v>152</v>
      </c>
      <c r="E65" s="193" t="s">
        <v>153</v>
      </c>
      <c r="F65" s="193" t="s">
        <v>154</v>
      </c>
      <c r="G65" s="193" t="s">
        <v>155</v>
      </c>
      <c r="H65" s="193" t="s">
        <v>156</v>
      </c>
      <c r="I65" s="193" t="s">
        <v>157</v>
      </c>
      <c r="J65" s="193" t="s">
        <v>158</v>
      </c>
      <c r="K65" s="193" t="s">
        <v>159</v>
      </c>
    </row>
    <row r="66" spans="1:11">
      <c r="A66" s="194" t="s">
        <v>160</v>
      </c>
      <c r="B66" s="195"/>
      <c r="C66" s="195"/>
      <c r="D66" s="195"/>
      <c r="E66" s="195"/>
      <c r="F66" s="195"/>
      <c r="G66" s="195"/>
      <c r="H66" s="195"/>
      <c r="I66" s="195"/>
      <c r="J66" s="195"/>
      <c r="K66" s="195"/>
    </row>
    <row r="67" spans="1:11">
      <c r="A67" s="196" t="s">
        <v>161</v>
      </c>
      <c r="B67" s="16">
        <f>B4/'Income Statement'!B7</f>
        <v>0.10740336426338511</v>
      </c>
      <c r="C67" s="16">
        <f>C4/'Income Statement'!$C$7</f>
        <v>0.12563178766750474</v>
      </c>
      <c r="D67" s="16">
        <f>D4/'Income Statement'!$D$7</f>
        <v>0.12330161314945805</v>
      </c>
      <c r="E67" s="16">
        <f>E4/'Income Statement'!$E$7</f>
        <v>4.1890758375684609E-2</v>
      </c>
      <c r="F67" s="16">
        <f>F4/'Income Statement'!$F$7</f>
        <v>0.16334146691545859</v>
      </c>
      <c r="G67" s="16">
        <f>G4/'Income Statement'!$G$7</f>
        <v>0.16971314936391621</v>
      </c>
      <c r="H67" s="16">
        <f>H4/'Income Statement'!$H$7</f>
        <v>0.14906394582835433</v>
      </c>
      <c r="I67" s="16">
        <f>I4/'Income Statement'!$I$7</f>
        <v>0.16311933007676205</v>
      </c>
      <c r="J67" s="16">
        <f>J4/'Income Statement'!$J$7</f>
        <v>0.14004962499295098</v>
      </c>
      <c r="K67" s="16">
        <f>K4/'Income Statement'!$K$7</f>
        <v>0.15471059953084937</v>
      </c>
    </row>
    <row r="68" spans="1:11">
      <c r="A68" s="196" t="s">
        <v>162</v>
      </c>
      <c r="B68" s="16">
        <f>B5/'Income Statement'!$B$7</f>
        <v>1.1387882697365157E-2</v>
      </c>
      <c r="C68" s="16">
        <f>C5/'Income Statement'!$C$7</f>
        <v>2.1642777532982556E-2</v>
      </c>
      <c r="D68" s="16">
        <f>D5/'Income Statement'!$D$7</f>
        <v>2.1271182128135974E-2</v>
      </c>
      <c r="E68" s="16">
        <f>E5/'Income Statement'!$E$7</f>
        <v>0.11918389500172695</v>
      </c>
      <c r="F68" s="16">
        <f>F5/'Income Statement'!$F$7</f>
        <v>-1.6267164250514329E-2</v>
      </c>
      <c r="G68" s="16">
        <f>G5/'Income Statement'!$G$7</f>
        <v>1.6971314936391622E-2</v>
      </c>
      <c r="H68" s="16">
        <f>H5/'Income Statement'!$H$7</f>
        <v>-6.1280142169929837E-4</v>
      </c>
      <c r="I68" s="16">
        <f>I5/'Income Statement'!$I$7</f>
        <v>4.0707141195626892E-3</v>
      </c>
      <c r="J68" s="16">
        <f>J5/'Income Statement'!$J$7</f>
        <v>2.9662211695708565E-2</v>
      </c>
      <c r="K68" s="16">
        <f>K5/'Income Statement'!$K$7</f>
        <v>-1.8902405760733185E-2</v>
      </c>
    </row>
    <row r="69" spans="1:11">
      <c r="A69" s="197" t="s">
        <v>163</v>
      </c>
      <c r="B69" s="16">
        <f>B6/'Income Statement'!$B$7</f>
        <v>-2.2329181759539523E-3</v>
      </c>
      <c r="C69" s="16">
        <f>C6/'Income Statement'!$C$7</f>
        <v>-2.0476400300666131E-3</v>
      </c>
      <c r="D69" s="16">
        <f>D6/'Income Statement'!$D$7</f>
        <v>-9.4142791715434325E-4</v>
      </c>
      <c r="E69" s="16">
        <f>E6/'Income Statement'!$E$7</f>
        <v>-1.0608378151675136E-3</v>
      </c>
      <c r="F69" s="16">
        <f>F6/'Income Statement'!$F$7</f>
        <v>-1.5071049232094158E-3</v>
      </c>
      <c r="G69" s="16">
        <f>G6/'Income Statement'!$G$7</f>
        <v>-2.3699910103789261E-3</v>
      </c>
      <c r="H69" s="16">
        <f>H6/'Income Statement'!$H$7</f>
        <v>-2.635046113306983E-3</v>
      </c>
      <c r="I69" s="16">
        <f>I6/'Income Statement'!$I$7</f>
        <v>-1.9772040009304491E-3</v>
      </c>
      <c r="J69" s="16">
        <f>J6/'Income Statement'!$J$7</f>
        <v>-2.819601872215643E-5</v>
      </c>
      <c r="K69" s="16">
        <f>K6/'Income Statement'!$K$7</f>
        <v>-3.8186678304511483E-4</v>
      </c>
    </row>
    <row r="70" spans="1:11">
      <c r="A70" s="197" t="s">
        <v>164</v>
      </c>
      <c r="B70" s="16">
        <f>B7/'Income Statement'!$B$7</f>
        <v>-1.2008137746241255E-2</v>
      </c>
      <c r="C70" s="16">
        <f>C7/'Income Statement'!$C$7</f>
        <v>-1.1922967263679012E-2</v>
      </c>
      <c r="D70" s="16">
        <f>D7/'Income Statement'!$D$7</f>
        <v>-6.0811154648618389E-3</v>
      </c>
      <c r="E70" s="16">
        <f>E7/'Income Statement'!$E$7</f>
        <v>3.1627769280110525E-2</v>
      </c>
      <c r="F70" s="16">
        <f>F7/'Income Statement'!$F$7</f>
        <v>-3.1625281087029326E-2</v>
      </c>
      <c r="G70" s="16">
        <f>G7/'Income Statement'!$G$7</f>
        <v>-1.9368547222751914E-2</v>
      </c>
      <c r="H70" s="16">
        <f>H7/'Income Statement'!$H$7</f>
        <v>-2.8464626037932407E-2</v>
      </c>
      <c r="I70" s="16">
        <f>I7/'Income Statement'!$I$7</f>
        <v>-3.8032100488485696E-2</v>
      </c>
      <c r="J70" s="16">
        <f>J7/'Income Statement'!$J$7</f>
        <v>-3.8628545649354311E-3</v>
      </c>
      <c r="K70" s="16">
        <f>K7/'Income Statement'!$K$7</f>
        <v>-6.0144018329605586E-2</v>
      </c>
    </row>
    <row r="71" spans="1:11">
      <c r="A71" s="197" t="s">
        <v>165</v>
      </c>
      <c r="B71" s="16">
        <f>B8/'Income Statement'!$B$7</f>
        <v>2.2924626606460576E-2</v>
      </c>
      <c r="C71" s="16">
        <f>C8/'Income Statement'!$C$7</f>
        <v>2.288691324745341E-2</v>
      </c>
      <c r="D71" s="16">
        <f>D8/'Income Statement'!$D$7</f>
        <v>2.6207317693756043E-2</v>
      </c>
      <c r="E71" s="16">
        <f>E8/'Income Statement'!$E$7</f>
        <v>2.7507771253762272E-2</v>
      </c>
      <c r="F71" s="16">
        <f>F8/'Income Statement'!$F$7</f>
        <v>2.6697287211138222E-2</v>
      </c>
      <c r="G71" s="16">
        <f>G8/'Income Statement'!$G$7</f>
        <v>2.9638508267727261E-2</v>
      </c>
      <c r="H71" s="16">
        <f>H8/'Income Statement'!$H$7</f>
        <v>3.0701351227134847E-2</v>
      </c>
      <c r="I71" s="16">
        <f>I8/'Income Statement'!$I$7</f>
        <v>3.5560595487322634E-2</v>
      </c>
      <c r="J71" s="16">
        <f>J8/'Income Statement'!$J$7</f>
        <v>3.3948006541476346E-2</v>
      </c>
      <c r="K71" s="16">
        <f>K8/'Income Statement'!$K$7</f>
        <v>3.2076809775789646E-2</v>
      </c>
    </row>
    <row r="72" spans="1:11">
      <c r="A72" s="197" t="s">
        <v>166</v>
      </c>
      <c r="B72" s="16">
        <f>B9/'Income Statement'!$B$7</f>
        <v>1.6548404704014291E-2</v>
      </c>
      <c r="C72" s="16">
        <f>C9/'Income Statement'!$C$7</f>
        <v>1.7417900002591951E-2</v>
      </c>
      <c r="D72" s="16">
        <f>D9/'Income Statement'!$D$7</f>
        <v>1.8472342374433872E-2</v>
      </c>
      <c r="E72" s="16">
        <f>E9/'Income Statement'!$E$7</f>
        <v>1.768885380174668E-2</v>
      </c>
      <c r="F72" s="16">
        <f>F9/'Income Statement'!$F$7</f>
        <v>1.7247978565618868E-2</v>
      </c>
      <c r="G72" s="16">
        <f>G9/'Income Statement'!$G$7</f>
        <v>1.8333378735459968E-2</v>
      </c>
      <c r="H72" s="16">
        <f>H9/'Income Statement'!$H$7</f>
        <v>1.9732205778717406E-2</v>
      </c>
      <c r="I72" s="16">
        <f>I9/'Income Statement'!$I$7</f>
        <v>1.9597580832751801E-2</v>
      </c>
      <c r="J72" s="16">
        <f>J9/'Income Statement'!$J$7</f>
        <v>1.8524784300456777E-2</v>
      </c>
      <c r="K72" s="16">
        <f>K9/'Income Statement'!$K$7</f>
        <v>1.7975015001909334E-2</v>
      </c>
    </row>
    <row r="73" spans="1:11">
      <c r="A73" s="197" t="s">
        <v>167</v>
      </c>
      <c r="B73" s="16">
        <f>B10/'Income Statement'!$B$7</f>
        <v>6.3762219024462857E-3</v>
      </c>
      <c r="C73" s="16">
        <f>C10/'Income Statement'!$C$7</f>
        <v>5.4690132448614601E-3</v>
      </c>
      <c r="D73" s="16">
        <f>D10/'Income Statement'!$D$7</f>
        <v>7.7349753193221718E-3</v>
      </c>
      <c r="E73" s="16">
        <f>E10/'Income Statement'!$E$7</f>
        <v>9.8189174520155915E-3</v>
      </c>
      <c r="F73" s="16">
        <f>F10/'Income Statement'!$F$7</f>
        <v>9.4493086455193533E-3</v>
      </c>
      <c r="G73" s="16">
        <f>G10/'Income Statement'!$G$7</f>
        <v>1.1305129532267292E-2</v>
      </c>
      <c r="H73" s="16">
        <f>H10/'Income Statement'!$H$7</f>
        <v>1.096914544841744E-2</v>
      </c>
      <c r="I73" s="16">
        <f>I10/'Income Statement'!$I$7</f>
        <v>1.5963014654570829E-2</v>
      </c>
      <c r="J73" s="16">
        <f>J10/'Income Statement'!$J$7</f>
        <v>1.5423222241019567E-2</v>
      </c>
      <c r="K73" s="16">
        <f>K10/'Income Statement'!$K$7</f>
        <v>1.4101794773880311E-2</v>
      </c>
    </row>
    <row r="74" spans="1:11">
      <c r="A74" s="197" t="s">
        <v>168</v>
      </c>
      <c r="B74" s="16">
        <f>B11/'Income Statement'!$B$7</f>
        <v>3.2749466580657967E-3</v>
      </c>
      <c r="C74" s="16">
        <f>C11/'Income Statement'!$C$7</f>
        <v>8.1646406262149765E-3</v>
      </c>
      <c r="D74" s="16">
        <f>D11/'Income Statement'!$D$7</f>
        <v>1.933743829830543E-3</v>
      </c>
      <c r="E74" s="16">
        <f>E11/'Income Statement'!$E$7</f>
        <v>5.6594463906843639E-2</v>
      </c>
      <c r="F74" s="16">
        <f>F11/'Income Statement'!$F$7</f>
        <v>-1.4018468015884408E-2</v>
      </c>
      <c r="G74" s="16">
        <f>G11/'Income Statement'!$G$7</f>
        <v>4.8761884006646872E-3</v>
      </c>
      <c r="H74" s="16">
        <f>H11/'Income Statement'!$H$7</f>
        <v>-5.3620124398688603E-3</v>
      </c>
      <c r="I74" s="16">
        <f>I11/'Income Statement'!$I$7</f>
        <v>5.1756222377297044E-3</v>
      </c>
      <c r="J74" s="16">
        <f>J11/'Income Statement'!$J$7</f>
        <v>-5.075283369988158E-3</v>
      </c>
      <c r="K74" s="16">
        <f>K11/'Income Statement'!$K$7</f>
        <v>4.1732584147073266E-3</v>
      </c>
    </row>
    <row r="75" spans="1:11">
      <c r="A75" s="197" t="s">
        <v>169</v>
      </c>
      <c r="B75" s="16">
        <f>B12/'Income Statement'!$B$7</f>
        <v>-5.2101424105592221E-3</v>
      </c>
      <c r="C75" s="16">
        <f>C12/'Income Statement'!$C$7</f>
        <v>2.5919494051476115E-5</v>
      </c>
      <c r="D75" s="16">
        <f>D12/'Income Statement'!$D$7</f>
        <v>-4.5290316014452194E-3</v>
      </c>
      <c r="E75" s="16">
        <f>E12/'Income Statement'!$E$7</f>
        <v>1.7269452805052549E-4</v>
      </c>
      <c r="F75" s="16">
        <f>F12/'Income Statement'!$F$7</f>
        <v>0</v>
      </c>
      <c r="G75" s="16">
        <f>G12/'Income Statement'!$G$7</f>
        <v>2.7241275981366966E-5</v>
      </c>
      <c r="H75" s="16">
        <f>H12/'Income Statement'!$H$7</f>
        <v>0</v>
      </c>
      <c r="I75" s="16">
        <f>I12/'Income Statement'!$I$7</f>
        <v>-2.9658060013956736E-3</v>
      </c>
      <c r="J75" s="16">
        <f>J12/'Income Statement'!$J$7</f>
        <v>-6.2031241188744151E-4</v>
      </c>
      <c r="K75" s="16">
        <f>K12/'Income Statement'!$K$7</f>
        <v>-1.3638099394468387E-4</v>
      </c>
    </row>
    <row r="76" spans="1:11">
      <c r="A76" s="197" t="s">
        <v>170</v>
      </c>
      <c r="B76" s="16">
        <f>B13/'Income Statement'!$B$7</f>
        <v>4.6395077655932123E-3</v>
      </c>
      <c r="C76" s="16">
        <f>C13/'Income Statement'!$C$7</f>
        <v>4.5359114590083202E-3</v>
      </c>
      <c r="D76" s="16">
        <f>D13/'Income Statement'!$D$7</f>
        <v>4.6816955880107881E-3</v>
      </c>
      <c r="E76" s="16">
        <f>E13/'Income Statement'!$E$7</f>
        <v>4.3420338481274983E-3</v>
      </c>
      <c r="F76" s="16">
        <f>F13/'Income Statement'!$F$7</f>
        <v>4.1864025644705993E-3</v>
      </c>
      <c r="G76" s="16">
        <f>G13/'Income Statement'!$G$7</f>
        <v>4.1679152251491462E-3</v>
      </c>
      <c r="H76" s="16">
        <f>H13/'Income Statement'!$H$7</f>
        <v>5.1475319422741063E-3</v>
      </c>
      <c r="I76" s="16">
        <f>I13/'Income Statement'!$I$7</f>
        <v>6.3096068853221677E-3</v>
      </c>
      <c r="J76" s="16">
        <f>J13/'Income Statement'!$J$7</f>
        <v>5.3008515197654092E-3</v>
      </c>
      <c r="K76" s="16">
        <f>K13/'Income Statement'!$K$7</f>
        <v>5.509792155365228E-3</v>
      </c>
    </row>
    <row r="77" spans="1:11">
      <c r="A77" s="196" t="s">
        <v>171</v>
      </c>
      <c r="B77" s="16">
        <f>B14/'Income Statement'!$B$7</f>
        <v>0.11879124696075026</v>
      </c>
      <c r="C77" s="16">
        <f>C14/'Income Statement'!$C$7</f>
        <v>0.14727456520048729</v>
      </c>
      <c r="D77" s="16">
        <f>D14/'Income Statement'!$D$7</f>
        <v>0.14457279527759401</v>
      </c>
      <c r="E77" s="16">
        <f>E14/'Income Statement'!$E$7</f>
        <v>0.16107465337741156</v>
      </c>
      <c r="F77" s="16">
        <f>F14/'Income Statement'!$F$7</f>
        <v>0.14707430266494426</v>
      </c>
      <c r="G77" s="16">
        <f>G14/'Income Statement'!$G$7</f>
        <v>0.18668446430030783</v>
      </c>
      <c r="H77" s="16">
        <f>H14/'Income Statement'!$H$7</f>
        <v>0.14845114440665502</v>
      </c>
      <c r="I77" s="16">
        <f>I14/'Income Statement'!$I$7</f>
        <v>0.16719004419632472</v>
      </c>
      <c r="J77" s="16">
        <f>J14/'Income Statement'!$J$7</f>
        <v>0.16971183668865955</v>
      </c>
      <c r="K77" s="16">
        <f>K14/'Income Statement'!$K$7</f>
        <v>0.13580819377011619</v>
      </c>
    </row>
    <row r="78" spans="1:11">
      <c r="A78" s="196" t="s">
        <v>172</v>
      </c>
      <c r="B78" s="16">
        <f>B15/'Income Statement'!$B$7</f>
        <v>5.8552076613903638E-3</v>
      </c>
      <c r="C78" s="16">
        <f>C15/'Income Statement'!$C$7</f>
        <v>-4.2248775303906066E-3</v>
      </c>
      <c r="D78" s="16">
        <f>D15/'Income Statement'!$D$7</f>
        <v>-4.6816955880107881E-3</v>
      </c>
      <c r="E78" s="16">
        <f>E15/'Income Statement'!$E$7</f>
        <v>-1.3889574184635121E-2</v>
      </c>
      <c r="F78" s="16">
        <f>F15/'Income Statement'!$F$7</f>
        <v>6.84177790536338E-3</v>
      </c>
      <c r="G78" s="16">
        <f>G15/'Income Statement'!$G$7</f>
        <v>1.1986161431801466E-3</v>
      </c>
      <c r="H78" s="16">
        <f>H15/'Income Statement'!$H$7</f>
        <v>4.1762416888807184E-2</v>
      </c>
      <c r="I78" s="16">
        <f>I15/'Income Statement'!$I$7</f>
        <v>8.3740404745289605E-3</v>
      </c>
      <c r="J78" s="16">
        <f>J15/'Income Statement'!$J$7</f>
        <v>-2.1006033948006542E-2</v>
      </c>
      <c r="K78" s="16">
        <f>K15/'Income Statement'!$K$7</f>
        <v>9.8467077628061755E-3</v>
      </c>
    </row>
    <row r="79" spans="1:11">
      <c r="A79" s="197" t="s">
        <v>173</v>
      </c>
      <c r="B79" s="16">
        <f>B16/'Income Statement'!$B$7</f>
        <v>-4.2673547362675531E-3</v>
      </c>
      <c r="C79" s="16">
        <f>C16/'Income Statement'!$C$7</f>
        <v>5.4690132448614601E-3</v>
      </c>
      <c r="D79" s="16">
        <f>D16/'Income Statement'!$D$7</f>
        <v>-1.9591878275914711E-2</v>
      </c>
      <c r="E79" s="16">
        <f>E16/'Income Statement'!$E$7</f>
        <v>-1.6825381161494055E-2</v>
      </c>
      <c r="F79" s="16">
        <f>F16/'Income Statement'!$F$7</f>
        <v>-5.6456628869432082E-3</v>
      </c>
      <c r="G79" s="16">
        <f>G16/'Income Statement'!$G$7</f>
        <v>2.9965403579503664E-4</v>
      </c>
      <c r="H79" s="16">
        <f>H16/'Income Statement'!$H$7</f>
        <v>2.049820755584153E-2</v>
      </c>
      <c r="I79" s="16">
        <f>I16/'Income Statement'!$I$7</f>
        <v>-2.3261223540358222E-4</v>
      </c>
      <c r="J79" s="16">
        <f>J16/'Income Statement'!$J$7</f>
        <v>-2.0836857835673604E-2</v>
      </c>
      <c r="K79" s="16">
        <f>K16/'Income Statement'!$K$7</f>
        <v>-1.1456003491353444E-3</v>
      </c>
    </row>
    <row r="80" spans="1:11">
      <c r="A80" s="197" t="s">
        <v>174</v>
      </c>
      <c r="B80" s="16">
        <f>B17/'Income Statement'!$B$7</f>
        <v>-4.9620403910087827E-3</v>
      </c>
      <c r="C80" s="16">
        <f>C17/'Income Statement'!$C$7</f>
        <v>5.9614836318395061E-3</v>
      </c>
      <c r="D80" s="16">
        <f>D17/'Income Statement'!$D$7</f>
        <v>-4.5799195969670756E-4</v>
      </c>
      <c r="E80" s="16">
        <f>E17/'Income Statement'!$E$7</f>
        <v>-6.3896975378694432E-3</v>
      </c>
      <c r="F80" s="16">
        <f>F17/'Income Statement'!$F$7</f>
        <v>-1.2032917085306924E-2</v>
      </c>
      <c r="G80" s="16">
        <f>G17/'Income Statement'!$G$7</f>
        <v>-2.7241275981366967E-3</v>
      </c>
      <c r="H80" s="16">
        <f>H17/'Income Statement'!$H$7</f>
        <v>-2.0528847626926495E-3</v>
      </c>
      <c r="I80" s="16">
        <f>I17/'Income Statement'!$I$7</f>
        <v>-1.9917422656431729E-2</v>
      </c>
      <c r="J80" s="16">
        <f>J17/'Income Statement'!$J$7</f>
        <v>-1.2406248237748829E-2</v>
      </c>
      <c r="K80" s="16">
        <f>K17/'Income Statement'!$K$7</f>
        <v>-1.7074900441874419E-2</v>
      </c>
    </row>
    <row r="81" spans="1:11">
      <c r="A81" s="197" t="s">
        <v>175</v>
      </c>
      <c r="B81" s="16">
        <f>B18/'Income Statement'!$B$7</f>
        <v>2.9772242346052698E-3</v>
      </c>
      <c r="C81" s="16">
        <f>C18/'Income Statement'!$C$7</f>
        <v>2.0735595241180892E-3</v>
      </c>
      <c r="D81" s="16">
        <f>D18/'Income Statement'!$D$7</f>
        <v>2.9769477380285989E-3</v>
      </c>
      <c r="E81" s="16">
        <f>E18/'Income Statement'!$E$7</f>
        <v>-1.4012927418956924E-2</v>
      </c>
      <c r="F81" s="16">
        <f>F18/'Income Statement'!$F$7</f>
        <v>5.2150614803119465E-3</v>
      </c>
      <c r="G81" s="16">
        <f>G18/'Income Statement'!$G$7</f>
        <v>-1.1713748671987797E-2</v>
      </c>
      <c r="H81" s="16">
        <f>H18/'Income Statement'!$H$7</f>
        <v>5.852253577228299E-3</v>
      </c>
      <c r="I81" s="16">
        <f>I18/'Income Statement'!$I$7</f>
        <v>-8.0251221214235873E-3</v>
      </c>
      <c r="J81" s="16">
        <f>J18/'Income Statement'!$J$7</f>
        <v>6.5414763435402918E-3</v>
      </c>
      <c r="K81" s="16">
        <f>K18/'Income Statement'!$K$7</f>
        <v>4.6369537941192513E-4</v>
      </c>
    </row>
    <row r="82" spans="1:11">
      <c r="A82" s="197" t="s">
        <v>176</v>
      </c>
      <c r="B82" s="16">
        <f>B19/'Income Statement'!$B$7</f>
        <v>7.616732000198482E-3</v>
      </c>
      <c r="C82" s="16">
        <f>C19/'Income Statement'!$C$7</f>
        <v>-4.4063139887509395E-4</v>
      </c>
      <c r="D82" s="16">
        <f>D19/'Income Statement'!$D$7</f>
        <v>6.4627754312757621E-3</v>
      </c>
      <c r="E82" s="16">
        <f>E19/'Income Statement'!$E$7</f>
        <v>2.2795677702669364E-2</v>
      </c>
      <c r="F82" s="16">
        <f>F19/'Income Statement'!$F$7</f>
        <v>1.753504617003971E-2</v>
      </c>
      <c r="G82" s="16">
        <f>G19/'Income Statement'!$G$7</f>
        <v>3.2144705658013022E-3</v>
      </c>
      <c r="H82" s="16">
        <f>H19/'Income Statement'!$H$7</f>
        <v>4.5960106627447378E-4</v>
      </c>
      <c r="I82" s="16">
        <f>I19/'Income Statement'!$I$7</f>
        <v>2.1632937892533146E-2</v>
      </c>
      <c r="J82" s="16">
        <f>J19/'Income Statement'!$J$7</f>
        <v>-4.3703829019342468E-3</v>
      </c>
      <c r="K82" s="16">
        <f>K19/'Income Statement'!$K$7</f>
        <v>1.4129070972669249E-2</v>
      </c>
    </row>
    <row r="83" spans="1:11">
      <c r="A83" s="197" t="s">
        <v>177</v>
      </c>
      <c r="B83" s="16">
        <f>B20/'Income Statement'!$B$7</f>
        <v>4.4906465538629486E-3</v>
      </c>
      <c r="C83" s="16">
        <f>C20/'Income Statement'!$C$7</f>
        <v>-1.7288302532334567E-2</v>
      </c>
      <c r="D83" s="16">
        <f>D20/'Income Statement'!$D$7</f>
        <v>5.9284514782962702E-3</v>
      </c>
      <c r="E83" s="16">
        <f>E20/'Income Statement'!$E$7</f>
        <v>5.4275423101593728E-4</v>
      </c>
      <c r="F83" s="16">
        <f>F20/'Income Statement'!$F$7</f>
        <v>1.7702502272618536E-3</v>
      </c>
      <c r="G83" s="16">
        <f>G20/'Income Statement'!$G$7</f>
        <v>1.21223678117083E-2</v>
      </c>
      <c r="H83" s="16">
        <f>H20/'Income Statement'!$H$7</f>
        <v>1.700523945215553E-2</v>
      </c>
      <c r="I83" s="16">
        <f>I20/'Income Statement'!$I$7</f>
        <v>1.4916259595254711E-2</v>
      </c>
      <c r="J83" s="16">
        <f>J20/'Income Statement'!$J$7</f>
        <v>1.0065978683809845E-2</v>
      </c>
      <c r="K83" s="16">
        <f>K20/'Income Statement'!$K$7</f>
        <v>1.3474442201734766E-2</v>
      </c>
    </row>
    <row r="84" spans="1:11">
      <c r="A84" s="198" t="s">
        <v>178</v>
      </c>
      <c r="B84" s="16">
        <f>B21/'Income Statement'!$B$7</f>
        <v>0.12464645462214062</v>
      </c>
      <c r="C84" s="16">
        <f>C21/'Income Statement'!$C$7</f>
        <v>0.14304968767009668</v>
      </c>
      <c r="D84" s="16">
        <f>D21/'Income Statement'!$D$7</f>
        <v>0.13989109968958321</v>
      </c>
      <c r="E84" s="16">
        <f>E21/'Income Statement'!$E$7</f>
        <v>0.14718507919277643</v>
      </c>
      <c r="F84" s="16">
        <f>F21/'Income Statement'!$F$7</f>
        <v>0.15391608057030765</v>
      </c>
      <c r="G84" s="16">
        <f>G21/'Income Statement'!$G$7</f>
        <v>0.18788308044348798</v>
      </c>
      <c r="H84" s="16">
        <f>H21/'Income Statement'!$H$7</f>
        <v>0.19021356129546221</v>
      </c>
      <c r="I84" s="16">
        <f>I21/'Income Statement'!$I$7</f>
        <v>0.17556408467085369</v>
      </c>
      <c r="J84" s="16">
        <f>J21/'Income Statement'!$J$7</f>
        <v>0.14870580274065301</v>
      </c>
      <c r="K84" s="16">
        <f>K21/'Income Statement'!$K$7</f>
        <v>0.14565490153292238</v>
      </c>
    </row>
    <row r="85" spans="1:11">
      <c r="A85" s="200" t="s">
        <v>179</v>
      </c>
      <c r="B85" s="16">
        <f>B22/'Income Statement'!$B$7</f>
        <v>0</v>
      </c>
      <c r="C85" s="16">
        <f>C22/'Income Statement'!$C$7</f>
        <v>0</v>
      </c>
      <c r="D85" s="16">
        <f>D22/'Income Statement'!$D$7</f>
        <v>0</v>
      </c>
      <c r="E85" s="16">
        <f>E22/'Income Statement'!$E$7</f>
        <v>0</v>
      </c>
      <c r="F85" s="16">
        <f>F22/'Income Statement'!$F$7</f>
        <v>0</v>
      </c>
      <c r="G85" s="16">
        <f>G22/'Income Statement'!$G$7</f>
        <v>0</v>
      </c>
      <c r="H85" s="16">
        <f>H22/'Income Statement'!$H$7</f>
        <v>0</v>
      </c>
      <c r="I85" s="16">
        <f>I22/'Income Statement'!$I$7</f>
        <v>0</v>
      </c>
      <c r="J85" s="16">
        <f>J22/'Income Statement'!$J$7</f>
        <v>0</v>
      </c>
      <c r="K85" s="16">
        <f>K22/'Income Statement'!$K$7</f>
        <v>0</v>
      </c>
    </row>
    <row r="86" spans="1:11">
      <c r="A86" s="196" t="s">
        <v>180</v>
      </c>
      <c r="B86" s="16">
        <f>B23/'Income Statement'!$B$7</f>
        <v>2.6695777303627252E-2</v>
      </c>
      <c r="C86" s="16">
        <f>C23/'Income Statement'!$C$7</f>
        <v>2.7422824706461731E-2</v>
      </c>
      <c r="D86" s="16">
        <f>D23/'Income Statement'!$D$7</f>
        <v>2.7326853595236882E-2</v>
      </c>
      <c r="E86" s="16">
        <f>E23/'Income Statement'!$E$7</f>
        <v>2.3313761286820941E-2</v>
      </c>
      <c r="F86" s="16">
        <f>F23/'Income Statement'!$F$7</f>
        <v>1.9448830199511984E-2</v>
      </c>
      <c r="G86" s="16">
        <f>G23/'Income Statement'!$G$7</f>
        <v>2.1684055681168105E-2</v>
      </c>
      <c r="H86" s="16">
        <f>H23/'Income Statement'!$H$7</f>
        <v>2.6013420351135214E-2</v>
      </c>
      <c r="I86" s="16">
        <f>I23/'Income Statement'!$I$7</f>
        <v>2.5238427541288671E-2</v>
      </c>
      <c r="J86" s="16">
        <f>J23/'Income Statement'!$J$7</f>
        <v>2.078046579822929E-2</v>
      </c>
      <c r="K86" s="16">
        <f>K23/'Income Statement'!$K$7</f>
        <v>2.7167093993781026E-2</v>
      </c>
    </row>
    <row r="87" spans="1:11">
      <c r="A87" s="197" t="s">
        <v>181</v>
      </c>
      <c r="B87" s="16">
        <f>B24/'Income Statement'!$B$7</f>
        <v>2.6695777303627252E-2</v>
      </c>
      <c r="C87" s="16">
        <f>C24/'Income Statement'!$C$7</f>
        <v>2.7422824706461731E-2</v>
      </c>
      <c r="D87" s="16">
        <f>D24/'Income Statement'!$D$7</f>
        <v>2.7326853595236882E-2</v>
      </c>
      <c r="E87" s="16">
        <f>E24/'Income Statement'!$E$7</f>
        <v>2.3313761286820941E-2</v>
      </c>
      <c r="F87" s="16">
        <f>F24/'Income Statement'!$F$7</f>
        <v>1.9448830199511984E-2</v>
      </c>
      <c r="G87" s="16">
        <f>G24/'Income Statement'!$G$7</f>
        <v>2.1684055681168105E-2</v>
      </c>
      <c r="H87" s="16">
        <f>H24/'Income Statement'!$H$7</f>
        <v>2.6013420351135214E-2</v>
      </c>
      <c r="I87" s="16">
        <f>I24/'Income Statement'!$I$7</f>
        <v>2.5238427541288671E-2</v>
      </c>
      <c r="J87" s="16">
        <f>J24/'Income Statement'!$J$7</f>
        <v>2.078046579822929E-2</v>
      </c>
      <c r="K87" s="16">
        <f>K24/'Income Statement'!$K$7</f>
        <v>2.7167093993781026E-2</v>
      </c>
    </row>
    <row r="88" spans="1:11">
      <c r="A88" s="197" t="s">
        <v>182</v>
      </c>
      <c r="B88" s="16">
        <f>B25/'Income Statement'!$B$7</f>
        <v>2.7142360938818041E-2</v>
      </c>
      <c r="C88" s="16">
        <f>C25/'Income Statement'!$C$7</f>
        <v>2.7811617117233872E-2</v>
      </c>
      <c r="D88" s="16">
        <f>D25/'Income Statement'!$D$7</f>
        <v>2.7861177548216376E-2</v>
      </c>
      <c r="E88" s="16">
        <f>E25/'Income Statement'!$E$7</f>
        <v>2.5435436917155968E-2</v>
      </c>
      <c r="F88" s="16">
        <f>F25/'Income Statement'!$F$7</f>
        <v>1.9807664705038038E-2</v>
      </c>
      <c r="G88" s="16">
        <f>G25/'Income Statement'!$G$7</f>
        <v>2.2855430548366886E-2</v>
      </c>
      <c r="H88" s="16">
        <f>H25/'Income Statement'!$H$7</f>
        <v>2.7759904402978215E-2</v>
      </c>
      <c r="I88" s="16">
        <f>I25/'Income Statement'!$I$7</f>
        <v>2.6023493835775763E-2</v>
      </c>
      <c r="J88" s="16">
        <f>J25/'Income Statement'!$J$7</f>
        <v>2.1598150341171827E-2</v>
      </c>
      <c r="K88" s="16">
        <f>K25/'Income Statement'!$K$7</f>
        <v>2.8339970541705308E-2</v>
      </c>
    </row>
    <row r="89" spans="1:11">
      <c r="A89" s="197" t="s">
        <v>183</v>
      </c>
      <c r="B89" s="16">
        <f>B26/'Income Statement'!$B$7</f>
        <v>4.4658363519079044E-4</v>
      </c>
      <c r="C89" s="16">
        <f>C26/'Income Statement'!$C$7</f>
        <v>3.8879241077214172E-4</v>
      </c>
      <c r="D89" s="16">
        <f>D26/'Income Statement'!$D$7</f>
        <v>5.3432395297949215E-4</v>
      </c>
      <c r="E89" s="16">
        <f>E26/'Income Statement'!$E$7</f>
        <v>2.1216756303350272E-3</v>
      </c>
      <c r="F89" s="16">
        <f>F26/'Income Statement'!$F$7</f>
        <v>3.588345055260514E-4</v>
      </c>
      <c r="G89" s="16">
        <f>G26/'Income Statement'!$G$7</f>
        <v>1.1713748671987796E-3</v>
      </c>
      <c r="H89" s="16">
        <f>H26/'Income Statement'!$H$7</f>
        <v>1.7464840518430003E-3</v>
      </c>
      <c r="I89" s="16">
        <f>I26/'Income Statement'!$I$7</f>
        <v>7.8506629448709005E-4</v>
      </c>
      <c r="J89" s="16">
        <f>J26/'Income Statement'!$J$7</f>
        <v>8.1768454294253647E-4</v>
      </c>
      <c r="K89" s="16">
        <f>K26/'Income Statement'!$K$7</f>
        <v>1.1728765479242812E-3</v>
      </c>
    </row>
    <row r="90" spans="1:11">
      <c r="A90" s="197" t="s">
        <v>184</v>
      </c>
      <c r="B90" s="16">
        <f>B27/'Income Statement'!$B$7</f>
        <v>2.7142360938818041E-2</v>
      </c>
      <c r="C90" s="16">
        <f>C27/'Income Statement'!$C$7</f>
        <v>2.7811617117233872E-2</v>
      </c>
      <c r="D90" s="16">
        <f>D27/'Income Statement'!$D$7</f>
        <v>2.7861177548216376E-2</v>
      </c>
      <c r="E90" s="16">
        <f>E27/'Income Statement'!$E$7</f>
        <v>2.5435436917155968E-2</v>
      </c>
      <c r="F90" s="16">
        <f>F27/'Income Statement'!$F$7</f>
        <v>1.9807664705038038E-2</v>
      </c>
      <c r="G90" s="16">
        <f>G27/'Income Statement'!$G$7</f>
        <v>2.2855430548366886E-2</v>
      </c>
      <c r="H90" s="16">
        <f>H27/'Income Statement'!$H$7</f>
        <v>2.7759904402978215E-2</v>
      </c>
      <c r="I90" s="16">
        <f>I27/'Income Statement'!$I$7</f>
        <v>2.6023493835775763E-2</v>
      </c>
      <c r="J90" s="16">
        <f>J27/'Income Statement'!$J$7</f>
        <v>2.1598150341171827E-2</v>
      </c>
      <c r="K90" s="16">
        <f>K27/'Income Statement'!$K$7</f>
        <v>2.8339970541705308E-2</v>
      </c>
    </row>
    <row r="91" spans="1:11">
      <c r="A91" s="196" t="s">
        <v>185</v>
      </c>
      <c r="B91" s="16">
        <f>B28/'Income Statement'!$B$7</f>
        <v>3.8703915049868504E-3</v>
      </c>
      <c r="C91" s="16">
        <f>C28/'Income Statement'!$C$7</f>
        <v>-0.13548119540706566</v>
      </c>
      <c r="D91" s="16">
        <f>D28/'Income Statement'!$D$7</f>
        <v>-5.7935982901633508E-2</v>
      </c>
      <c r="E91" s="16">
        <f>E28/'Income Statement'!$E$7</f>
        <v>-2.0229930428775841E-3</v>
      </c>
      <c r="F91" s="16">
        <f>F28/'Income Statement'!$F$7</f>
        <v>-1.2798430697095832E-2</v>
      </c>
      <c r="G91" s="16">
        <f>G28/'Income Statement'!$G$7</f>
        <v>-1.3620637990683483E-3</v>
      </c>
      <c r="H91" s="16">
        <f>H28/'Income Statement'!$H$7</f>
        <v>-7.9970585531758433E-3</v>
      </c>
      <c r="I91" s="16">
        <f>I28/'Income Statement'!$I$7</f>
        <v>-3.2652942544777852E-2</v>
      </c>
      <c r="J91" s="16">
        <f>J28/'Income Statement'!$J$7</f>
        <v>-5.018891332543845E-3</v>
      </c>
      <c r="K91" s="16">
        <f>K28/'Income Statement'!$K$7</f>
        <v>-1.9475205935300857E-2</v>
      </c>
    </row>
    <row r="92" spans="1:11">
      <c r="A92" s="197" t="s">
        <v>186</v>
      </c>
      <c r="B92" s="16">
        <f>B29/'Income Statement'!$B$7</f>
        <v>9.9240807820175653E-5</v>
      </c>
      <c r="C92" s="16">
        <f>C29/'Income Statement'!$C$7</f>
        <v>0.13550711490111714</v>
      </c>
      <c r="D92" s="16">
        <f>D29/'Income Statement'!$D$7</f>
        <v>6.546740623886825E-2</v>
      </c>
      <c r="E92" s="16">
        <f>E29/'Income Statement'!$E$7</f>
        <v>2.0229930428775841E-3</v>
      </c>
      <c r="F92" s="16">
        <f>F29/'Income Statement'!$F$7</f>
        <v>1.2798430697095832E-2</v>
      </c>
      <c r="G92" s="16">
        <f>G29/'Income Statement'!$G$7</f>
        <v>1.3620637990683483E-3</v>
      </c>
      <c r="H92" s="16">
        <f>H29/'Income Statement'!$H$7</f>
        <v>7.9970585531758433E-3</v>
      </c>
      <c r="I92" s="16">
        <f>I29/'Income Statement'!$I$7</f>
        <v>3.8555478018143755E-2</v>
      </c>
      <c r="J92" s="16">
        <f>J29/'Income Statement'!$J$7</f>
        <v>5.018891332543845E-3</v>
      </c>
      <c r="K92" s="16">
        <f>K29/'Income Statement'!$K$7</f>
        <v>1.9584310730456602E-2</v>
      </c>
    </row>
    <row r="93" spans="1:11">
      <c r="A93" s="197" t="s">
        <v>187</v>
      </c>
      <c r="B93" s="16">
        <f>B30/'Income Statement'!$B$7</f>
        <v>3.9696323128070267E-3</v>
      </c>
      <c r="C93" s="16">
        <f>C30/'Income Statement'!$C$7</f>
        <v>2.5919494051476115E-5</v>
      </c>
      <c r="D93" s="16">
        <f>D30/'Income Statement'!$D$7</f>
        <v>7.531423337234746E-3</v>
      </c>
      <c r="E93" s="16">
        <f>E30/'Income Statement'!$E$7</f>
        <v>0</v>
      </c>
      <c r="F93" s="16">
        <f>F30/'Income Statement'!$F$7</f>
        <v>0</v>
      </c>
      <c r="G93" s="16">
        <f>G30/'Income Statement'!$G$7</f>
        <v>0</v>
      </c>
      <c r="H93" s="16">
        <f>H30/'Income Statement'!$H$7</f>
        <v>0</v>
      </c>
      <c r="I93" s="16">
        <f>I30/'Income Statement'!$I$7</f>
        <v>5.902535473365899E-3</v>
      </c>
      <c r="J93" s="16">
        <f>J30/'Income Statement'!$J$7</f>
        <v>0</v>
      </c>
      <c r="K93" s="16">
        <f>K30/'Income Statement'!$K$7</f>
        <v>1.0910479515574709E-4</v>
      </c>
    </row>
    <row r="94" spans="1:11">
      <c r="A94" s="196" t="s">
        <v>188</v>
      </c>
      <c r="B94" s="16">
        <f>B31/'Income Statement'!$B$7</f>
        <v>-1.9500818736664517E-2</v>
      </c>
      <c r="C94" s="16">
        <f>C31/'Income Statement'!$C$7</f>
        <v>-3.2917757445374667E-3</v>
      </c>
      <c r="D94" s="16">
        <f>D31/'Income Statement'!$D$7</f>
        <v>-6.9462113887333978E-3</v>
      </c>
      <c r="E94" s="16">
        <f>E31/'Income Statement'!$E$7</f>
        <v>-5.7457936547096265E-2</v>
      </c>
      <c r="F94" s="16">
        <f>F31/'Income Statement'!$F$7</f>
        <v>4.7198698626859957E-2</v>
      </c>
      <c r="G94" s="16">
        <f>G31/'Income Statement'!$G$7</f>
        <v>5.7479092320684303E-3</v>
      </c>
      <c r="H94" s="16">
        <f>H31/'Income Statement'!$H$7</f>
        <v>8.3340993351104578E-3</v>
      </c>
      <c r="I94" s="16">
        <f>I31/'Income Statement'!$I$7</f>
        <v>2.1458478715980462E-2</v>
      </c>
      <c r="J94" s="16">
        <f>J31/'Income Statement'!$J$7</f>
        <v>1.2772796481136864E-2</v>
      </c>
      <c r="K94" s="16">
        <f>K31/'Income Statement'!$K$7</f>
        <v>1.1210517702253014E-2</v>
      </c>
    </row>
    <row r="95" spans="1:11">
      <c r="A95" s="197" t="s">
        <v>189</v>
      </c>
      <c r="B95" s="16">
        <f>B32/'Income Statement'!$B$7</f>
        <v>-1.9500818736664517E-2</v>
      </c>
      <c r="C95" s="16">
        <f>C32/'Income Statement'!$C$7</f>
        <v>-3.2917757445374667E-3</v>
      </c>
      <c r="D95" s="16">
        <f>D32/'Income Statement'!$D$7</f>
        <v>-6.9462113887333978E-3</v>
      </c>
      <c r="E95" s="16">
        <f>E32/'Income Statement'!$E$7</f>
        <v>-5.7457936547096265E-2</v>
      </c>
      <c r="F95" s="16">
        <f>F32/'Income Statement'!$F$7</f>
        <v>4.7198698626859957E-2</v>
      </c>
      <c r="G95" s="16">
        <f>G32/'Income Statement'!$G$7</f>
        <v>5.7479092320684303E-3</v>
      </c>
      <c r="H95" s="16">
        <f>H32/'Income Statement'!$H$7</f>
        <v>8.3340993351104578E-3</v>
      </c>
      <c r="I95" s="16">
        <f>I32/'Income Statement'!$I$7</f>
        <v>2.1458478715980462E-2</v>
      </c>
      <c r="J95" s="16">
        <f>J32/'Income Statement'!$J$7</f>
        <v>1.2772796481136864E-2</v>
      </c>
      <c r="K95" s="16">
        <f>K32/'Income Statement'!$K$7</f>
        <v>1.1210517702253014E-2</v>
      </c>
    </row>
    <row r="96" spans="1:11">
      <c r="A96" s="197" t="s">
        <v>190</v>
      </c>
      <c r="B96" s="16">
        <f>B33/'Income Statement'!$B$7</f>
        <v>8.1575944028184383E-2</v>
      </c>
      <c r="C96" s="16">
        <f>C33/'Income Statement'!$C$7</f>
        <v>0.17073170731707318</v>
      </c>
      <c r="D96" s="16">
        <f>D33/'Income Statement'!$D$7</f>
        <v>9.3659355757976695E-2</v>
      </c>
      <c r="E96" s="16">
        <f>E33/'Income Statement'!$E$7</f>
        <v>0.1088962352592885</v>
      </c>
      <c r="F96" s="16">
        <f>F33/'Income Statement'!$F$7</f>
        <v>0.14429931582220945</v>
      </c>
      <c r="G96" s="16">
        <f>G33/'Income Statement'!$G$7</f>
        <v>0.12160505598082214</v>
      </c>
      <c r="H96" s="16">
        <f>H33/'Income Statement'!$H$7</f>
        <v>0.10748536936605693</v>
      </c>
      <c r="I96" s="16">
        <f>I33/'Income Statement'!$I$7</f>
        <v>9.045708304256804E-2</v>
      </c>
      <c r="J96" s="16">
        <f>J33/'Income Statement'!$J$7</f>
        <v>4.69181751536683E-2</v>
      </c>
      <c r="K96" s="16">
        <f>K33/'Income Statement'!$K$7</f>
        <v>2.6485189024057606E-2</v>
      </c>
    </row>
    <row r="97" spans="1:11">
      <c r="A97" s="197" t="s">
        <v>191</v>
      </c>
      <c r="B97" s="16">
        <f>B34/'Income Statement'!$B$7</f>
        <v>0.10107676276484891</v>
      </c>
      <c r="C97" s="16">
        <f>C34/'Income Statement'!$C$7</f>
        <v>0.17402348306161064</v>
      </c>
      <c r="D97" s="16">
        <f>D34/'Income Statement'!$D$7</f>
        <v>0.1006055671467101</v>
      </c>
      <c r="E97" s="16">
        <f>E34/'Income Statement'!$E$7</f>
        <v>0.16635417180638476</v>
      </c>
      <c r="F97" s="16">
        <f>F34/'Income Statement'!$F$7</f>
        <v>9.7100617195349501E-2</v>
      </c>
      <c r="G97" s="16">
        <f>G34/'Income Statement'!$G$7</f>
        <v>0.11585714674875371</v>
      </c>
      <c r="H97" s="16">
        <f>H34/'Income Statement'!$H$7</f>
        <v>9.9151270030946467E-2</v>
      </c>
      <c r="I97" s="16">
        <f>I34/'Income Statement'!$I$7</f>
        <v>6.8998604326587581E-2</v>
      </c>
      <c r="J97" s="16">
        <f>J34/'Income Statement'!$J$7</f>
        <v>3.4145378672531437E-2</v>
      </c>
      <c r="K97" s="16">
        <f>K34/'Income Statement'!$K$7</f>
        <v>1.5274671321804593E-2</v>
      </c>
    </row>
    <row r="98" spans="1:11">
      <c r="A98" s="196" t="s">
        <v>192</v>
      </c>
      <c r="B98" s="16">
        <f>B35/'Income Statement'!$B$7</f>
        <v>-4.2177343323574652E-3</v>
      </c>
      <c r="C98" s="16">
        <f>C35/'Income Statement'!$C$7</f>
        <v>-2.6437883932505638E-3</v>
      </c>
      <c r="D98" s="16">
        <f>D35/'Income Statement'!$D$7</f>
        <v>7.1752073685817513E-3</v>
      </c>
      <c r="E98" s="16">
        <f>E35/'Income Statement'!$E$7</f>
        <v>-5.3782010164306511E-3</v>
      </c>
      <c r="F98" s="16">
        <f>F35/'Income Statement'!$F$7</f>
        <v>9.616764748098177E-3</v>
      </c>
      <c r="G98" s="16">
        <f>G35/'Income Statement'!$G$7</f>
        <v>2.7786101500994306E-3</v>
      </c>
      <c r="H98" s="16">
        <f>H35/'Income Statement'!$H$7</f>
        <v>-4.5653705916597724E-3</v>
      </c>
      <c r="I98" s="16">
        <f>I35/'Income Statement'!$I$7</f>
        <v>5.5826936496859731E-3</v>
      </c>
      <c r="J98" s="16">
        <f>J35/'Income Statement'!$J$7</f>
        <v>1.0404330908475723E-2</v>
      </c>
      <c r="K98" s="16">
        <f>K35/'Income Statement'!$K$7</f>
        <v>1.6365719273362064E-4</v>
      </c>
    </row>
    <row r="99" spans="1:11">
      <c r="A99" s="198" t="s">
        <v>193</v>
      </c>
      <c r="B99" s="16">
        <f>B36/'Income Statement'!$B$7</f>
        <v>-4.6543938867662379E-2</v>
      </c>
      <c r="C99" s="16">
        <f>C36/'Income Statement'!$C$7</f>
        <v>-0.16883958425131543</v>
      </c>
      <c r="D99" s="16">
        <f>D36/'Income Statement'!$D$7</f>
        <v>-8.5033840517022036E-2</v>
      </c>
      <c r="E99" s="16">
        <f>E36/'Income Statement'!$E$7</f>
        <v>-8.8172891893225441E-2</v>
      </c>
      <c r="F99" s="16">
        <f>F36/'Income Statement'!$F$7</f>
        <v>2.4568202478350318E-2</v>
      </c>
      <c r="G99" s="16">
        <f>G36/'Income Statement'!$G$7</f>
        <v>-1.4519600098068594E-2</v>
      </c>
      <c r="H99" s="16">
        <f>H36/'Income Statement'!$H$7</f>
        <v>-3.0241750160860375E-2</v>
      </c>
      <c r="I99" s="16">
        <f>I36/'Income Statement'!$I$7</f>
        <v>-3.0850197720400093E-2</v>
      </c>
      <c r="J99" s="16">
        <f>J36/'Income Statement'!$J$7</f>
        <v>-2.6222297411605481E-3</v>
      </c>
      <c r="K99" s="16">
        <f>K36/'Income Statement'!$K$7</f>
        <v>-3.5268125034095252E-2</v>
      </c>
    </row>
    <row r="100" spans="1:11">
      <c r="A100" s="200" t="s">
        <v>194</v>
      </c>
      <c r="B100" s="16">
        <f>B37/'Income Statement'!$B$7</f>
        <v>0</v>
      </c>
      <c r="C100" s="16">
        <f>C37/'Income Statement'!$C$7</f>
        <v>0</v>
      </c>
      <c r="D100" s="16">
        <f>D37/'Income Statement'!$D$7</f>
        <v>0</v>
      </c>
      <c r="E100" s="16">
        <f>E37/'Income Statement'!$E$7</f>
        <v>0</v>
      </c>
      <c r="F100" s="16">
        <f>F37/'Income Statement'!$F$7</f>
        <v>0</v>
      </c>
      <c r="G100" s="16">
        <f>G37/'Income Statement'!$G$7</f>
        <v>0</v>
      </c>
      <c r="H100" s="16">
        <f>H37/'Income Statement'!$H$7</f>
        <v>0</v>
      </c>
      <c r="I100" s="16">
        <f>I37/'Income Statement'!$I$7</f>
        <v>0</v>
      </c>
      <c r="J100" s="16">
        <f>J37/'Income Statement'!$J$7</f>
        <v>0</v>
      </c>
      <c r="K100" s="16">
        <f>K37/'Income Statement'!$K$7</f>
        <v>0</v>
      </c>
    </row>
    <row r="101" spans="1:11">
      <c r="A101" s="196" t="s">
        <v>195</v>
      </c>
      <c r="B101" s="16">
        <f>B38/'Income Statement'!$B$7</f>
        <v>3.7463404952116308E-2</v>
      </c>
      <c r="C101" s="16">
        <f>C38/'Income Statement'!$C$7</f>
        <v>4.4737046732847778E-2</v>
      </c>
      <c r="D101" s="16">
        <f>D38/'Income Statement'!$D$7</f>
        <v>4.87252557121775E-2</v>
      </c>
      <c r="E101" s="16">
        <f>E38/'Income Statement'!$E$7</f>
        <v>5.2277100705580504E-2</v>
      </c>
      <c r="F101" s="16">
        <f>F38/'Income Statement'!$F$7</f>
        <v>5.435146643701258E-2</v>
      </c>
      <c r="G101" s="16">
        <f>G38/'Income Statement'!$G$7</f>
        <v>6.6523195946498137E-2</v>
      </c>
      <c r="H101" s="16">
        <f>H38/'Income Statement'!$H$7</f>
        <v>7.9419064252229069E-2</v>
      </c>
      <c r="I101" s="16">
        <f>I38/'Income Statement'!$I$7</f>
        <v>7.6354966271225871E-2</v>
      </c>
      <c r="J101" s="16">
        <f>J38/'Income Statement'!$J$7</f>
        <v>7.6664974905543332E-2</v>
      </c>
      <c r="K101" s="16">
        <f>K38/'Income Statement'!$K$7</f>
        <v>7.787354754241449E-2</v>
      </c>
    </row>
    <row r="102" spans="1:11">
      <c r="A102" s="197" t="s">
        <v>196</v>
      </c>
      <c r="B102" s="16">
        <f>B39/'Income Statement'!$B$7</f>
        <v>3.7463404952116308E-2</v>
      </c>
      <c r="C102" s="16">
        <f>C39/'Income Statement'!$C$7</f>
        <v>4.4737046732847778E-2</v>
      </c>
      <c r="D102" s="16">
        <f>D39/'Income Statement'!$D$7</f>
        <v>4.87252557121775E-2</v>
      </c>
      <c r="E102" s="16">
        <f>E39/'Income Statement'!$E$7</f>
        <v>5.2277100705580504E-2</v>
      </c>
      <c r="F102" s="16">
        <f>F39/'Income Statement'!$F$7</f>
        <v>5.435146643701258E-2</v>
      </c>
      <c r="G102" s="16">
        <f>G39/'Income Statement'!$G$7</f>
        <v>6.6523195946498137E-2</v>
      </c>
      <c r="H102" s="16">
        <f>H39/'Income Statement'!$H$7</f>
        <v>7.9419064252229069E-2</v>
      </c>
      <c r="I102" s="16">
        <f>I39/'Income Statement'!$I$7</f>
        <v>7.6354966271225871E-2</v>
      </c>
      <c r="J102" s="16">
        <f>J39/'Income Statement'!$J$7</f>
        <v>7.6664974905543332E-2</v>
      </c>
      <c r="K102" s="16">
        <f>K39/'Income Statement'!$K$7</f>
        <v>7.787354754241449E-2</v>
      </c>
    </row>
    <row r="103" spans="1:11">
      <c r="A103" s="196" t="s">
        <v>197</v>
      </c>
      <c r="B103" s="16">
        <f>B40/'Income Statement'!$B$7</f>
        <v>-1.6349923088373939E-2</v>
      </c>
      <c r="C103" s="16">
        <f>C40/'Income Statement'!$C$7</f>
        <v>-4.4011300899406441E-2</v>
      </c>
      <c r="D103" s="16">
        <f>D40/'Income Statement'!$D$7</f>
        <v>-4.2491476260750088E-2</v>
      </c>
      <c r="E103" s="16">
        <f>E40/'Income Statement'!$E$7</f>
        <v>-5.8444762421670696E-2</v>
      </c>
      <c r="F103" s="16">
        <f>F40/'Income Statement'!$F$7</f>
        <v>-8.9301947275249982E-2</v>
      </c>
      <c r="G103" s="16">
        <f>G40/'Income Statement'!$G$7</f>
        <v>-0.10629545887929391</v>
      </c>
      <c r="H103" s="16">
        <f>H40/'Income Statement'!$H$7</f>
        <v>-0.10175567607316849</v>
      </c>
      <c r="I103" s="16">
        <f>I40/'Income Statement'!$I$7</f>
        <v>-9.1620144219585947E-2</v>
      </c>
      <c r="J103" s="16">
        <f>J40/'Income Statement'!$J$7</f>
        <v>-0.10940055264196695</v>
      </c>
      <c r="K103" s="16">
        <f>K40/'Income Statement'!$K$7</f>
        <v>-9.5984943538268502E-2</v>
      </c>
    </row>
    <row r="104" spans="1:11">
      <c r="A104" s="197" t="s">
        <v>198</v>
      </c>
      <c r="B104" s="16">
        <f>B41/'Income Statement'!$B$7</f>
        <v>-1.6349923088373939E-2</v>
      </c>
      <c r="C104" s="16">
        <f>C41/'Income Statement'!$C$7</f>
        <v>-4.4011300899406441E-2</v>
      </c>
      <c r="D104" s="16">
        <f>D41/'Income Statement'!$D$7</f>
        <v>-4.2491476260750088E-2</v>
      </c>
      <c r="E104" s="16">
        <f>E41/'Income Statement'!$E$7</f>
        <v>-5.8444762421670696E-2</v>
      </c>
      <c r="F104" s="16">
        <f>F41/'Income Statement'!$F$7</f>
        <v>-8.9301947275249982E-2</v>
      </c>
      <c r="G104" s="16">
        <f>G41/'Income Statement'!$G$7</f>
        <v>-0.10629545887929391</v>
      </c>
      <c r="H104" s="16">
        <f>H41/'Income Statement'!$H$7</f>
        <v>-0.10175567607316849</v>
      </c>
      <c r="I104" s="16">
        <f>I41/'Income Statement'!$I$7</f>
        <v>-9.1620144219585947E-2</v>
      </c>
      <c r="J104" s="16">
        <f>J41/'Income Statement'!$J$7</f>
        <v>-0.10940055264196695</v>
      </c>
      <c r="K104" s="16">
        <f>K41/'Income Statement'!$K$7</f>
        <v>-9.5984943538268502E-2</v>
      </c>
    </row>
    <row r="105" spans="1:11">
      <c r="A105" s="197" t="s">
        <v>199</v>
      </c>
      <c r="B105" s="16">
        <f>B42/'Income Statement'!$B$7</f>
        <v>-1.6349923088373939E-2</v>
      </c>
      <c r="C105" s="16">
        <f>C42/'Income Statement'!$C$7</f>
        <v>-4.4011300899406441E-2</v>
      </c>
      <c r="D105" s="16">
        <f>D42/'Income Statement'!$D$7</f>
        <v>-4.2491476260750088E-2</v>
      </c>
      <c r="E105" s="16">
        <f>E42/'Income Statement'!$E$7</f>
        <v>-5.8444762421670696E-2</v>
      </c>
      <c r="F105" s="16">
        <f>F42/'Income Statement'!$F$7</f>
        <v>-8.9301947275249982E-2</v>
      </c>
      <c r="G105" s="16">
        <f>G42/'Income Statement'!$G$7</f>
        <v>-0.10629545887929391</v>
      </c>
      <c r="H105" s="16">
        <f>H42/'Income Statement'!$H$7</f>
        <v>-0.10175567607316849</v>
      </c>
      <c r="I105" s="16">
        <f>I42/'Income Statement'!$I$7</f>
        <v>-9.1620144219585947E-2</v>
      </c>
      <c r="J105" s="16">
        <f>J42/'Income Statement'!$J$7</f>
        <v>-0.10940055264196695</v>
      </c>
      <c r="K105" s="16">
        <f>K42/'Income Statement'!$K$7</f>
        <v>-9.5984943538268502E-2</v>
      </c>
    </row>
    <row r="106" spans="1:11">
      <c r="A106" s="197" t="s">
        <v>200</v>
      </c>
      <c r="B106" s="16">
        <f>B43/'Income Statement'!$B$7</f>
        <v>6.5747035180866373E-3</v>
      </c>
      <c r="C106" s="16">
        <f>C43/'Income Statement'!$C$7</f>
        <v>4.8210258935745577E-3</v>
      </c>
      <c r="D106" s="16">
        <f>D43/'Income Statement'!$D$7</f>
        <v>1.0406595084219632E-2</v>
      </c>
      <c r="E106" s="16">
        <f>E43/'Income Statement'!$E$7</f>
        <v>1.2828736369467608E-2</v>
      </c>
      <c r="F106" s="16">
        <f>F43/'Income Statement'!$F$7</f>
        <v>6.3872541983637145E-3</v>
      </c>
      <c r="G106" s="16">
        <f>G43/'Income Statement'!$G$7</f>
        <v>1.3566155438720749E-2</v>
      </c>
      <c r="H106" s="16">
        <f>H43/'Income Statement'!$H$7</f>
        <v>1.2041547936391213E-2</v>
      </c>
      <c r="I106" s="16">
        <f>I43/'Income Statement'!$I$7</f>
        <v>6.6585252384275409E-3</v>
      </c>
      <c r="J106" s="16">
        <f>J43/'Income Statement'!$J$7</f>
        <v>9.0227259910900578E-3</v>
      </c>
      <c r="K106" s="16">
        <f>K43/'Income Statement'!$K$7</f>
        <v>5.3461349626316079E-3</v>
      </c>
    </row>
    <row r="107" spans="1:11">
      <c r="A107" s="197" t="s">
        <v>201</v>
      </c>
      <c r="B107" s="16">
        <f>B44/'Income Statement'!$B$7</f>
        <v>2.2924626606460576E-2</v>
      </c>
      <c r="C107" s="16">
        <f>C44/'Income Statement'!$C$7</f>
        <v>4.8832326792981003E-2</v>
      </c>
      <c r="D107" s="16">
        <f>D44/'Income Statement'!$D$7</f>
        <v>5.2898071344969724E-2</v>
      </c>
      <c r="E107" s="16">
        <f>E44/'Income Statement'!$E$7</f>
        <v>7.1273498791138298E-2</v>
      </c>
      <c r="F107" s="16">
        <f>F44/'Income Statement'!$F$7</f>
        <v>9.5689201473613705E-2</v>
      </c>
      <c r="G107" s="16">
        <f>G44/'Income Statement'!$G$7</f>
        <v>0.11986161431801466</v>
      </c>
      <c r="H107" s="16">
        <f>H44/'Income Statement'!$H$7</f>
        <v>0.1137972240095597</v>
      </c>
      <c r="I107" s="16">
        <f>I44/'Income Statement'!$I$7</f>
        <v>9.8278669458013487E-2</v>
      </c>
      <c r="J107" s="16">
        <f>J44/'Income Statement'!$J$7</f>
        <v>0.11842327863305702</v>
      </c>
      <c r="K107" s="16">
        <f>K44/'Income Statement'!$K$7</f>
        <v>0.10133107850090012</v>
      </c>
    </row>
    <row r="108" spans="1:11">
      <c r="A108" s="196" t="s">
        <v>202</v>
      </c>
      <c r="B108" s="16">
        <f>B45/'Income Statement'!$B$7</f>
        <v>0</v>
      </c>
      <c r="C108" s="16">
        <f>C45/'Income Statement'!$C$7</f>
        <v>0</v>
      </c>
      <c r="D108" s="16">
        <f>D45/'Income Statement'!$D$7</f>
        <v>-6.0556714671009112E-3</v>
      </c>
      <c r="E108" s="16">
        <f>E45/'Income Statement'!$E$7</f>
        <v>0</v>
      </c>
      <c r="F108" s="16">
        <f>F45/'Income Statement'!$F$7</f>
        <v>0</v>
      </c>
      <c r="G108" s="16">
        <f>G45/'Income Statement'!$G$7</f>
        <v>0</v>
      </c>
      <c r="H108" s="16">
        <f>H45/'Income Statement'!$H$7</f>
        <v>0</v>
      </c>
      <c r="I108" s="16">
        <f>I45/'Income Statement'!$I$7</f>
        <v>0</v>
      </c>
      <c r="J108" s="16">
        <f>J45/'Income Statement'!$J$7</f>
        <v>0</v>
      </c>
      <c r="K108" s="16">
        <f>K45/'Income Statement'!$K$7</f>
        <v>0</v>
      </c>
    </row>
    <row r="109" spans="1:11">
      <c r="A109" s="196" t="s">
        <v>203</v>
      </c>
      <c r="B109" s="16">
        <f>B46/'Income Statement'!$B$7</f>
        <v>-5.0364709968739145E-3</v>
      </c>
      <c r="C109" s="16">
        <f>C46/'Income Statement'!$C$7</f>
        <v>8.9292657007335213E-2</v>
      </c>
      <c r="D109" s="16">
        <f>D46/'Income Statement'!$D$7</f>
        <v>0.10030023917357896</v>
      </c>
      <c r="E109" s="16">
        <f>E46/'Income Statement'!$E$7</f>
        <v>2.7507771253762272E-2</v>
      </c>
      <c r="F109" s="16">
        <f>F46/'Income Statement'!$F$7</f>
        <v>-3.6050906655183963E-2</v>
      </c>
      <c r="G109" s="16">
        <f>G46/'Income Statement'!$G$7</f>
        <v>-4.8217058487019532E-3</v>
      </c>
      <c r="H109" s="16">
        <f>H46/'Income Statement'!$H$7</f>
        <v>0.18050065876152832</v>
      </c>
      <c r="I109" s="16">
        <f>I46/'Income Statement'!$I$7</f>
        <v>-6.9667364503372881E-2</v>
      </c>
      <c r="J109" s="16">
        <f>J46/'Income Statement'!$J$7</f>
        <v>8.9381379349235887E-3</v>
      </c>
      <c r="K109" s="16">
        <f>K46/'Income Statement'!$K$7</f>
        <v>1.5902023893950137E-2</v>
      </c>
    </row>
    <row r="110" spans="1:11">
      <c r="A110" s="197" t="s">
        <v>204</v>
      </c>
      <c r="B110" s="16">
        <f>B47/'Income Statement'!$B$7</f>
        <v>7.6663524041085691E-3</v>
      </c>
      <c r="C110" s="16">
        <f>C47/'Income Statement'!$C$7</f>
        <v>0.11054664212954562</v>
      </c>
      <c r="D110" s="16">
        <f>D47/'Income Statement'!$D$7</f>
        <v>-6.2694010482927082E-2</v>
      </c>
      <c r="E110" s="16">
        <f>E47/'Income Statement'!$E$7</f>
        <v>4.1693393200769721E-3</v>
      </c>
      <c r="F110" s="16">
        <f>F47/'Income Statement'!$F$7</f>
        <v>-4.8801492751542989E-3</v>
      </c>
      <c r="G110" s="16">
        <f>G47/'Income Statement'!$G$7</f>
        <v>0</v>
      </c>
      <c r="H110" s="16">
        <f>H47/'Income Statement'!$H$7</f>
        <v>2.267365260287404E-3</v>
      </c>
      <c r="I110" s="16">
        <f>I47/'Income Statement'!$I$7</f>
        <v>1.1630611770179111E-4</v>
      </c>
      <c r="J110" s="16">
        <f>J47/'Income Statement'!$J$7</f>
        <v>-2.2162070715614955E-2</v>
      </c>
      <c r="K110" s="16">
        <f>K47/'Income Statement'!$K$7</f>
        <v>-1.8329605586165511E-2</v>
      </c>
    </row>
    <row r="111" spans="1:11">
      <c r="A111" s="197" t="s">
        <v>205</v>
      </c>
      <c r="B111" s="16">
        <f>B48/'Income Statement'!$B$7</f>
        <v>0</v>
      </c>
      <c r="C111" s="16">
        <f>C48/'Income Statement'!$C$7</f>
        <v>0</v>
      </c>
      <c r="D111" s="16">
        <f>D48/'Income Statement'!$D$7</f>
        <v>0</v>
      </c>
      <c r="E111" s="16">
        <f>E48/'Income Statement'!$E$7</f>
        <v>0.33801253268860709</v>
      </c>
      <c r="F111" s="16">
        <f>F48/'Income Statement'!$F$7</f>
        <v>0.57152767810152627</v>
      </c>
      <c r="G111" s="16">
        <f>G48/'Income Statement'!$G$7</f>
        <v>0.38679887765942955</v>
      </c>
      <c r="H111" s="16">
        <f>H48/'Income Statement'!$H$7</f>
        <v>0.32092410454392256</v>
      </c>
      <c r="I111" s="16">
        <f>I48/'Income Statement'!$I$7</f>
        <v>0.15102349383577576</v>
      </c>
      <c r="J111" s="16">
        <f>J48/'Income Statement'!$J$7</f>
        <v>0.21600969943044043</v>
      </c>
      <c r="K111" s="16">
        <f>K48/'Income Statement'!$K$7</f>
        <v>0.35434509846707762</v>
      </c>
    </row>
    <row r="112" spans="1:11">
      <c r="A112" s="197" t="s">
        <v>206</v>
      </c>
      <c r="B112" s="16">
        <f>B49/'Income Statement'!$B$7</f>
        <v>0</v>
      </c>
      <c r="C112" s="16">
        <f>C49/'Income Statement'!$C$7</f>
        <v>0</v>
      </c>
      <c r="D112" s="16">
        <f>D49/'Income Statement'!$D$7</f>
        <v>0</v>
      </c>
      <c r="E112" s="16">
        <f>E49/'Income Statement'!$E$7</f>
        <v>0.33384319336853013</v>
      </c>
      <c r="F112" s="16">
        <f>F49/'Income Statement'!$F$7</f>
        <v>0.5764078273766805</v>
      </c>
      <c r="G112" s="16">
        <f>G49/'Income Statement'!$G$7</f>
        <v>0.38679887765942955</v>
      </c>
      <c r="H112" s="16">
        <f>H49/'Income Statement'!$H$7</f>
        <v>0.31865673928363514</v>
      </c>
      <c r="I112" s="16">
        <f>I49/'Income Statement'!$I$7</f>
        <v>0.15090718771807396</v>
      </c>
      <c r="J112" s="16">
        <f>J49/'Income Statement'!$J$7</f>
        <v>0.23817177014605537</v>
      </c>
      <c r="K112" s="16">
        <f>K49/'Income Statement'!$K$7</f>
        <v>0.37267470405324316</v>
      </c>
    </row>
    <row r="113" spans="1:11">
      <c r="A113" s="197" t="s">
        <v>207</v>
      </c>
      <c r="B113" s="16">
        <f>B50/'Income Statement'!$B$7</f>
        <v>-1.2702823400982484E-2</v>
      </c>
      <c r="C113" s="16">
        <f>C50/'Income Statement'!$C$7</f>
        <v>-2.1253985122210415E-2</v>
      </c>
      <c r="D113" s="16">
        <f>D50/'Income Statement'!$D$7</f>
        <v>0.16299424965650602</v>
      </c>
      <c r="E113" s="16">
        <f>E50/'Income Statement'!$E$7</f>
        <v>2.3338431933685302E-2</v>
      </c>
      <c r="F113" s="16">
        <f>F50/'Income Statement'!$F$7</f>
        <v>-3.1170757380029664E-2</v>
      </c>
      <c r="G113" s="16">
        <f>G50/'Income Statement'!$G$7</f>
        <v>-4.8217058487019532E-3</v>
      </c>
      <c r="H113" s="16">
        <f>H50/'Income Statement'!$H$7</f>
        <v>0.17823329350124092</v>
      </c>
      <c r="I113" s="16">
        <f>I50/'Income Statement'!$I$7</f>
        <v>-6.978367062107467E-2</v>
      </c>
      <c r="J113" s="16">
        <f>J50/'Income Statement'!$J$7</f>
        <v>3.1100208650538544E-2</v>
      </c>
      <c r="K113" s="16">
        <f>K50/'Income Statement'!$K$7</f>
        <v>3.4231629480115648E-2</v>
      </c>
    </row>
    <row r="114" spans="1:11">
      <c r="A114" s="197" t="s">
        <v>208</v>
      </c>
      <c r="B114" s="16">
        <f>B51/'Income Statement'!$B$7</f>
        <v>2.4065895896392595E-3</v>
      </c>
      <c r="C114" s="16">
        <f>C51/'Income Statement'!$C$7</f>
        <v>1.5551696430885669E-3</v>
      </c>
      <c r="D114" s="16">
        <f>D51/'Income Statement'!$D$7</f>
        <v>0.23522975929978118</v>
      </c>
      <c r="E114" s="16">
        <f>E51/'Income Statement'!$E$7</f>
        <v>3.0542260818078652E-2</v>
      </c>
      <c r="F114" s="16">
        <f>F51/'Income Statement'!$F$7</f>
        <v>6.4590210994689248E-4</v>
      </c>
      <c r="G114" s="16">
        <f>G51/'Income Statement'!$G$7</f>
        <v>7.425971832520635E-2</v>
      </c>
      <c r="H114" s="16">
        <f>H51/'Income Statement'!$H$7</f>
        <v>0.31023071973526978</v>
      </c>
      <c r="I114" s="16">
        <f>I51/'Income Statement'!$I$7</f>
        <v>7.3185624563852053E-2</v>
      </c>
      <c r="J114" s="16">
        <f>J51/'Income Statement'!$J$7</f>
        <v>8.3262843286527943E-2</v>
      </c>
      <c r="K114" s="16">
        <f>K51/'Income Statement'!$K$7</f>
        <v>8.1446729583765212E-2</v>
      </c>
    </row>
    <row r="115" spans="1:11">
      <c r="A115" s="197" t="s">
        <v>209</v>
      </c>
      <c r="B115" s="16">
        <f>B52/'Income Statement'!$B$7</f>
        <v>1.5109412990621744E-2</v>
      </c>
      <c r="C115" s="16">
        <f>C52/'Income Statement'!$C$7</f>
        <v>2.2809154765298982E-2</v>
      </c>
      <c r="D115" s="16">
        <f>D52/'Income Statement'!$D$7</f>
        <v>7.2235509643275145E-2</v>
      </c>
      <c r="E115" s="16">
        <f>E52/'Income Statement'!$E$7</f>
        <v>7.2038288843933491E-3</v>
      </c>
      <c r="F115" s="16">
        <f>F52/'Income Statement'!$F$7</f>
        <v>3.1816659489976556E-2</v>
      </c>
      <c r="G115" s="16">
        <f>G52/'Income Statement'!$G$7</f>
        <v>7.9081424173908302E-2</v>
      </c>
      <c r="H115" s="16">
        <f>H52/'Income Statement'!$H$7</f>
        <v>0.13199742623402885</v>
      </c>
      <c r="I115" s="16">
        <f>I52/'Income Statement'!$I$7</f>
        <v>0.14296929518492674</v>
      </c>
      <c r="J115" s="16">
        <f>J52/'Income Statement'!$J$7</f>
        <v>5.2162634635989399E-2</v>
      </c>
      <c r="K115" s="16">
        <f>K52/'Income Statement'!$K$7</f>
        <v>4.7215100103649557E-2</v>
      </c>
    </row>
    <row r="116" spans="1:11">
      <c r="A116" s="196" t="s">
        <v>210</v>
      </c>
      <c r="B116" s="16">
        <f>B53/'Income Statement'!$B$7</f>
        <v>2.4810201955043913E-3</v>
      </c>
      <c r="C116" s="16">
        <f>C53/'Income Statement'!$C$7</f>
        <v>4.1471190482361784E-4</v>
      </c>
      <c r="D116" s="16">
        <f>D53/'Income Statement'!$D$7</f>
        <v>5.7757874917307005E-3</v>
      </c>
      <c r="E116" s="16">
        <f>E53/'Income Statement'!$E$7</f>
        <v>-3.5279025016035919E-3</v>
      </c>
      <c r="F116" s="16">
        <f>F53/'Income Statement'!$F$7</f>
        <v>5.9327304913640494E-2</v>
      </c>
      <c r="G116" s="16">
        <f>G53/'Income Statement'!$G$7</f>
        <v>-2.1520608025279906E-3</v>
      </c>
      <c r="H116" s="16">
        <f>H53/'Income Statement'!$H$7</f>
        <v>-1.8077641940129302E-3</v>
      </c>
      <c r="I116" s="16">
        <f>I53/'Income Statement'!$I$7</f>
        <v>-2.35519888346127E-3</v>
      </c>
      <c r="J116" s="16">
        <f>J53/'Income Statement'!$J$7</f>
        <v>-1.3534088986635088E-3</v>
      </c>
      <c r="K116" s="16">
        <f>K53/'Income Statement'!$K$7</f>
        <v>7.6373356609022965E-4</v>
      </c>
    </row>
    <row r="117" spans="1:11">
      <c r="A117" s="197" t="s">
        <v>211</v>
      </c>
      <c r="B117" s="16">
        <f>B54/'Income Statement'!$B$7</f>
        <v>-2.5306405994144792E-3</v>
      </c>
      <c r="C117" s="16">
        <f>C54/'Income Statement'!$C$7</f>
        <v>-2.0994790181695653E-3</v>
      </c>
      <c r="D117" s="16">
        <f>D54/'Income Statement'!$D$7</f>
        <v>0</v>
      </c>
      <c r="E117" s="16">
        <f>E54/'Income Statement'!$E$7</f>
        <v>0</v>
      </c>
      <c r="F117" s="16">
        <f>F54/'Income Statement'!$F$7</f>
        <v>0</v>
      </c>
      <c r="G117" s="16">
        <f>G54/'Income Statement'!$G$7</f>
        <v>0</v>
      </c>
      <c r="H117" s="16">
        <f>H54/'Income Statement'!$H$7</f>
        <v>0</v>
      </c>
      <c r="I117" s="16">
        <f>I54/'Income Statement'!$I$7</f>
        <v>0</v>
      </c>
      <c r="J117" s="16">
        <f>J54/'Income Statement'!$J$7</f>
        <v>0</v>
      </c>
      <c r="K117" s="16">
        <f>K54/'Income Statement'!$K$7</f>
        <v>0</v>
      </c>
    </row>
    <row r="118" spans="1:11">
      <c r="A118" s="198" t="s">
        <v>212</v>
      </c>
      <c r="B118" s="16">
        <f>B55/'Income Statement'!$B$7</f>
        <v>-5.6368778841859771E-2</v>
      </c>
      <c r="C118" s="16">
        <f>C55/'Income Statement'!$C$7</f>
        <v>9.5902127990461631E-4</v>
      </c>
      <c r="D118" s="16">
        <f>D55/'Income Statement'!$D$7</f>
        <v>8.8036232252811566E-3</v>
      </c>
      <c r="E118" s="16">
        <f>E55/'Income Statement'!$E$7</f>
        <v>-8.6741994375092515E-2</v>
      </c>
      <c r="F118" s="16">
        <f>F55/'Income Statement'!$F$7</f>
        <v>-0.12037701545380604</v>
      </c>
      <c r="G118" s="16">
        <f>G55/'Income Statement'!$G$7</f>
        <v>-0.17979242147702199</v>
      </c>
      <c r="H118" s="16">
        <f>H55/'Income Statement'!$H$7</f>
        <v>-2.4818457578821584E-3</v>
      </c>
      <c r="I118" s="16">
        <f>I55/'Income Statement'!$I$7</f>
        <v>-0.23999767387764595</v>
      </c>
      <c r="J118" s="16">
        <f>J55/'Income Statement'!$J$7</f>
        <v>-0.1784807985112502</v>
      </c>
      <c r="K118" s="16">
        <f>K55/'Income Statement'!$K$7</f>
        <v>-0.15719273362064262</v>
      </c>
    </row>
    <row r="119" spans="1:11">
      <c r="A119" s="200" t="s">
        <v>213</v>
      </c>
      <c r="B119" s="16">
        <f>B56/'Income Statement'!$B$7</f>
        <v>0</v>
      </c>
      <c r="C119" s="16">
        <f>C56/'Income Statement'!$C$7</f>
        <v>0</v>
      </c>
      <c r="D119" s="16">
        <f>D56/'Income Statement'!$D$7</f>
        <v>0</v>
      </c>
      <c r="E119" s="16">
        <f>E56/'Income Statement'!$E$7</f>
        <v>0</v>
      </c>
      <c r="F119" s="16">
        <f>F56/'Income Statement'!$F$7</f>
        <v>0</v>
      </c>
      <c r="G119" s="16">
        <f>G56/'Income Statement'!$G$7</f>
        <v>0</v>
      </c>
      <c r="H119" s="16">
        <f>H56/'Income Statement'!$H$7</f>
        <v>0</v>
      </c>
      <c r="I119" s="16">
        <f>I56/'Income Statement'!$I$7</f>
        <v>0</v>
      </c>
      <c r="J119" s="16">
        <f>J56/'Income Statement'!$J$7</f>
        <v>0</v>
      </c>
      <c r="K119" s="16">
        <f>K56/'Income Statement'!$K$7</f>
        <v>0</v>
      </c>
    </row>
    <row r="120" spans="1:11">
      <c r="A120" s="196" t="s">
        <v>214</v>
      </c>
      <c r="B120" s="16">
        <f>B57/'Income Statement'!$B$7</f>
        <v>-8.4106584627598874E-3</v>
      </c>
      <c r="C120" s="16">
        <f>C57/'Income Statement'!$C$7</f>
        <v>-1.4152043752105959E-2</v>
      </c>
      <c r="D120" s="16">
        <f>D57/'Income Statement'!$D$7</f>
        <v>-2.9006157447458145E-3</v>
      </c>
      <c r="E120" s="16">
        <f>E57/'Income Statement'!$E$7</f>
        <v>8.3880199338826657E-3</v>
      </c>
      <c r="F120" s="16">
        <f>F57/'Income Statement'!$F$7</f>
        <v>-4.8083823740490885E-3</v>
      </c>
      <c r="G120" s="16">
        <f>G57/'Income Statement'!$G$7</f>
        <v>4.3586041570187146E-4</v>
      </c>
      <c r="H120" s="16">
        <f>H57/'Income Statement'!$H$7</f>
        <v>2.0835248337776145E-3</v>
      </c>
      <c r="I120" s="16">
        <f>I57/'Income Statement'!$I$7</f>
        <v>-1.1339846475924634E-3</v>
      </c>
      <c r="J120" s="16">
        <f>J57/'Income Statement'!$J$7</f>
        <v>-5.1598714261546271E-3</v>
      </c>
      <c r="K120" s="16">
        <f>K57/'Income Statement'!$K$7</f>
        <v>3.8186678304511483E-4</v>
      </c>
    </row>
    <row r="121" spans="1:11">
      <c r="A121" s="200" t="s">
        <v>215</v>
      </c>
      <c r="B121" s="16">
        <f>B58/'Income Statement'!$B$7</f>
        <v>0</v>
      </c>
      <c r="C121" s="16">
        <f>C58/'Income Statement'!$C$7</f>
        <v>0</v>
      </c>
      <c r="D121" s="16">
        <f>D58/'Income Statement'!$D$7</f>
        <v>0</v>
      </c>
      <c r="E121" s="16">
        <f>E58/'Income Statement'!$E$7</f>
        <v>0</v>
      </c>
      <c r="F121" s="16">
        <f>F58/'Income Statement'!$F$7</f>
        <v>0</v>
      </c>
      <c r="G121" s="16">
        <f>G58/'Income Statement'!$G$7</f>
        <v>0</v>
      </c>
      <c r="H121" s="16">
        <f>H58/'Income Statement'!$H$7</f>
        <v>0</v>
      </c>
      <c r="I121" s="16">
        <f>I58/'Income Statement'!$I$7</f>
        <v>0</v>
      </c>
      <c r="J121" s="16">
        <f>J58/'Income Statement'!$J$7</f>
        <v>0</v>
      </c>
      <c r="K121" s="16">
        <f>K58/'Income Statement'!$K$7</f>
        <v>0</v>
      </c>
    </row>
    <row r="122" spans="1:11">
      <c r="A122" s="198" t="s">
        <v>216</v>
      </c>
      <c r="B122" s="16">
        <f>B59/'Income Statement'!$B$7</f>
        <v>1.3323078449858581E-2</v>
      </c>
      <c r="C122" s="16">
        <f>C59/'Income Statement'!$C$7</f>
        <v>-3.8982919053420079E-2</v>
      </c>
      <c r="D122" s="16">
        <f>D59/'Income Statement'!$D$7</f>
        <v>6.0760266653096535E-2</v>
      </c>
      <c r="E122" s="16">
        <f>E59/'Income Statement'!$E$7</f>
        <v>-1.9341787141658854E-2</v>
      </c>
      <c r="F122" s="16">
        <f>F59/'Income Statement'!$F$7</f>
        <v>5.3298885220802832E-2</v>
      </c>
      <c r="G122" s="16">
        <f>G59/'Income Statement'!$G$7</f>
        <v>-5.9930807159007324E-3</v>
      </c>
      <c r="H122" s="16">
        <f>H59/'Income Statement'!$H$7</f>
        <v>0.1595734902104973</v>
      </c>
      <c r="I122" s="16">
        <f>I59/'Income Statement'!$I$7</f>
        <v>-9.641777157478483E-2</v>
      </c>
      <c r="J122" s="16">
        <f>J59/'Income Statement'!$J$7</f>
        <v>-3.7557096937912364E-2</v>
      </c>
      <c r="K122" s="16">
        <f>K59/'Income Statement'!$K$7</f>
        <v>-4.6424090338770388E-2</v>
      </c>
    </row>
    <row r="123" spans="1:11">
      <c r="A123" s="197" t="s">
        <v>217</v>
      </c>
      <c r="B123" s="16">
        <f>B60/'Income Statement'!$B$7</f>
        <v>1.3323078449858581E-2</v>
      </c>
      <c r="C123" s="16">
        <f>C60/'Income Statement'!$C$7</f>
        <v>-3.8982919053420079E-2</v>
      </c>
      <c r="D123" s="16">
        <f>D60/'Income Statement'!$D$7</f>
        <v>6.0760266653096535E-2</v>
      </c>
      <c r="E123" s="16">
        <f>E60/'Income Statement'!$E$7</f>
        <v>-1.9341787141658854E-2</v>
      </c>
      <c r="F123" s="16">
        <f>F60/'Income Statement'!$F$7</f>
        <v>5.3298885220802832E-2</v>
      </c>
      <c r="G123" s="16">
        <f>G60/'Income Statement'!$G$7</f>
        <v>-5.9930807159007324E-3</v>
      </c>
      <c r="H123" s="16">
        <f>H60/'Income Statement'!$H$7</f>
        <v>0.1595734902104973</v>
      </c>
      <c r="I123" s="16">
        <f>I60/'Income Statement'!$I$7</f>
        <v>-9.641777157478483E-2</v>
      </c>
      <c r="J123" s="16">
        <f>J60/'Income Statement'!$J$7</f>
        <v>-3.7557096937912364E-2</v>
      </c>
      <c r="K123" s="16">
        <f>K60/'Income Statement'!$K$7</f>
        <v>-4.6424090338770388E-2</v>
      </c>
    </row>
    <row r="124" spans="1:11">
      <c r="A124" s="196" t="s">
        <v>218</v>
      </c>
      <c r="B124" s="16">
        <f>B61/'Income Statement'!$B$7</f>
        <v>0.15933111695529201</v>
      </c>
      <c r="C124" s="16">
        <f>C61/'Income Statement'!$C$7</f>
        <v>0.18037375910422229</v>
      </c>
      <c r="D124" s="16">
        <f>D61/'Income Statement'!$D$7</f>
        <v>0.13879700778586332</v>
      </c>
      <c r="E124" s="16">
        <f>E61/'Income Statement'!$E$7</f>
        <v>0.19349188335718162</v>
      </c>
      <c r="F124" s="16">
        <f>F61/'Income Statement'!$F$7</f>
        <v>0.16886751830055979</v>
      </c>
      <c r="G124" s="16">
        <f>G61/'Income Statement'!$G$7</f>
        <v>0.25298973003895503</v>
      </c>
      <c r="H124" s="16">
        <f>H61/'Income Statement'!$H$7</f>
        <v>0.2778135245273769</v>
      </c>
      <c r="I124" s="16">
        <f>I61/'Income Statement'!$I$7</f>
        <v>0.41506745754826702</v>
      </c>
      <c r="J124" s="16">
        <f>J61/'Income Statement'!$J$7</f>
        <v>0.30900016917611234</v>
      </c>
      <c r="K124" s="16">
        <f>K61/'Income Statement'!$K$7</f>
        <v>0.26258796574109433</v>
      </c>
    </row>
    <row r="125" spans="1:11">
      <c r="A125" s="196" t="s">
        <v>219</v>
      </c>
      <c r="B125" s="16">
        <f>B62/'Income Statement'!$B$7</f>
        <v>0.17265419540515059</v>
      </c>
      <c r="C125" s="16">
        <f>C62/'Income Statement'!$C$7</f>
        <v>0.14139084005080221</v>
      </c>
      <c r="D125" s="16">
        <f>D62/'Income Statement'!$D$7</f>
        <v>0.19955727443895985</v>
      </c>
      <c r="E125" s="16">
        <f>E62/'Income Statement'!$E$7</f>
        <v>0.17415009621552277</v>
      </c>
      <c r="F125" s="16">
        <f>F62/'Income Statement'!$F$7</f>
        <v>0.2221664035213626</v>
      </c>
      <c r="G125" s="16">
        <f>G62/'Income Statement'!$G$7</f>
        <v>0.24699664932305429</v>
      </c>
      <c r="H125" s="16">
        <f>H62/'Income Statement'!$H$7</f>
        <v>0.43738701473787417</v>
      </c>
      <c r="I125" s="16">
        <f>I62/'Income Statement'!$I$7</f>
        <v>0.3186496859734822</v>
      </c>
      <c r="J125" s="16">
        <f>J62/'Income Statement'!$J$7</f>
        <v>0.27144307223819997</v>
      </c>
      <c r="K125" s="16">
        <f>K62/'Income Statement'!$K$7</f>
        <v>0.21616387540232393</v>
      </c>
    </row>
    <row r="127" spans="1:11">
      <c r="A127" s="42" t="s">
        <v>221</v>
      </c>
    </row>
    <row r="128" spans="1:11">
      <c r="A128" s="190" t="s">
        <v>148</v>
      </c>
      <c r="B128" s="191"/>
      <c r="C128" s="191"/>
      <c r="D128" s="191"/>
      <c r="E128" s="191"/>
      <c r="F128" s="191"/>
      <c r="G128" s="191"/>
      <c r="H128" s="191"/>
      <c r="I128" s="191"/>
      <c r="J128" s="191"/>
      <c r="K128" s="191"/>
    </row>
    <row r="129" spans="1:11">
      <c r="A129" s="192" t="s">
        <v>149</v>
      </c>
      <c r="B129" s="193" t="s">
        <v>150</v>
      </c>
      <c r="C129" s="193" t="s">
        <v>151</v>
      </c>
      <c r="D129" s="193" t="s">
        <v>152</v>
      </c>
      <c r="E129" s="193" t="s">
        <v>153</v>
      </c>
      <c r="F129" s="193" t="s">
        <v>154</v>
      </c>
      <c r="G129" s="193" t="s">
        <v>155</v>
      </c>
      <c r="H129" s="193" t="s">
        <v>156</v>
      </c>
      <c r="I129" s="193" t="s">
        <v>157</v>
      </c>
      <c r="J129" s="193" t="s">
        <v>158</v>
      </c>
      <c r="K129" s="193" t="s">
        <v>159</v>
      </c>
    </row>
    <row r="130" spans="1:11">
      <c r="A130" s="194" t="s">
        <v>160</v>
      </c>
      <c r="B130" s="195"/>
      <c r="C130" s="195"/>
      <c r="D130" s="195"/>
      <c r="E130" s="195"/>
      <c r="F130" s="195"/>
      <c r="G130" s="195"/>
      <c r="H130" s="195"/>
      <c r="I130" s="195"/>
      <c r="J130" s="195"/>
      <c r="K130" s="195"/>
    </row>
    <row r="131" spans="1:11">
      <c r="A131" s="196" t="s">
        <v>161</v>
      </c>
      <c r="C131" s="16">
        <f t="shared" ref="C131:K131" si="0">C4/B4-1</f>
        <v>0.11965811965811968</v>
      </c>
      <c r="D131" s="16">
        <f t="shared" si="0"/>
        <v>-2.0631318341246541E-4</v>
      </c>
      <c r="E131" s="16">
        <f t="shared" si="0"/>
        <v>-0.64960792406108125</v>
      </c>
      <c r="F131" s="16">
        <f t="shared" si="0"/>
        <v>3.021201413427562</v>
      </c>
      <c r="G131" s="16">
        <f t="shared" si="0"/>
        <v>-8.7580550673696522E-2</v>
      </c>
      <c r="H131" s="16">
        <f t="shared" si="0"/>
        <v>-0.2191011235955056</v>
      </c>
      <c r="I131" s="16">
        <f t="shared" si="0"/>
        <v>0.1531346351490237</v>
      </c>
      <c r="J131" s="16">
        <f t="shared" si="0"/>
        <v>-0.11461675579322639</v>
      </c>
      <c r="K131" s="16">
        <f t="shared" si="0"/>
        <v>0.14193678276625721</v>
      </c>
    </row>
    <row r="132" spans="1:11">
      <c r="A132" s="196" t="s">
        <v>162</v>
      </c>
      <c r="C132" s="16">
        <f t="shared" ref="C132:K132" si="1">C5/B5-1</f>
        <v>0.81917211328976025</v>
      </c>
      <c r="D132" s="16">
        <f t="shared" si="1"/>
        <v>1.1976047904191933E-3</v>
      </c>
      <c r="E132" s="16">
        <f t="shared" si="1"/>
        <v>4.7787081339712918</v>
      </c>
      <c r="F132" s="16">
        <f t="shared" si="1"/>
        <v>-1.1407576071206789</v>
      </c>
      <c r="G132" s="16">
        <f t="shared" si="1"/>
        <v>-1.9161764705882351</v>
      </c>
      <c r="H132" s="16">
        <f t="shared" si="1"/>
        <v>-1.0321027287319422</v>
      </c>
      <c r="I132" s="16">
        <f t="shared" si="1"/>
        <v>-8</v>
      </c>
      <c r="J132" s="16">
        <f t="shared" si="1"/>
        <v>6.5142857142857142</v>
      </c>
      <c r="K132" s="16">
        <f t="shared" si="1"/>
        <v>-1.6587452471482891</v>
      </c>
    </row>
    <row r="133" spans="1:11">
      <c r="A133" s="197" t="s">
        <v>163</v>
      </c>
      <c r="C133" s="16">
        <f t="shared" ref="C133:K133" si="2">C6/B6-1</f>
        <v>-0.12222222222222223</v>
      </c>
      <c r="D133" s="16">
        <f t="shared" si="2"/>
        <v>-0.53164556962025311</v>
      </c>
      <c r="E133" s="16">
        <f t="shared" si="2"/>
        <v>0.16216216216216206</v>
      </c>
      <c r="F133" s="16">
        <f t="shared" si="2"/>
        <v>0.46511627906976738</v>
      </c>
      <c r="G133" s="16">
        <f t="shared" si="2"/>
        <v>0.38095238095238093</v>
      </c>
      <c r="H133" s="16">
        <f t="shared" si="2"/>
        <v>-1.1494252873563204E-2</v>
      </c>
      <c r="I133" s="16">
        <f t="shared" si="2"/>
        <v>-0.20930232558139539</v>
      </c>
      <c r="J133" s="16">
        <f t="shared" si="2"/>
        <v>-0.98529411764705888</v>
      </c>
      <c r="K133" s="16">
        <f t="shared" si="2"/>
        <v>13</v>
      </c>
    </row>
    <row r="134" spans="1:11">
      <c r="A134" s="197" t="s">
        <v>164</v>
      </c>
      <c r="C134" s="16">
        <f t="shared" ref="C134:K134" si="3">C7/B7-1</f>
        <v>-4.9586776859504078E-2</v>
      </c>
      <c r="D134" s="16">
        <f t="shared" si="3"/>
        <v>-0.48043478260869565</v>
      </c>
      <c r="E134" s="16">
        <f t="shared" si="3"/>
        <v>-6.3640167364016733</v>
      </c>
      <c r="F134" s="16">
        <f t="shared" si="3"/>
        <v>-2.0312012480499222</v>
      </c>
      <c r="G134" s="16">
        <f t="shared" si="3"/>
        <v>-0.46217851739788196</v>
      </c>
      <c r="H134" s="16">
        <f t="shared" si="3"/>
        <v>0.30661040787623062</v>
      </c>
      <c r="I134" s="16">
        <f t="shared" si="3"/>
        <v>0.40796555435952642</v>
      </c>
      <c r="J134" s="16">
        <f t="shared" si="3"/>
        <v>-0.89525993883792054</v>
      </c>
      <c r="K134" s="16">
        <f t="shared" si="3"/>
        <v>15.094890510948904</v>
      </c>
    </row>
    <row r="135" spans="1:11">
      <c r="A135" s="197" t="s">
        <v>165</v>
      </c>
      <c r="C135" s="16">
        <f t="shared" ref="C135:K135" si="4">C8/B8-1</f>
        <v>-4.4372294372294396E-2</v>
      </c>
      <c r="D135" s="16">
        <f t="shared" si="4"/>
        <v>0.16647791619479047</v>
      </c>
      <c r="E135" s="16">
        <f t="shared" si="4"/>
        <v>8.2524271844660158E-2</v>
      </c>
      <c r="F135" s="16">
        <f t="shared" si="4"/>
        <v>8.9686098654717661E-4</v>
      </c>
      <c r="G135" s="16">
        <f t="shared" si="4"/>
        <v>-2.508960573476704E-2</v>
      </c>
      <c r="H135" s="16">
        <f t="shared" si="4"/>
        <v>-7.9044117647058876E-2</v>
      </c>
      <c r="I135" s="16">
        <f t="shared" si="4"/>
        <v>0.22055888223552889</v>
      </c>
      <c r="J135" s="16">
        <f t="shared" si="4"/>
        <v>-1.5535568274734235E-2</v>
      </c>
      <c r="K135" s="16">
        <f t="shared" si="4"/>
        <v>-2.3255813953488413E-2</v>
      </c>
    </row>
    <row r="136" spans="1:11">
      <c r="A136" s="197" t="s">
        <v>166</v>
      </c>
      <c r="C136" s="16">
        <f t="shared" ref="C136:K136" si="5">C9/B9-1</f>
        <v>7.496251874062887E-3</v>
      </c>
      <c r="D136" s="16">
        <f t="shared" si="5"/>
        <v>8.0357142857142794E-2</v>
      </c>
      <c r="E136" s="16">
        <f t="shared" si="5"/>
        <v>-1.2396694214875992E-2</v>
      </c>
      <c r="F136" s="16">
        <f t="shared" si="5"/>
        <v>5.5788005578800703E-3</v>
      </c>
      <c r="G136" s="16">
        <f t="shared" si="5"/>
        <v>-6.6574202496532564E-2</v>
      </c>
      <c r="H136" s="16">
        <f t="shared" si="5"/>
        <v>-4.3090638930163405E-2</v>
      </c>
      <c r="I136" s="16">
        <f t="shared" si="5"/>
        <v>4.658385093167694E-2</v>
      </c>
      <c r="J136" s="16">
        <f t="shared" si="5"/>
        <v>-2.5222551928783421E-2</v>
      </c>
      <c r="K136" s="16">
        <f t="shared" si="5"/>
        <v>3.0441400304415112E-3</v>
      </c>
    </row>
    <row r="137" spans="1:11">
      <c r="A137" s="197" t="s">
        <v>167</v>
      </c>
      <c r="C137" s="16">
        <f t="shared" ref="C137:K137" si="6">C10/B10-1</f>
        <v>-0.17898832684824906</v>
      </c>
      <c r="D137" s="16">
        <f t="shared" si="6"/>
        <v>0.44075829383886256</v>
      </c>
      <c r="E137" s="16">
        <f t="shared" si="6"/>
        <v>0.30921052631578938</v>
      </c>
      <c r="F137" s="16">
        <f t="shared" si="6"/>
        <v>-7.5376884422110324E-3</v>
      </c>
      <c r="G137" s="16">
        <f t="shared" si="6"/>
        <v>5.0632911392405111E-2</v>
      </c>
      <c r="H137" s="16">
        <f t="shared" si="6"/>
        <v>-0.13734939759036147</v>
      </c>
      <c r="I137" s="16">
        <f t="shared" si="6"/>
        <v>0.53351955307262577</v>
      </c>
      <c r="J137" s="16">
        <f t="shared" si="6"/>
        <v>-3.6429872495445936E-3</v>
      </c>
      <c r="K137" s="16">
        <f t="shared" si="6"/>
        <v>-5.4844606946983565E-2</v>
      </c>
    </row>
    <row r="138" spans="1:11">
      <c r="A138" s="197" t="s">
        <v>168</v>
      </c>
      <c r="C138" s="16">
        <f t="shared" ref="C138:K138" si="7">C11/B11-1</f>
        <v>1.3863636363636362</v>
      </c>
      <c r="D138" s="16">
        <f t="shared" si="7"/>
        <v>-0.7587301587301587</v>
      </c>
      <c r="E138" s="16">
        <f t="shared" si="7"/>
        <v>29.184210526315791</v>
      </c>
      <c r="F138" s="16">
        <f t="shared" si="7"/>
        <v>-1.2554489973844811</v>
      </c>
      <c r="G138" s="16">
        <f t="shared" si="7"/>
        <v>-1.3054607508532423</v>
      </c>
      <c r="H138" s="16">
        <f t="shared" si="7"/>
        <v>-1.9776536312849162</v>
      </c>
      <c r="I138" s="16">
        <f t="shared" si="7"/>
        <v>-2.0171428571428569</v>
      </c>
      <c r="J138" s="16">
        <f t="shared" si="7"/>
        <v>-2.01123595505618</v>
      </c>
      <c r="K138" s="16">
        <f t="shared" si="7"/>
        <v>-1.85</v>
      </c>
    </row>
    <row r="139" spans="1:11">
      <c r="A139" s="197" t="s">
        <v>169</v>
      </c>
      <c r="C139" s="16">
        <f t="shared" ref="C139:K139" si="8">C12/B12-1</f>
        <v>-1.0047619047619047</v>
      </c>
      <c r="D139" s="16">
        <f t="shared" si="8"/>
        <v>-179</v>
      </c>
      <c r="E139" s="16">
        <f t="shared" si="8"/>
        <v>-1.0393258426966292</v>
      </c>
      <c r="F139" s="16">
        <f t="shared" si="8"/>
        <v>-1</v>
      </c>
      <c r="G139" s="16" t="e">
        <f t="shared" si="8"/>
        <v>#DIV/0!</v>
      </c>
      <c r="H139" s="16">
        <f t="shared" si="8"/>
        <v>-1</v>
      </c>
      <c r="I139" s="16" t="e">
        <f t="shared" si="8"/>
        <v>#DIV/0!</v>
      </c>
      <c r="J139" s="16">
        <f t="shared" si="8"/>
        <v>-0.78431372549019607</v>
      </c>
      <c r="K139" s="16">
        <f t="shared" si="8"/>
        <v>-0.77272727272727271</v>
      </c>
    </row>
    <row r="140" spans="1:11">
      <c r="A140" s="197" t="s">
        <v>170</v>
      </c>
      <c r="C140" s="16">
        <f t="shared" ref="C140:K140" si="9">C13/B13-1</f>
        <v>-6.4171122994652441E-2</v>
      </c>
      <c r="D140" s="16">
        <f t="shared" si="9"/>
        <v>5.1428571428571379E-2</v>
      </c>
      <c r="E140" s="16">
        <f t="shared" si="9"/>
        <v>-4.3478260869565188E-2</v>
      </c>
      <c r="F140" s="16">
        <f t="shared" si="9"/>
        <v>-5.6818181818182323E-3</v>
      </c>
      <c r="G140" s="16">
        <f t="shared" si="9"/>
        <v>-0.12571428571428567</v>
      </c>
      <c r="H140" s="16">
        <f t="shared" si="9"/>
        <v>9.8039215686274606E-2</v>
      </c>
      <c r="I140" s="16">
        <f t="shared" si="9"/>
        <v>0.29166666666666674</v>
      </c>
      <c r="J140" s="16">
        <f t="shared" si="9"/>
        <v>-0.13364055299539168</v>
      </c>
      <c r="K140" s="16">
        <f t="shared" si="9"/>
        <v>7.4468085106383031E-2</v>
      </c>
    </row>
    <row r="141" spans="1:11">
      <c r="A141" s="196" t="s">
        <v>171</v>
      </c>
      <c r="C141" s="16">
        <f t="shared" ref="C141:K141" si="10">C14/B14-1</f>
        <v>0.18671679197994995</v>
      </c>
      <c r="D141" s="16">
        <f t="shared" si="10"/>
        <v>0</v>
      </c>
      <c r="E141" s="16">
        <f t="shared" si="10"/>
        <v>0.14906722984864484</v>
      </c>
      <c r="F141" s="16">
        <f t="shared" si="10"/>
        <v>-5.83550313983765E-2</v>
      </c>
      <c r="G141" s="16">
        <f t="shared" si="10"/>
        <v>0.11467143786597278</v>
      </c>
      <c r="H141" s="16">
        <f t="shared" si="10"/>
        <v>-0.29301036042609074</v>
      </c>
      <c r="I141" s="16">
        <f t="shared" si="10"/>
        <v>0.18679050567595468</v>
      </c>
      <c r="J141" s="16">
        <f t="shared" si="10"/>
        <v>4.6782608695652206E-2</v>
      </c>
      <c r="K141" s="16">
        <f t="shared" si="10"/>
        <v>-0.17278617710583155</v>
      </c>
    </row>
    <row r="142" spans="1:11">
      <c r="A142" s="196" t="s">
        <v>172</v>
      </c>
      <c r="C142" s="16">
        <f t="shared" ref="C142:K142" si="11">C15/B15-1</f>
        <v>-1.6906779661016951</v>
      </c>
      <c r="D142" s="16">
        <f t="shared" si="11"/>
        <v>0.12883435582822078</v>
      </c>
      <c r="E142" s="16">
        <f t="shared" si="11"/>
        <v>2.0597826086956523</v>
      </c>
      <c r="F142" s="16">
        <f t="shared" si="11"/>
        <v>-1.5079928952042629</v>
      </c>
      <c r="G142" s="16">
        <f t="shared" si="11"/>
        <v>-0.84615384615384615</v>
      </c>
      <c r="H142" s="16">
        <f t="shared" si="11"/>
        <v>29.977272727272727</v>
      </c>
      <c r="I142" s="16">
        <f t="shared" si="11"/>
        <v>-0.78870139398385919</v>
      </c>
      <c r="J142" s="16">
        <f t="shared" si="11"/>
        <v>-3.5868055555555554</v>
      </c>
      <c r="K142" s="16">
        <f t="shared" si="11"/>
        <v>-1.4845637583892617</v>
      </c>
    </row>
    <row r="143" spans="1:11">
      <c r="A143" s="197" t="s">
        <v>173</v>
      </c>
      <c r="C143" s="16">
        <f t="shared" ref="C143:K143" si="12">C16/B16-1</f>
        <v>-2.2267441860465116</v>
      </c>
      <c r="D143" s="16">
        <f t="shared" si="12"/>
        <v>-4.6492890995260669</v>
      </c>
      <c r="E143" s="16">
        <f t="shared" si="12"/>
        <v>-0.11428571428571432</v>
      </c>
      <c r="F143" s="16">
        <f t="shared" si="12"/>
        <v>-0.6539589442815249</v>
      </c>
      <c r="G143" s="16">
        <f t="shared" si="12"/>
        <v>-1.0466101694915255</v>
      </c>
      <c r="H143" s="16">
        <f t="shared" si="12"/>
        <v>59.81818181818182</v>
      </c>
      <c r="I143" s="16">
        <f t="shared" si="12"/>
        <v>-1.0119581464872944</v>
      </c>
      <c r="J143" s="16">
        <f t="shared" si="12"/>
        <v>91.375</v>
      </c>
      <c r="K143" s="16">
        <f t="shared" si="12"/>
        <v>-0.94316644113667114</v>
      </c>
    </row>
    <row r="144" spans="1:11">
      <c r="A144" s="197" t="s">
        <v>174</v>
      </c>
      <c r="C144" s="16">
        <f t="shared" ref="C144:K144" si="13">C17/B17-1</f>
        <v>-2.15</v>
      </c>
      <c r="D144" s="16">
        <f t="shared" si="13"/>
        <v>-1.0782608695652174</v>
      </c>
      <c r="E144" s="16">
        <f t="shared" si="13"/>
        <v>13.388888888888889</v>
      </c>
      <c r="F144" s="16">
        <f t="shared" si="13"/>
        <v>0.94208494208494198</v>
      </c>
      <c r="G144" s="16">
        <f t="shared" si="13"/>
        <v>-0.80119284294234594</v>
      </c>
      <c r="H144" s="16">
        <f t="shared" si="13"/>
        <v>-0.32999999999999996</v>
      </c>
      <c r="I144" s="16">
        <f t="shared" si="13"/>
        <v>9.2238805970149258</v>
      </c>
      <c r="J144" s="16">
        <f t="shared" si="13"/>
        <v>-0.35766423357664234</v>
      </c>
      <c r="K144" s="16">
        <f t="shared" si="13"/>
        <v>0.42272727272727262</v>
      </c>
    </row>
    <row r="145" spans="1:11">
      <c r="A145" s="197" t="s">
        <v>175</v>
      </c>
      <c r="C145" s="16">
        <f t="shared" ref="C145:K145" si="14">C18/B18-1</f>
        <v>-0.33333333333333337</v>
      </c>
      <c r="D145" s="16">
        <f t="shared" si="14"/>
        <v>0.46249999999999991</v>
      </c>
      <c r="E145" s="16">
        <f t="shared" si="14"/>
        <v>-5.8547008547008543</v>
      </c>
      <c r="F145" s="16">
        <f t="shared" si="14"/>
        <v>-1.3838028169014085</v>
      </c>
      <c r="G145" s="16">
        <f t="shared" si="14"/>
        <v>-2.9724770642201834</v>
      </c>
      <c r="H145" s="16">
        <f t="shared" si="14"/>
        <v>-1.4441860465116279</v>
      </c>
      <c r="I145" s="16">
        <f t="shared" si="14"/>
        <v>-2.4450261780104712</v>
      </c>
      <c r="J145" s="16">
        <f t="shared" si="14"/>
        <v>-1.8405797101449275</v>
      </c>
      <c r="K145" s="16">
        <f t="shared" si="14"/>
        <v>-0.92672413793103448</v>
      </c>
    </row>
    <row r="146" spans="1:11">
      <c r="A146" s="197" t="s">
        <v>176</v>
      </c>
      <c r="C146" s="16">
        <f t="shared" ref="C146:K146" si="15">C19/B19-1</f>
        <v>-1.0553745928338762</v>
      </c>
      <c r="D146" s="16">
        <f t="shared" si="15"/>
        <v>-15.941176470588236</v>
      </c>
      <c r="E146" s="16">
        <f t="shared" si="15"/>
        <v>2.6377952755905514</v>
      </c>
      <c r="F146" s="16">
        <f t="shared" si="15"/>
        <v>-0.20670995670995673</v>
      </c>
      <c r="G146" s="16">
        <f t="shared" si="15"/>
        <v>-0.83901773533424284</v>
      </c>
      <c r="H146" s="16">
        <f t="shared" si="15"/>
        <v>-0.8728813559322034</v>
      </c>
      <c r="I146" s="16">
        <f t="shared" si="15"/>
        <v>48.6</v>
      </c>
      <c r="J146" s="16">
        <f t="shared" si="15"/>
        <v>-1.2083333333333333</v>
      </c>
      <c r="K146" s="16">
        <f t="shared" si="15"/>
        <v>-4.3419354838709676</v>
      </c>
    </row>
    <row r="147" spans="1:11">
      <c r="A147" s="197" t="s">
        <v>177</v>
      </c>
      <c r="C147" s="16">
        <f t="shared" ref="C147:K147" si="16">C20/B20-1</f>
        <v>-4.6850828729281773</v>
      </c>
      <c r="D147" s="16">
        <f t="shared" si="16"/>
        <v>-1.3493253373313343</v>
      </c>
      <c r="E147" s="16">
        <f t="shared" si="16"/>
        <v>-0.90557939914163088</v>
      </c>
      <c r="F147" s="16">
        <f t="shared" si="16"/>
        <v>2.3636363636363638</v>
      </c>
      <c r="G147" s="16">
        <f t="shared" si="16"/>
        <v>5.0135135135135132</v>
      </c>
      <c r="H147" s="16">
        <f t="shared" si="16"/>
        <v>0.24719101123595499</v>
      </c>
      <c r="I147" s="16">
        <f t="shared" si="16"/>
        <v>-7.567567567567568E-2</v>
      </c>
      <c r="J147" s="16">
        <f t="shared" si="16"/>
        <v>-0.30409356725146197</v>
      </c>
      <c r="K147" s="16">
        <f t="shared" si="16"/>
        <v>0.38375350140056019</v>
      </c>
    </row>
    <row r="148" spans="1:11">
      <c r="A148" s="198" t="s">
        <v>178</v>
      </c>
      <c r="C148" s="16">
        <f t="shared" ref="C148:K148" si="17">C21/B21-1</f>
        <v>9.8527070063694211E-2</v>
      </c>
      <c r="D148" s="16">
        <f t="shared" si="17"/>
        <v>-3.8050371444102726E-3</v>
      </c>
      <c r="E148" s="16">
        <f t="shared" si="17"/>
        <v>8.5121862495452838E-2</v>
      </c>
      <c r="F148" s="16">
        <f t="shared" si="17"/>
        <v>7.8444518940663732E-2</v>
      </c>
      <c r="G148" s="16">
        <f t="shared" si="17"/>
        <v>7.1961454771526157E-2</v>
      </c>
      <c r="H148" s="16">
        <f t="shared" si="17"/>
        <v>-9.9898506597071224E-2</v>
      </c>
      <c r="I148" s="16">
        <f t="shared" si="17"/>
        <v>-2.7384020618556715E-2</v>
      </c>
      <c r="J148" s="16">
        <f t="shared" si="17"/>
        <v>-0.1265319642265651</v>
      </c>
      <c r="K148" s="16">
        <f t="shared" si="17"/>
        <v>1.2514220705347023E-2</v>
      </c>
    </row>
    <row r="149" spans="1:11">
      <c r="A149" s="200" t="s">
        <v>179</v>
      </c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>
      <c r="A150" s="196" t="s">
        <v>180</v>
      </c>
      <c r="C150" s="16">
        <f t="shared" ref="C150:K150" si="18">C23/B23-1</f>
        <v>-1.6728624535315983E-2</v>
      </c>
      <c r="D150" s="16">
        <f t="shared" si="18"/>
        <v>1.512287334593565E-2</v>
      </c>
      <c r="E150" s="16">
        <f t="shared" si="18"/>
        <v>-0.12011173184357538</v>
      </c>
      <c r="F150" s="16">
        <f t="shared" si="18"/>
        <v>-0.13968253968253963</v>
      </c>
      <c r="G150" s="16">
        <f t="shared" si="18"/>
        <v>-2.0910209102091071E-2</v>
      </c>
      <c r="H150" s="16">
        <f t="shared" si="18"/>
        <v>6.6582914572864249E-2</v>
      </c>
      <c r="I150" s="16">
        <f t="shared" si="18"/>
        <v>2.2379269729092988E-2</v>
      </c>
      <c r="J150" s="16">
        <f t="shared" si="18"/>
        <v>-0.15092165898617516</v>
      </c>
      <c r="K150" s="16">
        <f t="shared" si="18"/>
        <v>0.35142469470827686</v>
      </c>
    </row>
    <row r="151" spans="1:11">
      <c r="A151" s="197" t="s">
        <v>181</v>
      </c>
      <c r="C151" s="16">
        <f t="shared" ref="C151:K151" si="19">C24/B24-1</f>
        <v>-1.6728624535315983E-2</v>
      </c>
      <c r="D151" s="16">
        <f t="shared" si="19"/>
        <v>1.512287334593565E-2</v>
      </c>
      <c r="E151" s="16">
        <f t="shared" si="19"/>
        <v>-0.12011173184357538</v>
      </c>
      <c r="F151" s="16">
        <f t="shared" si="19"/>
        <v>-0.13968253968253963</v>
      </c>
      <c r="G151" s="16">
        <f t="shared" si="19"/>
        <v>-2.0910209102091071E-2</v>
      </c>
      <c r="H151" s="16">
        <f t="shared" si="19"/>
        <v>6.6582914572864249E-2</v>
      </c>
      <c r="I151" s="16">
        <f t="shared" si="19"/>
        <v>2.2379269729092988E-2</v>
      </c>
      <c r="J151" s="16">
        <f t="shared" si="19"/>
        <v>-0.15092165898617516</v>
      </c>
      <c r="K151" s="16">
        <f t="shared" si="19"/>
        <v>0.35142469470827686</v>
      </c>
    </row>
    <row r="152" spans="1:11">
      <c r="A152" s="197" t="s">
        <v>182</v>
      </c>
      <c r="C152" s="16">
        <f t="shared" ref="C152:K152" si="20">C25/B25-1</f>
        <v>-1.9195612431444187E-2</v>
      </c>
      <c r="D152" s="16">
        <f t="shared" si="20"/>
        <v>2.0503261882572232E-2</v>
      </c>
      <c r="E152" s="16">
        <f t="shared" si="20"/>
        <v>-5.8447488584474905E-2</v>
      </c>
      <c r="F152" s="16">
        <f t="shared" si="20"/>
        <v>-0.19689621726479145</v>
      </c>
      <c r="G152" s="16">
        <f t="shared" si="20"/>
        <v>1.3285024154589431E-2</v>
      </c>
      <c r="H152" s="16">
        <f t="shared" si="20"/>
        <v>7.9856972586412445E-2</v>
      </c>
      <c r="I152" s="16">
        <f t="shared" si="20"/>
        <v>-1.2141280353200834E-2</v>
      </c>
      <c r="J152" s="16">
        <f t="shared" si="20"/>
        <v>-0.14413407821229052</v>
      </c>
      <c r="K152" s="16">
        <f t="shared" si="20"/>
        <v>0.35639686684073113</v>
      </c>
    </row>
    <row r="153" spans="1:11">
      <c r="A153" s="197" t="s">
        <v>183</v>
      </c>
      <c r="C153" s="16">
        <f t="shared" ref="C153:K153" si="21">C26/B26-1</f>
        <v>-0.16666666666666663</v>
      </c>
      <c r="D153" s="16">
        <f t="shared" si="21"/>
        <v>0.39999999999999991</v>
      </c>
      <c r="E153" s="16">
        <f t="shared" si="21"/>
        <v>3.0952380952380949</v>
      </c>
      <c r="F153" s="16">
        <f t="shared" si="21"/>
        <v>-0.82558139534883723</v>
      </c>
      <c r="G153" s="16">
        <f t="shared" si="21"/>
        <v>1.8666666666666667</v>
      </c>
      <c r="H153" s="16">
        <f t="shared" si="21"/>
        <v>0.32558139534883712</v>
      </c>
      <c r="I153" s="16">
        <f t="shared" si="21"/>
        <v>-0.52631578947368429</v>
      </c>
      <c r="J153" s="16">
        <f t="shared" si="21"/>
        <v>7.4074074074074181E-2</v>
      </c>
      <c r="K153" s="16">
        <f t="shared" si="21"/>
        <v>0.48275862068965525</v>
      </c>
    </row>
    <row r="154" spans="1:11">
      <c r="A154" s="197" t="s">
        <v>184</v>
      </c>
      <c r="C154" s="16">
        <f t="shared" ref="C154:K154" si="22">C27/B27-1</f>
        <v>-1.9195612431444187E-2</v>
      </c>
      <c r="D154" s="16">
        <f t="shared" si="22"/>
        <v>2.0503261882572232E-2</v>
      </c>
      <c r="E154" s="16">
        <f t="shared" si="22"/>
        <v>-5.8447488584474905E-2</v>
      </c>
      <c r="F154" s="16">
        <f t="shared" si="22"/>
        <v>-0.19689621726479145</v>
      </c>
      <c r="G154" s="16">
        <f t="shared" si="22"/>
        <v>1.3285024154589431E-2</v>
      </c>
      <c r="H154" s="16">
        <f t="shared" si="22"/>
        <v>7.9856972586412445E-2</v>
      </c>
      <c r="I154" s="16">
        <f t="shared" si="22"/>
        <v>-1.2141280353200834E-2</v>
      </c>
      <c r="J154" s="16">
        <f t="shared" si="22"/>
        <v>-0.14413407821229052</v>
      </c>
      <c r="K154" s="16">
        <f t="shared" si="22"/>
        <v>0.35639686684073113</v>
      </c>
    </row>
    <row r="155" spans="1:11">
      <c r="A155" s="196" t="s">
        <v>185</v>
      </c>
      <c r="C155" s="16">
        <f t="shared" ref="C155:K155" si="23">C28/B28-1</f>
        <v>-34.506410256410255</v>
      </c>
      <c r="D155" s="16">
        <f t="shared" si="23"/>
        <v>-0.56437727185766207</v>
      </c>
      <c r="E155" s="16">
        <f t="shared" si="23"/>
        <v>-0.96398770311813786</v>
      </c>
      <c r="F155" s="16">
        <f t="shared" si="23"/>
        <v>5.524390243902439</v>
      </c>
      <c r="G155" s="16">
        <f t="shared" si="23"/>
        <v>-0.90654205607476634</v>
      </c>
      <c r="H155" s="16">
        <f t="shared" si="23"/>
        <v>4.22</v>
      </c>
      <c r="I155" s="16">
        <f t="shared" si="23"/>
        <v>3.3026819923371651</v>
      </c>
      <c r="J155" s="16">
        <f t="shared" si="23"/>
        <v>-0.84149599287622445</v>
      </c>
      <c r="K155" s="16">
        <f t="shared" si="23"/>
        <v>3.01123595505618</v>
      </c>
    </row>
    <row r="156" spans="1:11">
      <c r="A156" s="197" t="s">
        <v>186</v>
      </c>
      <c r="C156" s="16">
        <f t="shared" ref="C156:K156" si="24">C29/B29-1</f>
        <v>1306</v>
      </c>
      <c r="D156" s="16">
        <f t="shared" si="24"/>
        <v>-0.50784238714613616</v>
      </c>
      <c r="E156" s="16">
        <f t="shared" si="24"/>
        <v>-0.96813058686358333</v>
      </c>
      <c r="F156" s="16">
        <f t="shared" si="24"/>
        <v>5.524390243902439</v>
      </c>
      <c r="G156" s="16">
        <f t="shared" si="24"/>
        <v>-0.90654205607476634</v>
      </c>
      <c r="H156" s="16">
        <f t="shared" si="24"/>
        <v>4.22</v>
      </c>
      <c r="I156" s="16">
        <f t="shared" si="24"/>
        <v>4.0804597701149428</v>
      </c>
      <c r="J156" s="16">
        <f t="shared" si="24"/>
        <v>-0.86576168929110109</v>
      </c>
      <c r="K156" s="16">
        <f t="shared" si="24"/>
        <v>3.0337078651685392</v>
      </c>
    </row>
    <row r="157" spans="1:11">
      <c r="A157" s="197" t="s">
        <v>187</v>
      </c>
      <c r="C157" s="16">
        <f t="shared" ref="C157:K157" si="25">C30/B30-1</f>
        <v>-0.99375000000000002</v>
      </c>
      <c r="D157" s="16">
        <f t="shared" si="25"/>
        <v>295</v>
      </c>
      <c r="E157" s="16">
        <f t="shared" si="25"/>
        <v>-1</v>
      </c>
      <c r="F157" s="16" t="e">
        <f t="shared" si="25"/>
        <v>#DIV/0!</v>
      </c>
      <c r="G157" s="16" t="e">
        <f t="shared" si="25"/>
        <v>#DIV/0!</v>
      </c>
      <c r="H157" s="16" t="e">
        <f t="shared" si="25"/>
        <v>#DIV/0!</v>
      </c>
      <c r="I157" s="16" t="e">
        <f t="shared" si="25"/>
        <v>#DIV/0!</v>
      </c>
      <c r="J157" s="16">
        <f t="shared" si="25"/>
        <v>-1</v>
      </c>
      <c r="K157" s="16" t="e">
        <f t="shared" si="25"/>
        <v>#DIV/0!</v>
      </c>
    </row>
    <row r="158" spans="1:11">
      <c r="A158" s="196" t="s">
        <v>188</v>
      </c>
      <c r="C158" s="16">
        <f t="shared" ref="C158:K158" si="26">C31/B31-1</f>
        <v>-0.83842239185750633</v>
      </c>
      <c r="D158" s="16">
        <f t="shared" si="26"/>
        <v>1.1496062992125986</v>
      </c>
      <c r="E158" s="16">
        <f t="shared" si="26"/>
        <v>7.531135531135531</v>
      </c>
      <c r="F158" s="16">
        <f t="shared" si="26"/>
        <v>-1.8471446972949765</v>
      </c>
      <c r="G158" s="16">
        <f t="shared" si="26"/>
        <v>-0.89305625950329448</v>
      </c>
      <c r="H158" s="16">
        <f t="shared" si="26"/>
        <v>0.2890995260663507</v>
      </c>
      <c r="I158" s="16">
        <f t="shared" si="26"/>
        <v>1.7132352941176472</v>
      </c>
      <c r="J158" s="16">
        <f t="shared" si="26"/>
        <v>-0.38617886178861793</v>
      </c>
      <c r="K158" s="16">
        <f t="shared" si="26"/>
        <v>-9.27152317880795E-2</v>
      </c>
    </row>
    <row r="159" spans="1:11">
      <c r="A159" s="197" t="s">
        <v>189</v>
      </c>
      <c r="C159" s="16">
        <f t="shared" ref="C159:K159" si="27">C32/B32-1</f>
        <v>-0.83842239185750633</v>
      </c>
      <c r="D159" s="16">
        <f t="shared" si="27"/>
        <v>1.1496062992125986</v>
      </c>
      <c r="E159" s="16">
        <f t="shared" si="27"/>
        <v>7.531135531135531</v>
      </c>
      <c r="F159" s="16">
        <f t="shared" si="27"/>
        <v>-1.8471446972949765</v>
      </c>
      <c r="G159" s="16">
        <f t="shared" si="27"/>
        <v>-0.89305625950329448</v>
      </c>
      <c r="H159" s="16">
        <f t="shared" si="27"/>
        <v>0.2890995260663507</v>
      </c>
      <c r="I159" s="16">
        <f t="shared" si="27"/>
        <v>1.7132352941176472</v>
      </c>
      <c r="J159" s="16">
        <f t="shared" si="27"/>
        <v>-0.38617886178861793</v>
      </c>
      <c r="K159" s="16">
        <f t="shared" si="27"/>
        <v>-9.27152317880795E-2</v>
      </c>
    </row>
    <row r="160" spans="1:11">
      <c r="A160" s="197" t="s">
        <v>190</v>
      </c>
      <c r="C160" s="16">
        <f t="shared" ref="C160:K160" si="28">C33/B33-1</f>
        <v>1.0033454987834549</v>
      </c>
      <c r="D160" s="16">
        <f t="shared" si="28"/>
        <v>-0.44117200546531044</v>
      </c>
      <c r="E160" s="16">
        <f t="shared" si="28"/>
        <v>0.19913067101331161</v>
      </c>
      <c r="F160" s="16">
        <f t="shared" si="28"/>
        <v>0.36656094245582249</v>
      </c>
      <c r="G160" s="16">
        <f t="shared" si="28"/>
        <v>-0.25994694960212206</v>
      </c>
      <c r="H160" s="16">
        <f t="shared" si="28"/>
        <v>-0.21415770609318996</v>
      </c>
      <c r="I160" s="16">
        <f t="shared" si="28"/>
        <v>-0.113169897377423</v>
      </c>
      <c r="J160" s="16">
        <f t="shared" si="28"/>
        <v>-0.46512375441980069</v>
      </c>
      <c r="K160" s="16">
        <f t="shared" si="28"/>
        <v>-0.41646634615384615</v>
      </c>
    </row>
    <row r="161" spans="1:11">
      <c r="A161" s="197" t="s">
        <v>191</v>
      </c>
      <c r="C161" s="16">
        <f t="shared" ref="C161:K161" si="29">C34/B34-1</f>
        <v>0.64801178203240051</v>
      </c>
      <c r="D161" s="16">
        <f t="shared" si="29"/>
        <v>-0.41108132260947272</v>
      </c>
      <c r="E161" s="16">
        <f t="shared" si="29"/>
        <v>0.70536165907941317</v>
      </c>
      <c r="F161" s="16">
        <f t="shared" si="29"/>
        <v>-0.39804241435562804</v>
      </c>
      <c r="G161" s="16">
        <f t="shared" si="29"/>
        <v>4.779502340477948E-2</v>
      </c>
      <c r="H161" s="16">
        <f t="shared" si="29"/>
        <v>-0.23912532330119918</v>
      </c>
      <c r="I161" s="16">
        <f t="shared" si="29"/>
        <v>-0.26668726823238564</v>
      </c>
      <c r="J161" s="16">
        <f t="shared" si="29"/>
        <v>-0.48967551622418881</v>
      </c>
      <c r="K161" s="16">
        <f t="shared" si="29"/>
        <v>-0.53757225433526012</v>
      </c>
    </row>
    <row r="162" spans="1:11">
      <c r="A162" s="196" t="s">
        <v>192</v>
      </c>
      <c r="C162" s="16">
        <f t="shared" ref="C162:K162" si="30">C35/B35-1</f>
        <v>-0.4</v>
      </c>
      <c r="D162" s="16">
        <f t="shared" si="30"/>
        <v>-3.7647058823529411</v>
      </c>
      <c r="E162" s="16">
        <f t="shared" si="30"/>
        <v>-1.773049645390071</v>
      </c>
      <c r="F162" s="16">
        <f t="shared" si="30"/>
        <v>-2.8440366972477067</v>
      </c>
      <c r="G162" s="16">
        <f t="shared" si="30"/>
        <v>-0.74626865671641784</v>
      </c>
      <c r="H162" s="16">
        <f t="shared" si="30"/>
        <v>-2.4607843137254903</v>
      </c>
      <c r="I162" s="16">
        <f t="shared" si="30"/>
        <v>-2.2885906040268456</v>
      </c>
      <c r="J162" s="16">
        <f t="shared" si="30"/>
        <v>0.921875</v>
      </c>
      <c r="K162" s="16">
        <f t="shared" si="30"/>
        <v>-0.98373983739837401</v>
      </c>
    </row>
    <row r="163" spans="1:11">
      <c r="A163" s="198" t="s">
        <v>193</v>
      </c>
      <c r="C163" s="16">
        <f t="shared" ref="C163:K163" si="31">C36/B36-1</f>
        <v>2.4722814498933903</v>
      </c>
      <c r="D163" s="16">
        <f t="shared" si="31"/>
        <v>-0.48695118206938903</v>
      </c>
      <c r="E163" s="16">
        <f t="shared" si="31"/>
        <v>6.9419509275882696E-2</v>
      </c>
      <c r="F163" s="16">
        <f t="shared" si="31"/>
        <v>-1.2873531057638501</v>
      </c>
      <c r="G163" s="16">
        <f t="shared" si="31"/>
        <v>-1.518987341772152</v>
      </c>
      <c r="H163" s="16">
        <f t="shared" si="31"/>
        <v>0.85178236397748597</v>
      </c>
      <c r="I163" s="16">
        <f t="shared" si="31"/>
        <v>7.4974670719351488E-2</v>
      </c>
      <c r="J163" s="16">
        <f t="shared" si="31"/>
        <v>-0.91234684260131949</v>
      </c>
      <c r="K163" s="16">
        <f t="shared" si="31"/>
        <v>12.903225806451612</v>
      </c>
    </row>
    <row r="164" spans="1:11">
      <c r="A164" s="200" t="s">
        <v>194</v>
      </c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1">
      <c r="A165" s="196" t="s">
        <v>195</v>
      </c>
      <c r="C165" s="16">
        <f t="shared" ref="C165:K165" si="32">C38/B38-1</f>
        <v>0.14304635761589402</v>
      </c>
      <c r="D165" s="16">
        <f t="shared" si="32"/>
        <v>0.10950173812282737</v>
      </c>
      <c r="E165" s="16">
        <f t="shared" si="32"/>
        <v>0.10652741514360309</v>
      </c>
      <c r="F165" s="16">
        <f t="shared" si="32"/>
        <v>7.220386974988191E-2</v>
      </c>
      <c r="G165" s="16">
        <f t="shared" si="32"/>
        <v>7.4823943661971759E-2</v>
      </c>
      <c r="H165" s="16">
        <f t="shared" si="32"/>
        <v>6.1425061425061322E-2</v>
      </c>
      <c r="I165" s="16">
        <f t="shared" si="32"/>
        <v>1.3117283950617287E-2</v>
      </c>
      <c r="J165" s="16">
        <f t="shared" si="32"/>
        <v>3.5415079969535412E-2</v>
      </c>
      <c r="K165" s="16">
        <f t="shared" si="32"/>
        <v>5.0018389113644757E-2</v>
      </c>
    </row>
    <row r="166" spans="1:11">
      <c r="A166" s="197" t="s">
        <v>196</v>
      </c>
      <c r="C166" s="16">
        <f t="shared" ref="C166:K166" si="33">C39/B39-1</f>
        <v>0.14304635761589402</v>
      </c>
      <c r="D166" s="16">
        <f t="shared" si="33"/>
        <v>0.10950173812282737</v>
      </c>
      <c r="E166" s="16">
        <f t="shared" si="33"/>
        <v>0.10652741514360309</v>
      </c>
      <c r="F166" s="16">
        <f t="shared" si="33"/>
        <v>7.220386974988191E-2</v>
      </c>
      <c r="G166" s="16">
        <f t="shared" si="33"/>
        <v>7.4823943661971759E-2</v>
      </c>
      <c r="H166" s="16">
        <f t="shared" si="33"/>
        <v>6.1425061425061322E-2</v>
      </c>
      <c r="I166" s="16">
        <f t="shared" si="33"/>
        <v>1.3117283950617287E-2</v>
      </c>
      <c r="J166" s="16">
        <f t="shared" si="33"/>
        <v>3.5415079969535412E-2</v>
      </c>
      <c r="K166" s="16">
        <f t="shared" si="33"/>
        <v>5.0018389113644757E-2</v>
      </c>
    </row>
    <row r="167" spans="1:11">
      <c r="A167" s="196" t="s">
        <v>197</v>
      </c>
      <c r="C167" s="16">
        <f t="shared" ref="C167:K167" si="34">C40/B40-1</f>
        <v>1.5766312594840666</v>
      </c>
      <c r="D167" s="16">
        <f t="shared" si="34"/>
        <v>-1.6489988221436991E-2</v>
      </c>
      <c r="E167" s="16">
        <f t="shared" si="34"/>
        <v>0.41856287425149707</v>
      </c>
      <c r="F167" s="16">
        <f t="shared" si="34"/>
        <v>0.57577036724356279</v>
      </c>
      <c r="G167" s="16">
        <f t="shared" si="34"/>
        <v>4.527189927672115E-2</v>
      </c>
      <c r="H167" s="16">
        <f t="shared" si="34"/>
        <v>-0.1488980010251153</v>
      </c>
      <c r="I167" s="16">
        <f t="shared" si="34"/>
        <v>-5.1189400782896688E-2</v>
      </c>
      <c r="J167" s="16">
        <f t="shared" si="34"/>
        <v>0.23135512535702962</v>
      </c>
      <c r="K167" s="16">
        <f t="shared" si="34"/>
        <v>-9.3041237113402064E-2</v>
      </c>
    </row>
    <row r="168" spans="1:11">
      <c r="A168" s="197" t="s">
        <v>198</v>
      </c>
      <c r="C168" s="16">
        <f t="shared" ref="C168:K168" si="35">C41/B41-1</f>
        <v>1.5766312594840666</v>
      </c>
      <c r="D168" s="16">
        <f t="shared" si="35"/>
        <v>-1.6489988221436991E-2</v>
      </c>
      <c r="E168" s="16">
        <f t="shared" si="35"/>
        <v>0.41856287425149707</v>
      </c>
      <c r="F168" s="16">
        <f t="shared" si="35"/>
        <v>0.57577036724356279</v>
      </c>
      <c r="G168" s="16">
        <f t="shared" si="35"/>
        <v>4.527189927672115E-2</v>
      </c>
      <c r="H168" s="16">
        <f t="shared" si="35"/>
        <v>-0.1488980010251153</v>
      </c>
      <c r="I168" s="16">
        <f t="shared" si="35"/>
        <v>-5.1189400782896688E-2</v>
      </c>
      <c r="J168" s="16">
        <f t="shared" si="35"/>
        <v>0.23135512535702962</v>
      </c>
      <c r="K168" s="16">
        <f t="shared" si="35"/>
        <v>-9.3041237113402064E-2</v>
      </c>
    </row>
    <row r="169" spans="1:11">
      <c r="A169" s="197" t="s">
        <v>199</v>
      </c>
      <c r="C169" s="16">
        <f t="shared" ref="C169:K169" si="36">C42/B42-1</f>
        <v>1.5766312594840666</v>
      </c>
      <c r="D169" s="16">
        <f t="shared" si="36"/>
        <v>-1.6489988221436991E-2</v>
      </c>
      <c r="E169" s="16">
        <f t="shared" si="36"/>
        <v>0.41856287425149707</v>
      </c>
      <c r="F169" s="16">
        <f t="shared" si="36"/>
        <v>0.57577036724356279</v>
      </c>
      <c r="G169" s="16">
        <f t="shared" si="36"/>
        <v>4.527189927672115E-2</v>
      </c>
      <c r="H169" s="16">
        <f t="shared" si="36"/>
        <v>-0.1488980010251153</v>
      </c>
      <c r="I169" s="16">
        <f t="shared" si="36"/>
        <v>-5.1189400782896688E-2</v>
      </c>
      <c r="J169" s="16">
        <f t="shared" si="36"/>
        <v>0.23135512535702962</v>
      </c>
      <c r="K169" s="16">
        <f t="shared" si="36"/>
        <v>-9.3041237113402064E-2</v>
      </c>
    </row>
    <row r="170" spans="1:11">
      <c r="A170" s="197" t="s">
        <v>200</v>
      </c>
      <c r="C170" s="16">
        <f t="shared" ref="C170:K170" si="37">C43/B43-1</f>
        <v>-0.29811320754716986</v>
      </c>
      <c r="D170" s="16">
        <f t="shared" si="37"/>
        <v>1.1989247311827955</v>
      </c>
      <c r="E170" s="16">
        <f t="shared" si="37"/>
        <v>0.27139364303178493</v>
      </c>
      <c r="F170" s="16">
        <f t="shared" si="37"/>
        <v>-0.48653846153846159</v>
      </c>
      <c r="G170" s="16">
        <f t="shared" si="37"/>
        <v>0.86516853932584259</v>
      </c>
      <c r="H170" s="16">
        <f t="shared" si="37"/>
        <v>-0.21084337349397586</v>
      </c>
      <c r="I170" s="16">
        <f t="shared" si="37"/>
        <v>-0.41730279898218825</v>
      </c>
      <c r="J170" s="16">
        <f t="shared" si="37"/>
        <v>0.39737991266375539</v>
      </c>
      <c r="K170" s="16">
        <f t="shared" si="37"/>
        <v>-0.38749999999999996</v>
      </c>
    </row>
    <row r="171" spans="1:11">
      <c r="A171" s="197" t="s">
        <v>201</v>
      </c>
      <c r="C171" s="16">
        <f t="shared" ref="C171:K171" si="38">C44/B44-1</f>
        <v>1.0389610389610389</v>
      </c>
      <c r="D171" s="16">
        <f t="shared" si="38"/>
        <v>0.10350318471337583</v>
      </c>
      <c r="E171" s="16">
        <f t="shared" si="38"/>
        <v>0.38961038961038952</v>
      </c>
      <c r="F171" s="16">
        <f t="shared" si="38"/>
        <v>0.38456213222568358</v>
      </c>
      <c r="G171" s="16">
        <f t="shared" si="38"/>
        <v>0.10000000000000009</v>
      </c>
      <c r="H171" s="16">
        <f t="shared" si="38"/>
        <v>-0.15590909090909089</v>
      </c>
      <c r="I171" s="16">
        <f t="shared" si="38"/>
        <v>-8.9929994614970421E-2</v>
      </c>
      <c r="J171" s="16">
        <f t="shared" si="38"/>
        <v>0.24260355029585789</v>
      </c>
      <c r="K171" s="16">
        <f t="shared" si="38"/>
        <v>-0.11547619047619051</v>
      </c>
    </row>
    <row r="172" spans="1:11">
      <c r="A172" s="196" t="s">
        <v>202</v>
      </c>
      <c r="C172" s="16" t="e">
        <f t="shared" ref="C172:K172" si="39">C45/B45-1</f>
        <v>#DIV/0!</v>
      </c>
      <c r="D172" s="16" t="e">
        <f t="shared" si="39"/>
        <v>#DIV/0!</v>
      </c>
      <c r="E172" s="16">
        <f t="shared" si="39"/>
        <v>-1</v>
      </c>
      <c r="F172" s="16" t="e">
        <f t="shared" si="39"/>
        <v>#DIV/0!</v>
      </c>
      <c r="G172" s="16" t="e">
        <f t="shared" si="39"/>
        <v>#DIV/0!</v>
      </c>
      <c r="H172" s="16" t="e">
        <f t="shared" si="39"/>
        <v>#DIV/0!</v>
      </c>
      <c r="I172" s="16" t="e">
        <f t="shared" si="39"/>
        <v>#DIV/0!</v>
      </c>
      <c r="J172" s="16" t="e">
        <f t="shared" si="39"/>
        <v>#DIV/0!</v>
      </c>
      <c r="K172" s="16" t="e">
        <f t="shared" si="39"/>
        <v>#DIV/0!</v>
      </c>
    </row>
    <row r="173" spans="1:11">
      <c r="A173" s="196" t="s">
        <v>203</v>
      </c>
      <c r="C173" s="16">
        <f t="shared" ref="C173:K173" si="40">C46/B46-1</f>
        <v>-17.970443349753694</v>
      </c>
      <c r="D173" s="16">
        <f t="shared" si="40"/>
        <v>0.144267053701016</v>
      </c>
      <c r="E173" s="16">
        <f t="shared" si="40"/>
        <v>-0.71714865550481988</v>
      </c>
      <c r="F173" s="16">
        <f t="shared" si="40"/>
        <v>-2.3515695067264577</v>
      </c>
      <c r="G173" s="16">
        <f t="shared" si="40"/>
        <v>-0.88254810882548107</v>
      </c>
      <c r="H173" s="16">
        <f t="shared" si="40"/>
        <v>-34.282485875706215</v>
      </c>
      <c r="I173" s="16">
        <f t="shared" si="40"/>
        <v>-1.4067221184858258</v>
      </c>
      <c r="J173" s="16">
        <f t="shared" si="40"/>
        <v>-1.1323038397328882</v>
      </c>
      <c r="K173" s="16">
        <f t="shared" si="40"/>
        <v>0.8391167192429021</v>
      </c>
    </row>
    <row r="174" spans="1:11">
      <c r="A174" s="197" t="s">
        <v>204</v>
      </c>
      <c r="C174" s="16">
        <f t="shared" ref="C174:K174" si="41">C47/B47-1</f>
        <v>12.802588996763754</v>
      </c>
      <c r="D174" s="16">
        <f t="shared" si="41"/>
        <v>-1.5777256740914418</v>
      </c>
      <c r="E174" s="16">
        <f t="shared" si="41"/>
        <v>-1.0685876623376624</v>
      </c>
      <c r="F174" s="16">
        <f t="shared" si="41"/>
        <v>-2.2071005917159763</v>
      </c>
      <c r="G174" s="16">
        <f t="shared" si="41"/>
        <v>-1</v>
      </c>
      <c r="H174" s="16" t="e">
        <f t="shared" si="41"/>
        <v>#DIV/0!</v>
      </c>
      <c r="I174" s="16">
        <f t="shared" si="41"/>
        <v>-0.94594594594594594</v>
      </c>
      <c r="J174" s="16">
        <f t="shared" si="41"/>
        <v>-197.5</v>
      </c>
      <c r="K174" s="16">
        <f t="shared" si="41"/>
        <v>-0.14503816793893132</v>
      </c>
    </row>
    <row r="175" spans="1:11">
      <c r="A175" s="197" t="s">
        <v>205</v>
      </c>
      <c r="C175" s="16" t="e">
        <f t="shared" ref="C175:K175" si="42">C48/B48-1</f>
        <v>#DIV/0!</v>
      </c>
      <c r="D175" s="16" t="e">
        <f t="shared" si="42"/>
        <v>#DIV/0!</v>
      </c>
      <c r="E175" s="16" t="e">
        <f t="shared" si="42"/>
        <v>#DIV/0!</v>
      </c>
      <c r="F175" s="16">
        <f t="shared" si="42"/>
        <v>0.74374133274943444</v>
      </c>
      <c r="G175" s="16">
        <f t="shared" si="42"/>
        <v>-0.40567577748943118</v>
      </c>
      <c r="H175" s="16">
        <f t="shared" si="42"/>
        <v>-0.2623424184801747</v>
      </c>
      <c r="I175" s="16">
        <f t="shared" si="42"/>
        <v>-0.50410540385717018</v>
      </c>
      <c r="J175" s="16">
        <f t="shared" si="42"/>
        <v>0.47497112052368107</v>
      </c>
      <c r="K175" s="16">
        <f t="shared" si="42"/>
        <v>0.69573162772484021</v>
      </c>
    </row>
    <row r="176" spans="1:11">
      <c r="A176" s="197" t="s">
        <v>206</v>
      </c>
      <c r="C176" s="16" t="e">
        <f t="shared" ref="C176:K176" si="43">C49/B49-1</f>
        <v>#DIV/0!</v>
      </c>
      <c r="D176" s="16" t="e">
        <f t="shared" si="43"/>
        <v>#DIV/0!</v>
      </c>
      <c r="E176" s="16" t="e">
        <f t="shared" si="43"/>
        <v>#DIV/0!</v>
      </c>
      <c r="F176" s="16">
        <f t="shared" si="43"/>
        <v>0.78059414720662135</v>
      </c>
      <c r="G176" s="16">
        <f t="shared" si="43"/>
        <v>-0.41070761568790204</v>
      </c>
      <c r="H176" s="16">
        <f t="shared" si="43"/>
        <v>-0.26755405310233116</v>
      </c>
      <c r="I176" s="16">
        <f t="shared" si="43"/>
        <v>-0.50096153846153846</v>
      </c>
      <c r="J176" s="16">
        <f t="shared" si="43"/>
        <v>0.627552986512524</v>
      </c>
      <c r="K176" s="16">
        <f t="shared" si="43"/>
        <v>0.61749733633242565</v>
      </c>
    </row>
    <row r="177" spans="1:11">
      <c r="A177" s="197" t="s">
        <v>207</v>
      </c>
      <c r="C177" s="16">
        <f t="shared" ref="C177:K177" si="44">C50/B50-1</f>
        <v>0.6015625</v>
      </c>
      <c r="D177" s="16">
        <f t="shared" si="44"/>
        <v>-8.8121951219512198</v>
      </c>
      <c r="E177" s="16">
        <f t="shared" si="44"/>
        <v>-0.85232594442709964</v>
      </c>
      <c r="F177" s="16">
        <f t="shared" si="44"/>
        <v>-2.3773784355179703</v>
      </c>
      <c r="G177" s="16">
        <f t="shared" si="44"/>
        <v>-0.86415963161933995</v>
      </c>
      <c r="H177" s="16">
        <f t="shared" si="44"/>
        <v>-33.864406779661017</v>
      </c>
      <c r="I177" s="16">
        <f t="shared" si="44"/>
        <v>-1.4125838060856111</v>
      </c>
      <c r="J177" s="16">
        <f t="shared" si="44"/>
        <v>-1.4595833333333332</v>
      </c>
      <c r="K177" s="16">
        <f t="shared" si="44"/>
        <v>0.13780598368087027</v>
      </c>
    </row>
    <row r="178" spans="1:11">
      <c r="A178" s="197" t="s">
        <v>208</v>
      </c>
      <c r="C178" s="16">
        <f t="shared" ref="C178:K178" si="45">C51/B51-1</f>
        <v>-0.38144329896907214</v>
      </c>
      <c r="D178" s="16">
        <f t="shared" si="45"/>
        <v>153.08333333333334</v>
      </c>
      <c r="E178" s="16">
        <f t="shared" si="45"/>
        <v>-0.86608977825851818</v>
      </c>
      <c r="F178" s="16">
        <f t="shared" si="45"/>
        <v>-0.97819063004846529</v>
      </c>
      <c r="G178" s="16">
        <f t="shared" si="45"/>
        <v>99.962962962962962</v>
      </c>
      <c r="H178" s="16">
        <f t="shared" si="45"/>
        <v>2.7142333088774762</v>
      </c>
      <c r="I178" s="16">
        <f t="shared" si="45"/>
        <v>-0.75140740740740741</v>
      </c>
      <c r="J178" s="16">
        <f t="shared" si="45"/>
        <v>0.17322208978943188</v>
      </c>
      <c r="K178" s="16">
        <f t="shared" si="45"/>
        <v>1.1175076193701283E-2</v>
      </c>
    </row>
    <row r="179" spans="1:11">
      <c r="A179" s="197" t="s">
        <v>209</v>
      </c>
      <c r="C179" s="16">
        <f t="shared" ref="C179:K179" si="46">C52/B52-1</f>
        <v>0.44499178981937604</v>
      </c>
      <c r="D179" s="16">
        <f t="shared" si="46"/>
        <v>2.2261363636363636</v>
      </c>
      <c r="E179" s="16">
        <f t="shared" si="46"/>
        <v>-0.89714688270517784</v>
      </c>
      <c r="F179" s="16">
        <f t="shared" si="46"/>
        <v>3.5547945205479454</v>
      </c>
      <c r="G179" s="16">
        <f t="shared" si="46"/>
        <v>1.1827067669172933</v>
      </c>
      <c r="H179" s="16">
        <f t="shared" si="46"/>
        <v>0.48398208749569416</v>
      </c>
      <c r="I179" s="16">
        <f t="shared" si="46"/>
        <v>0.14136490250696387</v>
      </c>
      <c r="J179" s="16">
        <f t="shared" si="46"/>
        <v>-0.62375432174089895</v>
      </c>
      <c r="K179" s="16">
        <f t="shared" si="46"/>
        <v>-6.4324324324324333E-2</v>
      </c>
    </row>
    <row r="180" spans="1:11">
      <c r="A180" s="196" t="s">
        <v>210</v>
      </c>
      <c r="C180" s="16">
        <f t="shared" ref="C180:K180" si="47">C53/B53-1</f>
        <v>-0.84</v>
      </c>
      <c r="D180" s="16">
        <f t="shared" si="47"/>
        <v>13.1875</v>
      </c>
      <c r="E180" s="16">
        <f t="shared" si="47"/>
        <v>-1.6299559471365639</v>
      </c>
      <c r="F180" s="16">
        <f t="shared" si="47"/>
        <v>-18.342657342657343</v>
      </c>
      <c r="G180" s="16">
        <f t="shared" si="47"/>
        <v>-1.0318548387096773</v>
      </c>
      <c r="H180" s="16">
        <f t="shared" si="47"/>
        <v>-0.25316455696202533</v>
      </c>
      <c r="I180" s="16">
        <f t="shared" si="47"/>
        <v>0.37288135593220328</v>
      </c>
      <c r="J180" s="16">
        <f t="shared" si="47"/>
        <v>-0.40740740740740744</v>
      </c>
      <c r="K180" s="16">
        <f t="shared" si="47"/>
        <v>-1.5833333333333335</v>
      </c>
    </row>
    <row r="181" spans="1:11">
      <c r="A181" s="197" t="s">
        <v>211</v>
      </c>
      <c r="C181" s="16">
        <f t="shared" ref="C181:K181" si="48">C54/B54-1</f>
        <v>-0.20588235294117652</v>
      </c>
      <c r="D181" s="16">
        <f t="shared" si="48"/>
        <v>-1</v>
      </c>
      <c r="E181" s="16" t="e">
        <f t="shared" si="48"/>
        <v>#DIV/0!</v>
      </c>
      <c r="F181" s="16" t="e">
        <f t="shared" si="48"/>
        <v>#DIV/0!</v>
      </c>
      <c r="G181" s="16" t="e">
        <f t="shared" si="48"/>
        <v>#DIV/0!</v>
      </c>
      <c r="H181" s="16" t="e">
        <f t="shared" si="48"/>
        <v>#DIV/0!</v>
      </c>
      <c r="I181" s="16" t="e">
        <f t="shared" si="48"/>
        <v>#DIV/0!</v>
      </c>
      <c r="J181" s="16" t="e">
        <f t="shared" si="48"/>
        <v>#DIV/0!</v>
      </c>
      <c r="K181" s="16" t="e">
        <f t="shared" si="48"/>
        <v>#DIV/0!</v>
      </c>
    </row>
    <row r="182" spans="1:11">
      <c r="A182" s="198" t="s">
        <v>212</v>
      </c>
      <c r="C182" s="16">
        <f t="shared" ref="C182:K182" si="49">C55/B55-1</f>
        <v>-1.0162852112676057</v>
      </c>
      <c r="D182" s="16">
        <f t="shared" si="49"/>
        <v>8.3513513513513509</v>
      </c>
      <c r="E182" s="16">
        <f t="shared" si="49"/>
        <v>-11.16184971098266</v>
      </c>
      <c r="F182" s="16">
        <f t="shared" si="49"/>
        <v>0.43117178612059148</v>
      </c>
      <c r="G182" s="16">
        <f t="shared" si="49"/>
        <v>0.31160572337042924</v>
      </c>
      <c r="H182" s="16">
        <f t="shared" si="49"/>
        <v>-0.98772727272727268</v>
      </c>
      <c r="I182" s="16">
        <f t="shared" si="49"/>
        <v>100.90123456790124</v>
      </c>
      <c r="J182" s="16">
        <f t="shared" si="49"/>
        <v>-0.23309910346498663</v>
      </c>
      <c r="K182" s="16">
        <f t="shared" si="49"/>
        <v>-8.9573459715639792E-2</v>
      </c>
    </row>
    <row r="183" spans="1:11">
      <c r="A183" s="200" t="s">
        <v>213</v>
      </c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>
      <c r="A184" s="196" t="s">
        <v>214</v>
      </c>
      <c r="C184" s="16">
        <f t="shared" ref="C184:K184" si="50">C57/B57-1</f>
        <v>0.61061946902654873</v>
      </c>
      <c r="D184" s="16">
        <f t="shared" si="50"/>
        <v>-0.79120879120879117</v>
      </c>
      <c r="E184" s="16">
        <f t="shared" si="50"/>
        <v>-3.9824561403508771</v>
      </c>
      <c r="F184" s="16">
        <f t="shared" si="50"/>
        <v>-1.5911764705882354</v>
      </c>
      <c r="G184" s="16">
        <f t="shared" si="50"/>
        <v>-1.0796019900497513</v>
      </c>
      <c r="H184" s="16">
        <f t="shared" si="50"/>
        <v>3.25</v>
      </c>
      <c r="I184" s="16">
        <f t="shared" si="50"/>
        <v>-1.5735294117647058</v>
      </c>
      <c r="J184" s="16">
        <f t="shared" si="50"/>
        <v>3.6923076923076925</v>
      </c>
      <c r="K184" s="16">
        <f t="shared" si="50"/>
        <v>-1.0765027322404372</v>
      </c>
    </row>
    <row r="185" spans="1:11">
      <c r="A185" s="200" t="s">
        <v>215</v>
      </c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>
      <c r="A186" s="198" t="s">
        <v>216</v>
      </c>
      <c r="C186" s="16">
        <f t="shared" ref="C186:K186" si="51">C59/B59-1</f>
        <v>-3.8007448789571696</v>
      </c>
      <c r="D186" s="16">
        <f t="shared" si="51"/>
        <v>-2.5877659574468086</v>
      </c>
      <c r="E186" s="16">
        <f t="shared" si="51"/>
        <v>-1.3283082077051926</v>
      </c>
      <c r="F186" s="16">
        <f t="shared" si="51"/>
        <v>-3.8418367346938775</v>
      </c>
      <c r="G186" s="16">
        <f t="shared" si="51"/>
        <v>-1.0987432675044884</v>
      </c>
      <c r="H186" s="16">
        <f t="shared" si="51"/>
        <v>-24.672727272727272</v>
      </c>
      <c r="I186" s="16">
        <f t="shared" si="51"/>
        <v>-1.6367127496159755</v>
      </c>
      <c r="J186" s="16">
        <f t="shared" si="51"/>
        <v>-0.59831121833534384</v>
      </c>
      <c r="K186" s="16">
        <f t="shared" si="51"/>
        <v>0.27777777777777768</v>
      </c>
    </row>
    <row r="187" spans="1:11">
      <c r="A187" s="197" t="s">
        <v>217</v>
      </c>
      <c r="C187" s="16">
        <f t="shared" ref="C187:K187" si="52">C60/B60-1</f>
        <v>-3.8007448789571696</v>
      </c>
      <c r="D187" s="16">
        <f t="shared" si="52"/>
        <v>-2.5877659574468086</v>
      </c>
      <c r="E187" s="16">
        <f t="shared" si="52"/>
        <v>-1.3283082077051926</v>
      </c>
      <c r="F187" s="16">
        <f t="shared" si="52"/>
        <v>-3.8418367346938775</v>
      </c>
      <c r="G187" s="16">
        <f t="shared" si="52"/>
        <v>-1.0987432675044884</v>
      </c>
      <c r="H187" s="16">
        <f t="shared" si="52"/>
        <v>-24.672727272727272</v>
      </c>
      <c r="I187" s="16">
        <f t="shared" si="52"/>
        <v>-1.6367127496159755</v>
      </c>
      <c r="J187" s="16">
        <f t="shared" si="52"/>
        <v>-0.59831121833534384</v>
      </c>
      <c r="K187" s="16">
        <f t="shared" si="52"/>
        <v>0.27777777777777768</v>
      </c>
    </row>
    <row r="188" spans="1:11">
      <c r="A188" s="196" t="s">
        <v>218</v>
      </c>
      <c r="C188" s="16">
        <f t="shared" ref="C188:K188" si="53">C61/B61-1</f>
        <v>8.3618810339458172E-2</v>
      </c>
      <c r="D188" s="16">
        <f t="shared" si="53"/>
        <v>-0.21612300617904867</v>
      </c>
      <c r="E188" s="16">
        <f t="shared" si="53"/>
        <v>0.43776351970669114</v>
      </c>
      <c r="F188" s="16">
        <f t="shared" si="53"/>
        <v>-9.9961749330613303E-2</v>
      </c>
      <c r="G188" s="16">
        <f t="shared" si="53"/>
        <v>0.315625442697266</v>
      </c>
      <c r="H188" s="16">
        <f t="shared" si="53"/>
        <v>-2.3689027673091445E-2</v>
      </c>
      <c r="I188" s="16">
        <f t="shared" si="53"/>
        <v>0.57439064740266899</v>
      </c>
      <c r="J188" s="16">
        <f t="shared" si="53"/>
        <v>-0.2322942206654991</v>
      </c>
      <c r="K188" s="16">
        <f t="shared" si="53"/>
        <v>-0.12154393649055573</v>
      </c>
    </row>
    <row r="189" spans="1:11">
      <c r="A189" s="196" t="s">
        <v>219</v>
      </c>
      <c r="C189" s="16">
        <f t="shared" ref="C189:K189" si="54">C62/B62-1</f>
        <v>-0.21612300617904867</v>
      </c>
      <c r="D189" s="16">
        <f t="shared" si="54"/>
        <v>0.43776351970669114</v>
      </c>
      <c r="E189" s="16">
        <f t="shared" si="54"/>
        <v>-9.9961749330613303E-2</v>
      </c>
      <c r="F189" s="16">
        <f t="shared" si="54"/>
        <v>0.315625442697266</v>
      </c>
      <c r="G189" s="16">
        <f t="shared" si="54"/>
        <v>-2.3689027673091445E-2</v>
      </c>
      <c r="H189" s="16">
        <f t="shared" si="54"/>
        <v>0.57439064740266899</v>
      </c>
      <c r="I189" s="16">
        <f t="shared" si="54"/>
        <v>-0.2322942206654991</v>
      </c>
      <c r="J189" s="16">
        <f t="shared" si="54"/>
        <v>-0.12154393649055573</v>
      </c>
      <c r="K189" s="16">
        <f t="shared" si="54"/>
        <v>-0.17679443232575054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M111"/>
  <sheetViews>
    <sheetView workbookViewId="0"/>
  </sheetViews>
  <sheetFormatPr defaultColWidth="12.6328125" defaultRowHeight="15" customHeight="1"/>
  <cols>
    <col min="1" max="1" width="23.90625" customWidth="1"/>
  </cols>
  <sheetData>
    <row r="2" spans="1:13" ht="15" customHeight="1">
      <c r="A2" s="204" t="s">
        <v>222</v>
      </c>
      <c r="B2" s="205"/>
      <c r="C2" s="205"/>
      <c r="D2" s="206"/>
      <c r="E2" s="206"/>
      <c r="F2" s="205"/>
      <c r="G2" s="205"/>
      <c r="H2" s="205"/>
      <c r="I2" s="205"/>
      <c r="J2" s="205"/>
      <c r="K2" s="205"/>
      <c r="L2" s="205"/>
      <c r="M2" s="207"/>
    </row>
    <row r="3" spans="1:13">
      <c r="B3" s="1"/>
      <c r="C3" s="1"/>
      <c r="D3" s="1"/>
      <c r="E3" s="1"/>
      <c r="F3" s="1"/>
    </row>
    <row r="4" spans="1:13">
      <c r="A4" s="208" t="s">
        <v>223</v>
      </c>
      <c r="B4" s="209">
        <v>2014</v>
      </c>
      <c r="C4" s="210">
        <v>2015</v>
      </c>
      <c r="D4" s="210">
        <v>2016</v>
      </c>
      <c r="E4" s="210">
        <v>2017</v>
      </c>
      <c r="F4" s="210">
        <v>2018</v>
      </c>
      <c r="G4" s="210">
        <v>2019</v>
      </c>
      <c r="H4" s="210">
        <v>2020</v>
      </c>
      <c r="I4" s="210">
        <v>2021</v>
      </c>
      <c r="J4" s="210">
        <v>2022</v>
      </c>
      <c r="K4" s="210">
        <v>2023</v>
      </c>
      <c r="L4" s="211"/>
      <c r="M4" s="212" t="s">
        <v>224</v>
      </c>
    </row>
    <row r="5" spans="1:13">
      <c r="A5" s="213" t="s">
        <v>225</v>
      </c>
      <c r="B5" s="16">
        <f>'Income Statement'!B12/'Income Statement'!B7</f>
        <v>0.2815709819877934</v>
      </c>
      <c r="C5" s="16">
        <f>'Income Statement'!C12/'Income Statement'!C7</f>
        <v>0.30673129260516835</v>
      </c>
      <c r="D5" s="16">
        <f>'Income Statement'!D12/'Income Statement'!D7</f>
        <v>0.30919546079079946</v>
      </c>
      <c r="E5" s="16">
        <f>'Income Statement'!E12/'Income Statement'!E7</f>
        <v>0.31970691271525137</v>
      </c>
      <c r="F5" s="16">
        <f>'Income Statement'!F12/'Income Statement'!F7</f>
        <v>0.30515286349935411</v>
      </c>
      <c r="G5" s="16">
        <f>'Income Statement'!G12/'Income Statement'!G7</f>
        <v>0.3369745838895094</v>
      </c>
      <c r="H5" s="16">
        <f>'Income Statement'!H12/'Income Statement'!H7</f>
        <v>0.32074026411741274</v>
      </c>
      <c r="I5" s="16">
        <f>'Income Statement'!I12/'Income Statement'!I7</f>
        <v>0.35854268434519654</v>
      </c>
      <c r="J5" s="16">
        <f>'Income Statement'!J12/'Income Statement'!J7</f>
        <v>0.36990356961597021</v>
      </c>
      <c r="K5" s="16">
        <f>'Income Statement'!K12/'Income Statement'!K7</f>
        <v>0.3727838088483989</v>
      </c>
      <c r="L5" s="214"/>
      <c r="M5" s="140" t="s">
        <v>226</v>
      </c>
    </row>
    <row r="6" spans="1:13">
      <c r="A6" s="213" t="s">
        <v>227</v>
      </c>
      <c r="B6" s="16">
        <f>'Income Statement'!B17/'Income Statement'!B7</f>
        <v>0.15223539919614945</v>
      </c>
      <c r="C6" s="16">
        <f>'Income Statement'!C17/'Income Statement'!C7</f>
        <v>0.1787408309789793</v>
      </c>
      <c r="D6" s="16">
        <f>'Income Statement'!D17/'Income Statement'!D7</f>
        <v>0.17263752480789782</v>
      </c>
      <c r="E6" s="16">
        <f>'Income Statement'!E17/'Income Statement'!E7</f>
        <v>0.17807272906695615</v>
      </c>
      <c r="F6" s="16">
        <f>'Income Statement'!F17/'Income Statement'!F7</f>
        <v>0.1878857470934405</v>
      </c>
      <c r="G6" s="16">
        <f>'Income Statement'!G17/'Income Statement'!G7</f>
        <v>0.21564194066850093</v>
      </c>
      <c r="H6" s="16">
        <f>'Income Statement'!H17/'Income Statement'!H7</f>
        <v>0.1952078928823115</v>
      </c>
      <c r="I6" s="16">
        <f>'Income Statement'!I17/'Income Statement'!I7</f>
        <v>0.22034193998604326</v>
      </c>
      <c r="J6" s="16">
        <f>'Income Statement'!J17/'Income Statement'!J7</f>
        <v>0.19153555517960863</v>
      </c>
      <c r="K6" s="16">
        <f>'Income Statement'!K17/'Income Statement'!K7</f>
        <v>0.21613659920353501</v>
      </c>
      <c r="L6" s="215"/>
      <c r="M6" s="140" t="s">
        <v>228</v>
      </c>
    </row>
    <row r="7" spans="1:13">
      <c r="A7" s="213" t="s">
        <v>229</v>
      </c>
      <c r="B7" s="16">
        <f>('Income Statement'!B20+'Cash Flow'!B8+'Cash Flow'!B9+'Cash Flow'!B10)/'Income Statement'!B7</f>
        <v>0.19019500818736665</v>
      </c>
      <c r="C7" s="16">
        <f>('Income Statement'!C20+'Cash Flow'!C8+'Cash Flow'!C9+'Cash Flow'!C10)/'Income Statement'!C7</f>
        <v>0.2164796143179285</v>
      </c>
      <c r="D7" s="16">
        <f>('Income Statement'!D20+'Cash Flow'!D8+'Cash Flow'!D9+'Cash Flow'!D10)/'Income Statement'!D7</f>
        <v>0.21645208895221618</v>
      </c>
      <c r="E7" s="16">
        <f>('Income Statement'!E20+'Cash Flow'!E8+'Cash Flow'!E9+'Cash Flow'!E10)/'Income Statement'!E7</f>
        <v>0.22529234716534269</v>
      </c>
      <c r="F7" s="16">
        <f>('Income Statement'!F20+'Cash Flow'!F8+'Cash Flow'!F9+'Cash Flow'!F10)/'Income Statement'!F7</f>
        <v>0.23250083728051291</v>
      </c>
      <c r="G7" s="16">
        <f>('Income Statement'!G20+'Cash Flow'!G8+'Cash Flow'!G9+'Cash Flow'!G10)/'Income Statement'!G7</f>
        <v>0.26519382167860744</v>
      </c>
      <c r="H7" s="16">
        <f>('Income Statement'!H20+'Cash Flow'!H8+'Cash Flow'!H9+'Cash Flow'!H10)/'Income Statement'!H7</f>
        <v>0.24561080981707878</v>
      </c>
      <c r="I7" s="16">
        <f>('Income Statement'!I20+'Cash Flow'!I8+'Cash Flow'!I9+'Cash Flow'!I10)/'Income Statement'!I7</f>
        <v>0.28148988136775993</v>
      </c>
      <c r="J7" s="16">
        <f>('Income Statement'!J20+'Cash Flow'!J8+'Cash Flow'!J9+'Cash Flow'!J10)/'Income Statement'!J7</f>
        <v>0.24775841651158856</v>
      </c>
      <c r="K7" s="16">
        <f>('Income Statement'!K20+'Cash Flow'!K8+'Cash Flow'!K9+'Cash Flow'!K10)/'Income Statement'!K7</f>
        <v>0.25942392668157765</v>
      </c>
      <c r="L7" s="216"/>
      <c r="M7" s="140" t="s">
        <v>230</v>
      </c>
    </row>
    <row r="8" spans="1:13">
      <c r="A8" s="213" t="s">
        <v>231</v>
      </c>
      <c r="B8" s="16">
        <f>'Income Statement'!B22/'Income Statement'!B7</f>
        <v>0.10740336426338511</v>
      </c>
      <c r="C8" s="16">
        <f>'Income Statement'!C22/'Income Statement'!C7</f>
        <v>0.12563178766750474</v>
      </c>
      <c r="D8" s="16">
        <f>'Income Statement'!D22/'Income Statement'!D7</f>
        <v>0.12330161314945805</v>
      </c>
      <c r="E8" s="16">
        <f>'Income Statement'!E22/'Income Statement'!E7</f>
        <v>4.1890758375684609E-2</v>
      </c>
      <c r="F8" s="16">
        <f>'Income Statement'!F22/'Income Statement'!F7</f>
        <v>0.16334146691545859</v>
      </c>
      <c r="G8" s="16">
        <f>'Income Statement'!G22/'Income Statement'!G7</f>
        <v>0.16971314936391621</v>
      </c>
      <c r="H8" s="16">
        <f>'Income Statement'!H22/'Income Statement'!H7</f>
        <v>0.14906394582835433</v>
      </c>
      <c r="I8" s="16">
        <f>'Income Statement'!I22/'Income Statement'!I7</f>
        <v>0.16311933007676205</v>
      </c>
      <c r="J8" s="16">
        <f>'Income Statement'!J22/'Income Statement'!J7</f>
        <v>0.14004962499295098</v>
      </c>
      <c r="K8" s="16">
        <f>'Income Statement'!K22/'Income Statement'!K7</f>
        <v>0.15471059953084937</v>
      </c>
      <c r="L8" s="215"/>
      <c r="M8" s="140" t="s">
        <v>232</v>
      </c>
    </row>
    <row r="9" spans="1:13">
      <c r="A9" s="213" t="s">
        <v>233</v>
      </c>
      <c r="B9" s="16">
        <f>('Income Statement'!B7*(1-'Income Statement'!B28))/('Balance Sheet'!B19)</f>
        <v>0.65984225972100896</v>
      </c>
      <c r="C9" s="16">
        <f>('Income Statement'!C7*(1-'Income Statement'!C28))/('Balance Sheet'!C19)</f>
        <v>0.57575395454764999</v>
      </c>
      <c r="D9" s="16">
        <f>('Income Statement'!D7*(1-'Income Statement'!D28))/('Balance Sheet'!D19)</f>
        <v>0.54559956070951021</v>
      </c>
      <c r="E9" s="16">
        <f>('Income Statement'!E7*(1-'Income Statement'!E28))/('Balance Sheet'!E19)</f>
        <v>0.1676811545547926</v>
      </c>
      <c r="F9" s="16">
        <f>('Income Statement'!F7*(1-'Income Statement'!F28))/('Balance Sheet'!F19)</f>
        <v>0.65986914316400203</v>
      </c>
      <c r="G9" s="16">
        <f>('Income Statement'!G7*(1-'Income Statement'!G28))/('Balance Sheet'!G19)</f>
        <v>0.51560076281122946</v>
      </c>
      <c r="H9" s="16">
        <f>('Income Statement'!H7*(1-'Income Statement'!H28))/('Balance Sheet'!H19)</f>
        <v>0.4089175178271951</v>
      </c>
      <c r="I9" s="16">
        <f>('Income Statement'!I7*(1-'Income Statement'!I28))/('Balance Sheet'!I19)</f>
        <v>0.41364148413800733</v>
      </c>
      <c r="J9" s="16">
        <f>('Income Statement'!J7*(1-'Income Statement'!J28))/('Balance Sheet'!J19)</f>
        <v>0.4434452745985249</v>
      </c>
      <c r="K9" s="16">
        <f>('Income Statement'!K7*(1-'Income Statement'!K28))/('Balance Sheet'!K19)</f>
        <v>0.47211564294600744</v>
      </c>
      <c r="L9" s="215"/>
      <c r="M9" s="140" t="s">
        <v>234</v>
      </c>
    </row>
    <row r="10" spans="1:13">
      <c r="A10" s="213" t="s">
        <v>235</v>
      </c>
      <c r="B10" s="16">
        <f>'Income Statement'!B22/'Balance Sheet'!B42</f>
        <v>0.24342105263157895</v>
      </c>
      <c r="C10" s="16">
        <f>'Income Statement'!C22/'Balance Sheet'!C42</f>
        <v>0.26316646758605711</v>
      </c>
      <c r="D10" s="16">
        <f>'Income Statement'!D22/'Balance Sheet'!D42</f>
        <v>0.24791528111730701</v>
      </c>
      <c r="E10" s="16">
        <f>'Income Statement'!E22/'Balance Sheet'!E42</f>
        <v>0.10189018901890189</v>
      </c>
      <c r="F10" s="16">
        <f>'Income Statement'!F22/'Balance Sheet'!F42</f>
        <v>0.37193594073428476</v>
      </c>
      <c r="G10" s="16">
        <f>'Income Statement'!G22/'Balance Sheet'!G42</f>
        <v>0.33304821982251687</v>
      </c>
      <c r="H10" s="16">
        <f>'Income Statement'!H22/'Balance Sheet'!H42</f>
        <v>0.27346824058459807</v>
      </c>
      <c r="I10" s="16">
        <f>'Income Statement'!I22/'Balance Sheet'!I42</f>
        <v>0.29154973495478642</v>
      </c>
      <c r="J10" s="16">
        <f>'Income Statement'!J22/'Balance Sheet'!J42</f>
        <v>0.28679484958715862</v>
      </c>
      <c r="K10" s="16">
        <f>'Income Statement'!K22/'Balance Sheet'!K42</f>
        <v>0.34513812827065837</v>
      </c>
      <c r="L10" s="215"/>
      <c r="M10" s="140" t="s">
        <v>236</v>
      </c>
    </row>
    <row r="11" spans="1:13">
      <c r="A11" s="213" t="s">
        <v>237</v>
      </c>
      <c r="H11" s="216"/>
      <c r="I11" s="216"/>
      <c r="J11" s="216"/>
      <c r="K11" s="216"/>
      <c r="L11" s="216"/>
      <c r="M11" s="140" t="s">
        <v>238</v>
      </c>
    </row>
    <row r="12" spans="1:13">
      <c r="A12" s="92"/>
      <c r="H12" s="216"/>
      <c r="I12" s="216"/>
      <c r="J12" s="216"/>
      <c r="K12" s="216"/>
      <c r="L12" s="216"/>
      <c r="M12" s="217" t="s">
        <v>239</v>
      </c>
    </row>
    <row r="13" spans="1:13">
      <c r="A13" s="208" t="s">
        <v>240</v>
      </c>
      <c r="B13" s="218"/>
      <c r="C13" s="218"/>
      <c r="D13" s="218"/>
      <c r="E13" s="218"/>
      <c r="F13" s="218"/>
      <c r="G13" s="218"/>
      <c r="H13" s="219"/>
      <c r="I13" s="219"/>
      <c r="J13" s="219"/>
      <c r="K13" s="219"/>
      <c r="L13" s="220"/>
    </row>
    <row r="14" spans="1:13">
      <c r="A14" s="213" t="s">
        <v>241</v>
      </c>
      <c r="B14" s="221">
        <f>'Balance Sheet'!B11/'Balance Sheet'!B26</f>
        <v>1.5021322683273539</v>
      </c>
      <c r="C14" s="221">
        <f>'Balance Sheet'!C11/'Balance Sheet'!C26</f>
        <v>1.0915573458167764</v>
      </c>
      <c r="D14" s="221">
        <f>'Balance Sheet'!D11/'Balance Sheet'!D26</f>
        <v>1.4119159879982854</v>
      </c>
      <c r="E14" s="221">
        <f>'Balance Sheet'!E11/'Balance Sheet'!E26</f>
        <v>1.3786119505858649</v>
      </c>
      <c r="F14" s="221">
        <f>'Balance Sheet'!F11/'Balance Sheet'!F26</f>
        <v>1.2873599661805115</v>
      </c>
      <c r="G14" s="221">
        <f>'Balance Sheet'!G11/'Balance Sheet'!G26</f>
        <v>1.3428555641507349</v>
      </c>
      <c r="H14" s="221">
        <f>'Balance Sheet'!H11/'Balance Sheet'!H26</f>
        <v>1.4676772412356098</v>
      </c>
      <c r="I14" s="221">
        <f>'Balance Sheet'!I11/'Balance Sheet'!I26</f>
        <v>1.3005946278449867</v>
      </c>
      <c r="J14" s="221">
        <f>'Balance Sheet'!J11/'Balance Sheet'!J26</f>
        <v>1.2529842511786538</v>
      </c>
      <c r="K14" s="221">
        <f>'Balance Sheet'!K11/'Balance Sheet'!K26</f>
        <v>1.2677059172555154</v>
      </c>
      <c r="L14" s="215"/>
    </row>
    <row r="15" spans="1:13">
      <c r="A15" s="213" t="s">
        <v>242</v>
      </c>
      <c r="B15" s="221">
        <f>('Balance Sheet'!B6+'Balance Sheet'!B7+'Balance Sheet'!B8)/'Balance Sheet'!B26</f>
        <v>1.3080620050091383</v>
      </c>
      <c r="C15" s="221">
        <f>('Balance Sheet'!C6+'Balance Sheet'!C7+'Balance Sheet'!C8)/'Balance Sheet'!C26</f>
        <v>0.97708344673670455</v>
      </c>
      <c r="D15" s="221">
        <f>('Balance Sheet'!D6+'Balance Sheet'!D7+'Balance Sheet'!D8)/'Balance Sheet'!D26</f>
        <v>1.074030984018125</v>
      </c>
      <c r="E15" s="221">
        <f>('Balance Sheet'!E6+'Balance Sheet'!E7+'Balance Sheet'!E8)/'Balance Sheet'!E26</f>
        <v>1.0435819945920153</v>
      </c>
      <c r="F15" s="221">
        <f>('Balance Sheet'!F6+'Balance Sheet'!F7+'Balance Sheet'!F8)/'Balance Sheet'!F26</f>
        <v>0.97326146692031279</v>
      </c>
      <c r="G15" s="221">
        <f>('Balance Sheet'!G6+'Balance Sheet'!G7+'Balance Sheet'!G8)/'Balance Sheet'!G26</f>
        <v>0.98955685711128305</v>
      </c>
      <c r="H15" s="221">
        <f>('Balance Sheet'!H6+'Balance Sheet'!H7+'Balance Sheet'!H8)/'Balance Sheet'!H26</f>
        <v>1.1484606969839037</v>
      </c>
      <c r="I15" s="221">
        <f>('Balance Sheet'!I6+'Balance Sheet'!I7+'Balance Sheet'!I8)/'Balance Sheet'!I26</f>
        <v>0.94079352060693044</v>
      </c>
      <c r="J15" s="221">
        <f>('Balance Sheet'!J6+'Balance Sheet'!J7+'Balance Sheet'!J8)/'Balance Sheet'!J26</f>
        <v>0.88022870899789352</v>
      </c>
      <c r="K15" s="221">
        <f>('Balance Sheet'!K6+'Balance Sheet'!K7+'Balance Sheet'!K8)/'Balance Sheet'!K26</f>
        <v>0.84281784346512756</v>
      </c>
      <c r="L15" s="221"/>
    </row>
    <row r="16" spans="1:13">
      <c r="A16" s="92"/>
      <c r="H16" s="215"/>
      <c r="I16" s="215"/>
      <c r="J16" s="215"/>
      <c r="K16" s="215"/>
      <c r="L16" s="215"/>
    </row>
    <row r="17" spans="1:13">
      <c r="A17" s="208" t="s">
        <v>243</v>
      </c>
      <c r="B17" s="218"/>
      <c r="C17" s="218"/>
      <c r="D17" s="218"/>
      <c r="E17" s="218"/>
      <c r="F17" s="218"/>
      <c r="G17" s="218"/>
      <c r="H17" s="218"/>
      <c r="I17" s="218"/>
      <c r="J17" s="218"/>
      <c r="K17" s="218"/>
      <c r="L17" s="222"/>
    </row>
    <row r="18" spans="1:13">
      <c r="A18" s="213" t="s">
        <v>244</v>
      </c>
      <c r="B18" s="221">
        <f>'Balance Sheet'!B19/'Balance Sheet'!B42</f>
        <v>2.5557242465137202</v>
      </c>
      <c r="C18" s="221">
        <f>'Balance Sheet'!C19/'Balance Sheet'!C42</f>
        <v>2.6775980019546095</v>
      </c>
      <c r="D18" s="221">
        <f>'Balance Sheet'!D19/'Balance Sheet'!D42</f>
        <v>2.770041438583926</v>
      </c>
      <c r="E18" s="221">
        <f>'Balance Sheet'!E19/'Balance Sheet'!E42</f>
        <v>3.5685568556855687</v>
      </c>
      <c r="F18" s="221">
        <f>'Balance Sheet'!F19/'Balance Sheet'!F42</f>
        <v>3.1470203725896067</v>
      </c>
      <c r="G18" s="221">
        <f>'Balance Sheet'!G19/'Balance Sheet'!G42</f>
        <v>3.1369079439751952</v>
      </c>
      <c r="H18" s="221">
        <f>'Balance Sheet'!H19/'Balance Sheet'!H42</f>
        <v>3.6304665542439571</v>
      </c>
      <c r="I18" s="221">
        <f>'Balance Sheet'!I19/'Balance Sheet'!I42</f>
        <v>3.3504833177424382</v>
      </c>
      <c r="J18" s="221">
        <f>'Balance Sheet'!J19/'Balance Sheet'!J42</f>
        <v>3.595761880016167</v>
      </c>
      <c r="K18" s="221">
        <f>'Balance Sheet'!K19/'Balance Sheet'!K42</f>
        <v>3.7437629305099183</v>
      </c>
      <c r="L18" s="216"/>
    </row>
    <row r="19" spans="1:13">
      <c r="A19" s="213" t="s">
        <v>245</v>
      </c>
      <c r="B19" s="221">
        <f>('Balance Sheet'!B23+'Balance Sheet'!B27+'Balance Sheet'!B24)/'Balance Sheet'!B42</f>
        <v>0.48824786324786323</v>
      </c>
      <c r="C19" s="221">
        <f>('Balance Sheet'!C23+'Balance Sheet'!C27+'Balance Sheet'!C24)/'Balance Sheet'!C42</f>
        <v>0.65522858073623624</v>
      </c>
      <c r="D19" s="221">
        <f>('Balance Sheet'!D23+'Balance Sheet'!D27+'Balance Sheet'!D24)/'Balance Sheet'!D42</f>
        <v>0.80702921164373054</v>
      </c>
      <c r="E19" s="221">
        <f>('Balance Sheet'!E23+'Balance Sheet'!E27+'Balance Sheet'!E24)/'Balance Sheet'!E42</f>
        <v>1.073027302730273</v>
      </c>
      <c r="F19" s="221">
        <f>('Balance Sheet'!F23+'Balance Sheet'!F27+'Balance Sheet'!F24)/'Balance Sheet'!F42</f>
        <v>0.88321167883211682</v>
      </c>
      <c r="G19" s="221">
        <f>('Balance Sheet'!G23+'Balance Sheet'!G27+'Balance Sheet'!G24)/'Balance Sheet'!G42</f>
        <v>0.85544745001603761</v>
      </c>
      <c r="H19" s="221">
        <f>('Balance Sheet'!H23+'Balance Sheet'!H27+'Balance Sheet'!H24)/'Balance Sheet'!H42</f>
        <v>1.2582349634626195</v>
      </c>
      <c r="I19" s="221">
        <f>('Balance Sheet'!I23+'Balance Sheet'!I27+'Balance Sheet'!I24)/'Balance Sheet'!I42</f>
        <v>1.0185531649516681</v>
      </c>
      <c r="J19" s="221">
        <f>('Balance Sheet'!J23+'Balance Sheet'!J27+'Balance Sheet'!J24)/'Balance Sheet'!J42</f>
        <v>1.1299728621744904</v>
      </c>
      <c r="K19" s="221">
        <f>('Balance Sheet'!K23+'Balance Sheet'!K27+'Balance Sheet'!K24)/'Balance Sheet'!K42</f>
        <v>1.243945478885238</v>
      </c>
      <c r="L19" s="215"/>
    </row>
    <row r="20" spans="1:13">
      <c r="A20" s="213" t="s">
        <v>246</v>
      </c>
      <c r="B20" s="221">
        <f>'Balance Sheet'!B27/('Balance Sheet'!B27+'Balance Sheet'!B83)</f>
        <v>0.9999352872644689</v>
      </c>
      <c r="C20" s="221">
        <f>'Balance Sheet'!C27/('Balance Sheet'!C27+'Balance Sheet'!C83)</f>
        <v>0.99993276126303432</v>
      </c>
      <c r="D20" s="221">
        <f>'Balance Sheet'!D27/('Balance Sheet'!D27+'Balance Sheet'!D83)</f>
        <v>0.99997036654638594</v>
      </c>
      <c r="E20" s="221">
        <f>'Balance Sheet'!E27/('Balance Sheet'!E27+'Balance Sheet'!E83)</f>
        <v>0.99997771263197266</v>
      </c>
      <c r="F20" s="221">
        <f>'Balance Sheet'!F27/('Balance Sheet'!F27+'Balance Sheet'!F83)</f>
        <v>0.99996743024370927</v>
      </c>
      <c r="G20" s="221">
        <f>'Balance Sheet'!G27/('Balance Sheet'!G27+'Balance Sheet'!G83)</f>
        <v>0.99997130728095796</v>
      </c>
      <c r="H20" s="221">
        <f>'Balance Sheet'!H27/('Balance Sheet'!H27+'Balance Sheet'!H83)</f>
        <v>0.9999831451444976</v>
      </c>
      <c r="I20" s="221">
        <f>'Balance Sheet'!I27/('Balance Sheet'!I27+'Balance Sheet'!I83)</f>
        <v>0.99997906144572513</v>
      </c>
      <c r="J20" s="221">
        <f>'Balance Sheet'!J27/('Balance Sheet'!J27+'Balance Sheet'!J83)</f>
        <v>0.99998161078724412</v>
      </c>
      <c r="K20" s="221">
        <f>'Balance Sheet'!K27/('Balance Sheet'!K27+'Balance Sheet'!K83)</f>
        <v>0.99998387232081654</v>
      </c>
      <c r="L20" s="215"/>
    </row>
    <row r="21" spans="1:13" ht="14.5">
      <c r="A21" s="213" t="s">
        <v>247</v>
      </c>
      <c r="B21" s="221">
        <f>'Balance Sheet'!B33/'Balance Sheet'!B42</f>
        <v>2.3864147548358075</v>
      </c>
      <c r="C21" s="221">
        <f>'Balance Sheet'!C33/'Balance Sheet'!C42</f>
        <v>2.675046150504941</v>
      </c>
      <c r="D21" s="221">
        <f>'Balance Sheet'!D33/'Balance Sheet'!D42</f>
        <v>2.6055149127743387</v>
      </c>
      <c r="E21" s="221">
        <f>'Balance Sheet'!E33/'Balance Sheet'!E42</f>
        <v>3.7003300330033002</v>
      </c>
      <c r="F21" s="221">
        <f>'Balance Sheet'!F33/'Balance Sheet'!F42</f>
        <v>3.1778516178232925</v>
      </c>
      <c r="G21" s="221">
        <f>'Balance Sheet'!G33/'Balance Sheet'!G42</f>
        <v>3.1044050037421149</v>
      </c>
      <c r="H21" s="221">
        <f>'Balance Sheet'!H33/'Balance Sheet'!H42</f>
        <v>3.70955593029792</v>
      </c>
      <c r="I21" s="221">
        <f>'Balance Sheet'!I33/'Balance Sheet'!I42</f>
        <v>3.3643072445691717</v>
      </c>
      <c r="J21" s="221">
        <f>'Balance Sheet'!J33/'Balance Sheet'!J42</f>
        <v>3.746983082164097</v>
      </c>
      <c r="K21" s="221">
        <f>'Balance Sheet'!K33/'Balance Sheet'!K42</f>
        <v>3.8718510405257391</v>
      </c>
      <c r="L21" s="223"/>
    </row>
    <row r="22" spans="1:13" ht="14.5">
      <c r="A22" s="213" t="s">
        <v>248</v>
      </c>
      <c r="B22" s="224">
        <f>('Balance Sheet'!B23+'Balance Sheet'!B27+'Balance Sheet'!B24)/('Balance Sheet'!B42+'Balance Sheet'!B23+'Balance Sheet'!B27+'Balance Sheet'!B24)</f>
        <v>0.32806891600861449</v>
      </c>
      <c r="C22" s="224">
        <f>('Balance Sheet'!C23+'Balance Sheet'!C27+'Balance Sheet'!C24)/('Balance Sheet'!C42+'Balance Sheet'!C23+'Balance Sheet'!C27+'Balance Sheet'!C24)</f>
        <v>0.39585383454700518</v>
      </c>
      <c r="D22" s="224">
        <f>('Balance Sheet'!D23+'Balance Sheet'!D27+'Balance Sheet'!D24)/('Balance Sheet'!D42+'Balance Sheet'!D23+'Balance Sheet'!D27+'Balance Sheet'!D24)</f>
        <v>0.44660551497650192</v>
      </c>
      <c r="E22" s="224">
        <f>('Balance Sheet'!E23+'Balance Sheet'!E27+'Balance Sheet'!E24)/('Balance Sheet'!E42+'Balance Sheet'!E23+'Balance Sheet'!E27+'Balance Sheet'!E24)</f>
        <v>0.51761368570353428</v>
      </c>
      <c r="F22" s="224">
        <f>('Balance Sheet'!F23+'Balance Sheet'!F27+'Balance Sheet'!F24)/('Balance Sheet'!F42+'Balance Sheet'!F23+'Balance Sheet'!F27+'Balance Sheet'!F24)</f>
        <v>0.4689922480620155</v>
      </c>
      <c r="G22" s="224">
        <f>('Balance Sheet'!G23+'Balance Sheet'!G27+'Balance Sheet'!G24)/('Balance Sheet'!G42+'Balance Sheet'!G23+'Balance Sheet'!G27+'Balance Sheet'!G24)</f>
        <v>0.46104644462371785</v>
      </c>
      <c r="H22" s="224">
        <f>('Balance Sheet'!H23+'Balance Sheet'!H27+'Balance Sheet'!H24)/('Balance Sheet'!H42+'Balance Sheet'!H23+'Balance Sheet'!H27+'Balance Sheet'!H24)</f>
        <v>0.55717628316821821</v>
      </c>
      <c r="I22" s="224">
        <f>('Balance Sheet'!I23+'Balance Sheet'!I27+'Balance Sheet'!I24)/('Balance Sheet'!I42+'Balance Sheet'!I23+'Balance Sheet'!I27+'Balance Sheet'!I24)</f>
        <v>0.50459565922607552</v>
      </c>
      <c r="J22" s="224">
        <f>('Balance Sheet'!J23+'Balance Sheet'!J27+'Balance Sheet'!J24)/('Balance Sheet'!J42+'Balance Sheet'!J23+'Balance Sheet'!J27+'Balance Sheet'!J24)</f>
        <v>0.5305104502697281</v>
      </c>
      <c r="K22" s="224">
        <f>('Balance Sheet'!K23+'Balance Sheet'!K27+'Balance Sheet'!K24)/('Balance Sheet'!K42+'Balance Sheet'!K23+'Balance Sheet'!K27+'Balance Sheet'!K24)</f>
        <v>0.55435637389158554</v>
      </c>
      <c r="L22" s="225"/>
    </row>
    <row r="23" spans="1:13" ht="14.5">
      <c r="A23" s="134" t="s">
        <v>249</v>
      </c>
      <c r="B23" s="221">
        <f>('Balance Sheet'!B11-'Balance Sheet'!B26)/('Balance Sheet'!B42+'Balance Sheet'!B23+'Balance Sheet'!B27+'Balance Sheet'!B24)</f>
        <v>0.28027354819208827</v>
      </c>
      <c r="C23" s="221">
        <f>('Balance Sheet'!C11-'Balance Sheet'!C26)/('Balance Sheet'!C42+'Balance Sheet'!C23+'Balance Sheet'!C27+'Balance Sheet'!C24)</f>
        <v>5.5172866233681034E-2</v>
      </c>
      <c r="D23" s="221">
        <f>('Balance Sheet'!D11-'Balance Sheet'!D26)/('Balance Sheet'!D42+'Balance Sheet'!D23+'Balance Sheet'!D27+'Balance Sheet'!D24)</f>
        <v>0.1904478795085216</v>
      </c>
      <c r="E23" s="221">
        <f>('Balance Sheet'!E11-'Balance Sheet'!E26)/('Balance Sheet'!E42+'Balance Sheet'!E23+'Balance Sheet'!E27+'Balance Sheet'!E24)</f>
        <v>0.20670391061452514</v>
      </c>
      <c r="F23" s="221">
        <f>('Balance Sheet'!F11-'Balance Sheet'!F26)/('Balance Sheet'!F42+'Balance Sheet'!F23+'Balance Sheet'!F27+'Balance Sheet'!F24)</f>
        <v>0.15729492074511164</v>
      </c>
      <c r="G23" s="221">
        <f>('Balance Sheet'!G11-'Balance Sheet'!G26)/('Balance Sheet'!G42+'Balance Sheet'!G23+'Balance Sheet'!G27+'Balance Sheet'!G24)</f>
        <v>0.17877722715224156</v>
      </c>
      <c r="H23" s="221">
        <f>('Balance Sheet'!H11-'Balance Sheet'!H26)/('Balance Sheet'!H42+'Balance Sheet'!H23+'Balance Sheet'!H27+'Balance Sheet'!H24)</f>
        <v>0.22347787126001892</v>
      </c>
      <c r="I23" s="221">
        <f>('Balance Sheet'!I11-'Balance Sheet'!I26)/('Balance Sheet'!I42+'Balance Sheet'!I23+'Balance Sheet'!I27+'Balance Sheet'!I24)</f>
        <v>0.1509744857238485</v>
      </c>
      <c r="J23" s="221">
        <f>('Balance Sheet'!J11-'Balance Sheet'!J26)/('Balance Sheet'!J42+'Balance Sheet'!J23+'Balance Sheet'!J27+'Balance Sheet'!J24)</f>
        <v>0.13673452790804846</v>
      </c>
      <c r="K23" s="221">
        <f>('Balance Sheet'!K11-'Balance Sheet'!K26)/('Balance Sheet'!K42+'Balance Sheet'!K23+'Balance Sheet'!K27+'Balance Sheet'!K24)</f>
        <v>0.13458253111695637</v>
      </c>
      <c r="L23" s="216"/>
    </row>
    <row r="24" spans="1:13" ht="14.5">
      <c r="A24" s="92"/>
      <c r="H24" s="216"/>
      <c r="I24" s="216"/>
      <c r="J24" s="215"/>
      <c r="K24" s="216"/>
      <c r="L24" s="216"/>
    </row>
    <row r="25" spans="1:13" ht="14.5">
      <c r="A25" s="208" t="s">
        <v>250</v>
      </c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22"/>
    </row>
    <row r="26" spans="1:13" ht="14.5">
      <c r="A26" s="213" t="s">
        <v>251</v>
      </c>
      <c r="B26" s="226">
        <f>'Cash Flow'!B21/'Balance Sheet'!B33</f>
        <v>0.11837888784165881</v>
      </c>
      <c r="C26" s="226">
        <f>'Cash Flow'!C21/'Balance Sheet'!C33</f>
        <v>0.11201769875580994</v>
      </c>
      <c r="D26" s="226">
        <f>'Cash Flow'!D21/'Balance Sheet'!D33</f>
        <v>0.10795209110543884</v>
      </c>
      <c r="E26" s="226">
        <f>'Cash Flow'!E21/'Balance Sheet'!E33</f>
        <v>9.6746991859371453E-2</v>
      </c>
      <c r="F26" s="226">
        <f>'Cash Flow'!F21/'Balance Sheet'!F33</f>
        <v>0.1102864293182948</v>
      </c>
      <c r="G26" s="226">
        <f>'Cash Flow'!G21/'Balance Sheet'!G33</f>
        <v>0.11876840419486491</v>
      </c>
      <c r="H26" s="226">
        <f>'Cash Flow'!H21/'Balance Sheet'!H33</f>
        <v>9.4070583243677355E-2</v>
      </c>
      <c r="I26" s="226">
        <f>'Cash Flow'!I21/'Balance Sheet'!I33</f>
        <v>9.3271131982204644E-2</v>
      </c>
      <c r="J26" s="226">
        <f>'Cash Flow'!J21/'Balance Sheet'!J33</f>
        <v>8.1270995777729838E-2</v>
      </c>
      <c r="K26" s="226">
        <f>'Cash Flow'!K21/'Balance Sheet'!K33</f>
        <v>8.3922677982083929E-2</v>
      </c>
      <c r="M26" s="140" t="s">
        <v>252</v>
      </c>
    </row>
    <row r="27" spans="1:13" ht="14.5">
      <c r="A27" s="213" t="s">
        <v>253</v>
      </c>
      <c r="B27" s="226">
        <f>'Cash Flow'!B21/('Balance Sheet'!B23+'Balance Sheet'!B27+'Balance Sheet'!B24)</f>
        <v>0.5786018657146148</v>
      </c>
      <c r="C27" s="226">
        <f>'Cash Flow'!C21/('Balance Sheet'!C23+'Balance Sheet'!C27+'Balance Sheet'!C24)</f>
        <v>0.4573251574411667</v>
      </c>
      <c r="D27" s="226">
        <f>'Cash Flow'!D21/('Balance Sheet'!D23+'Balance Sheet'!D27+'Balance Sheet'!D24)</f>
        <v>0.34852614896988904</v>
      </c>
      <c r="E27" s="226">
        <f>'Cash Flow'!E21/('Balance Sheet'!E23+'Balance Sheet'!E27+'Balance Sheet'!E24)</f>
        <v>0.3336315848339112</v>
      </c>
      <c r="F27" s="226">
        <f>'Cash Flow'!F21/('Balance Sheet'!F23+'Balance Sheet'!F27+'Balance Sheet'!F24)</f>
        <v>0.39681756506722587</v>
      </c>
      <c r="G27" s="226">
        <f>'Cash Flow'!G21/('Balance Sheet'!G23+'Balance Sheet'!G27+'Balance Sheet'!G24)</f>
        <v>0.43100862392200973</v>
      </c>
      <c r="H27" s="226">
        <f>'Cash Flow'!H21/('Balance Sheet'!H23+'Balance Sheet'!H27+'Balance Sheet'!H24)</f>
        <v>0.27734095782701929</v>
      </c>
      <c r="I27" s="226">
        <f>'Cash Flow'!I21/('Balance Sheet'!I23+'Balance Sheet'!I27+'Balance Sheet'!I24)</f>
        <v>0.30807694270115821</v>
      </c>
      <c r="J27" s="226">
        <f>'Cash Flow'!J21/('Balance Sheet'!J23+'Balance Sheet'!J27+'Balance Sheet'!J24)</f>
        <v>0.26949412365866121</v>
      </c>
      <c r="K27" s="226">
        <f>'Cash Flow'!K21/('Balance Sheet'!K23+'Balance Sheet'!K27+'Balance Sheet'!K24)</f>
        <v>0.26121410751846597</v>
      </c>
      <c r="M27" s="227" t="s">
        <v>254</v>
      </c>
    </row>
    <row r="28" spans="1:13" ht="14.5">
      <c r="A28" s="213" t="s">
        <v>255</v>
      </c>
      <c r="B28" s="226">
        <f>'Cash Flow'!B21/'Cash Flow'!B25</f>
        <v>4.592321755027422</v>
      </c>
      <c r="C28" s="226">
        <f>'Cash Flow'!C21/'Cash Flow'!C25</f>
        <v>5.1435228331780056</v>
      </c>
      <c r="D28" s="226">
        <f>'Cash Flow'!D21/'Cash Flow'!D25</f>
        <v>5.0210045662100455</v>
      </c>
      <c r="E28" s="226">
        <f>'Cash Flow'!E21/'Cash Flow'!E25</f>
        <v>5.7866149369544129</v>
      </c>
      <c r="F28" s="226">
        <f>'Cash Flow'!F21/'Cash Flow'!F25</f>
        <v>7.7705314009661839</v>
      </c>
      <c r="G28" s="226">
        <f>'Cash Flow'!G21/'Cash Flow'!G25</f>
        <v>8.2205005959475574</v>
      </c>
      <c r="H28" s="226">
        <f>'Cash Flow'!H21/'Cash Flow'!H25</f>
        <v>6.852097130242826</v>
      </c>
      <c r="I28" s="226">
        <f>'Cash Flow'!I21/'Cash Flow'!I25</f>
        <v>6.7463687150837988</v>
      </c>
      <c r="J28" s="226">
        <f>'Cash Flow'!J21/'Cash Flow'!J25</f>
        <v>6.8851174934725847</v>
      </c>
      <c r="K28" s="226">
        <f>'Cash Flow'!K21/'Cash Flow'!K25</f>
        <v>5.1395572666025027</v>
      </c>
      <c r="M28" s="227" t="s">
        <v>256</v>
      </c>
    </row>
    <row r="29" spans="1:13" ht="14.5">
      <c r="A29" s="213" t="s">
        <v>257</v>
      </c>
      <c r="B29" s="226">
        <f>'Income Statement'!B17/'Income Statement'!B18</f>
        <v>19.29559748427673</v>
      </c>
      <c r="C29" s="226">
        <f>'Income Statement'!C17/'Income Statement'!C18</f>
        <v>22.245161290322581</v>
      </c>
      <c r="D29" s="226">
        <f>'Income Statement'!D17/'Income Statement'!D18</f>
        <v>20.07396449704142</v>
      </c>
      <c r="E29" s="226">
        <f>'Income Statement'!E17/'Income Statement'!E18</f>
        <v>22.841772151898734</v>
      </c>
      <c r="F29" s="226">
        <f>'Income Statement'!F17/'Income Statement'!F18</f>
        <v>21.400544959128066</v>
      </c>
      <c r="G29" s="226">
        <f>'Income Statement'!G17/'Income Statement'!G18</f>
        <v>22.173669467787114</v>
      </c>
      <c r="H29" s="226">
        <f>'Income Statement'!H17/'Income Statement'!H18</f>
        <v>17.746518105849582</v>
      </c>
      <c r="I29" s="226">
        <f>'Income Statement'!I17/'Income Statement'!I18</f>
        <v>22.093294460641399</v>
      </c>
      <c r="J29" s="226">
        <f>'Income Statement'!J17/'Income Statement'!J18</f>
        <v>16.408212560386474</v>
      </c>
      <c r="K29" s="226">
        <f>'Income Statement'!K17/'Income Statement'!K18</f>
        <v>10.358169934640523</v>
      </c>
      <c r="M29" s="228" t="s">
        <v>258</v>
      </c>
    </row>
    <row r="30" spans="1:13" ht="14.5">
      <c r="A30" s="92"/>
      <c r="B30" s="221"/>
      <c r="C30" s="221"/>
      <c r="D30" s="221"/>
      <c r="E30" s="221"/>
      <c r="F30" s="221"/>
      <c r="G30" s="221"/>
      <c r="H30" s="229"/>
      <c r="I30" s="229"/>
      <c r="J30" s="229"/>
      <c r="K30" s="230"/>
      <c r="L30" s="230"/>
    </row>
    <row r="31" spans="1:13" ht="14.5">
      <c r="A31" s="208" t="s">
        <v>259</v>
      </c>
      <c r="B31" s="218"/>
      <c r="C31" s="218"/>
      <c r="D31" s="218"/>
      <c r="E31" s="218"/>
      <c r="F31" s="218"/>
      <c r="G31" s="218"/>
      <c r="H31" s="219"/>
      <c r="I31" s="219"/>
      <c r="J31" s="219"/>
      <c r="K31" s="219"/>
      <c r="L31" s="220"/>
    </row>
    <row r="32" spans="1:13" ht="14.5">
      <c r="A32" s="213" t="s">
        <v>259</v>
      </c>
      <c r="C32" s="221">
        <f>'Income Statement'!C74/'Income Statement'!C70</f>
        <v>-2.2403372984617231</v>
      </c>
      <c r="D32" s="221">
        <f>'Income Statement'!D74/'Income Statement'!D70</f>
        <v>-1.4094332779490653</v>
      </c>
      <c r="E32" s="221">
        <f>'Income Statement'!E74/'Income Statement'!E70</f>
        <v>4.4735809032575986</v>
      </c>
      <c r="F32" s="221">
        <f>'Income Statement'!F74/'Income Statement'!F70</f>
        <v>-1.1691518711496931</v>
      </c>
      <c r="G32" s="221">
        <f>'Income Statement'!G74/'Income Statement'!G70</f>
        <v>-0.1343681099452527</v>
      </c>
      <c r="H32" s="221">
        <f>'Income Statement'!H74/'Income Statement'!H70</f>
        <v>1.8909106746837046</v>
      </c>
      <c r="I32" s="221">
        <f>'Income Statement'!I74/'Income Statement'!I70</f>
        <v>-18.162804307116218</v>
      </c>
      <c r="J32" s="221">
        <f>'Income Statement'!J74/'Income Statement'!J70</f>
        <v>2.8241862170088048</v>
      </c>
      <c r="K32" s="221">
        <f>'Income Statement'!K74/'Income Statement'!K70</f>
        <v>3.5253423058969906</v>
      </c>
      <c r="L32" s="216"/>
    </row>
    <row r="33" spans="1:12" ht="14.5">
      <c r="A33" s="213"/>
      <c r="H33" s="215"/>
      <c r="I33" s="215"/>
      <c r="J33" s="215"/>
      <c r="K33" s="215"/>
      <c r="L33" s="215"/>
    </row>
    <row r="34" spans="1:12" ht="14.5">
      <c r="A34" s="208" t="s">
        <v>260</v>
      </c>
      <c r="B34" s="218"/>
      <c r="C34" s="218"/>
      <c r="D34" s="218"/>
      <c r="E34" s="218"/>
      <c r="F34" s="218"/>
      <c r="G34" s="218"/>
      <c r="H34" s="219"/>
      <c r="I34" s="231"/>
      <c r="J34" s="231"/>
      <c r="K34" s="231"/>
      <c r="L34" s="232"/>
    </row>
    <row r="35" spans="1:12" ht="14.5">
      <c r="A35" s="213" t="s">
        <v>261</v>
      </c>
      <c r="C35" s="221">
        <f>('Income Statement'!C7)/AVERAGE('Balance Sheet'!B19,'Balance Sheet'!C19)</f>
        <v>0.81422858167927659</v>
      </c>
      <c r="D35" s="221">
        <f>('Income Statement'!D7)/AVERAGE('Balance Sheet'!C19,'Balance Sheet'!D19)</f>
        <v>0.75973787477527976</v>
      </c>
      <c r="E35" s="221">
        <f>('Income Statement'!E7)/AVERAGE('Balance Sheet'!D19,'Balance Sheet'!E19)</f>
        <v>0.7135262639064921</v>
      </c>
      <c r="F35" s="221">
        <f>('Income Statement'!F7)/AVERAGE('Balance Sheet'!E19,'Balance Sheet'!F19)</f>
        <v>0.71308308385148789</v>
      </c>
      <c r="G35" s="221">
        <f>('Income Statement'!G7)/AVERAGE('Balance Sheet'!F19,'Balance Sheet'!G19)</f>
        <v>0.63045718407584239</v>
      </c>
      <c r="H35" s="221">
        <f>('Income Statement'!H7)/AVERAGE('Balance Sheet'!G19,'Balance Sheet'!H19)</f>
        <v>0.52954204356467771</v>
      </c>
      <c r="I35" s="221">
        <f>('Income Statement'!I7)/AVERAGE('Balance Sheet'!H19,'Balance Sheet'!I19)</f>
        <v>0.53297793206050081</v>
      </c>
      <c r="J35" s="221">
        <f>('Income Statement'!J7)/AVERAGE('Balance Sheet'!I19,'Balance Sheet'!J19)</f>
        <v>0.55964337843701917</v>
      </c>
      <c r="K35" s="221">
        <f>('Income Statement'!K7)/AVERAGE('Balance Sheet'!J19,'Balance Sheet'!K19)</f>
        <v>0.59227786752827138</v>
      </c>
      <c r="L35" s="216"/>
    </row>
    <row r="36" spans="1:12" ht="14.5">
      <c r="A36" s="213" t="s">
        <v>262</v>
      </c>
      <c r="C36" s="221">
        <f>'Income Statement'!C7/AVERAGE('Balance Sheet'!B8,'Balance Sheet'!C8)</f>
        <v>8.7435694050991497</v>
      </c>
      <c r="D36" s="221">
        <f>'Income Statement'!D7/AVERAGE('Balance Sheet'!C8,'Balance Sheet'!D8)</f>
        <v>6.2398983885051997</v>
      </c>
      <c r="E36" s="221">
        <f>'Income Statement'!E7/AVERAGE('Balance Sheet'!D8,'Balance Sheet'!E8)</f>
        <v>4.7566742944317317</v>
      </c>
      <c r="F36" s="221">
        <f>'Income Statement'!F7/AVERAGE('Balance Sheet'!E8,'Balance Sheet'!F8)</f>
        <v>5.1058995969219492</v>
      </c>
      <c r="G36" s="221">
        <f>'Income Statement'!G7/AVERAGE('Balance Sheet'!F8,'Balance Sheet'!G8)</f>
        <v>4.8942070528631421</v>
      </c>
      <c r="H36" s="221">
        <f>'Income Statement'!H7/AVERAGE('Balance Sheet'!G8,'Balance Sheet'!H8)</f>
        <v>4.5582402234636872</v>
      </c>
      <c r="I36" s="221">
        <f>'Income Statement'!I7/AVERAGE('Balance Sheet'!H8,'Balance Sheet'!I8)</f>
        <v>5.0365380391008276</v>
      </c>
      <c r="J36" s="221">
        <f>'Income Statement'!J7/AVERAGE('Balance Sheet'!I8,'Balance Sheet'!J8)</f>
        <v>4.9707077785564122</v>
      </c>
      <c r="K36" s="221">
        <f>'Income Statement'!K7/AVERAGE('Balance Sheet'!J8,'Balance Sheet'!K8)</f>
        <v>4.898062792251169</v>
      </c>
      <c r="L36" s="215"/>
    </row>
    <row r="37" spans="1:12" ht="14.5">
      <c r="A37" s="213" t="s">
        <v>263</v>
      </c>
      <c r="C37" s="221">
        <f>'Income Statement'!B11/AVERAGE('Balance Sheet'!B9,'Balance Sheet'!C9)</f>
        <v>80.21329639889197</v>
      </c>
      <c r="D37" s="221">
        <f>'Income Statement'!C11/AVERAGE('Balance Sheet'!C9,'Balance Sheet'!D9)</f>
        <v>12.252404947320201</v>
      </c>
      <c r="E37" s="221">
        <f>'Income Statement'!D11/AVERAGE('Balance Sheet'!D9,'Balance Sheet'!E9)</f>
        <v>6.0474440360841966</v>
      </c>
      <c r="F37" s="221">
        <f>'Income Statement'!E11/AVERAGE('Balance Sheet'!E9,'Balance Sheet'!F9)</f>
        <v>6.1695939143080878</v>
      </c>
      <c r="G37" s="221">
        <f>'Income Statement'!F11/AVERAGE('Balance Sheet'!F9,'Balance Sheet'!G9)</f>
        <v>6.6413627529438664</v>
      </c>
      <c r="H37" s="221">
        <f>'Income Statement'!G11/AVERAGE('Balance Sheet'!G9,'Balance Sheet'!H9)</f>
        <v>5.4632996632996633</v>
      </c>
      <c r="I37" s="221">
        <f>'Income Statement'!H11/AVERAGE('Balance Sheet'!H9,'Balance Sheet'!I9)</f>
        <v>4.6055884491534229</v>
      </c>
      <c r="J37" s="221">
        <f>'Income Statement'!I11/AVERAGE('Balance Sheet'!I9,'Balance Sheet'!J9)</f>
        <v>4.1328212813787939</v>
      </c>
      <c r="K37" s="221">
        <f>'Income Statement'!J11/AVERAGE('Balance Sheet'!J9,'Balance Sheet'!K9)</f>
        <v>3.8147832024581767</v>
      </c>
      <c r="L37" s="215"/>
    </row>
    <row r="38" spans="1:12" ht="14.5">
      <c r="A38" s="213"/>
      <c r="H38" s="215"/>
      <c r="I38" s="215"/>
      <c r="J38" s="215"/>
      <c r="K38" s="215"/>
      <c r="L38" s="215"/>
    </row>
    <row r="39" spans="1:12" ht="14.5">
      <c r="A39" s="213" t="s">
        <v>264</v>
      </c>
      <c r="C39" s="221">
        <f t="shared" ref="C39:K39" si="0">365/C36</f>
        <v>41.744965138280506</v>
      </c>
      <c r="D39" s="221">
        <f t="shared" si="0"/>
        <v>58.49454226248028</v>
      </c>
      <c r="E39" s="221">
        <f t="shared" si="0"/>
        <v>76.734284797947396</v>
      </c>
      <c r="F39" s="221">
        <f t="shared" si="0"/>
        <v>71.48593368738338</v>
      </c>
      <c r="G39" s="221">
        <f t="shared" si="0"/>
        <v>74.577964531858683</v>
      </c>
      <c r="H39" s="221">
        <f t="shared" si="0"/>
        <v>80.074761773447321</v>
      </c>
      <c r="I39" s="221">
        <f t="shared" si="0"/>
        <v>72.470414631309609</v>
      </c>
      <c r="J39" s="221">
        <f t="shared" si="0"/>
        <v>73.430186657643944</v>
      </c>
      <c r="K39" s="221">
        <f t="shared" si="0"/>
        <v>74.519256996344993</v>
      </c>
      <c r="L39" s="215"/>
    </row>
    <row r="40" spans="1:12" ht="14.5">
      <c r="A40" s="233" t="s">
        <v>265</v>
      </c>
      <c r="C40" s="221">
        <f t="shared" ref="C40:K40" si="1">365/C37</f>
        <v>4.5503677867182368</v>
      </c>
      <c r="D40" s="221">
        <f t="shared" si="1"/>
        <v>29.790069914382922</v>
      </c>
      <c r="E40" s="221">
        <f t="shared" si="1"/>
        <v>60.3560773480663</v>
      </c>
      <c r="F40" s="221">
        <f t="shared" si="1"/>
        <v>59.161106074342705</v>
      </c>
      <c r="G40" s="221">
        <f t="shared" si="1"/>
        <v>54.958600151483857</v>
      </c>
      <c r="H40" s="221">
        <f t="shared" si="1"/>
        <v>66.809441636879086</v>
      </c>
      <c r="I40" s="221">
        <f t="shared" si="1"/>
        <v>79.251544950155619</v>
      </c>
      <c r="J40" s="221">
        <f t="shared" si="1"/>
        <v>88.317392683921852</v>
      </c>
      <c r="K40" s="221">
        <f t="shared" si="1"/>
        <v>95.680404528572069</v>
      </c>
      <c r="L40" s="215"/>
    </row>
    <row r="41" spans="1:12" ht="14.5">
      <c r="A41" s="92"/>
      <c r="H41" s="216"/>
      <c r="I41" s="216"/>
      <c r="J41" s="216"/>
      <c r="K41" s="216"/>
      <c r="L41" s="216"/>
    </row>
    <row r="42" spans="1:12" ht="14.5">
      <c r="A42" s="92"/>
      <c r="H42" s="215"/>
      <c r="I42" s="215"/>
      <c r="J42" s="215"/>
      <c r="K42" s="215"/>
      <c r="L42" s="215"/>
    </row>
    <row r="43" spans="1:12" ht="14.5">
      <c r="A43" s="89"/>
      <c r="H43" s="230"/>
      <c r="I43" s="230"/>
      <c r="J43" s="230"/>
      <c r="K43" s="230"/>
      <c r="L43" s="230"/>
    </row>
    <row r="44" spans="1:12" ht="14.5">
      <c r="A44" s="92"/>
      <c r="H44" s="230"/>
      <c r="I44" s="230"/>
      <c r="J44" s="230"/>
      <c r="K44" s="230"/>
      <c r="L44" s="230"/>
    </row>
    <row r="45" spans="1:12" ht="14.5">
      <c r="A45" s="92"/>
      <c r="H45" s="215"/>
      <c r="I45" s="215"/>
      <c r="J45" s="215"/>
      <c r="K45" s="215"/>
      <c r="L45" s="215"/>
    </row>
    <row r="46" spans="1:12" ht="14.5">
      <c r="A46" s="92"/>
      <c r="H46" s="215"/>
      <c r="I46" s="215"/>
      <c r="J46" s="215"/>
      <c r="K46" s="215"/>
      <c r="L46" s="215"/>
    </row>
    <row r="47" spans="1:12" ht="14.5">
      <c r="A47" s="92"/>
      <c r="H47" s="215"/>
      <c r="I47" s="215"/>
      <c r="J47" s="215"/>
      <c r="K47" s="215"/>
      <c r="L47" s="215"/>
    </row>
    <row r="48" spans="1:12" ht="14.5">
      <c r="A48" s="136"/>
      <c r="H48" s="223"/>
      <c r="I48" s="223"/>
      <c r="J48" s="223"/>
      <c r="K48" s="223"/>
      <c r="L48" s="223"/>
    </row>
    <row r="49" spans="1:12" ht="14.5">
      <c r="A49" s="142"/>
      <c r="H49" s="234"/>
      <c r="I49" s="234"/>
      <c r="J49" s="234"/>
      <c r="K49" s="234"/>
      <c r="L49" s="234"/>
    </row>
    <row r="50" spans="1:12" ht="14.5">
      <c r="A50" s="136"/>
      <c r="H50" s="223"/>
      <c r="I50" s="223"/>
      <c r="J50" s="223"/>
      <c r="K50" s="223"/>
      <c r="L50" s="223"/>
    </row>
    <row r="51" spans="1:12" ht="14.5">
      <c r="A51" s="142"/>
      <c r="H51" s="234"/>
      <c r="I51" s="234"/>
      <c r="J51" s="234"/>
      <c r="K51" s="234"/>
      <c r="L51" s="234"/>
    </row>
    <row r="52" spans="1:12" ht="14.5">
      <c r="A52" s="89"/>
      <c r="H52" s="215"/>
      <c r="I52" s="215"/>
      <c r="J52" s="230"/>
      <c r="K52" s="230"/>
      <c r="L52" s="215"/>
    </row>
    <row r="53" spans="1:12" ht="14.5">
      <c r="A53" s="92"/>
      <c r="H53" s="215"/>
      <c r="I53" s="215"/>
      <c r="J53" s="215"/>
      <c r="K53" s="215"/>
      <c r="L53" s="215"/>
    </row>
    <row r="54" spans="1:12" ht="14.5">
      <c r="A54" s="92"/>
      <c r="H54" s="215"/>
      <c r="I54" s="215"/>
      <c r="J54" s="215"/>
      <c r="K54" s="215"/>
      <c r="L54" s="215"/>
    </row>
    <row r="55" spans="1:12" ht="14.5">
      <c r="A55" s="89"/>
      <c r="H55" s="215"/>
      <c r="I55" s="215"/>
      <c r="J55" s="215"/>
      <c r="K55" s="215"/>
      <c r="L55" s="215"/>
    </row>
    <row r="56" spans="1:12" ht="14.5">
      <c r="A56" s="92"/>
      <c r="H56" s="215"/>
      <c r="I56" s="215"/>
      <c r="J56" s="215"/>
      <c r="K56" s="215"/>
      <c r="L56" s="215"/>
    </row>
    <row r="57" spans="1:12" ht="14.5">
      <c r="A57" s="92"/>
      <c r="H57" s="215"/>
      <c r="I57" s="215"/>
      <c r="J57" s="215"/>
      <c r="K57" s="215"/>
      <c r="L57" s="215"/>
    </row>
    <row r="58" spans="1:12" ht="14.5">
      <c r="A58" s="92"/>
      <c r="H58" s="215"/>
      <c r="I58" s="215"/>
      <c r="J58" s="215"/>
      <c r="K58" s="215"/>
      <c r="L58" s="215"/>
    </row>
    <row r="59" spans="1:12" ht="14.5">
      <c r="A59" s="92"/>
      <c r="H59" s="216"/>
      <c r="I59" s="216"/>
      <c r="J59" s="216"/>
      <c r="K59" s="216"/>
      <c r="L59" s="216"/>
    </row>
    <row r="60" spans="1:12" ht="14.5">
      <c r="A60" s="89"/>
      <c r="H60" s="216"/>
      <c r="I60" s="216"/>
      <c r="J60" s="216"/>
      <c r="K60" s="216"/>
      <c r="L60" s="216"/>
    </row>
    <row r="61" spans="1:12" ht="14.5">
      <c r="A61" s="89"/>
      <c r="H61" s="216"/>
      <c r="I61" s="216"/>
      <c r="J61" s="216"/>
      <c r="K61" s="216"/>
      <c r="L61" s="216"/>
    </row>
    <row r="62" spans="1:12" ht="14.5">
      <c r="A62" s="89"/>
      <c r="H62" s="215"/>
      <c r="I62" s="215"/>
      <c r="J62" s="215"/>
      <c r="K62" s="215"/>
      <c r="L62" s="215"/>
    </row>
    <row r="63" spans="1:12" ht="14.5">
      <c r="A63" s="92"/>
      <c r="H63" s="215"/>
      <c r="I63" s="215"/>
      <c r="J63" s="215"/>
      <c r="K63" s="215"/>
      <c r="L63" s="215"/>
    </row>
    <row r="64" spans="1:12" ht="14.5">
      <c r="A64" s="92"/>
      <c r="H64" s="216"/>
      <c r="I64" s="216"/>
      <c r="J64" s="216"/>
      <c r="K64" s="216"/>
      <c r="L64" s="216"/>
    </row>
    <row r="65" spans="1:12" ht="14.5">
      <c r="A65" s="136"/>
      <c r="H65" s="223"/>
      <c r="I65" s="223"/>
      <c r="J65" s="223"/>
      <c r="K65" s="223"/>
      <c r="L65" s="223"/>
    </row>
    <row r="66" spans="1:12" ht="14.5">
      <c r="A66" s="142"/>
      <c r="H66" s="234"/>
      <c r="I66" s="234"/>
      <c r="J66" s="234"/>
      <c r="K66" s="234"/>
      <c r="L66" s="234"/>
    </row>
    <row r="67" spans="1:12" ht="14.5">
      <c r="A67" s="89"/>
      <c r="H67" s="230"/>
      <c r="I67" s="230"/>
      <c r="J67" s="230"/>
      <c r="K67" s="230"/>
      <c r="L67" s="230"/>
    </row>
    <row r="68" spans="1:12" ht="14.5">
      <c r="A68" s="92"/>
      <c r="H68" s="230"/>
      <c r="I68" s="230"/>
      <c r="J68" s="230"/>
      <c r="K68" s="230"/>
      <c r="L68" s="230"/>
    </row>
    <row r="69" spans="1:12" ht="14.5">
      <c r="A69" s="92"/>
      <c r="H69" s="230"/>
      <c r="I69" s="230"/>
      <c r="J69" s="230"/>
      <c r="K69" s="230"/>
      <c r="L69" s="230"/>
    </row>
    <row r="70" spans="1:12" ht="14.5">
      <c r="A70" s="92"/>
      <c r="H70" s="216"/>
      <c r="I70" s="216"/>
      <c r="J70" s="216"/>
      <c r="K70" s="216"/>
      <c r="L70" s="216"/>
    </row>
    <row r="71" spans="1:12" ht="14.5">
      <c r="A71" s="89"/>
      <c r="H71" s="215"/>
      <c r="I71" s="215"/>
      <c r="J71" s="215"/>
      <c r="K71" s="215"/>
      <c r="L71" s="215"/>
    </row>
    <row r="72" spans="1:12" ht="14.5">
      <c r="A72" s="92"/>
      <c r="H72" s="215"/>
      <c r="I72" s="215"/>
      <c r="J72" s="215"/>
      <c r="K72" s="215"/>
      <c r="L72" s="215"/>
    </row>
    <row r="73" spans="1:12" ht="14.5">
      <c r="A73" s="89"/>
      <c r="H73" s="216"/>
      <c r="I73" s="216"/>
      <c r="J73" s="216"/>
      <c r="K73" s="216"/>
      <c r="L73" s="216"/>
    </row>
    <row r="74" spans="1:12" ht="14.5">
      <c r="A74" s="89"/>
      <c r="H74" s="215"/>
      <c r="I74" s="215"/>
      <c r="J74" s="215"/>
      <c r="K74" s="215"/>
      <c r="L74" s="215"/>
    </row>
    <row r="75" spans="1:12" ht="14.5">
      <c r="A75" s="92"/>
      <c r="H75" s="215"/>
      <c r="I75" s="215"/>
      <c r="J75" s="215"/>
      <c r="K75" s="215"/>
      <c r="L75" s="215"/>
    </row>
    <row r="76" spans="1:12" ht="14.5">
      <c r="A76" s="92"/>
      <c r="H76" s="215"/>
      <c r="I76" s="215"/>
      <c r="J76" s="215"/>
      <c r="K76" s="215"/>
      <c r="L76" s="215"/>
    </row>
    <row r="77" spans="1:12" ht="14.5">
      <c r="A77" s="92"/>
      <c r="H77" s="216"/>
      <c r="I77" s="216"/>
      <c r="J77" s="216"/>
      <c r="K77" s="216"/>
      <c r="L77" s="216"/>
    </row>
    <row r="78" spans="1:12" ht="14.5">
      <c r="A78" s="92"/>
      <c r="H78" s="216"/>
      <c r="I78" s="216"/>
      <c r="J78" s="216"/>
      <c r="K78" s="216"/>
      <c r="L78" s="216"/>
    </row>
    <row r="79" spans="1:12" ht="14.5">
      <c r="A79" s="92"/>
      <c r="H79" s="215"/>
      <c r="I79" s="215"/>
      <c r="J79" s="215"/>
      <c r="K79" s="215"/>
      <c r="L79" s="215"/>
    </row>
    <row r="80" spans="1:12" ht="14.5">
      <c r="A80" s="92"/>
      <c r="H80" s="215"/>
      <c r="I80" s="215"/>
      <c r="J80" s="215"/>
      <c r="K80" s="215"/>
      <c r="L80" s="215"/>
    </row>
    <row r="81" spans="1:12" ht="14.5">
      <c r="A81" s="89"/>
      <c r="H81" s="216"/>
      <c r="I81" s="216"/>
      <c r="J81" s="216"/>
      <c r="K81" s="216"/>
      <c r="L81" s="216"/>
    </row>
    <row r="82" spans="1:12" ht="14.5">
      <c r="A82" s="89"/>
      <c r="H82" s="230"/>
      <c r="I82" s="230"/>
      <c r="J82" s="230"/>
      <c r="K82" s="230"/>
      <c r="L82" s="230"/>
    </row>
    <row r="83" spans="1:12" ht="14.5">
      <c r="A83" s="142"/>
      <c r="H83" s="234"/>
      <c r="I83" s="234"/>
      <c r="J83" s="234"/>
      <c r="K83" s="234"/>
      <c r="L83" s="234"/>
    </row>
    <row r="84" spans="1:12" ht="14.5">
      <c r="A84" s="136"/>
      <c r="H84" s="223"/>
      <c r="I84" s="223"/>
      <c r="J84" s="223"/>
      <c r="K84" s="223"/>
      <c r="L84" s="223"/>
    </row>
    <row r="85" spans="1:12" ht="14.5">
      <c r="A85" s="142"/>
      <c r="H85" s="234"/>
      <c r="I85" s="234"/>
      <c r="J85" s="234"/>
      <c r="K85" s="234"/>
      <c r="L85" s="234"/>
    </row>
    <row r="86" spans="1:12" ht="14.5">
      <c r="A86" s="89"/>
      <c r="H86" s="230"/>
      <c r="I86" s="230"/>
      <c r="J86" s="230"/>
      <c r="K86" s="230"/>
      <c r="L86" s="230"/>
    </row>
    <row r="87" spans="1:12" ht="14.5">
      <c r="A87" s="92"/>
      <c r="H87" s="230"/>
      <c r="I87" s="230"/>
      <c r="J87" s="230"/>
      <c r="K87" s="230"/>
      <c r="L87" s="230"/>
    </row>
    <row r="88" spans="1:12" ht="14.5">
      <c r="A88" s="92"/>
      <c r="H88" s="230"/>
      <c r="I88" s="230"/>
      <c r="J88" s="230"/>
      <c r="K88" s="230"/>
      <c r="L88" s="230"/>
    </row>
    <row r="89" spans="1:12" ht="14.5">
      <c r="A89" s="92"/>
      <c r="H89" s="215"/>
      <c r="I89" s="215"/>
      <c r="J89" s="215"/>
      <c r="K89" s="215"/>
      <c r="L89" s="230"/>
    </row>
    <row r="90" spans="1:12" ht="14.5">
      <c r="A90" s="92"/>
      <c r="H90" s="216"/>
      <c r="I90" s="216"/>
      <c r="J90" s="216"/>
      <c r="K90" s="216"/>
      <c r="L90" s="216"/>
    </row>
    <row r="91" spans="1:12" ht="14.5">
      <c r="A91" s="92"/>
      <c r="H91" s="215"/>
      <c r="I91" s="215"/>
      <c r="J91" s="215"/>
      <c r="K91" s="215"/>
      <c r="L91" s="215"/>
    </row>
    <row r="92" spans="1:12" ht="14.5">
      <c r="A92" s="92"/>
      <c r="H92" s="230"/>
      <c r="I92" s="230"/>
      <c r="J92" s="230"/>
      <c r="K92" s="230"/>
      <c r="L92" s="230"/>
    </row>
    <row r="93" spans="1:12" ht="14.5">
      <c r="A93" s="92"/>
      <c r="H93" s="230"/>
      <c r="I93" s="230"/>
      <c r="J93" s="230"/>
      <c r="K93" s="230"/>
      <c r="L93" s="230"/>
    </row>
    <row r="94" spans="1:12" ht="14.5">
      <c r="A94" s="92"/>
      <c r="H94" s="235"/>
      <c r="I94" s="235"/>
      <c r="J94" s="235"/>
      <c r="K94" s="235"/>
      <c r="L94" s="235"/>
    </row>
    <row r="95" spans="1:12" ht="14.5">
      <c r="A95" s="92"/>
      <c r="H95" s="216"/>
      <c r="I95" s="216"/>
      <c r="J95" s="216"/>
      <c r="K95" s="236"/>
      <c r="L95" s="236"/>
    </row>
    <row r="96" spans="1:12" ht="14.5">
      <c r="A96" s="92"/>
      <c r="H96" s="216"/>
      <c r="I96" s="216"/>
      <c r="J96" s="236"/>
      <c r="K96" s="216"/>
      <c r="L96" s="216"/>
    </row>
    <row r="97" spans="1:12" ht="14.5">
      <c r="A97" s="92"/>
      <c r="H97" s="235"/>
      <c r="I97" s="235"/>
      <c r="J97" s="235"/>
      <c r="K97" s="235"/>
      <c r="L97" s="235"/>
    </row>
    <row r="98" spans="1:12" ht="14.5">
      <c r="A98" s="92"/>
      <c r="H98" s="236"/>
      <c r="I98" s="236"/>
      <c r="J98" s="236"/>
      <c r="K98" s="236"/>
      <c r="L98" s="235"/>
    </row>
    <row r="99" spans="1:12" ht="14.5">
      <c r="A99" s="92"/>
      <c r="H99" s="230"/>
      <c r="I99" s="230"/>
      <c r="J99" s="230"/>
      <c r="K99" s="230"/>
      <c r="L99" s="230"/>
    </row>
    <row r="100" spans="1:12" ht="14.5">
      <c r="A100" s="89"/>
      <c r="H100" s="216"/>
      <c r="I100" s="216"/>
      <c r="J100" s="216"/>
      <c r="K100" s="216"/>
      <c r="L100" s="216"/>
    </row>
    <row r="101" spans="1:12" ht="14.5">
      <c r="A101" s="142"/>
      <c r="H101" s="234"/>
      <c r="I101" s="234"/>
      <c r="J101" s="234"/>
      <c r="K101" s="234"/>
      <c r="L101" s="234"/>
    </row>
    <row r="102" spans="1:12" ht="14.5">
      <c r="A102" s="136"/>
      <c r="H102" s="223"/>
      <c r="I102" s="223"/>
      <c r="J102" s="223"/>
      <c r="K102" s="223"/>
      <c r="L102" s="223"/>
    </row>
    <row r="103" spans="1:12" ht="14.5">
      <c r="A103" s="142"/>
      <c r="H103" s="234"/>
      <c r="I103" s="234"/>
      <c r="J103" s="234"/>
      <c r="K103" s="234"/>
      <c r="L103" s="234"/>
    </row>
    <row r="104" spans="1:12" ht="14.5">
      <c r="A104" s="136"/>
      <c r="H104" s="223"/>
      <c r="I104" s="223"/>
      <c r="J104" s="223"/>
      <c r="K104" s="223"/>
      <c r="L104" s="223"/>
    </row>
    <row r="105" spans="1:12" ht="14.5">
      <c r="A105" s="142"/>
      <c r="H105" s="234"/>
      <c r="I105" s="234"/>
      <c r="J105" s="234"/>
      <c r="K105" s="234"/>
      <c r="L105" s="234"/>
    </row>
    <row r="106" spans="1:12" ht="14.5">
      <c r="A106" s="89"/>
      <c r="H106" s="216"/>
      <c r="I106" s="216"/>
      <c r="J106" s="216"/>
      <c r="K106" s="216"/>
      <c r="L106" s="216"/>
    </row>
    <row r="107" spans="1:12" ht="14.5">
      <c r="A107" s="92"/>
      <c r="H107" s="216"/>
      <c r="I107" s="216"/>
      <c r="J107" s="216"/>
      <c r="K107" s="216"/>
      <c r="L107" s="216"/>
    </row>
    <row r="108" spans="1:12" ht="14.5">
      <c r="A108" s="92"/>
      <c r="H108" s="216"/>
      <c r="I108" s="216"/>
      <c r="J108" s="216"/>
      <c r="K108" s="216"/>
      <c r="L108" s="216"/>
    </row>
    <row r="109" spans="1:12" ht="14.5">
      <c r="A109" s="89"/>
      <c r="H109" s="216"/>
      <c r="I109" s="216"/>
      <c r="J109" s="216"/>
      <c r="K109" s="216"/>
      <c r="L109" s="216"/>
    </row>
    <row r="110" spans="1:12" ht="14.5">
      <c r="A110" s="92"/>
      <c r="H110" s="216"/>
      <c r="I110" s="216"/>
      <c r="J110" s="216"/>
      <c r="K110" s="216"/>
      <c r="L110" s="216"/>
    </row>
    <row r="111" spans="1:12" ht="14.5">
      <c r="A111" s="92"/>
      <c r="H111" s="216"/>
      <c r="I111" s="216"/>
      <c r="J111" s="216"/>
      <c r="K111" s="216"/>
      <c r="L111" s="216"/>
    </row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5"/>
  <sheetViews>
    <sheetView workbookViewId="0"/>
  </sheetViews>
  <sheetFormatPr defaultColWidth="12.6328125" defaultRowHeight="15" customHeight="1"/>
  <sheetData>
    <row r="1" spans="1:7">
      <c r="A1" s="6"/>
      <c r="B1" s="390" t="s">
        <v>266</v>
      </c>
      <c r="C1" s="391"/>
      <c r="D1" s="237"/>
      <c r="E1" s="238" t="s">
        <v>267</v>
      </c>
      <c r="F1" s="239"/>
      <c r="G1" s="240"/>
    </row>
    <row r="2" spans="1:7">
      <c r="A2" s="6"/>
      <c r="B2" s="392" t="s">
        <v>268</v>
      </c>
      <c r="C2" s="391"/>
      <c r="D2" s="391"/>
      <c r="E2" s="242" t="s">
        <v>269</v>
      </c>
      <c r="F2" s="239"/>
      <c r="G2" s="240"/>
    </row>
    <row r="3" spans="1:7">
      <c r="A3" s="6"/>
      <c r="B3" s="393" t="s">
        <v>270</v>
      </c>
      <c r="C3" s="391"/>
      <c r="D3" s="237"/>
      <c r="E3" s="238"/>
      <c r="F3" s="239"/>
      <c r="G3" s="240"/>
    </row>
    <row r="4" spans="1:7">
      <c r="A4" s="6"/>
      <c r="B4" s="390" t="s">
        <v>271</v>
      </c>
      <c r="C4" s="391"/>
      <c r="D4" s="391"/>
      <c r="E4" s="238"/>
      <c r="F4" s="239"/>
      <c r="G4" s="240"/>
    </row>
    <row r="5" spans="1:7">
      <c r="A5" s="6"/>
      <c r="B5" s="237"/>
      <c r="C5" s="244"/>
      <c r="D5" s="237"/>
      <c r="E5" s="238"/>
      <c r="F5" s="239"/>
      <c r="G5" s="240"/>
    </row>
    <row r="6" spans="1:7">
      <c r="A6" s="6"/>
      <c r="B6" s="394" t="s">
        <v>272</v>
      </c>
      <c r="C6" s="395"/>
      <c r="D6" s="245"/>
      <c r="E6" s="246"/>
      <c r="F6" s="247"/>
      <c r="G6" s="248" t="s">
        <v>273</v>
      </c>
    </row>
    <row r="7" spans="1:7">
      <c r="A7" s="6"/>
      <c r="B7" s="249"/>
      <c r="C7" s="390" t="s">
        <v>274</v>
      </c>
      <c r="D7" s="391"/>
      <c r="E7" s="241" t="s">
        <v>275</v>
      </c>
      <c r="F7" s="250"/>
      <c r="G7" s="251" t="s">
        <v>276</v>
      </c>
    </row>
    <row r="8" spans="1:7">
      <c r="A8" s="6"/>
      <c r="B8" s="249"/>
      <c r="C8" s="390" t="s">
        <v>277</v>
      </c>
      <c r="D8" s="391"/>
      <c r="E8" s="252">
        <v>9.6100000000000005E-2</v>
      </c>
      <c r="F8" s="250"/>
      <c r="G8" s="253" t="s">
        <v>278</v>
      </c>
    </row>
    <row r="9" spans="1:7">
      <c r="A9" s="6"/>
      <c r="B9" s="249"/>
      <c r="C9" s="390" t="s">
        <v>279</v>
      </c>
      <c r="D9" s="391"/>
      <c r="E9" s="252">
        <v>4.6399999999999997E-2</v>
      </c>
      <c r="F9" s="250"/>
      <c r="G9" s="253" t="s">
        <v>280</v>
      </c>
    </row>
    <row r="10" spans="1:7">
      <c r="A10" s="6"/>
      <c r="B10" s="249"/>
      <c r="C10" s="390" t="s">
        <v>281</v>
      </c>
      <c r="D10" s="391"/>
      <c r="E10" s="254">
        <v>0.14760000000000001</v>
      </c>
      <c r="F10" s="239"/>
      <c r="G10" s="255" t="s">
        <v>282</v>
      </c>
    </row>
    <row r="11" spans="1:7">
      <c r="A11" s="6"/>
      <c r="B11" s="249"/>
      <c r="C11" s="390" t="s">
        <v>283</v>
      </c>
      <c r="D11" s="391"/>
      <c r="E11" s="254">
        <v>0.1012</v>
      </c>
      <c r="F11" s="239"/>
      <c r="G11" s="255" t="s">
        <v>284</v>
      </c>
    </row>
    <row r="12" spans="1:7">
      <c r="A12" s="6"/>
      <c r="B12" s="249"/>
      <c r="C12" s="237"/>
      <c r="D12" s="237"/>
      <c r="E12" s="243"/>
      <c r="F12" s="239"/>
      <c r="G12" s="256"/>
    </row>
    <row r="13" spans="1:7">
      <c r="A13" s="6"/>
      <c r="B13" s="249"/>
      <c r="C13" s="237"/>
      <c r="D13" s="237"/>
      <c r="E13" s="243"/>
      <c r="F13" s="239"/>
      <c r="G13" s="256"/>
    </row>
    <row r="14" spans="1:7">
      <c r="A14" s="6"/>
      <c r="B14" s="396" t="s">
        <v>285</v>
      </c>
      <c r="C14" s="391"/>
      <c r="D14" s="257"/>
      <c r="E14" s="258"/>
      <c r="F14" s="259"/>
      <c r="G14" s="260"/>
    </row>
    <row r="15" spans="1:7">
      <c r="A15" s="6"/>
      <c r="B15" s="399" t="s">
        <v>286</v>
      </c>
      <c r="C15" s="391"/>
      <c r="D15" s="237"/>
      <c r="E15" s="243"/>
      <c r="F15" s="239"/>
      <c r="G15" s="256"/>
    </row>
    <row r="16" spans="1:7">
      <c r="A16" s="6"/>
      <c r="B16" s="249"/>
      <c r="C16" s="390" t="s">
        <v>287</v>
      </c>
      <c r="D16" s="391"/>
      <c r="E16" s="262">
        <v>196.85</v>
      </c>
      <c r="F16" s="250"/>
      <c r="G16" s="253" t="s">
        <v>288</v>
      </c>
    </row>
    <row r="17" spans="1:7">
      <c r="A17" s="6"/>
      <c r="B17" s="249"/>
      <c r="C17" s="390" t="s">
        <v>289</v>
      </c>
      <c r="D17" s="391"/>
      <c r="E17" s="263">
        <v>8.6199999999999992</v>
      </c>
      <c r="F17" s="250"/>
      <c r="G17" s="253" t="s">
        <v>288</v>
      </c>
    </row>
    <row r="18" spans="1:7">
      <c r="A18" s="6"/>
      <c r="B18" s="249"/>
      <c r="C18" s="237" t="s">
        <v>290</v>
      </c>
      <c r="D18" s="237"/>
      <c r="E18" s="238">
        <f>E16/E17</f>
        <v>22.836426914153133</v>
      </c>
      <c r="F18" s="239"/>
      <c r="G18" s="256"/>
    </row>
    <row r="19" spans="1:7">
      <c r="A19" s="6"/>
      <c r="B19" s="249"/>
      <c r="C19" s="390" t="s">
        <v>291</v>
      </c>
      <c r="D19" s="391"/>
      <c r="E19" s="252">
        <v>0.1031</v>
      </c>
      <c r="F19" s="250"/>
      <c r="G19" s="253" t="s">
        <v>288</v>
      </c>
    </row>
    <row r="20" spans="1:7">
      <c r="A20" s="6"/>
      <c r="B20" s="249"/>
      <c r="C20" s="390" t="s">
        <v>292</v>
      </c>
      <c r="D20" s="391"/>
      <c r="E20" s="254">
        <f>((1+E19)/(E18))+E19</f>
        <v>0.15140440436880873</v>
      </c>
      <c r="F20" s="239"/>
      <c r="G20" s="256"/>
    </row>
    <row r="21" spans="1:7">
      <c r="A21" s="6"/>
      <c r="B21" s="261" t="s">
        <v>293</v>
      </c>
      <c r="C21" s="243"/>
      <c r="D21" s="237"/>
      <c r="E21" s="243"/>
      <c r="F21" s="239"/>
      <c r="G21" s="256"/>
    </row>
    <row r="22" spans="1:7">
      <c r="A22" s="6"/>
      <c r="B22" s="249"/>
      <c r="C22" s="237" t="s">
        <v>294</v>
      </c>
      <c r="D22" s="6"/>
      <c r="E22" s="264">
        <f>(E20-E9)/E11</f>
        <v>1.0375929285455407</v>
      </c>
      <c r="F22" s="239"/>
      <c r="G22" s="256" t="s">
        <v>295</v>
      </c>
    </row>
    <row r="23" spans="1:7">
      <c r="A23" s="6"/>
      <c r="B23" s="249"/>
      <c r="C23" s="237" t="s">
        <v>296</v>
      </c>
      <c r="D23" s="6"/>
      <c r="E23" s="265">
        <v>1.01</v>
      </c>
      <c r="F23" s="250"/>
      <c r="G23" s="266" t="s">
        <v>297</v>
      </c>
    </row>
    <row r="24" spans="1:7">
      <c r="A24" s="6"/>
      <c r="B24" s="249"/>
      <c r="C24" s="237"/>
      <c r="D24" s="237"/>
      <c r="E24" s="243"/>
      <c r="F24" s="239"/>
      <c r="G24" s="256"/>
    </row>
    <row r="25" spans="1:7">
      <c r="A25" s="6"/>
      <c r="B25" s="396" t="s">
        <v>298</v>
      </c>
      <c r="C25" s="391"/>
      <c r="D25" s="257"/>
      <c r="E25" s="258"/>
      <c r="F25" s="259"/>
      <c r="G25" s="260"/>
    </row>
    <row r="26" spans="1:7">
      <c r="A26" s="6"/>
      <c r="B26" s="249"/>
      <c r="C26" s="390" t="s">
        <v>299</v>
      </c>
      <c r="D26" s="391"/>
      <c r="E26" s="267">
        <v>6.5000000000000002E-2</v>
      </c>
      <c r="F26" s="250"/>
      <c r="G26" s="268"/>
    </row>
    <row r="27" spans="1:7">
      <c r="A27" s="6"/>
      <c r="B27" s="249"/>
      <c r="C27" s="390" t="s">
        <v>300</v>
      </c>
      <c r="D27" s="391"/>
      <c r="E27" s="254">
        <f>E9+E22*E26</f>
        <v>0.11384354035546015</v>
      </c>
      <c r="F27" s="254">
        <v>1</v>
      </c>
      <c r="G27" s="255" t="s">
        <v>301</v>
      </c>
    </row>
    <row r="28" spans="1:7">
      <c r="A28" s="6"/>
      <c r="B28" s="249"/>
      <c r="C28" s="390" t="s">
        <v>302</v>
      </c>
      <c r="D28" s="391"/>
      <c r="E28" s="254">
        <f>E9+E23*E26</f>
        <v>0.11205</v>
      </c>
      <c r="F28" s="254">
        <v>0</v>
      </c>
      <c r="G28" s="255" t="s">
        <v>303</v>
      </c>
    </row>
    <row r="29" spans="1:7">
      <c r="A29" s="6"/>
      <c r="B29" s="249"/>
      <c r="C29" s="390" t="s">
        <v>304</v>
      </c>
      <c r="D29" s="391"/>
      <c r="E29" s="254">
        <f>SUMPRODUCT(E27:E28,F27:F28)</f>
        <v>0.11384354035546015</v>
      </c>
      <c r="F29" s="239"/>
      <c r="G29" s="255"/>
    </row>
    <row r="30" spans="1:7">
      <c r="A30" s="6"/>
      <c r="B30" s="249"/>
      <c r="C30" s="237"/>
      <c r="D30" s="237"/>
      <c r="E30" s="243"/>
      <c r="F30" s="239"/>
      <c r="G30" s="255"/>
    </row>
    <row r="31" spans="1:7">
      <c r="A31" s="6"/>
      <c r="B31" s="269"/>
      <c r="C31" s="397" t="s">
        <v>305</v>
      </c>
      <c r="D31" s="398"/>
      <c r="E31" s="270">
        <f>E9+E26</f>
        <v>0.1114</v>
      </c>
      <c r="F31" s="271"/>
      <c r="G31" s="272" t="s">
        <v>306</v>
      </c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</sheetData>
  <mergeCells count="22">
    <mergeCell ref="C26:D26"/>
    <mergeCell ref="C27:D27"/>
    <mergeCell ref="C28:D28"/>
    <mergeCell ref="C29:D29"/>
    <mergeCell ref="C31:D31"/>
    <mergeCell ref="C7:D7"/>
    <mergeCell ref="C8:D8"/>
    <mergeCell ref="C19:D19"/>
    <mergeCell ref="C20:D20"/>
    <mergeCell ref="B25:C25"/>
    <mergeCell ref="C9:D9"/>
    <mergeCell ref="C10:D10"/>
    <mergeCell ref="C11:D11"/>
    <mergeCell ref="B14:C14"/>
    <mergeCell ref="B15:C15"/>
    <mergeCell ref="C16:D16"/>
    <mergeCell ref="C17:D17"/>
    <mergeCell ref="B1:C1"/>
    <mergeCell ref="B2:D2"/>
    <mergeCell ref="B3:C3"/>
    <mergeCell ref="B4:D4"/>
    <mergeCell ref="B6:C6"/>
  </mergeCells>
  <hyperlinks>
    <hyperlink ref="G7" r:id="rId1" xr:uid="{00000000-0004-0000-0600-000000000000}"/>
    <hyperlink ref="G23" r:id="rId2" xr:uid="{00000000-0004-0000-06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152"/>
  <sheetViews>
    <sheetView tabSelected="1" topLeftCell="A40" workbookViewId="0">
      <selection activeCell="F59" sqref="F59"/>
    </sheetView>
  </sheetViews>
  <sheetFormatPr defaultColWidth="12.6328125" defaultRowHeight="15" customHeight="1"/>
  <cols>
    <col min="1" max="1" width="18.453125" customWidth="1"/>
    <col min="2" max="2" width="25.08984375" customWidth="1"/>
  </cols>
  <sheetData>
    <row r="1" spans="1:16">
      <c r="A1" s="273"/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</row>
    <row r="2" spans="1:16">
      <c r="A2" s="400" t="s">
        <v>307</v>
      </c>
      <c r="B2" s="391"/>
      <c r="C2" s="391"/>
      <c r="D2" s="391"/>
      <c r="E2" s="391"/>
      <c r="F2" s="391"/>
      <c r="G2" s="391"/>
      <c r="H2" s="391"/>
      <c r="I2" s="391"/>
      <c r="J2" s="273"/>
      <c r="K2" s="273"/>
      <c r="L2" s="273"/>
      <c r="M2" s="273"/>
      <c r="N2" s="273"/>
      <c r="O2" s="273"/>
      <c r="P2" s="273"/>
    </row>
    <row r="3" spans="1:16">
      <c r="A3" s="274"/>
      <c r="B3" s="274"/>
      <c r="C3" s="274"/>
      <c r="D3" s="273"/>
      <c r="E3" s="273"/>
      <c r="F3" s="273"/>
      <c r="G3" s="273"/>
      <c r="H3" s="273"/>
      <c r="I3" s="275" t="s">
        <v>308</v>
      </c>
      <c r="J3" s="273"/>
      <c r="K3" s="273"/>
      <c r="L3" s="273"/>
      <c r="M3" s="273"/>
      <c r="N3" s="273"/>
      <c r="O3" s="273"/>
      <c r="P3" s="273"/>
    </row>
    <row r="4" spans="1:16">
      <c r="A4" s="276" t="s">
        <v>270</v>
      </c>
      <c r="B4" s="277">
        <f>ke!E29</f>
        <v>0.11384354035546015</v>
      </c>
      <c r="C4" s="278"/>
      <c r="D4" s="273"/>
      <c r="E4" s="273"/>
      <c r="F4" s="273"/>
      <c r="G4" s="279">
        <f ca="1">TODAY()</f>
        <v>45420</v>
      </c>
      <c r="H4" s="280" t="s">
        <v>309</v>
      </c>
      <c r="I4" s="281">
        <f>'Income Statement'!L35</f>
        <v>650.73039036553882</v>
      </c>
      <c r="J4" s="282"/>
      <c r="K4" s="273"/>
      <c r="L4" s="273"/>
      <c r="M4" s="273"/>
      <c r="N4" s="273"/>
      <c r="O4" s="273"/>
      <c r="P4" s="273"/>
    </row>
    <row r="5" spans="1:16">
      <c r="A5" s="283" t="s">
        <v>310</v>
      </c>
      <c r="B5" s="281">
        <f>I4</f>
        <v>650.73039036553882</v>
      </c>
      <c r="C5" s="284" t="s">
        <v>311</v>
      </c>
      <c r="D5" s="281"/>
      <c r="E5" s="273"/>
      <c r="F5" s="273"/>
      <c r="G5" s="279">
        <f ca="1">G4+365</f>
        <v>45785</v>
      </c>
      <c r="H5" s="280" t="s">
        <v>312</v>
      </c>
      <c r="I5" s="281">
        <f>'Income Statement'!L35</f>
        <v>650.73039036553882</v>
      </c>
      <c r="J5" s="285"/>
      <c r="K5" s="273"/>
      <c r="L5" s="273"/>
      <c r="M5" s="273"/>
      <c r="N5" s="273"/>
      <c r="O5" s="273"/>
      <c r="P5" s="273"/>
    </row>
    <row r="6" spans="1:16">
      <c r="A6" s="286"/>
      <c r="B6" s="273"/>
      <c r="C6" s="287"/>
      <c r="D6" s="273"/>
      <c r="E6" s="273"/>
      <c r="F6" s="273"/>
      <c r="G6" s="279">
        <f ca="1">G5+366</f>
        <v>46151</v>
      </c>
      <c r="H6" s="280" t="s">
        <v>313</v>
      </c>
      <c r="I6" s="281">
        <f>'Income Statement'!N35</f>
        <v>620.96526893442308</v>
      </c>
      <c r="J6" s="282"/>
      <c r="K6" s="273"/>
      <c r="L6" s="273"/>
      <c r="M6" s="273"/>
      <c r="N6" s="273"/>
      <c r="O6" s="273"/>
      <c r="P6" s="273"/>
    </row>
    <row r="7" spans="1:16">
      <c r="A7" s="283" t="s">
        <v>314</v>
      </c>
      <c r="B7" s="288">
        <f>ke!E16</f>
        <v>196.85</v>
      </c>
      <c r="C7" s="287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</row>
    <row r="8" spans="1:16">
      <c r="A8" s="283" t="s">
        <v>315</v>
      </c>
      <c r="B8" s="289"/>
      <c r="C8" s="287"/>
      <c r="D8" s="273"/>
      <c r="E8" s="273"/>
      <c r="F8" s="273"/>
      <c r="G8" s="401" t="s">
        <v>316</v>
      </c>
      <c r="H8" s="402"/>
      <c r="I8" s="402"/>
      <c r="J8" s="273"/>
      <c r="K8" s="273"/>
      <c r="L8" s="273"/>
      <c r="M8" s="273"/>
      <c r="N8" s="273"/>
      <c r="O8" s="273"/>
      <c r="P8" s="273"/>
    </row>
    <row r="9" spans="1:16">
      <c r="A9" s="283" t="s">
        <v>317</v>
      </c>
      <c r="B9" s="290">
        <f ca="1">B25</f>
        <v>285.36974735613677</v>
      </c>
      <c r="C9" s="287"/>
      <c r="D9" s="273"/>
      <c r="E9" s="273"/>
      <c r="F9" s="287"/>
      <c r="G9" s="280" t="s">
        <v>318</v>
      </c>
      <c r="H9" s="273"/>
      <c r="I9" s="291">
        <f ca="1">B10/B7-1</f>
        <v>0.49998214531286478</v>
      </c>
      <c r="J9" s="273"/>
      <c r="K9" s="273"/>
      <c r="L9" s="273"/>
      <c r="M9" s="273"/>
      <c r="N9" s="273"/>
      <c r="O9" s="273"/>
      <c r="P9" s="273"/>
    </row>
    <row r="10" spans="1:16">
      <c r="A10" s="292" t="s">
        <v>319</v>
      </c>
      <c r="B10" s="293">
        <f ca="1">B47</f>
        <v>295.27148530483743</v>
      </c>
      <c r="C10" s="294"/>
      <c r="D10" s="273"/>
      <c r="E10" s="273"/>
      <c r="F10" s="287"/>
      <c r="G10" s="295" t="s">
        <v>320</v>
      </c>
      <c r="H10" s="274"/>
      <c r="I10" s="296">
        <f ca="1">I9/ke!E23</f>
        <v>0.49503182704244036</v>
      </c>
      <c r="J10" s="273"/>
      <c r="K10" s="273"/>
      <c r="L10" s="273"/>
      <c r="M10" s="273"/>
      <c r="N10" s="273"/>
      <c r="O10" s="273"/>
      <c r="P10" s="273"/>
    </row>
    <row r="11" spans="1:16">
      <c r="A11" s="273"/>
      <c r="B11" s="285"/>
      <c r="C11" s="273"/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3"/>
    </row>
    <row r="12" spans="1:16">
      <c r="A12" s="273"/>
      <c r="B12" s="273"/>
      <c r="C12" s="273"/>
      <c r="D12" s="273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</row>
    <row r="13" spans="1:16">
      <c r="A13" s="400" t="s">
        <v>321</v>
      </c>
      <c r="B13" s="391"/>
      <c r="C13" s="391"/>
      <c r="D13" s="391"/>
      <c r="E13" s="391"/>
      <c r="F13" s="391"/>
      <c r="G13" s="391"/>
      <c r="H13" s="391"/>
      <c r="I13" s="391"/>
      <c r="J13" s="273"/>
      <c r="K13" s="273"/>
      <c r="L13" s="273"/>
      <c r="M13" s="273"/>
      <c r="N13" s="273"/>
      <c r="O13" s="273"/>
      <c r="P13" s="273"/>
    </row>
    <row r="14" spans="1:16">
      <c r="A14" s="273"/>
      <c r="B14" s="273"/>
      <c r="C14" s="273"/>
      <c r="D14" s="273"/>
      <c r="E14" s="273"/>
      <c r="F14" s="273"/>
      <c r="G14" s="273"/>
      <c r="H14" s="273"/>
      <c r="I14" s="273"/>
      <c r="J14" s="273"/>
      <c r="K14" s="273"/>
      <c r="L14" s="273"/>
      <c r="M14" s="273"/>
      <c r="N14" s="273"/>
      <c r="O14" s="273"/>
      <c r="P14" s="273"/>
    </row>
    <row r="15" spans="1:16">
      <c r="A15" s="273"/>
      <c r="B15" s="273"/>
      <c r="C15" s="297">
        <v>45565</v>
      </c>
      <c r="D15" s="297">
        <v>45930</v>
      </c>
      <c r="E15" s="297">
        <v>46295</v>
      </c>
      <c r="F15" s="297">
        <v>46660</v>
      </c>
      <c r="G15" s="297">
        <v>47026</v>
      </c>
      <c r="H15" s="273"/>
      <c r="I15" s="273"/>
      <c r="J15" s="273"/>
      <c r="K15" s="273"/>
      <c r="L15" s="273"/>
      <c r="M15" s="273"/>
      <c r="N15" s="273"/>
      <c r="O15" s="273"/>
      <c r="P15" s="273"/>
    </row>
    <row r="16" spans="1:16">
      <c r="A16" s="298" t="s">
        <v>322</v>
      </c>
      <c r="B16" s="273"/>
      <c r="C16" s="299">
        <f t="shared" ref="C16:G16" ca="1" si="0">MAX((C15-$G$4)/365,0)</f>
        <v>0.39726027397260272</v>
      </c>
      <c r="D16" s="299">
        <f t="shared" ca="1" si="0"/>
        <v>1.3972602739726028</v>
      </c>
      <c r="E16" s="299">
        <f t="shared" ca="1" si="0"/>
        <v>2.3972602739726026</v>
      </c>
      <c r="F16" s="299">
        <f t="shared" ca="1" si="0"/>
        <v>3.3972602739726026</v>
      </c>
      <c r="G16" s="299">
        <f t="shared" ca="1" si="0"/>
        <v>4.4000000000000004</v>
      </c>
      <c r="H16" s="273"/>
      <c r="I16" s="273"/>
      <c r="J16" s="273"/>
      <c r="K16" s="273"/>
      <c r="L16" s="273"/>
      <c r="M16" s="273"/>
      <c r="N16" s="273"/>
      <c r="O16" s="273"/>
      <c r="P16" s="273"/>
    </row>
    <row r="17" spans="1:16">
      <c r="A17" s="300" t="s">
        <v>323</v>
      </c>
      <c r="B17" s="301"/>
      <c r="C17" s="302">
        <f>'Derived Cash flow'!B45</f>
        <v>14725.682979508269</v>
      </c>
      <c r="D17" s="302">
        <f>'Derived Cash flow'!C45</f>
        <v>14640.67323151146</v>
      </c>
      <c r="E17" s="302">
        <f>'Derived Cash flow'!D45</f>
        <v>14831.139612630135</v>
      </c>
      <c r="F17" s="302">
        <f>'Derived Cash flow'!E45</f>
        <v>16493.793031058394</v>
      </c>
      <c r="G17" s="302">
        <f>'Derived Cash flow'!F45</f>
        <v>18536.765733159045</v>
      </c>
      <c r="H17" s="273"/>
      <c r="I17" s="273"/>
      <c r="J17" s="273"/>
      <c r="K17" s="273"/>
      <c r="L17" s="273"/>
      <c r="M17" s="273"/>
      <c r="N17" s="273"/>
      <c r="O17" s="273"/>
      <c r="P17" s="273"/>
    </row>
    <row r="18" spans="1:16">
      <c r="A18" s="298" t="s">
        <v>324</v>
      </c>
      <c r="B18" s="273"/>
      <c r="C18" s="303">
        <f ca="1">(C17*C16)/((1+$B$4)^C16)</f>
        <v>5604.6589910063385</v>
      </c>
      <c r="D18" s="303">
        <f t="shared" ref="D18:G18" ca="1" si="1">D17/((1+$B$4)^D16)</f>
        <v>12593.181605035721</v>
      </c>
      <c r="E18" s="303">
        <f t="shared" ca="1" si="1"/>
        <v>11453.144795874578</v>
      </c>
      <c r="F18" s="303">
        <f t="shared" ca="1" si="1"/>
        <v>11435.274080366924</v>
      </c>
      <c r="G18" s="303">
        <f t="shared" ca="1" si="1"/>
        <v>11534.732385155246</v>
      </c>
      <c r="H18" s="273"/>
      <c r="I18" s="273"/>
      <c r="J18" s="273"/>
      <c r="K18" s="273"/>
      <c r="L18" s="273"/>
      <c r="M18" s="273"/>
      <c r="N18" s="273"/>
      <c r="O18" s="273"/>
      <c r="P18" s="273"/>
    </row>
    <row r="19" spans="1:16">
      <c r="A19" s="273"/>
      <c r="B19" s="274"/>
      <c r="C19" s="273"/>
      <c r="D19" s="273"/>
      <c r="E19" s="273"/>
      <c r="F19" s="273"/>
      <c r="G19" s="273"/>
      <c r="H19" s="273"/>
      <c r="I19" s="273"/>
      <c r="J19" s="273"/>
      <c r="K19" s="273"/>
      <c r="L19" s="273"/>
      <c r="M19" s="273"/>
      <c r="N19" s="273"/>
      <c r="O19" s="273"/>
      <c r="P19" s="273"/>
    </row>
    <row r="20" spans="1:16">
      <c r="A20" s="304" t="s">
        <v>325</v>
      </c>
      <c r="B20" s="305">
        <v>2.5000000000000001E-2</v>
      </c>
      <c r="C20" s="306"/>
      <c r="D20" s="306"/>
      <c r="E20" s="306"/>
      <c r="F20" s="306"/>
      <c r="G20" s="306"/>
      <c r="H20" s="273"/>
      <c r="I20" s="273"/>
      <c r="J20" s="273"/>
      <c r="K20" s="273"/>
      <c r="L20" s="273"/>
      <c r="M20" s="273"/>
      <c r="N20" s="273"/>
      <c r="O20" s="273"/>
      <c r="P20" s="273"/>
    </row>
    <row r="21" spans="1:16">
      <c r="A21" s="273"/>
      <c r="B21" s="306"/>
      <c r="C21" s="306"/>
      <c r="D21" s="306"/>
      <c r="E21" s="306"/>
      <c r="F21" s="306"/>
      <c r="G21" s="306"/>
      <c r="H21" s="273"/>
      <c r="I21" s="273"/>
      <c r="J21" s="273"/>
      <c r="K21" s="273"/>
      <c r="L21" s="273"/>
      <c r="M21" s="273"/>
      <c r="N21" s="273"/>
      <c r="O21" s="273"/>
      <c r="P21" s="273"/>
    </row>
    <row r="22" spans="1:16">
      <c r="A22" s="280" t="s">
        <v>326</v>
      </c>
      <c r="B22" s="307">
        <f>G17*(1+B20)/(B4-B20)</f>
        <v>213861.18563565667</v>
      </c>
      <c r="C22" s="308">
        <f>B22/'Income Statement'!P22</f>
        <v>24.447824794064708</v>
      </c>
      <c r="D22" s="309" t="s">
        <v>327</v>
      </c>
      <c r="E22" s="281"/>
      <c r="F22" s="310"/>
      <c r="G22" s="310"/>
      <c r="H22" s="273"/>
      <c r="I22" s="273"/>
      <c r="J22" s="273"/>
      <c r="K22" s="273"/>
      <c r="L22" s="273"/>
      <c r="M22" s="273"/>
      <c r="N22" s="273"/>
      <c r="O22" s="273"/>
      <c r="P22" s="273"/>
    </row>
    <row r="23" spans="1:16">
      <c r="A23" s="311" t="s">
        <v>328</v>
      </c>
      <c r="B23" s="312">
        <f ca="1">B22/(1+B4)^(G16)</f>
        <v>133077.77523813525</v>
      </c>
      <c r="C23" s="281"/>
      <c r="D23" s="310"/>
      <c r="E23" s="281"/>
      <c r="F23" s="310"/>
      <c r="G23" s="310"/>
      <c r="H23" s="273"/>
      <c r="I23" s="273"/>
      <c r="J23" s="273"/>
      <c r="K23" s="273"/>
      <c r="L23" s="273"/>
      <c r="M23" s="273"/>
      <c r="N23" s="273"/>
      <c r="O23" s="273"/>
      <c r="P23" s="273"/>
    </row>
    <row r="24" spans="1:16">
      <c r="A24" s="311" t="s">
        <v>329</v>
      </c>
      <c r="B24" s="312">
        <f ca="1">SUM(C18:G18)+B23</f>
        <v>185698.76709557406</v>
      </c>
      <c r="C24" s="281"/>
      <c r="D24" s="310"/>
      <c r="E24" s="281"/>
      <c r="F24" s="310"/>
      <c r="G24" s="310"/>
      <c r="H24" s="273"/>
      <c r="I24" s="273"/>
      <c r="J24" s="273"/>
      <c r="K24" s="273"/>
      <c r="L24" s="273"/>
      <c r="M24" s="273"/>
      <c r="N24" s="273"/>
      <c r="O24" s="273"/>
      <c r="P24" s="273"/>
    </row>
    <row r="25" spans="1:16">
      <c r="A25" s="313" t="s">
        <v>330</v>
      </c>
      <c r="B25" s="293">
        <f ca="1">B24/B5</f>
        <v>285.36974735613677</v>
      </c>
      <c r="C25" s="285"/>
      <c r="D25" s="285"/>
      <c r="E25" s="285"/>
      <c r="F25" s="285"/>
      <c r="G25" s="285"/>
      <c r="H25" s="273"/>
      <c r="I25" s="273"/>
      <c r="J25" s="273"/>
      <c r="K25" s="273"/>
      <c r="L25" s="273"/>
      <c r="M25" s="273"/>
      <c r="N25" s="273"/>
      <c r="O25" s="273"/>
      <c r="P25" s="273"/>
    </row>
    <row r="26" spans="1:16">
      <c r="A26" s="273"/>
      <c r="B26" s="273"/>
      <c r="C26" s="403" t="s">
        <v>325</v>
      </c>
      <c r="D26" s="391"/>
      <c r="E26" s="391"/>
      <c r="F26" s="391"/>
      <c r="G26" s="391"/>
      <c r="H26" s="391"/>
      <c r="I26" s="391"/>
      <c r="J26" s="273"/>
      <c r="K26" s="274"/>
      <c r="L26" s="274"/>
      <c r="M26" s="273"/>
      <c r="N26" s="273"/>
      <c r="O26" s="273"/>
      <c r="P26" s="273"/>
    </row>
    <row r="27" spans="1:16">
      <c r="A27" s="273"/>
      <c r="B27" s="315">
        <f ca="1">B25</f>
        <v>285.36974735613677</v>
      </c>
      <c r="C27" s="316">
        <f t="shared" ref="C27:E27" si="2">D27-$L$27</f>
        <v>1.7500000000000005E-2</v>
      </c>
      <c r="D27" s="316">
        <f t="shared" si="2"/>
        <v>2.0000000000000004E-2</v>
      </c>
      <c r="E27" s="316">
        <f t="shared" si="2"/>
        <v>2.2500000000000003E-2</v>
      </c>
      <c r="F27" s="317">
        <v>2.5000000000000001E-2</v>
      </c>
      <c r="G27" s="316">
        <f t="shared" ref="G27:I27" si="3">F27+$L$27</f>
        <v>2.75E-2</v>
      </c>
      <c r="H27" s="316">
        <f t="shared" si="3"/>
        <v>0.03</v>
      </c>
      <c r="I27" s="316">
        <f t="shared" si="3"/>
        <v>3.2500000000000001E-2</v>
      </c>
      <c r="J27" s="287"/>
      <c r="K27" s="295" t="s">
        <v>331</v>
      </c>
      <c r="L27" s="318">
        <v>2.5000000000000001E-3</v>
      </c>
      <c r="M27" s="273"/>
      <c r="N27" s="273"/>
      <c r="O27" s="273"/>
      <c r="P27" s="273"/>
    </row>
    <row r="28" spans="1:16">
      <c r="A28" s="273"/>
      <c r="B28" s="319">
        <f>B29-L28</f>
        <v>9.8843540355460141E-2</v>
      </c>
      <c r="C28" s="320">
        <f t="dataTable" ref="C28:I34" dt2D="1" dtr="1" r1="B20" r2="B4" ca="1"/>
        <v>319.25424613317864</v>
      </c>
      <c r="D28" s="320">
        <v>327.316583274609</v>
      </c>
      <c r="E28" s="320">
        <v>335.90695049585315</v>
      </c>
      <c r="F28" s="321">
        <v>345.07897774991068</v>
      </c>
      <c r="G28" s="320">
        <v>354.89381213187085</v>
      </c>
      <c r="H28" s="320">
        <v>365.42148277495892</v>
      </c>
      <c r="I28" s="322">
        <v>376.74257434393388</v>
      </c>
      <c r="J28" s="287"/>
      <c r="K28" s="295" t="s">
        <v>332</v>
      </c>
      <c r="L28" s="318">
        <v>5.0000000000000001E-3</v>
      </c>
      <c r="M28" s="273"/>
      <c r="N28" s="273"/>
      <c r="O28" s="273"/>
      <c r="P28" s="273"/>
    </row>
    <row r="29" spans="1:16">
      <c r="A29" s="273"/>
      <c r="B29" s="319">
        <f t="shared" ref="B29:B30" si="4">B30-$L$28</f>
        <v>0.10384354035546015</v>
      </c>
      <c r="C29" s="320">
        <v>300.20509794331394</v>
      </c>
      <c r="D29" s="320">
        <v>307.23733473617017</v>
      </c>
      <c r="E29" s="323">
        <v>314.70182692153355</v>
      </c>
      <c r="F29" s="324">
        <v>322.63969283870244</v>
      </c>
      <c r="G29" s="323">
        <v>331.09743678878749</v>
      </c>
      <c r="H29" s="320">
        <v>340.12786075322248</v>
      </c>
      <c r="I29" s="322">
        <v>349.79116780135666</v>
      </c>
      <c r="J29" s="273"/>
      <c r="K29" s="273"/>
      <c r="L29" s="273"/>
      <c r="M29" s="273"/>
      <c r="N29" s="273"/>
      <c r="O29" s="273"/>
      <c r="P29" s="273"/>
    </row>
    <row r="30" spans="1:16">
      <c r="A30" s="273"/>
      <c r="B30" s="319">
        <f t="shared" si="4"/>
        <v>0.10884354035546015</v>
      </c>
      <c r="C30" s="320">
        <v>283.25251747930008</v>
      </c>
      <c r="D30" s="325">
        <v>289.42930752354908</v>
      </c>
      <c r="E30" s="326">
        <v>295.96378443231748</v>
      </c>
      <c r="F30" s="326">
        <v>302.88794412887512</v>
      </c>
      <c r="G30" s="327">
        <v>310.23771596785377</v>
      </c>
      <c r="H30" s="320">
        <v>318.05358634869407</v>
      </c>
      <c r="I30" s="322">
        <v>326.38134485683685</v>
      </c>
      <c r="J30" s="273"/>
      <c r="K30" s="273"/>
      <c r="L30" s="328"/>
      <c r="M30" s="273"/>
      <c r="N30" s="273"/>
      <c r="O30" s="273"/>
      <c r="P30" s="273"/>
    </row>
    <row r="31" spans="1:16">
      <c r="A31" s="314" t="s">
        <v>333</v>
      </c>
      <c r="B31" s="329">
        <f>ke!E29</f>
        <v>0.11384354035546015</v>
      </c>
      <c r="C31" s="321">
        <v>268.06985386342512</v>
      </c>
      <c r="D31" s="330">
        <v>273.52923792560313</v>
      </c>
      <c r="E31" s="326">
        <v>279.28745998119228</v>
      </c>
      <c r="F31" s="331">
        <v>285.36974735613677</v>
      </c>
      <c r="G31" s="327">
        <v>291.80424911503542</v>
      </c>
      <c r="H31" s="321">
        <v>298.62247165502345</v>
      </c>
      <c r="I31" s="332">
        <v>305.85979462451036</v>
      </c>
      <c r="J31" s="273"/>
      <c r="K31" s="273"/>
      <c r="L31" s="273"/>
      <c r="M31" s="273"/>
      <c r="N31" s="273"/>
      <c r="O31" s="273"/>
      <c r="P31" s="273"/>
    </row>
    <row r="32" spans="1:16">
      <c r="A32" s="273"/>
      <c r="B32" s="319">
        <f t="shared" ref="B32:B34" si="5">B31+$L$28</f>
        <v>0.11884354035546016</v>
      </c>
      <c r="C32" s="320">
        <v>254.39492615572513</v>
      </c>
      <c r="D32" s="325">
        <v>259.24737086612771</v>
      </c>
      <c r="E32" s="333">
        <v>264.35164588567704</v>
      </c>
      <c r="F32" s="333">
        <v>269.72787755776829</v>
      </c>
      <c r="G32" s="334">
        <v>275.39839559379777</v>
      </c>
      <c r="H32" s="320">
        <v>281.38804307994502</v>
      </c>
      <c r="I32" s="322">
        <v>287.72454033976885</v>
      </c>
      <c r="J32" s="273"/>
      <c r="K32" s="273"/>
      <c r="L32" s="273"/>
      <c r="M32" s="273"/>
      <c r="N32" s="273"/>
      <c r="O32" s="273"/>
      <c r="P32" s="273"/>
    </row>
    <row r="33" spans="1:16">
      <c r="A33" s="273"/>
      <c r="B33" s="319">
        <f t="shared" si="5"/>
        <v>0.12384354035546016</v>
      </c>
      <c r="C33" s="320">
        <v>242.0148671237408</v>
      </c>
      <c r="D33" s="320">
        <v>246.34976275921446</v>
      </c>
      <c r="E33" s="320">
        <v>250.89852972877961</v>
      </c>
      <c r="F33" s="321">
        <v>255.67739605300187</v>
      </c>
      <c r="G33" s="320">
        <v>260.70427414358613</v>
      </c>
      <c r="H33" s="320">
        <v>265.99898516500087</v>
      </c>
      <c r="I33" s="322">
        <v>271.583520239699</v>
      </c>
      <c r="J33" s="273"/>
      <c r="K33" s="273"/>
      <c r="L33" s="273"/>
      <c r="M33" s="273"/>
      <c r="N33" s="273"/>
      <c r="O33" s="273"/>
      <c r="P33" s="273"/>
    </row>
    <row r="34" spans="1:16">
      <c r="A34" s="273"/>
      <c r="B34" s="319">
        <f t="shared" si="5"/>
        <v>0.12884354035546017</v>
      </c>
      <c r="C34" s="335">
        <v>230.75505065809932</v>
      </c>
      <c r="D34" s="335">
        <v>234.64546214603453</v>
      </c>
      <c r="E34" s="335">
        <v>238.71879078506953</v>
      </c>
      <c r="F34" s="336">
        <v>242.98824759082009</v>
      </c>
      <c r="G34" s="335">
        <v>247.46834716624184</v>
      </c>
      <c r="H34" s="335">
        <v>252.17507255652768</v>
      </c>
      <c r="I34" s="337">
        <v>257.12606577073399</v>
      </c>
      <c r="J34" s="273"/>
      <c r="K34" s="273"/>
      <c r="L34" s="273"/>
      <c r="M34" s="273"/>
      <c r="N34" s="273"/>
      <c r="O34" s="273"/>
      <c r="P34" s="273"/>
    </row>
    <row r="35" spans="1:16">
      <c r="A35" s="273"/>
      <c r="B35" s="306"/>
      <c r="C35" s="289"/>
      <c r="D35" s="289"/>
      <c r="E35" s="289"/>
      <c r="F35" s="338"/>
      <c r="G35" s="289"/>
      <c r="H35" s="289"/>
      <c r="I35" s="289"/>
      <c r="J35" s="273"/>
      <c r="K35" s="273"/>
      <c r="L35" s="273"/>
      <c r="M35" s="273"/>
      <c r="N35" s="273"/>
      <c r="O35" s="273"/>
      <c r="P35" s="273"/>
    </row>
    <row r="36" spans="1:16">
      <c r="A36" s="273"/>
      <c r="B36" s="306"/>
      <c r="C36" s="289"/>
      <c r="D36" s="289"/>
      <c r="E36" s="289"/>
      <c r="F36" s="338"/>
      <c r="G36" s="289"/>
      <c r="H36" s="289"/>
      <c r="I36" s="289"/>
      <c r="J36" s="273"/>
      <c r="K36" s="273"/>
      <c r="L36" s="273"/>
      <c r="M36" s="273"/>
      <c r="N36" s="273"/>
      <c r="O36" s="273"/>
      <c r="P36" s="273"/>
    </row>
    <row r="37" spans="1:16">
      <c r="A37" s="400" t="s">
        <v>334</v>
      </c>
      <c r="B37" s="391"/>
      <c r="C37" s="391"/>
      <c r="D37" s="391"/>
      <c r="E37" s="391"/>
      <c r="F37" s="391"/>
      <c r="G37" s="391"/>
      <c r="H37" s="391"/>
      <c r="I37" s="391"/>
      <c r="J37" s="273"/>
      <c r="K37" s="273"/>
      <c r="L37" s="273"/>
      <c r="M37" s="273"/>
      <c r="N37" s="273"/>
      <c r="O37" s="273"/>
      <c r="P37" s="273"/>
    </row>
    <row r="38" spans="1:16">
      <c r="A38" s="273"/>
      <c r="B38" s="273"/>
      <c r="C38" s="273"/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3"/>
    </row>
    <row r="39" spans="1:16">
      <c r="A39" s="273"/>
      <c r="B39" s="273"/>
      <c r="C39" s="339">
        <f t="shared" ref="C39:G39" si="6">C15</f>
        <v>45565</v>
      </c>
      <c r="D39" s="339">
        <f t="shared" si="6"/>
        <v>45930</v>
      </c>
      <c r="E39" s="339">
        <f t="shared" si="6"/>
        <v>46295</v>
      </c>
      <c r="F39" s="339">
        <f t="shared" si="6"/>
        <v>46660</v>
      </c>
      <c r="G39" s="339">
        <f t="shared" si="6"/>
        <v>47026</v>
      </c>
      <c r="H39" s="273"/>
      <c r="I39" s="273"/>
      <c r="J39" s="273"/>
      <c r="K39" s="273"/>
      <c r="L39" s="273"/>
      <c r="M39" s="273"/>
      <c r="N39" s="273"/>
      <c r="O39" s="273"/>
      <c r="P39" s="273"/>
    </row>
    <row r="40" spans="1:16">
      <c r="A40" s="298" t="s">
        <v>335</v>
      </c>
      <c r="B40" s="273"/>
      <c r="C40" s="299">
        <f ca="1">MAX((C39-$G$4)/365,0)</f>
        <v>0.39726027397260272</v>
      </c>
      <c r="D40" s="299">
        <f t="shared" ref="D40:G40" ca="1" si="7">MAX((D39-$G$5)/365,0)</f>
        <v>0.39726027397260272</v>
      </c>
      <c r="E40" s="299">
        <f t="shared" ca="1" si="7"/>
        <v>1.3972602739726028</v>
      </c>
      <c r="F40" s="299">
        <f t="shared" ca="1" si="7"/>
        <v>2.3972602739726026</v>
      </c>
      <c r="G40" s="299">
        <f t="shared" ca="1" si="7"/>
        <v>3.4</v>
      </c>
      <c r="H40" s="273"/>
      <c r="I40" s="273"/>
      <c r="J40" s="273"/>
      <c r="K40" s="273"/>
      <c r="L40" s="273"/>
      <c r="M40" s="273"/>
      <c r="N40" s="273"/>
      <c r="O40" s="273"/>
      <c r="P40" s="273"/>
    </row>
    <row r="41" spans="1:16">
      <c r="A41" s="300" t="s">
        <v>323</v>
      </c>
      <c r="B41" s="301"/>
      <c r="C41" s="312">
        <f t="shared" ref="C41:G41" si="8">C17</f>
        <v>14725.682979508269</v>
      </c>
      <c r="D41" s="312">
        <f t="shared" si="8"/>
        <v>14640.67323151146</v>
      </c>
      <c r="E41" s="312">
        <f t="shared" si="8"/>
        <v>14831.139612630135</v>
      </c>
      <c r="F41" s="312">
        <f t="shared" si="8"/>
        <v>16493.793031058394</v>
      </c>
      <c r="G41" s="312">
        <f t="shared" si="8"/>
        <v>18536.765733159045</v>
      </c>
      <c r="H41" s="273"/>
      <c r="I41" s="273"/>
      <c r="J41" s="273"/>
      <c r="K41" s="273"/>
      <c r="L41" s="273"/>
      <c r="M41" s="273"/>
      <c r="N41" s="273"/>
      <c r="O41" s="273"/>
      <c r="P41" s="273"/>
    </row>
    <row r="42" spans="1:16">
      <c r="A42" s="298" t="s">
        <v>324</v>
      </c>
      <c r="B42" s="273"/>
      <c r="C42" s="303">
        <f ca="1">(C41*C40)/((1+$B$4)^C40)</f>
        <v>5604.6589910063385</v>
      </c>
      <c r="D42" s="303">
        <f ca="1">D41*D40/((1+$B$4)^D40)</f>
        <v>5572.3039111708904</v>
      </c>
      <c r="E42" s="303">
        <f t="shared" ref="E42:G42" ca="1" si="9">E41/((1+$B$4)^E40)</f>
        <v>12757.011347640651</v>
      </c>
      <c r="F42" s="303">
        <f t="shared" ca="1" si="9"/>
        <v>12737.106166610922</v>
      </c>
      <c r="G42" s="303">
        <f t="shared" ca="1" si="9"/>
        <v>12847.887156934099</v>
      </c>
      <c r="H42" s="273"/>
      <c r="I42" s="273"/>
      <c r="J42" s="273"/>
      <c r="K42" s="273"/>
      <c r="L42" s="273"/>
      <c r="M42" s="273"/>
      <c r="N42" s="273"/>
      <c r="O42" s="273"/>
      <c r="P42" s="273"/>
    </row>
    <row r="43" spans="1:16">
      <c r="A43" s="273"/>
      <c r="B43" s="310"/>
      <c r="C43" s="281"/>
      <c r="D43" s="281"/>
      <c r="E43" s="281"/>
      <c r="F43" s="281"/>
      <c r="G43" s="281"/>
      <c r="H43" s="281"/>
      <c r="I43" s="281"/>
      <c r="J43" s="273"/>
      <c r="K43" s="273"/>
      <c r="L43" s="273"/>
      <c r="M43" s="273"/>
      <c r="N43" s="273"/>
      <c r="O43" s="273"/>
      <c r="P43" s="273"/>
    </row>
    <row r="44" spans="1:16">
      <c r="A44" s="280" t="s">
        <v>326</v>
      </c>
      <c r="B44" s="307">
        <f>G41*(1+B20)/(B4-B20)</f>
        <v>213861.18563565667</v>
      </c>
      <c r="C44" s="310"/>
      <c r="D44" s="281"/>
      <c r="E44" s="281"/>
      <c r="F44" s="310"/>
      <c r="G44" s="273"/>
      <c r="H44" s="273"/>
      <c r="I44" s="273"/>
      <c r="J44" s="273"/>
      <c r="K44" s="273"/>
      <c r="L44" s="273"/>
      <c r="M44" s="273"/>
      <c r="N44" s="273"/>
      <c r="O44" s="273"/>
      <c r="P44" s="273"/>
    </row>
    <row r="45" spans="1:16">
      <c r="A45" s="311" t="s">
        <v>328</v>
      </c>
      <c r="B45" s="312">
        <f ca="1">B44/(1+B4)^G40</f>
        <v>148227.82031387274</v>
      </c>
      <c r="C45" s="310"/>
      <c r="D45" s="281"/>
      <c r="E45" s="281"/>
      <c r="F45" s="310"/>
      <c r="G45" s="273"/>
      <c r="H45" s="273"/>
      <c r="I45" s="273"/>
      <c r="J45" s="273"/>
      <c r="K45" s="273"/>
      <c r="L45" s="273"/>
      <c r="M45" s="273"/>
      <c r="N45" s="273"/>
      <c r="O45" s="273"/>
      <c r="P45" s="273"/>
    </row>
    <row r="46" spans="1:16">
      <c r="A46" s="311" t="s">
        <v>329</v>
      </c>
      <c r="B46" s="312">
        <f ca="1">SUM(D42:G42)+B45</f>
        <v>192142.12889622932</v>
      </c>
      <c r="C46" s="310"/>
      <c r="D46" s="281"/>
      <c r="E46" s="281"/>
      <c r="F46" s="310"/>
      <c r="G46" s="273"/>
      <c r="H46" s="273"/>
      <c r="I46" s="273"/>
      <c r="J46" s="273"/>
      <c r="K46" s="273"/>
      <c r="L46" s="273"/>
      <c r="M46" s="273"/>
      <c r="N46" s="273"/>
      <c r="O46" s="273"/>
      <c r="P46" s="273"/>
    </row>
    <row r="47" spans="1:16">
      <c r="A47" s="313" t="s">
        <v>330</v>
      </c>
      <c r="B47" s="340">
        <f ca="1">B46/I5</f>
        <v>295.27148530483743</v>
      </c>
      <c r="C47" s="310"/>
      <c r="D47" s="310"/>
      <c r="E47" s="310"/>
      <c r="F47" s="310"/>
      <c r="G47" s="273"/>
      <c r="H47" s="273"/>
      <c r="I47" s="273"/>
      <c r="J47" s="273"/>
      <c r="K47" s="273"/>
      <c r="L47" s="273"/>
      <c r="M47" s="273"/>
      <c r="N47" s="273"/>
      <c r="O47" s="273"/>
      <c r="P47" s="273"/>
    </row>
    <row r="48" spans="1:16">
      <c r="A48" s="273"/>
      <c r="B48" s="273"/>
      <c r="C48" s="403" t="s">
        <v>325</v>
      </c>
      <c r="D48" s="391"/>
      <c r="E48" s="391"/>
      <c r="F48" s="391"/>
      <c r="G48" s="391"/>
      <c r="H48" s="391"/>
      <c r="I48" s="391"/>
      <c r="J48" s="273"/>
      <c r="K48" s="273"/>
      <c r="L48" s="273"/>
      <c r="M48" s="273"/>
      <c r="N48" s="273"/>
      <c r="O48" s="273"/>
      <c r="P48" s="273"/>
    </row>
    <row r="49" spans="1:16">
      <c r="A49" s="273"/>
      <c r="B49" s="341">
        <f ca="1">B47</f>
        <v>295.27148530483743</v>
      </c>
      <c r="C49" s="316">
        <f t="shared" ref="C49:E49" si="10">D49-$L$27</f>
        <v>1.7500000000000005E-2</v>
      </c>
      <c r="D49" s="316">
        <f t="shared" si="10"/>
        <v>2.0000000000000004E-2</v>
      </c>
      <c r="E49" s="316">
        <f t="shared" si="10"/>
        <v>2.2500000000000003E-2</v>
      </c>
      <c r="F49" s="317">
        <v>2.5000000000000001E-2</v>
      </c>
      <c r="G49" s="316">
        <f t="shared" ref="G49:I49" si="11">F49+$L$27</f>
        <v>2.75E-2</v>
      </c>
      <c r="H49" s="316">
        <f t="shared" si="11"/>
        <v>0.03</v>
      </c>
      <c r="I49" s="316">
        <f t="shared" si="11"/>
        <v>3.2500000000000001E-2</v>
      </c>
      <c r="J49" s="273"/>
      <c r="K49" s="273"/>
      <c r="L49" s="273"/>
      <c r="M49" s="273"/>
      <c r="N49" s="273"/>
      <c r="O49" s="273"/>
      <c r="P49" s="273"/>
    </row>
    <row r="50" spans="1:16">
      <c r="A50" s="273"/>
      <c r="B50" s="319">
        <f t="shared" ref="B50:B52" si="12">B51-$L$28</f>
        <v>9.8843540355460141E-2</v>
      </c>
      <c r="C50" s="320">
        <f t="dataTable" ref="C50:I56" dt2D="1" dtr="1" r1="B20" r2="B4" ca="1"/>
        <v>328.2243356101722</v>
      </c>
      <c r="D50" s="320">
        <v>337.08358269820093</v>
      </c>
      <c r="E50" s="320">
        <v>346.52305222854631</v>
      </c>
      <c r="F50" s="321">
        <v>356.60167512863165</v>
      </c>
      <c r="G50" s="320">
        <v>367.38664248890723</v>
      </c>
      <c r="H50" s="320">
        <v>378.95490537005441</v>
      </c>
      <c r="I50" s="322">
        <v>391.39501371039518</v>
      </c>
      <c r="J50" s="273"/>
      <c r="K50" s="273"/>
      <c r="L50" s="273"/>
      <c r="M50" s="273"/>
      <c r="N50" s="273"/>
      <c r="O50" s="273"/>
      <c r="P50" s="273"/>
    </row>
    <row r="51" spans="1:16">
      <c r="A51" s="273"/>
      <c r="B51" s="319">
        <f t="shared" si="12"/>
        <v>0.10384354035546015</v>
      </c>
      <c r="C51" s="320">
        <v>308.79357593542073</v>
      </c>
      <c r="D51" s="320">
        <v>316.55606509346495</v>
      </c>
      <c r="E51" s="323">
        <v>324.79569657431222</v>
      </c>
      <c r="F51" s="324">
        <v>333.55785859118686</v>
      </c>
      <c r="G51" s="323">
        <v>342.89388461646865</v>
      </c>
      <c r="H51" s="320">
        <v>352.8620597762814</v>
      </c>
      <c r="I51" s="322">
        <v>363.52883883983566</v>
      </c>
      <c r="J51" s="273"/>
      <c r="K51" s="273"/>
      <c r="L51" s="273"/>
      <c r="M51" s="273"/>
      <c r="N51" s="273"/>
      <c r="O51" s="273"/>
      <c r="P51" s="273"/>
    </row>
    <row r="52" spans="1:16">
      <c r="A52" s="273"/>
      <c r="B52" s="319">
        <f t="shared" si="12"/>
        <v>0.10884354035546015</v>
      </c>
      <c r="C52" s="320">
        <v>291.49696354976959</v>
      </c>
      <c r="D52" s="325">
        <v>298.34605729046694</v>
      </c>
      <c r="E52" s="326">
        <v>305.59176980035676</v>
      </c>
      <c r="F52" s="326">
        <v>313.26957955227431</v>
      </c>
      <c r="G52" s="327">
        <v>321.41932657901231</v>
      </c>
      <c r="H52" s="320">
        <v>330.08590396306255</v>
      </c>
      <c r="I52" s="322">
        <v>339.32008519045701</v>
      </c>
      <c r="J52" s="273"/>
      <c r="K52" s="273"/>
      <c r="L52" s="273"/>
      <c r="M52" s="273"/>
      <c r="N52" s="273"/>
      <c r="O52" s="273"/>
      <c r="P52" s="273"/>
    </row>
    <row r="53" spans="1:16">
      <c r="A53" s="314" t="s">
        <v>333</v>
      </c>
      <c r="B53" s="342">
        <f>ke!E29</f>
        <v>0.11384354035546015</v>
      </c>
      <c r="C53" s="321">
        <v>276.00211068914308</v>
      </c>
      <c r="D53" s="330">
        <v>282.08301036111965</v>
      </c>
      <c r="E53" s="326">
        <v>288.49676880166999</v>
      </c>
      <c r="F53" s="331">
        <v>295.27148530483743</v>
      </c>
      <c r="G53" s="327">
        <v>302.43851352439253</v>
      </c>
      <c r="H53" s="321">
        <v>310.03294665726412</v>
      </c>
      <c r="I53" s="332">
        <v>318.0941920962934</v>
      </c>
      <c r="J53" s="273"/>
      <c r="K53" s="273"/>
      <c r="L53" s="273"/>
      <c r="M53" s="273"/>
      <c r="N53" s="273"/>
      <c r="O53" s="273"/>
      <c r="P53" s="273"/>
    </row>
    <row r="54" spans="1:16">
      <c r="A54" s="273"/>
      <c r="B54" s="319">
        <f>B53+($L$28)</f>
        <v>0.11884354035546016</v>
      </c>
      <c r="C54" s="320">
        <v>262.04222831646382</v>
      </c>
      <c r="D54" s="325">
        <v>267.47135473562969</v>
      </c>
      <c r="E54" s="333">
        <v>273.18223986945031</v>
      </c>
      <c r="F54" s="333">
        <v>279.19740194722397</v>
      </c>
      <c r="G54" s="334">
        <v>285.54182442230473</v>
      </c>
      <c r="H54" s="320">
        <v>292.24330282118689</v>
      </c>
      <c r="I54" s="322">
        <v>299.33285184882089</v>
      </c>
      <c r="J54" s="273"/>
      <c r="K54" s="273"/>
      <c r="L54" s="273"/>
      <c r="M54" s="273"/>
      <c r="N54" s="273"/>
      <c r="O54" s="273"/>
      <c r="P54" s="273"/>
    </row>
    <row r="55" spans="1:16">
      <c r="A55" s="273"/>
      <c r="B55" s="319">
        <f t="shared" ref="B55:B56" si="13">B54+$L$28</f>
        <v>0.12384354035546016</v>
      </c>
      <c r="C55" s="320">
        <v>249.4007046392569</v>
      </c>
      <c r="D55" s="320">
        <v>254.27244909729905</v>
      </c>
      <c r="E55" s="320">
        <v>259.38455147262709</v>
      </c>
      <c r="F55" s="321">
        <v>264.75524952132656</v>
      </c>
      <c r="G55" s="320">
        <v>270.40467399158405</v>
      </c>
      <c r="H55" s="320">
        <v>276.35510077104988</v>
      </c>
      <c r="I55" s="322">
        <v>282.63124444063789</v>
      </c>
      <c r="J55" s="273"/>
      <c r="K55" s="273"/>
      <c r="L55" s="273"/>
      <c r="M55" s="273"/>
      <c r="N55" s="273"/>
      <c r="O55" s="273"/>
      <c r="P55" s="273"/>
    </row>
    <row r="56" spans="1:16">
      <c r="A56" s="273"/>
      <c r="B56" s="319">
        <f t="shared" si="13"/>
        <v>0.12884354035546017</v>
      </c>
      <c r="C56" s="335">
        <v>237.89983873754375</v>
      </c>
      <c r="D56" s="335">
        <v>242.29150461502414</v>
      </c>
      <c r="E56" s="335">
        <v>246.88965533694369</v>
      </c>
      <c r="F56" s="336">
        <v>251.70920407294184</v>
      </c>
      <c r="G56" s="335">
        <v>256.76653553880595</v>
      </c>
      <c r="H56" s="335">
        <v>262.07969209185711</v>
      </c>
      <c r="I56" s="337">
        <v>267.66858880005771</v>
      </c>
      <c r="J56" s="273"/>
      <c r="K56" s="273"/>
      <c r="L56" s="273"/>
      <c r="M56" s="273"/>
      <c r="N56" s="273"/>
      <c r="O56" s="273"/>
      <c r="P56" s="273"/>
    </row>
    <row r="57" spans="1:16">
      <c r="A57" s="273"/>
      <c r="B57" s="273"/>
      <c r="C57" s="273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</row>
    <row r="58" spans="1:16">
      <c r="A58" s="273"/>
      <c r="B58" s="273"/>
      <c r="C58" s="273"/>
      <c r="D58" s="273"/>
      <c r="E58" s="273"/>
      <c r="F58" s="273"/>
      <c r="G58" s="273"/>
      <c r="H58" s="273"/>
      <c r="I58" s="273"/>
      <c r="J58" s="273"/>
      <c r="K58" s="273"/>
      <c r="L58" s="273"/>
      <c r="M58" s="273"/>
      <c r="N58" s="273"/>
      <c r="O58" s="273"/>
      <c r="P58" s="273"/>
    </row>
    <row r="59" spans="1:16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</row>
    <row r="60" spans="1:16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</row>
    <row r="61" spans="1:16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</row>
    <row r="62" spans="1:16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</row>
    <row r="63" spans="1:16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6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</row>
    <row r="65" spans="1:11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</row>
    <row r="66" spans="1:11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</row>
    <row r="67" spans="1:11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</row>
    <row r="68" spans="1:1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</row>
    <row r="69" spans="1:11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</row>
    <row r="70" spans="1:11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</row>
    <row r="71" spans="1:1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</row>
    <row r="72" spans="1:11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</row>
    <row r="73" spans="1:11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</row>
    <row r="74" spans="1:11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</row>
    <row r="75" spans="1:1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</row>
    <row r="76" spans="1:11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</row>
    <row r="77" spans="1:11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</row>
    <row r="78" spans="1:11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</row>
    <row r="79" spans="1:1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</row>
    <row r="80" spans="1:1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</row>
    <row r="81" spans="1:11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</row>
    <row r="82" spans="1:11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</row>
    <row r="83" spans="1:11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</row>
    <row r="84" spans="1:11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</row>
    <row r="85" spans="1:11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</row>
    <row r="86" spans="1:11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</row>
    <row r="87" spans="1:11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</row>
    <row r="88" spans="1:11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</row>
    <row r="89" spans="1:11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</row>
    <row r="90" spans="1:11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</row>
    <row r="91" spans="1:1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</row>
    <row r="92" spans="1:11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</row>
    <row r="93" spans="1:11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</row>
    <row r="94" spans="1:11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</row>
    <row r="95" spans="1:11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</row>
    <row r="96" spans="1:11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</row>
    <row r="97" spans="1:11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</row>
    <row r="98" spans="1:11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</row>
    <row r="99" spans="1:11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</row>
    <row r="100" spans="1:11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</row>
    <row r="101" spans="1:1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</row>
    <row r="102" spans="1:1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</row>
    <row r="103" spans="1:1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</row>
    <row r="104" spans="1:1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</row>
    <row r="105" spans="1:1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</row>
    <row r="106" spans="1:1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</row>
    <row r="107" spans="1:1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</row>
    <row r="108" spans="1:1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</row>
    <row r="109" spans="1:1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</row>
    <row r="110" spans="1:1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</row>
    <row r="111" spans="1:1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</row>
    <row r="112" spans="1:1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</row>
    <row r="113" spans="1:1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</row>
    <row r="114" spans="1:11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</row>
    <row r="115" spans="1:11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</row>
    <row r="116" spans="1:11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</row>
    <row r="117" spans="1:11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</row>
    <row r="118" spans="1:11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</row>
    <row r="119" spans="1:1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</row>
    <row r="120" spans="1:1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</row>
    <row r="121" spans="1:1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</row>
    <row r="122" spans="1:11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</row>
    <row r="123" spans="1:11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</row>
    <row r="124" spans="1:1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</row>
    <row r="125" spans="1:1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</row>
    <row r="126" spans="1:11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</row>
    <row r="127" spans="1:11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</row>
    <row r="128" spans="1:11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</row>
    <row r="129" spans="1:11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</row>
    <row r="130" spans="1:1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</row>
    <row r="131" spans="1:1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</row>
    <row r="132" spans="1:11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</row>
    <row r="133" spans="1:1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</row>
    <row r="134" spans="1:1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</row>
    <row r="135" spans="1:1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</row>
    <row r="136" spans="1:11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</row>
    <row r="137" spans="1:11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</row>
    <row r="138" spans="1:1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</row>
    <row r="139" spans="1:11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</row>
    <row r="140" spans="1:11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</row>
    <row r="141" spans="1:1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</row>
    <row r="142" spans="1:11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</row>
    <row r="143" spans="1:11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</row>
    <row r="144" spans="1:11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</row>
    <row r="145" spans="1:11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</row>
    <row r="146" spans="1:11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</row>
    <row r="147" spans="1:11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</row>
    <row r="148" spans="1:11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</row>
    <row r="149" spans="1:11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</row>
    <row r="150" spans="1:11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</row>
    <row r="151" spans="1:1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</row>
    <row r="152" spans="1:11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</row>
  </sheetData>
  <mergeCells count="6">
    <mergeCell ref="C48:I48"/>
    <mergeCell ref="A2:I2"/>
    <mergeCell ref="G8:I8"/>
    <mergeCell ref="A13:I13"/>
    <mergeCell ref="C26:I26"/>
    <mergeCell ref="A37:I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56"/>
  <sheetViews>
    <sheetView topLeftCell="A13" workbookViewId="0"/>
  </sheetViews>
  <sheetFormatPr defaultColWidth="12.6328125" defaultRowHeight="15" customHeight="1"/>
  <sheetData>
    <row r="1" spans="1:30" ht="14.5">
      <c r="A1" s="34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</row>
    <row r="2" spans="1:30" ht="14.5">
      <c r="A2" s="34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</row>
    <row r="3" spans="1:30" ht="14.5">
      <c r="A3" s="34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</row>
    <row r="4" spans="1:30" ht="14.5">
      <c r="A4" s="34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0" ht="14.5">
      <c r="A5" s="34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</row>
    <row r="6" spans="1:30" ht="14.5">
      <c r="A6" s="344" t="s">
        <v>336</v>
      </c>
      <c r="B6" s="345"/>
      <c r="C6" s="345"/>
      <c r="D6" s="345"/>
      <c r="E6" s="345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345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</row>
    <row r="7" spans="1:30" ht="14.5">
      <c r="A7" s="346" t="s">
        <v>337</v>
      </c>
      <c r="B7" s="347"/>
      <c r="C7" s="347"/>
      <c r="D7" s="347"/>
      <c r="E7" s="347"/>
      <c r="F7" s="347"/>
      <c r="G7" s="347"/>
      <c r="H7" s="347"/>
      <c r="I7" s="347"/>
      <c r="J7" s="347"/>
      <c r="K7" s="347"/>
      <c r="L7" s="347"/>
      <c r="M7" s="348"/>
      <c r="N7" s="348"/>
      <c r="O7" s="348"/>
      <c r="P7" s="348"/>
      <c r="Q7" s="348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</row>
    <row r="8" spans="1:30" ht="14.5">
      <c r="A8" s="349" t="s">
        <v>338</v>
      </c>
      <c r="B8" s="350"/>
      <c r="C8" s="351" t="s">
        <v>339</v>
      </c>
      <c r="D8" s="351" t="s">
        <v>340</v>
      </c>
      <c r="E8" s="351" t="s">
        <v>341</v>
      </c>
      <c r="F8" s="351" t="s">
        <v>342</v>
      </c>
      <c r="G8" s="351" t="s">
        <v>343</v>
      </c>
      <c r="H8" s="83"/>
      <c r="I8" s="351" t="s">
        <v>344</v>
      </c>
      <c r="J8" s="352" t="s">
        <v>345</v>
      </c>
      <c r="K8" s="350"/>
      <c r="L8" s="352" t="s">
        <v>346</v>
      </c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</row>
    <row r="9" spans="1:30" ht="14.5">
      <c r="A9" s="353" t="s">
        <v>347</v>
      </c>
      <c r="B9" s="354" t="s">
        <v>348</v>
      </c>
      <c r="C9" s="355" t="s">
        <v>349</v>
      </c>
      <c r="D9" s="355" t="s">
        <v>350</v>
      </c>
      <c r="E9" s="355" t="s">
        <v>351</v>
      </c>
      <c r="F9" s="355" t="s">
        <v>352</v>
      </c>
      <c r="G9" s="355" t="s">
        <v>353</v>
      </c>
      <c r="H9" s="355" t="s">
        <v>354</v>
      </c>
      <c r="I9" s="355" t="s">
        <v>355</v>
      </c>
      <c r="J9" s="354" t="s">
        <v>355</v>
      </c>
      <c r="K9" s="354" t="s">
        <v>293</v>
      </c>
      <c r="L9" s="354" t="s">
        <v>356</v>
      </c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</row>
    <row r="10" spans="1:30" ht="14.5">
      <c r="A10" s="83" t="s">
        <v>357</v>
      </c>
      <c r="B10" s="83" t="s">
        <v>358</v>
      </c>
      <c r="C10" s="356">
        <v>95.54</v>
      </c>
      <c r="D10" s="356"/>
      <c r="E10" s="356">
        <v>553.36</v>
      </c>
      <c r="F10" s="356">
        <f t="shared" ref="F10:F13" si="0">C10*E10</f>
        <v>52868.014400000007</v>
      </c>
      <c r="G10" s="356">
        <v>16095</v>
      </c>
      <c r="H10" s="356">
        <v>5986</v>
      </c>
      <c r="I10" s="79">
        <f t="shared" ref="I10:I13" si="1">F10+G10-H10</f>
        <v>62977.014400000015</v>
      </c>
      <c r="J10" s="356">
        <v>4807</v>
      </c>
      <c r="K10" s="356">
        <v>0.95</v>
      </c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</row>
    <row r="11" spans="1:30" ht="14.5">
      <c r="A11" s="83" t="s">
        <v>359</v>
      </c>
      <c r="B11" s="83" t="s">
        <v>360</v>
      </c>
      <c r="C11" s="356">
        <v>168.78</v>
      </c>
      <c r="D11" s="356"/>
      <c r="E11" s="356">
        <v>1094</v>
      </c>
      <c r="F11" s="356">
        <f t="shared" si="0"/>
        <v>184645.32</v>
      </c>
      <c r="G11" s="356">
        <v>20964</v>
      </c>
      <c r="H11" s="356">
        <v>16520</v>
      </c>
      <c r="I11" s="79">
        <f t="shared" si="1"/>
        <v>189089.32</v>
      </c>
      <c r="J11" s="356">
        <v>416</v>
      </c>
      <c r="K11" s="356">
        <v>1.25</v>
      </c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</row>
    <row r="12" spans="1:30" ht="14.5">
      <c r="A12" s="83" t="s">
        <v>361</v>
      </c>
      <c r="B12" s="83" t="s">
        <v>362</v>
      </c>
      <c r="C12" s="356">
        <v>64.260000000000005</v>
      </c>
      <c r="D12" s="357">
        <v>64.69</v>
      </c>
      <c r="E12" s="356">
        <v>901.01</v>
      </c>
      <c r="F12" s="356">
        <f t="shared" si="0"/>
        <v>57898.902600000001</v>
      </c>
      <c r="G12" s="356">
        <v>14293</v>
      </c>
      <c r="H12" s="356">
        <v>10015</v>
      </c>
      <c r="I12" s="79">
        <f t="shared" si="1"/>
        <v>62176.902600000001</v>
      </c>
      <c r="J12" s="356">
        <v>8677</v>
      </c>
      <c r="K12" s="356">
        <v>1.21</v>
      </c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</row>
    <row r="13" spans="1:30" ht="14.5">
      <c r="A13" s="83" t="s">
        <v>363</v>
      </c>
      <c r="B13" s="83" t="s">
        <v>364</v>
      </c>
      <c r="C13" s="356">
        <v>103.23</v>
      </c>
      <c r="D13" s="357">
        <v>104.09</v>
      </c>
      <c r="E13" s="358">
        <v>1329</v>
      </c>
      <c r="F13" s="356">
        <f t="shared" si="0"/>
        <v>137192.67000000001</v>
      </c>
      <c r="G13" s="356">
        <v>43827</v>
      </c>
      <c r="H13" s="356">
        <v>6587</v>
      </c>
      <c r="I13" s="79">
        <f t="shared" si="1"/>
        <v>174432.67</v>
      </c>
      <c r="J13" s="356">
        <v>59813</v>
      </c>
      <c r="K13" s="356">
        <v>0.89</v>
      </c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</row>
    <row r="14" spans="1:30" ht="14.5">
      <c r="A14" s="83"/>
      <c r="B14" s="83"/>
      <c r="C14" s="356"/>
      <c r="D14" s="356"/>
      <c r="E14" s="356"/>
      <c r="F14" s="356"/>
      <c r="G14" s="356"/>
      <c r="H14" s="356"/>
      <c r="I14" s="79"/>
      <c r="J14" s="356"/>
      <c r="K14" s="356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</row>
    <row r="15" spans="1:30" ht="14.5">
      <c r="A15" s="83"/>
      <c r="B15" s="83"/>
      <c r="C15" s="83"/>
      <c r="D15" s="83"/>
      <c r="E15" s="83"/>
      <c r="F15" s="83"/>
      <c r="G15" s="83"/>
      <c r="H15" s="83"/>
      <c r="I15" s="79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</row>
    <row r="16" spans="1:30" ht="14.5">
      <c r="A16" s="83" t="s">
        <v>365</v>
      </c>
      <c r="B16" s="83" t="s">
        <v>366</v>
      </c>
      <c r="C16" s="357">
        <v>196.85</v>
      </c>
      <c r="D16" s="357">
        <v>210.87</v>
      </c>
      <c r="E16" s="359">
        <v>651.19000000000005</v>
      </c>
      <c r="F16" s="356">
        <f>E16*C16</f>
        <v>128186.75150000001</v>
      </c>
      <c r="G16" s="356">
        <v>20443</v>
      </c>
      <c r="H16" s="356">
        <v>7925</v>
      </c>
      <c r="I16" s="79">
        <f>F16+G16-H16</f>
        <v>140704.75150000001</v>
      </c>
      <c r="J16" s="356">
        <v>15856</v>
      </c>
      <c r="K16" s="357">
        <v>1.01</v>
      </c>
      <c r="L16" s="357">
        <v>219.12</v>
      </c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</row>
    <row r="17" spans="1:30" ht="14.5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</row>
    <row r="18" spans="1:30" ht="14.5">
      <c r="A18" s="300" t="s">
        <v>367</v>
      </c>
      <c r="B18" s="360"/>
      <c r="C18" s="360"/>
      <c r="D18" s="360"/>
      <c r="E18" s="360"/>
      <c r="F18" s="360"/>
      <c r="G18" s="360"/>
      <c r="H18" s="360"/>
      <c r="I18" s="360"/>
      <c r="J18" s="360"/>
      <c r="K18" s="360"/>
      <c r="L18" s="360"/>
      <c r="M18" s="360"/>
      <c r="N18" s="360"/>
      <c r="O18" s="360"/>
      <c r="P18" s="360"/>
      <c r="Q18" s="360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</row>
    <row r="19" spans="1:30" ht="14.5">
      <c r="A19" s="361"/>
      <c r="B19" s="350"/>
      <c r="C19" s="404" t="s">
        <v>368</v>
      </c>
      <c r="D19" s="398"/>
      <c r="E19" s="398"/>
      <c r="F19" s="405"/>
      <c r="G19" s="404" t="s">
        <v>369</v>
      </c>
      <c r="H19" s="398"/>
      <c r="I19" s="398"/>
      <c r="J19" s="405"/>
      <c r="K19" s="404" t="s">
        <v>130</v>
      </c>
      <c r="L19" s="398"/>
      <c r="M19" s="405"/>
      <c r="N19" s="404" t="s">
        <v>370</v>
      </c>
      <c r="O19" s="398"/>
      <c r="P19" s="405"/>
      <c r="Q19" s="352" t="s">
        <v>371</v>
      </c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</row>
    <row r="20" spans="1:30" ht="14.5">
      <c r="A20" s="353" t="s">
        <v>347</v>
      </c>
      <c r="B20" s="354" t="s">
        <v>348</v>
      </c>
      <c r="C20" s="355" t="s">
        <v>372</v>
      </c>
      <c r="D20" s="355" t="s">
        <v>373</v>
      </c>
      <c r="E20" s="355" t="s">
        <v>374</v>
      </c>
      <c r="F20" s="354" t="s">
        <v>375</v>
      </c>
      <c r="G20" s="355" t="s">
        <v>372</v>
      </c>
      <c r="H20" s="355" t="s">
        <v>373</v>
      </c>
      <c r="I20" s="355" t="s">
        <v>374</v>
      </c>
      <c r="J20" s="354" t="s">
        <v>375</v>
      </c>
      <c r="K20" s="355" t="s">
        <v>372</v>
      </c>
      <c r="L20" s="355" t="s">
        <v>373</v>
      </c>
      <c r="M20" s="354" t="s">
        <v>374</v>
      </c>
      <c r="N20" s="355" t="s">
        <v>372</v>
      </c>
      <c r="O20" s="355" t="s">
        <v>373</v>
      </c>
      <c r="P20" s="354" t="s">
        <v>374</v>
      </c>
      <c r="Q20" s="354" t="s">
        <v>376</v>
      </c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</row>
    <row r="21" spans="1:30" ht="14.5">
      <c r="A21" s="83" t="s">
        <v>357</v>
      </c>
      <c r="B21" s="83" t="s">
        <v>358</v>
      </c>
      <c r="C21" s="362">
        <v>31392</v>
      </c>
      <c r="D21" s="363">
        <v>23733.95</v>
      </c>
      <c r="E21" s="363">
        <v>24255.663</v>
      </c>
      <c r="F21" s="363">
        <v>24571.608</v>
      </c>
      <c r="G21" s="362">
        <v>9.24</v>
      </c>
      <c r="H21" s="363">
        <v>7.1070000000000002</v>
      </c>
      <c r="I21" s="363">
        <v>7.6760000000000002</v>
      </c>
      <c r="J21" s="363">
        <v>8.1720000000000006</v>
      </c>
      <c r="K21" s="362">
        <v>6388</v>
      </c>
      <c r="L21" s="363">
        <v>4995.3209999999999</v>
      </c>
      <c r="M21" s="363">
        <v>5450.3770000000004</v>
      </c>
      <c r="N21" s="362">
        <v>8147</v>
      </c>
      <c r="O21" s="363">
        <v>6419.5519999999997</v>
      </c>
      <c r="P21" s="363">
        <v>6842.5590000000002</v>
      </c>
      <c r="Q21" s="364">
        <v>-5.25</v>
      </c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</row>
    <row r="22" spans="1:30" ht="14.5">
      <c r="A22" s="83" t="s">
        <v>359</v>
      </c>
      <c r="B22" s="83" t="s">
        <v>360</v>
      </c>
      <c r="C22" s="362">
        <v>67954</v>
      </c>
      <c r="D22" s="363">
        <v>36204.955999999998</v>
      </c>
      <c r="E22" s="363">
        <v>40569.978000000003</v>
      </c>
      <c r="F22" s="363">
        <v>44540.148999999998</v>
      </c>
      <c r="G22" s="362">
        <v>2.81</v>
      </c>
      <c r="H22" s="363">
        <v>4.0449999999999999</v>
      </c>
      <c r="I22" s="363">
        <v>5.0030000000000001</v>
      </c>
      <c r="J22" s="363">
        <v>5.9320000000000004</v>
      </c>
      <c r="K22" s="362">
        <v>7139</v>
      </c>
      <c r="L22" s="363">
        <v>6592.8310000000001</v>
      </c>
      <c r="M22" s="363">
        <v>7718.5259999999998</v>
      </c>
      <c r="N22" s="362">
        <v>9218</v>
      </c>
      <c r="O22" s="363">
        <v>7932.7690000000002</v>
      </c>
      <c r="P22" s="363">
        <v>9197.7160000000003</v>
      </c>
      <c r="Q22" s="364">
        <v>27.63</v>
      </c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</row>
    <row r="23" spans="1:30" ht="14.5">
      <c r="A23" s="83" t="s">
        <v>361</v>
      </c>
      <c r="B23" s="83" t="s">
        <v>362</v>
      </c>
      <c r="C23" s="362">
        <v>22098</v>
      </c>
      <c r="D23" s="363">
        <v>25709.886999999999</v>
      </c>
      <c r="E23" s="363">
        <v>25081.473000000002</v>
      </c>
      <c r="F23" s="363">
        <v>26272.982</v>
      </c>
      <c r="G23" s="362">
        <v>2.73</v>
      </c>
      <c r="H23" s="363">
        <v>2.855</v>
      </c>
      <c r="I23" s="363">
        <v>3.0579999999999998</v>
      </c>
      <c r="J23" s="363">
        <v>3.4369999999999998</v>
      </c>
      <c r="K23" s="362">
        <v>3207</v>
      </c>
      <c r="L23" s="363">
        <v>3892.7759999999998</v>
      </c>
      <c r="M23" s="363">
        <v>3996.127</v>
      </c>
      <c r="N23" s="362">
        <v>3749</v>
      </c>
      <c r="O23" s="363">
        <v>4895.4269999999997</v>
      </c>
      <c r="P23" s="363">
        <v>4925.0519999999997</v>
      </c>
      <c r="Q23" s="364">
        <v>9.06</v>
      </c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</row>
    <row r="24" spans="1:30" ht="14.5">
      <c r="A24" s="83" t="s">
        <v>363</v>
      </c>
      <c r="B24" s="83" t="s">
        <v>364</v>
      </c>
      <c r="C24" s="362">
        <v>74305</v>
      </c>
      <c r="D24" s="363">
        <v>79093.837</v>
      </c>
      <c r="E24" s="363">
        <v>83886.588000000003</v>
      </c>
      <c r="F24" s="363">
        <v>88992.176999999996</v>
      </c>
      <c r="G24" s="362">
        <v>5.0599999999999996</v>
      </c>
      <c r="H24" s="363">
        <v>5.38</v>
      </c>
      <c r="I24" s="363">
        <v>6.07</v>
      </c>
      <c r="J24" s="363">
        <v>6.7729999999999997</v>
      </c>
      <c r="K24" s="362">
        <v>8895</v>
      </c>
      <c r="L24" s="363">
        <v>9715.5390000000007</v>
      </c>
      <c r="M24" s="363">
        <v>10934.205</v>
      </c>
      <c r="N24" s="362">
        <v>13106</v>
      </c>
      <c r="O24" s="363">
        <v>12772.013000000001</v>
      </c>
      <c r="P24" s="363">
        <v>13916.22</v>
      </c>
      <c r="Q24" s="364">
        <v>11.44</v>
      </c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</row>
    <row r="25" spans="1:30" ht="14.5">
      <c r="A25" s="83"/>
      <c r="B25" s="83"/>
      <c r="C25" s="356"/>
      <c r="D25" s="356"/>
      <c r="E25" s="356"/>
      <c r="F25" s="356"/>
      <c r="G25" s="356"/>
      <c r="H25" s="356"/>
      <c r="I25" s="356"/>
      <c r="J25" s="356"/>
      <c r="K25" s="356"/>
      <c r="L25" s="356"/>
      <c r="M25" s="356"/>
      <c r="N25" s="356"/>
      <c r="O25" s="356"/>
      <c r="P25" s="356"/>
      <c r="Q25" s="365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</row>
    <row r="26" spans="1:30" ht="14.5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</row>
    <row r="27" spans="1:30" ht="14.5">
      <c r="A27" s="83" t="s">
        <v>365</v>
      </c>
      <c r="B27" s="83" t="s">
        <v>366</v>
      </c>
      <c r="C27" s="362">
        <v>36662</v>
      </c>
      <c r="D27" s="363">
        <v>38419.233999999997</v>
      </c>
      <c r="E27" s="363">
        <v>40583.51</v>
      </c>
      <c r="F27" s="363">
        <v>42457.192000000003</v>
      </c>
      <c r="G27" s="362">
        <v>9.16</v>
      </c>
      <c r="H27" s="363">
        <v>9.9339999999999993</v>
      </c>
      <c r="I27" s="363">
        <v>10.849</v>
      </c>
      <c r="J27" s="363">
        <v>11.714</v>
      </c>
      <c r="K27" s="362">
        <v>7084</v>
      </c>
      <c r="L27" s="363">
        <v>8734.5740000000005</v>
      </c>
      <c r="M27" s="363">
        <v>9403.5630000000001</v>
      </c>
      <c r="N27" s="362">
        <v>8260</v>
      </c>
      <c r="O27" s="363">
        <v>9845.0280000000002</v>
      </c>
      <c r="P27" s="363">
        <v>10581.629000000001</v>
      </c>
      <c r="Q27" s="366">
        <v>8.3299999999999999E-2</v>
      </c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</row>
    <row r="28" spans="1:30" ht="14.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365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</row>
    <row r="29" spans="1:30" ht="14.5">
      <c r="A29" s="300" t="s">
        <v>377</v>
      </c>
      <c r="B29" s="360"/>
      <c r="C29" s="360"/>
      <c r="D29" s="360"/>
      <c r="E29" s="360"/>
      <c r="F29" s="360"/>
      <c r="G29" s="360"/>
      <c r="H29" s="360"/>
      <c r="I29" s="360"/>
      <c r="J29" s="360"/>
      <c r="K29" s="360"/>
      <c r="L29" s="360"/>
      <c r="M29" s="360"/>
      <c r="N29" s="360"/>
      <c r="O29" s="360"/>
      <c r="P29" s="360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</row>
    <row r="30" spans="1:30" ht="14.5">
      <c r="A30" s="361"/>
      <c r="B30" s="350"/>
      <c r="C30" s="352" t="s">
        <v>339</v>
      </c>
      <c r="D30" s="352" t="s">
        <v>378</v>
      </c>
      <c r="E30" s="355" t="s">
        <v>379</v>
      </c>
      <c r="F30" s="360"/>
      <c r="G30" s="367"/>
      <c r="H30" s="355" t="s">
        <v>380</v>
      </c>
      <c r="I30" s="360"/>
      <c r="J30" s="367"/>
      <c r="K30" s="355" t="s">
        <v>381</v>
      </c>
      <c r="L30" s="360"/>
      <c r="M30" s="367"/>
      <c r="N30" s="355" t="s">
        <v>382</v>
      </c>
      <c r="O30" s="360"/>
      <c r="P30" s="367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</row>
    <row r="31" spans="1:30" ht="14.5">
      <c r="A31" s="353" t="s">
        <v>347</v>
      </c>
      <c r="B31" s="354" t="s">
        <v>348</v>
      </c>
      <c r="C31" s="354" t="s">
        <v>349</v>
      </c>
      <c r="D31" s="354" t="s">
        <v>345</v>
      </c>
      <c r="E31" s="355" t="s">
        <v>373</v>
      </c>
      <c r="F31" s="355" t="s">
        <v>374</v>
      </c>
      <c r="G31" s="354" t="s">
        <v>375</v>
      </c>
      <c r="H31" s="355" t="s">
        <v>373</v>
      </c>
      <c r="I31" s="355" t="s">
        <v>374</v>
      </c>
      <c r="J31" s="354" t="s">
        <v>375</v>
      </c>
      <c r="K31" s="355" t="s">
        <v>373</v>
      </c>
      <c r="L31" s="355" t="s">
        <v>374</v>
      </c>
      <c r="M31" s="354" t="s">
        <v>375</v>
      </c>
      <c r="N31" s="355" t="s">
        <v>372</v>
      </c>
      <c r="O31" s="355" t="s">
        <v>373</v>
      </c>
      <c r="P31" s="354" t="s">
        <v>374</v>
      </c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</row>
    <row r="32" spans="1:30" ht="14.5">
      <c r="A32" s="367" t="s">
        <v>357</v>
      </c>
      <c r="B32" s="368" t="s">
        <v>358</v>
      </c>
      <c r="C32" s="369">
        <v>95.54</v>
      </c>
      <c r="D32" s="370">
        <f t="shared" ref="D32:D35" si="2">F10/J10</f>
        <v>10.998130726024549</v>
      </c>
      <c r="E32" s="370">
        <f t="shared" ref="E32:E35" si="3">C32/(D21/E10)</f>
        <v>2.2275269982451298</v>
      </c>
      <c r="F32" s="370">
        <f t="shared" ref="F32:F35" si="4">C32/(E21/E10)</f>
        <v>2.1796153088043813</v>
      </c>
      <c r="G32" s="370">
        <f t="shared" ref="G32:G35" si="5">C32/(F21/E10)</f>
        <v>2.151589525602069</v>
      </c>
      <c r="H32" s="370">
        <f t="shared" ref="H32:H35" si="6">C32/H21</f>
        <v>13.443084283101168</v>
      </c>
      <c r="I32" s="370">
        <f t="shared" ref="I32:I35" si="7">C32/I21</f>
        <v>12.446586763939552</v>
      </c>
      <c r="J32" s="370">
        <f t="shared" ref="J32:J35" si="8">C32/J21</f>
        <v>11.691140479686736</v>
      </c>
      <c r="K32" s="370">
        <f t="shared" ref="K32:K35" si="9">H32/Q21</f>
        <v>-2.5605874824954604</v>
      </c>
      <c r="L32" s="370">
        <f t="shared" ref="L32:L35" si="10">I32/Q21</f>
        <v>-2.3707784312265812</v>
      </c>
      <c r="M32" s="370">
        <f t="shared" ref="M32:M35" si="11">J32/Q21</f>
        <v>-2.2268839008927115</v>
      </c>
      <c r="N32" s="370">
        <f t="shared" ref="N32:N35" si="12">I10/N21</f>
        <v>7.73008646127409</v>
      </c>
      <c r="O32" s="370">
        <f t="shared" ref="O32:O35" si="13">I10/O21</f>
        <v>9.8101883745158567</v>
      </c>
      <c r="P32" s="371">
        <f t="shared" ref="P32:P35" si="14">I10/P21</f>
        <v>9.2037225254469881</v>
      </c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</row>
    <row r="33" spans="1:30" ht="14.5">
      <c r="A33" s="372" t="s">
        <v>359</v>
      </c>
      <c r="B33" s="373" t="s">
        <v>360</v>
      </c>
      <c r="C33" s="374">
        <v>168.78</v>
      </c>
      <c r="D33" s="375">
        <f t="shared" si="2"/>
        <v>443.8589423076923</v>
      </c>
      <c r="E33" s="375">
        <f t="shared" si="3"/>
        <v>5.1000012263514423</v>
      </c>
      <c r="F33" s="375">
        <f t="shared" si="4"/>
        <v>4.5512797665308069</v>
      </c>
      <c r="G33" s="375">
        <f t="shared" si="5"/>
        <v>4.1455927774287424</v>
      </c>
      <c r="H33" s="375">
        <f t="shared" si="6"/>
        <v>41.725587144622992</v>
      </c>
      <c r="I33" s="375">
        <f t="shared" si="7"/>
        <v>33.735758544873079</v>
      </c>
      <c r="J33" s="375">
        <f t="shared" si="8"/>
        <v>28.452461227242075</v>
      </c>
      <c r="K33" s="375">
        <f t="shared" si="9"/>
        <v>1.5101551626718419</v>
      </c>
      <c r="L33" s="375">
        <f t="shared" si="10"/>
        <v>1.2209829368394165</v>
      </c>
      <c r="M33" s="375">
        <f t="shared" si="11"/>
        <v>1.0297669644314902</v>
      </c>
      <c r="N33" s="375">
        <f t="shared" si="12"/>
        <v>20.513052722933391</v>
      </c>
      <c r="O33" s="375">
        <f t="shared" si="13"/>
        <v>23.836483830551476</v>
      </c>
      <c r="P33" s="376">
        <f t="shared" si="14"/>
        <v>20.558290775666482</v>
      </c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</row>
    <row r="34" spans="1:30" ht="14.5">
      <c r="A34" s="372" t="s">
        <v>361</v>
      </c>
      <c r="B34" s="373" t="s">
        <v>362</v>
      </c>
      <c r="C34" s="374">
        <v>64.260000000000005</v>
      </c>
      <c r="D34" s="375">
        <f t="shared" si="2"/>
        <v>6.6726867119972342</v>
      </c>
      <c r="E34" s="375">
        <f t="shared" si="3"/>
        <v>2.2520092211996112</v>
      </c>
      <c r="F34" s="375">
        <f t="shared" si="4"/>
        <v>2.308433105184851</v>
      </c>
      <c r="G34" s="375">
        <f t="shared" si="5"/>
        <v>2.2037430924285641</v>
      </c>
      <c r="H34" s="375">
        <f t="shared" si="6"/>
        <v>22.507880910683014</v>
      </c>
      <c r="I34" s="375">
        <f t="shared" si="7"/>
        <v>21.013734466971879</v>
      </c>
      <c r="J34" s="375">
        <f t="shared" si="8"/>
        <v>18.69653767820774</v>
      </c>
      <c r="K34" s="375">
        <f t="shared" si="9"/>
        <v>2.4843135663005533</v>
      </c>
      <c r="L34" s="375">
        <f t="shared" si="10"/>
        <v>2.3193967402838718</v>
      </c>
      <c r="M34" s="375">
        <f t="shared" si="11"/>
        <v>2.0636355053209425</v>
      </c>
      <c r="N34" s="375">
        <f t="shared" si="12"/>
        <v>16.584930008002136</v>
      </c>
      <c r="O34" s="375">
        <f t="shared" si="13"/>
        <v>12.701017214637254</v>
      </c>
      <c r="P34" s="376">
        <f t="shared" si="14"/>
        <v>12.624618501489934</v>
      </c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</row>
    <row r="35" spans="1:30" ht="14.5">
      <c r="A35" s="372" t="s">
        <v>363</v>
      </c>
      <c r="B35" s="373" t="s">
        <v>364</v>
      </c>
      <c r="C35" s="374">
        <v>103.23</v>
      </c>
      <c r="D35" s="375">
        <f t="shared" si="2"/>
        <v>2.2936931770685303</v>
      </c>
      <c r="E35" s="375">
        <f t="shared" si="3"/>
        <v>1.73455575306076</v>
      </c>
      <c r="F35" s="375">
        <f t="shared" si="4"/>
        <v>1.6354541681919401</v>
      </c>
      <c r="G35" s="375">
        <f t="shared" si="5"/>
        <v>1.5416261813664813</v>
      </c>
      <c r="H35" s="375">
        <f t="shared" si="6"/>
        <v>19.187732342007436</v>
      </c>
      <c r="I35" s="375">
        <f t="shared" si="7"/>
        <v>17.006589785831959</v>
      </c>
      <c r="J35" s="375">
        <f t="shared" si="8"/>
        <v>15.241399675180867</v>
      </c>
      <c r="K35" s="375">
        <f t="shared" si="9"/>
        <v>1.6772493305950558</v>
      </c>
      <c r="L35" s="375">
        <f t="shared" si="10"/>
        <v>1.4865900162440524</v>
      </c>
      <c r="M35" s="375">
        <f t="shared" si="11"/>
        <v>1.332290181396929</v>
      </c>
      <c r="N35" s="375">
        <f t="shared" si="12"/>
        <v>13.309375095376165</v>
      </c>
      <c r="O35" s="375">
        <f t="shared" si="13"/>
        <v>13.65741406620867</v>
      </c>
      <c r="P35" s="376">
        <f t="shared" si="14"/>
        <v>12.534486376329205</v>
      </c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</row>
    <row r="36" spans="1:30" ht="14.5">
      <c r="A36" s="83"/>
      <c r="B36" s="83"/>
      <c r="C36" s="377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</row>
    <row r="37" spans="1:30" ht="14.5">
      <c r="A37" s="83"/>
      <c r="B37" s="83"/>
      <c r="C37" s="378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</row>
    <row r="38" spans="1:30" ht="14.5">
      <c r="A38" s="83" t="s">
        <v>365</v>
      </c>
      <c r="B38" s="83" t="s">
        <v>366</v>
      </c>
      <c r="C38" s="379">
        <v>196.85</v>
      </c>
      <c r="D38" s="380">
        <f>F16/J16</f>
        <v>8.0844318554490417</v>
      </c>
      <c r="E38" s="380">
        <f>C38/(D27/E16)</f>
        <v>3.3365254367122472</v>
      </c>
      <c r="F38" s="380">
        <f>C38/(E27/E16)</f>
        <v>3.1585920365192659</v>
      </c>
      <c r="G38" s="380">
        <f>C38/(F27/E16)</f>
        <v>3.0191999390821698</v>
      </c>
      <c r="H38" s="380">
        <f>C38/H27</f>
        <v>19.815784175558687</v>
      </c>
      <c r="I38" s="380">
        <f>C38/I27</f>
        <v>18.144529449718867</v>
      </c>
      <c r="J38" s="380">
        <f>C38/J27</f>
        <v>16.80467816288202</v>
      </c>
      <c r="K38" s="380">
        <f>H38/Q27</f>
        <v>237.88456393227716</v>
      </c>
      <c r="L38" s="380">
        <f>I38/Q27</f>
        <v>217.82148198942218</v>
      </c>
      <c r="M38" s="380">
        <f>J38/Q27</f>
        <v>201.7368326876593</v>
      </c>
      <c r="N38" s="380">
        <f>I16/N27</f>
        <v>17.034473547215498</v>
      </c>
      <c r="O38" s="380">
        <f>I16/O27</f>
        <v>14.291960520579526</v>
      </c>
      <c r="P38" s="380">
        <f>I16/P27</f>
        <v>13.297078502752271</v>
      </c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</row>
    <row r="39" spans="1:30" ht="14.5">
      <c r="A39" s="83"/>
      <c r="B39" s="83"/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</row>
    <row r="40" spans="1:30" ht="18" customHeight="1">
      <c r="A40" s="83"/>
      <c r="B40" s="83"/>
      <c r="C40" s="381" t="s">
        <v>383</v>
      </c>
      <c r="D40" s="382">
        <f>AVERAGE(D34,D35,D32)</f>
        <v>6.6548368716967703</v>
      </c>
      <c r="E40" s="382">
        <f t="shared" ref="E40:P40" si="15">AVERAGE(E32:E36)</f>
        <v>2.8285232997142358</v>
      </c>
      <c r="F40" s="382">
        <f t="shared" si="15"/>
        <v>2.6686955871779947</v>
      </c>
      <c r="G40" s="382">
        <f t="shared" si="15"/>
        <v>2.5106378942064644</v>
      </c>
      <c r="H40" s="382">
        <f t="shared" si="15"/>
        <v>24.216071170103653</v>
      </c>
      <c r="I40" s="382">
        <f t="shared" si="15"/>
        <v>21.050667390404119</v>
      </c>
      <c r="J40" s="382">
        <f t="shared" si="15"/>
        <v>18.520384765079356</v>
      </c>
      <c r="K40" s="382">
        <f t="shared" si="15"/>
        <v>0.77778264426799759</v>
      </c>
      <c r="L40" s="382">
        <f t="shared" si="15"/>
        <v>0.66404781553518988</v>
      </c>
      <c r="M40" s="382">
        <f t="shared" si="15"/>
        <v>0.54970218756416256</v>
      </c>
      <c r="N40" s="382">
        <f t="shared" si="15"/>
        <v>14.534361071896445</v>
      </c>
      <c r="O40" s="382">
        <f t="shared" si="15"/>
        <v>15.001275871478313</v>
      </c>
      <c r="P40" s="382">
        <f t="shared" si="15"/>
        <v>13.730279544733152</v>
      </c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spans="1:30" ht="14.5">
      <c r="A41" s="83"/>
      <c r="B41" s="83"/>
      <c r="C41" s="381" t="s">
        <v>384</v>
      </c>
      <c r="D41" s="382">
        <f t="shared" ref="D41:P41" si="16">MEDIAN(D32:D36)</f>
        <v>8.835408719010891</v>
      </c>
      <c r="E41" s="382">
        <f t="shared" si="16"/>
        <v>2.2397681097223705</v>
      </c>
      <c r="F41" s="382">
        <f t="shared" si="16"/>
        <v>2.2440242069946161</v>
      </c>
      <c r="G41" s="382">
        <f t="shared" si="16"/>
        <v>2.1776663090153168</v>
      </c>
      <c r="H41" s="382">
        <f t="shared" si="16"/>
        <v>20.847806626345225</v>
      </c>
      <c r="I41" s="382">
        <f t="shared" si="16"/>
        <v>19.010162126401919</v>
      </c>
      <c r="J41" s="382">
        <f t="shared" si="16"/>
        <v>16.968968676694303</v>
      </c>
      <c r="K41" s="382">
        <f t="shared" si="16"/>
        <v>1.5937022466334487</v>
      </c>
      <c r="L41" s="382">
        <f t="shared" si="16"/>
        <v>1.3537864765417345</v>
      </c>
      <c r="M41" s="382">
        <f t="shared" si="16"/>
        <v>1.1810285729142096</v>
      </c>
      <c r="N41" s="382">
        <f t="shared" si="16"/>
        <v>14.94715255168915</v>
      </c>
      <c r="O41" s="382">
        <f t="shared" si="16"/>
        <v>13.179215640422962</v>
      </c>
      <c r="P41" s="382">
        <f t="shared" si="16"/>
        <v>12.57955243890957</v>
      </c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</row>
    <row r="42" spans="1:30" ht="14.5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</row>
    <row r="43" spans="1:30" ht="14.5">
      <c r="A43" s="83"/>
      <c r="B43" s="83"/>
      <c r="C43" s="381" t="s">
        <v>383</v>
      </c>
      <c r="D43" s="382">
        <f>D40*J16/E16</f>
        <v>162.04040823357849</v>
      </c>
      <c r="E43" s="382">
        <f>(E40*D27)/E16</f>
        <v>166.87863530793368</v>
      </c>
      <c r="F43" s="382">
        <f>(F40*E27)/E16</f>
        <v>166.31863826102062</v>
      </c>
      <c r="G43" s="382">
        <f>(G40*F27)/E16</f>
        <v>163.69206393955614</v>
      </c>
      <c r="H43" s="382">
        <f t="shared" ref="H43:J43" si="17">H40*H27</f>
        <v>240.56245100380968</v>
      </c>
      <c r="I43" s="382">
        <f t="shared" si="17"/>
        <v>228.3786905184943</v>
      </c>
      <c r="J43" s="382">
        <f t="shared" si="17"/>
        <v>216.94778713813957</v>
      </c>
      <c r="K43" s="382">
        <f>K40*Q27*H27</f>
        <v>0.64361684925358531</v>
      </c>
      <c r="L43" s="382">
        <f>L40*Q27*I27</f>
        <v>0.60011442073674826</v>
      </c>
      <c r="M43" s="382">
        <f>M40*J27*Q27</f>
        <v>0.53638631171304585</v>
      </c>
      <c r="N43" s="382">
        <f>((N40*N27)-G16+H16)/E16</f>
        <v>165.13739838428819</v>
      </c>
      <c r="O43" s="382">
        <f>((O40*O27)-G16+H16)/E16</f>
        <v>207.57379718734683</v>
      </c>
      <c r="P43" s="382">
        <f>((P40*P27)-G16+H16)/E16</f>
        <v>203.88937822855866</v>
      </c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</row>
    <row r="44" spans="1:30" ht="14.5">
      <c r="A44" s="83"/>
      <c r="B44" s="83"/>
      <c r="C44" s="381" t="s">
        <v>384</v>
      </c>
      <c r="D44" s="382">
        <f>D41*J16/E16</f>
        <v>215.1357371099628</v>
      </c>
      <c r="E44" s="382">
        <f>(E41*D27)/E16</f>
        <v>132.14296152146287</v>
      </c>
      <c r="F44" s="382">
        <f>(F41*E27)/E16</f>
        <v>139.85223797172571</v>
      </c>
      <c r="G44" s="382">
        <f>(G41*F27)/E16</f>
        <v>141.98251907092344</v>
      </c>
      <c r="H44" s="382">
        <f t="shared" ref="H44:J44" si="18">H41*H27</f>
        <v>207.10211102611345</v>
      </c>
      <c r="I44" s="382">
        <f t="shared" si="18"/>
        <v>206.24124890933442</v>
      </c>
      <c r="J44" s="382">
        <f t="shared" si="18"/>
        <v>198.77449907879708</v>
      </c>
      <c r="K44" s="382">
        <f>K41*Q27*H27</f>
        <v>1.3187921152341213</v>
      </c>
      <c r="L44" s="382">
        <f>L41*Q27*I27</f>
        <v>1.2234462160173063</v>
      </c>
      <c r="M44" s="382">
        <f>M41*J27*Q27</f>
        <v>1.1524195729696505</v>
      </c>
      <c r="N44" s="382">
        <f>((N41*N27)-G16+H16)/E16</f>
        <v>170.37343951374004</v>
      </c>
      <c r="O44" s="382">
        <f>((O41*O27)-G16+H16)/E16</f>
        <v>180.02694604954311</v>
      </c>
      <c r="P44" s="382">
        <f>((P41*P27)-G16+H16)/E16</f>
        <v>185.19043120223935</v>
      </c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</row>
    <row r="45" spans="1:30" ht="14.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</row>
    <row r="46" spans="1:30" ht="14.5">
      <c r="A46" s="300" t="s">
        <v>385</v>
      </c>
      <c r="B46" s="360"/>
      <c r="C46" s="360"/>
      <c r="D46" s="360"/>
      <c r="E46" s="360"/>
      <c r="F46" s="360"/>
      <c r="G46" s="360"/>
      <c r="H46" s="360"/>
      <c r="I46" s="360"/>
      <c r="J46" s="360"/>
      <c r="K46" s="360"/>
      <c r="L46" s="360"/>
      <c r="M46" s="360"/>
      <c r="N46" s="360"/>
      <c r="O46" s="360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</row>
    <row r="47" spans="1:30" ht="14.5">
      <c r="A47" s="361"/>
      <c r="B47" s="350"/>
      <c r="C47" s="351" t="s">
        <v>386</v>
      </c>
      <c r="D47" s="351" t="s">
        <v>387</v>
      </c>
      <c r="E47" s="351" t="s">
        <v>388</v>
      </c>
      <c r="F47" s="83"/>
      <c r="G47" s="350"/>
      <c r="H47" s="351" t="s">
        <v>389</v>
      </c>
      <c r="I47" s="351" t="s">
        <v>390</v>
      </c>
      <c r="J47" s="352" t="s">
        <v>391</v>
      </c>
      <c r="K47" s="83"/>
      <c r="L47" s="350"/>
      <c r="M47" s="351" t="s">
        <v>392</v>
      </c>
      <c r="N47" s="352" t="s">
        <v>393</v>
      </c>
      <c r="O47" s="352" t="s">
        <v>394</v>
      </c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</row>
    <row r="48" spans="1:30" ht="14.25" customHeight="1">
      <c r="A48" s="353" t="s">
        <v>347</v>
      </c>
      <c r="B48" s="354" t="s">
        <v>348</v>
      </c>
      <c r="C48" s="355" t="s">
        <v>395</v>
      </c>
      <c r="D48" s="355" t="s">
        <v>395</v>
      </c>
      <c r="E48" s="355" t="s">
        <v>395</v>
      </c>
      <c r="F48" s="355" t="s">
        <v>233</v>
      </c>
      <c r="G48" s="354" t="s">
        <v>235</v>
      </c>
      <c r="H48" s="355" t="s">
        <v>396</v>
      </c>
      <c r="I48" s="355" t="s">
        <v>396</v>
      </c>
      <c r="J48" s="354" t="s">
        <v>396</v>
      </c>
      <c r="K48" s="355" t="s">
        <v>397</v>
      </c>
      <c r="L48" s="354" t="s">
        <v>398</v>
      </c>
      <c r="M48" s="355" t="s">
        <v>399</v>
      </c>
      <c r="N48" s="354" t="s">
        <v>399</v>
      </c>
      <c r="O48" s="354" t="s">
        <v>250</v>
      </c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 spans="1:30" ht="14.5">
      <c r="A49" s="83" t="s">
        <v>357</v>
      </c>
      <c r="B49" s="83" t="s">
        <v>358</v>
      </c>
      <c r="C49" s="383">
        <v>0.437</v>
      </c>
      <c r="D49" s="73">
        <v>20.8</v>
      </c>
      <c r="E49" s="383">
        <v>-0.21299999999999999</v>
      </c>
      <c r="F49" s="73">
        <v>-14.3</v>
      </c>
      <c r="G49" s="73">
        <v>-71.599999999999994</v>
      </c>
      <c r="H49" s="73">
        <v>0.67</v>
      </c>
      <c r="I49" s="73">
        <v>3.61</v>
      </c>
      <c r="J49" s="73">
        <v>6.69</v>
      </c>
      <c r="K49" s="73">
        <v>330.6</v>
      </c>
      <c r="L49" s="73">
        <v>76.7</v>
      </c>
      <c r="M49" s="73">
        <v>0.76</v>
      </c>
      <c r="N49" s="73">
        <v>1.07</v>
      </c>
      <c r="O49" s="73">
        <v>7.25</v>
      </c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</row>
    <row r="50" spans="1:30" ht="14.5">
      <c r="A50" s="83" t="s">
        <v>359</v>
      </c>
      <c r="B50" s="83" t="s">
        <v>360</v>
      </c>
      <c r="C50" s="384">
        <v>0.245</v>
      </c>
      <c r="D50" s="385">
        <v>0.05</v>
      </c>
      <c r="E50" s="385">
        <v>0.13200000000000001</v>
      </c>
      <c r="F50" s="385">
        <v>5.0999999999999997E-2</v>
      </c>
      <c r="G50" s="384">
        <v>0.28699999999999998</v>
      </c>
      <c r="H50" s="356">
        <v>0.39</v>
      </c>
      <c r="I50" s="83">
        <v>3.27</v>
      </c>
      <c r="J50" s="83">
        <v>3.91</v>
      </c>
      <c r="K50" s="356">
        <v>73.400000000000006</v>
      </c>
      <c r="L50" s="356">
        <v>42.3</v>
      </c>
      <c r="M50" s="83">
        <v>0.85</v>
      </c>
      <c r="N50" s="356">
        <v>1.18</v>
      </c>
      <c r="O50" s="356">
        <v>75.489999999999995</v>
      </c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</row>
    <row r="51" spans="1:30" ht="14.5">
      <c r="A51" s="83" t="s">
        <v>361</v>
      </c>
      <c r="B51" s="83" t="s">
        <v>362</v>
      </c>
      <c r="C51" s="383">
        <v>0.28970000000000001</v>
      </c>
      <c r="D51" s="83">
        <v>12.68</v>
      </c>
      <c r="E51" s="385">
        <v>6.5199999999999994E-2</v>
      </c>
      <c r="F51" s="385">
        <v>4.8000000000000001E-2</v>
      </c>
      <c r="G51" s="385">
        <v>0.1686</v>
      </c>
      <c r="H51" s="356">
        <v>0.75</v>
      </c>
      <c r="I51" s="83">
        <v>6.46</v>
      </c>
      <c r="J51" s="83">
        <v>7.18</v>
      </c>
      <c r="K51" s="356">
        <v>158.69999999999999</v>
      </c>
      <c r="L51" s="385">
        <v>0.61299999999999999</v>
      </c>
      <c r="M51" s="73">
        <v>2.4</v>
      </c>
      <c r="N51" s="83">
        <v>2.73</v>
      </c>
      <c r="O51" s="83">
        <v>9.1300000000000008</v>
      </c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</row>
    <row r="52" spans="1:30" ht="14.5">
      <c r="A52" s="83" t="s">
        <v>363</v>
      </c>
      <c r="B52" s="83" t="s">
        <v>364</v>
      </c>
      <c r="C52" s="385">
        <v>0.1754</v>
      </c>
      <c r="D52" s="356">
        <v>11.7</v>
      </c>
      <c r="E52" s="385">
        <v>4.9000000000000002E-2</v>
      </c>
      <c r="F52" s="385">
        <v>2.1000000000000001E-2</v>
      </c>
      <c r="G52" s="385">
        <v>4.99E-2</v>
      </c>
      <c r="H52" s="356">
        <v>0.43</v>
      </c>
      <c r="I52" s="83">
        <v>5.08</v>
      </c>
      <c r="J52" s="83">
        <v>3.16</v>
      </c>
      <c r="K52" s="73">
        <v>71.3</v>
      </c>
      <c r="L52" s="356">
        <v>41.6</v>
      </c>
      <c r="M52" s="83">
        <v>1.04</v>
      </c>
      <c r="N52" s="356">
        <v>0.78</v>
      </c>
      <c r="O52" s="356">
        <v>4.88</v>
      </c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</row>
    <row r="53" spans="1:30" ht="14.5">
      <c r="A53" s="83"/>
      <c r="B53" s="83"/>
      <c r="C53" s="385"/>
      <c r="D53" s="385"/>
      <c r="E53" s="385"/>
      <c r="F53" s="384"/>
      <c r="G53" s="385"/>
      <c r="H53" s="356"/>
      <c r="I53" s="83"/>
      <c r="J53" s="83"/>
      <c r="K53" s="356"/>
      <c r="L53" s="356"/>
      <c r="M53" s="83"/>
      <c r="N53" s="356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</row>
    <row r="54" spans="1:30" ht="14.5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</row>
    <row r="55" spans="1:30" ht="14.5">
      <c r="A55" s="83" t="s">
        <v>365</v>
      </c>
      <c r="B55" s="83" t="s">
        <v>366</v>
      </c>
      <c r="C55" s="386">
        <v>0.372</v>
      </c>
      <c r="D55" s="385">
        <v>0.20499999999999999</v>
      </c>
      <c r="E55" s="385">
        <v>0.154</v>
      </c>
      <c r="F55" s="385">
        <v>9.0999999999999998E-2</v>
      </c>
      <c r="G55" s="385">
        <v>0.34699999999999998</v>
      </c>
      <c r="H55" s="356">
        <v>0.59</v>
      </c>
      <c r="I55" s="83">
        <v>3.93</v>
      </c>
      <c r="J55" s="83">
        <v>4.8099999999999996</v>
      </c>
      <c r="K55" s="356">
        <v>124.3</v>
      </c>
      <c r="L55" s="356">
        <v>55.4</v>
      </c>
      <c r="M55" s="83">
        <v>0.93</v>
      </c>
      <c r="N55" s="356">
        <v>1.27</v>
      </c>
      <c r="O55" s="356">
        <v>9.82</v>
      </c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 spans="1:30" ht="14.5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</sheetData>
  <mergeCells count="4">
    <mergeCell ref="C19:F19"/>
    <mergeCell ref="G19:J19"/>
    <mergeCell ref="K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Revenue Model</vt:lpstr>
      <vt:lpstr>Income Statement</vt:lpstr>
      <vt:lpstr>Balance Sheet</vt:lpstr>
      <vt:lpstr>Derived Cash flow</vt:lpstr>
      <vt:lpstr>Cash Flow</vt:lpstr>
      <vt:lpstr>Ratio Analysis</vt:lpstr>
      <vt:lpstr>ke</vt:lpstr>
      <vt:lpstr>FCFE</vt:lpstr>
      <vt:lpstr>Comparables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Joshi</dc:creator>
  <cp:lastModifiedBy>Himanshu Joshi</cp:lastModifiedBy>
  <dcterms:created xsi:type="dcterms:W3CDTF">2024-04-17T23:57:54Z</dcterms:created>
  <dcterms:modified xsi:type="dcterms:W3CDTF">2024-05-09T02:57:51Z</dcterms:modified>
</cp:coreProperties>
</file>