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SERIOS3PALACIOS\Downloads\"/>
    </mc:Choice>
  </mc:AlternateContent>
  <xr:revisionPtr revIDLastSave="0" documentId="13_ncr:1_{52312F5F-170E-4FC4-88A3-22231CB009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6" i="1" s="1"/>
  <c r="L27" i="1" s="1"/>
  <c r="D77" i="1" l="1"/>
  <c r="E77" i="1"/>
  <c r="F77" i="1"/>
  <c r="G77" i="1"/>
  <c r="H77" i="1"/>
  <c r="E76" i="1"/>
  <c r="F76" i="1"/>
  <c r="G76" i="1"/>
  <c r="H76" i="1"/>
  <c r="D76" i="1"/>
  <c r="D75" i="1"/>
  <c r="D74" i="1"/>
  <c r="N52" i="1" l="1"/>
  <c r="N53" i="1"/>
  <c r="M33" i="1"/>
  <c r="D13" i="1"/>
  <c r="E13" i="1" s="1"/>
  <c r="F13" i="1" s="1"/>
  <c r="G13" i="1" s="1"/>
  <c r="H13" i="1" s="1"/>
  <c r="E26" i="1"/>
  <c r="F26" i="1" s="1"/>
  <c r="G26" i="1" s="1"/>
  <c r="H26" i="1" s="1"/>
  <c r="E23" i="1"/>
  <c r="F23" i="1" s="1"/>
  <c r="G23" i="1" s="1"/>
  <c r="H23" i="1" s="1"/>
  <c r="D5" i="1"/>
  <c r="D6" i="1"/>
  <c r="D7" i="1"/>
  <c r="D8" i="1"/>
  <c r="D9" i="1"/>
  <c r="D10" i="1"/>
  <c r="D11" i="1"/>
  <c r="D12" i="1"/>
  <c r="D4" i="1"/>
  <c r="M32" i="1" l="1"/>
  <c r="M31" i="1"/>
  <c r="E28" i="1"/>
  <c r="F28" i="1" s="1"/>
  <c r="G28" i="1" s="1"/>
  <c r="H28" i="1" s="1"/>
  <c r="E29" i="1"/>
  <c r="F29" i="1" s="1"/>
  <c r="G29" i="1" s="1"/>
  <c r="H29" i="1" s="1"/>
  <c r="E30" i="1"/>
  <c r="F30" i="1" s="1"/>
  <c r="G30" i="1" s="1"/>
  <c r="H30" i="1" s="1"/>
  <c r="E31" i="1"/>
  <c r="F31" i="1" s="1"/>
  <c r="G31" i="1" s="1"/>
  <c r="H31" i="1" s="1"/>
  <c r="E32" i="1"/>
  <c r="F32" i="1" s="1"/>
  <c r="G32" i="1" s="1"/>
  <c r="H32" i="1" s="1"/>
  <c r="E33" i="1"/>
  <c r="F33" i="1" s="1"/>
  <c r="G33" i="1" s="1"/>
  <c r="H33" i="1" s="1"/>
  <c r="E34" i="1"/>
  <c r="F34" i="1" s="1"/>
  <c r="G34" i="1" s="1"/>
  <c r="H34" i="1" s="1"/>
  <c r="E35" i="1"/>
  <c r="F35" i="1" s="1"/>
  <c r="G35" i="1" s="1"/>
  <c r="H35" i="1" s="1"/>
  <c r="E27" i="1"/>
  <c r="D24" i="1"/>
  <c r="E15" i="1"/>
  <c r="F15" i="1" s="1"/>
  <c r="G15" i="1" s="1"/>
  <c r="H15" i="1" s="1"/>
  <c r="E16" i="1"/>
  <c r="F16" i="1" s="1"/>
  <c r="G16" i="1" s="1"/>
  <c r="H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 s="1"/>
  <c r="G20" i="1" s="1"/>
  <c r="H20" i="1" s="1"/>
  <c r="E21" i="1"/>
  <c r="F21" i="1" s="1"/>
  <c r="G21" i="1" s="1"/>
  <c r="H21" i="1" s="1"/>
  <c r="E22" i="1"/>
  <c r="F22" i="1" s="1"/>
  <c r="G22" i="1" s="1"/>
  <c r="H22" i="1" s="1"/>
  <c r="E14" i="1"/>
  <c r="E12" i="1"/>
  <c r="E5" i="1"/>
  <c r="E6" i="1"/>
  <c r="E7" i="1"/>
  <c r="E8" i="1"/>
  <c r="E9" i="1"/>
  <c r="E10" i="1"/>
  <c r="E11" i="1"/>
  <c r="E4" i="1"/>
  <c r="M34" i="1" l="1"/>
  <c r="D39" i="1" s="1"/>
  <c r="F12" i="1"/>
  <c r="F11" i="1"/>
  <c r="F10" i="1"/>
  <c r="F9" i="1"/>
  <c r="F8" i="1"/>
  <c r="F7" i="1"/>
  <c r="F5" i="1"/>
  <c r="E24" i="1"/>
  <c r="F6" i="1"/>
  <c r="N50" i="1"/>
  <c r="D45" i="1" s="1"/>
  <c r="E45" i="1" s="1"/>
  <c r="F45" i="1" s="1"/>
  <c r="G45" i="1" s="1"/>
  <c r="H45" i="1" s="1"/>
  <c r="N51" i="1"/>
  <c r="N49" i="1"/>
  <c r="O43" i="1"/>
  <c r="O44" i="1"/>
  <c r="O42" i="1"/>
  <c r="N43" i="1"/>
  <c r="N44" i="1"/>
  <c r="N42" i="1"/>
  <c r="F4" i="1"/>
  <c r="P42" i="1" l="1"/>
  <c r="G6" i="1"/>
  <c r="G11" i="1"/>
  <c r="G5" i="1"/>
  <c r="G8" i="1"/>
  <c r="G9" i="1"/>
  <c r="G7" i="1"/>
  <c r="G10" i="1"/>
  <c r="G12" i="1"/>
  <c r="D44" i="1"/>
  <c r="E44" i="1" s="1"/>
  <c r="F44" i="1" s="1"/>
  <c r="G44" i="1" s="1"/>
  <c r="H44" i="1" s="1"/>
  <c r="C57" i="1"/>
  <c r="P44" i="1"/>
  <c r="P43" i="1"/>
  <c r="D36" i="1"/>
  <c r="G4" i="1"/>
  <c r="F14" i="1"/>
  <c r="F24" i="1" s="1"/>
  <c r="F27" i="1"/>
  <c r="G27" i="1" s="1"/>
  <c r="H27" i="1" s="1"/>
  <c r="H10" i="1" l="1"/>
  <c r="H8" i="1"/>
  <c r="H5" i="1"/>
  <c r="H12" i="1"/>
  <c r="H7" i="1"/>
  <c r="H9" i="1"/>
  <c r="H11" i="1"/>
  <c r="H6" i="1"/>
  <c r="D49" i="1"/>
  <c r="P45" i="1"/>
  <c r="P46" i="1" s="1"/>
  <c r="D40" i="1" s="1"/>
  <c r="E40" i="1" s="1"/>
  <c r="F40" i="1" s="1"/>
  <c r="G40" i="1" s="1"/>
  <c r="H40" i="1" s="1"/>
  <c r="E39" i="1"/>
  <c r="G14" i="1"/>
  <c r="G24" i="1" s="1"/>
  <c r="F36" i="1"/>
  <c r="E36" i="1"/>
  <c r="H4" i="1"/>
  <c r="E41" i="1" l="1"/>
  <c r="D41" i="1"/>
  <c r="E49" i="1"/>
  <c r="D54" i="1"/>
  <c r="F39" i="1"/>
  <c r="F41" i="1" s="1"/>
  <c r="H14" i="1"/>
  <c r="H36" i="1" s="1"/>
  <c r="G36" i="1"/>
  <c r="D51" i="1" l="1"/>
  <c r="D52" i="1" s="1"/>
  <c r="D53" i="1" s="1"/>
  <c r="D55" i="1" s="1"/>
  <c r="E69" i="1"/>
  <c r="E75" i="1"/>
  <c r="D73" i="1"/>
  <c r="E68" i="1"/>
  <c r="E51" i="1"/>
  <c r="E71" i="1"/>
  <c r="E59" i="1"/>
  <c r="D72" i="1"/>
  <c r="E70" i="1"/>
  <c r="D69" i="1"/>
  <c r="D59" i="1"/>
  <c r="C60" i="1" s="1"/>
  <c r="C62" i="1" s="1"/>
  <c r="C64" i="1" s="1"/>
  <c r="D71" i="1"/>
  <c r="D68" i="1"/>
  <c r="E73" i="1"/>
  <c r="E74" i="1"/>
  <c r="E72" i="1"/>
  <c r="E67" i="1"/>
  <c r="D67" i="1"/>
  <c r="D70" i="1"/>
  <c r="F74" i="1"/>
  <c r="F71" i="1"/>
  <c r="F70" i="1"/>
  <c r="F75" i="1"/>
  <c r="F69" i="1"/>
  <c r="F68" i="1"/>
  <c r="F72" i="1"/>
  <c r="F73" i="1"/>
  <c r="F49" i="1"/>
  <c r="F51" i="1" s="1"/>
  <c r="F52" i="1" s="1"/>
  <c r="F53" i="1" s="1"/>
  <c r="E54" i="1"/>
  <c r="H24" i="1"/>
  <c r="F59" i="1"/>
  <c r="F67" i="1"/>
  <c r="G39" i="1"/>
  <c r="H39" i="1" s="1"/>
  <c r="H41" i="1" s="1"/>
  <c r="E52" i="1"/>
  <c r="E53" i="1" s="1"/>
  <c r="E60" i="1" l="1"/>
  <c r="E62" i="1" s="1"/>
  <c r="D60" i="1"/>
  <c r="D62" i="1" s="1"/>
  <c r="D64" i="1" s="1"/>
  <c r="E55" i="1"/>
  <c r="H72" i="1"/>
  <c r="H70" i="1"/>
  <c r="H75" i="1"/>
  <c r="H68" i="1"/>
  <c r="H71" i="1"/>
  <c r="H73" i="1"/>
  <c r="H69" i="1"/>
  <c r="H74" i="1"/>
  <c r="G49" i="1"/>
  <c r="F54" i="1"/>
  <c r="F55" i="1" s="1"/>
  <c r="G41" i="1"/>
  <c r="H67" i="1"/>
  <c r="H59" i="1"/>
  <c r="E64" i="1" l="1"/>
  <c r="G59" i="1"/>
  <c r="F60" i="1" s="1"/>
  <c r="F62" i="1" s="1"/>
  <c r="F64" i="1" s="1"/>
  <c r="G73" i="1"/>
  <c r="G68" i="1"/>
  <c r="G70" i="1"/>
  <c r="G74" i="1"/>
  <c r="G71" i="1"/>
  <c r="G75" i="1"/>
  <c r="G72" i="1"/>
  <c r="G69" i="1"/>
  <c r="G54" i="1"/>
  <c r="H49" i="1"/>
  <c r="G51" i="1"/>
  <c r="G52" i="1" s="1"/>
  <c r="G53" i="1" s="1"/>
  <c r="G67" i="1"/>
  <c r="G60" i="1" l="1"/>
  <c r="G62" i="1" s="1"/>
  <c r="G55" i="1"/>
  <c r="H54" i="1"/>
  <c r="H58" i="1" s="1"/>
  <c r="H51" i="1"/>
  <c r="H52" i="1" s="1"/>
  <c r="H53" i="1" s="1"/>
  <c r="H61" i="1"/>
  <c r="G64" i="1" l="1"/>
  <c r="H62" i="1"/>
  <c r="H55" i="1"/>
  <c r="H64" i="1" l="1"/>
</calcChain>
</file>

<file path=xl/sharedStrings.xml><?xml version="1.0" encoding="utf-8"?>
<sst xmlns="http://schemas.openxmlformats.org/spreadsheetml/2006/main" count="138" uniqueCount="78">
  <si>
    <t>AÑO</t>
  </si>
  <si>
    <t>SUPUESTO</t>
  </si>
  <si>
    <t>INGRESOS (PV*Q)</t>
  </si>
  <si>
    <t>COSTO DE VENTAS (PC*Q)</t>
  </si>
  <si>
    <t>GASTOS FIJOS O GASTOS DE ADMON</t>
  </si>
  <si>
    <t>COSTOS FIJOS MES</t>
  </si>
  <si>
    <t>Servicios públicos</t>
  </si>
  <si>
    <t>Arriendo (local 50 m2)</t>
  </si>
  <si>
    <t>COSTOS AÑO</t>
  </si>
  <si>
    <t>Cargo</t>
  </si>
  <si>
    <t>Número</t>
  </si>
  <si>
    <t>Sueldo/mes</t>
  </si>
  <si>
    <t>Administrador</t>
  </si>
  <si>
    <t>F. PRESTACIONAL</t>
  </si>
  <si>
    <t>MENOS DE 2 SMMLV</t>
  </si>
  <si>
    <t>SMMLV</t>
  </si>
  <si>
    <t>AUXILIO TTE</t>
  </si>
  <si>
    <t>TOTAL MES</t>
  </si>
  <si>
    <t>TOTAL AÑO</t>
  </si>
  <si>
    <t>NOMINA</t>
  </si>
  <si>
    <t>TOTAL GASTOS FIJOS</t>
  </si>
  <si>
    <t xml:space="preserve">Detalle </t>
  </si>
  <si>
    <t>Cantidad</t>
  </si>
  <si>
    <t>Valor unitario</t>
  </si>
  <si>
    <t>Total</t>
  </si>
  <si>
    <t>vida util</t>
  </si>
  <si>
    <t>DEPRECIACIONES (LR)</t>
  </si>
  <si>
    <t>TOTAL DEPRECIACIONES</t>
  </si>
  <si>
    <t>a)</t>
  </si>
  <si>
    <t>b)</t>
  </si>
  <si>
    <t>c)</t>
  </si>
  <si>
    <t>d)</t>
  </si>
  <si>
    <t>UTILIDAD OPERATIVA</t>
  </si>
  <si>
    <t>IMPUESTO</t>
  </si>
  <si>
    <t>UODI (UTILIDAD OPERATIVA DESPUES DE IMPUESTOS)</t>
  </si>
  <si>
    <t>DEPRECIACIONES</t>
  </si>
  <si>
    <t>FLUJO DE CAJA OPERATIVO</t>
  </si>
  <si>
    <t>INVERSIÓN EN ACTIVOS</t>
  </si>
  <si>
    <t>VALOR RESIDUAL</t>
  </si>
  <si>
    <t>CAPITAL DE TRABAJO</t>
  </si>
  <si>
    <t>INVERSIÓN EN CAPITAL DE TRABAJO</t>
  </si>
  <si>
    <t>CAPITAL DE TRABAJO RECUPERADO</t>
  </si>
  <si>
    <t>FLUJO DE CAJA DE LA INVERSIÓN</t>
  </si>
  <si>
    <t>(-)</t>
  </si>
  <si>
    <t>(+)</t>
  </si>
  <si>
    <t>(=)</t>
  </si>
  <si>
    <t>FLUJO DE CAJA LIBRE O FLUJO DE CAJA DEL PROYECTO</t>
  </si>
  <si>
    <t>h)</t>
  </si>
  <si>
    <t>f)</t>
  </si>
  <si>
    <t>i)</t>
  </si>
  <si>
    <t>Motorreductor</t>
  </si>
  <si>
    <t>Arduino WIFI</t>
  </si>
  <si>
    <t>Cables (x10)</t>
  </si>
  <si>
    <t>Sensor de luz</t>
  </si>
  <si>
    <t xml:space="preserve">Termocupla </t>
  </si>
  <si>
    <t>Sensor de lluvia</t>
  </si>
  <si>
    <t>Cerradura magnetica</t>
  </si>
  <si>
    <t>Fin de carrera (izquierdo)</t>
  </si>
  <si>
    <t>Fin de carrera (derecho)</t>
  </si>
  <si>
    <t>PV</t>
  </si>
  <si>
    <t>Q</t>
  </si>
  <si>
    <t xml:space="preserve">Cables </t>
  </si>
  <si>
    <t>Tecnicos electronicos</t>
  </si>
  <si>
    <t>Computador</t>
  </si>
  <si>
    <t>Soldadora</t>
  </si>
  <si>
    <t>PC</t>
  </si>
  <si>
    <t xml:space="preserve">Incremento </t>
  </si>
  <si>
    <t>ventanas</t>
  </si>
  <si>
    <t>Ventana</t>
  </si>
  <si>
    <t>Ventana (1mx1m)</t>
  </si>
  <si>
    <t>Emsabladores ventanas</t>
  </si>
  <si>
    <t>Aseo</t>
  </si>
  <si>
    <t xml:space="preserve">SERVICIOS, ASEO Y ARRIENDO </t>
  </si>
  <si>
    <t>PUNTO DE EQUILIBRIO CON LA SUMA DE LAS UNIDADES, UNIDAS A LA VENTANA</t>
  </si>
  <si>
    <t>TOTAL MATERIAS + VENTANA</t>
  </si>
  <si>
    <t>Ventanas x año</t>
  </si>
  <si>
    <t>Ventanas x mes</t>
  </si>
  <si>
    <t>Ventanas a cada trabajador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</si>
</sst>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i/>
      <sz val="10"/>
      <color rgb="FFFF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 wrapText="1"/>
    </xf>
    <xf numFmtId="10" fontId="2" fillId="0" borderId="0" xfId="0" applyNumberFormat="1" applyFont="1"/>
    <xf numFmtId="165" fontId="2" fillId="0" borderId="0" xfId="1" applyNumberFormat="1" applyFont="1"/>
    <xf numFmtId="9" fontId="2" fillId="0" borderId="0" xfId="0" applyNumberFormat="1" applyFont="1"/>
    <xf numFmtId="165" fontId="2" fillId="0" borderId="0" xfId="0" applyNumberFormat="1" applyFont="1"/>
    <xf numFmtId="165" fontId="3" fillId="0" borderId="0" xfId="1" applyNumberFormat="1" applyFont="1"/>
    <xf numFmtId="165" fontId="4" fillId="0" borderId="0" xfId="1" applyNumberFormat="1" applyFont="1"/>
    <xf numFmtId="0" fontId="2" fillId="2" borderId="0" xfId="0" applyFont="1" applyFill="1"/>
    <xf numFmtId="0" fontId="4" fillId="2" borderId="0" xfId="0" applyFont="1" applyFill="1"/>
    <xf numFmtId="165" fontId="4" fillId="2" borderId="0" xfId="1" applyNumberFormat="1" applyFont="1" applyFill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/>
    </xf>
    <xf numFmtId="165" fontId="6" fillId="2" borderId="1" xfId="1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165" fontId="6" fillId="0" borderId="1" xfId="1" applyNumberFormat="1" applyFont="1" applyBorder="1" applyAlignment="1">
      <alignment horizontal="right" vertical="center"/>
    </xf>
    <xf numFmtId="165" fontId="2" fillId="0" borderId="1" xfId="0" applyNumberFormat="1" applyFont="1" applyBorder="1"/>
    <xf numFmtId="0" fontId="2" fillId="3" borderId="0" xfId="0" applyFont="1" applyFill="1"/>
    <xf numFmtId="165" fontId="4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/>
    <xf numFmtId="165" fontId="7" fillId="0" borderId="0" xfId="0" applyNumberFormat="1" applyFont="1"/>
    <xf numFmtId="164" fontId="2" fillId="0" borderId="0" xfId="1" applyFont="1"/>
    <xf numFmtId="0" fontId="4" fillId="3" borderId="0" xfId="0" applyFont="1" applyFill="1"/>
    <xf numFmtId="165" fontId="4" fillId="3" borderId="0" xfId="1" applyNumberFormat="1" applyFont="1" applyFill="1"/>
    <xf numFmtId="165" fontId="7" fillId="0" borderId="0" xfId="1" applyNumberFormat="1" applyFont="1"/>
    <xf numFmtId="0" fontId="7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65" fontId="2" fillId="0" borderId="0" xfId="1" applyNumberFormat="1" applyFont="1" applyBorder="1"/>
    <xf numFmtId="165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Border="1" applyAlignment="1">
      <alignment horizontal="right" vertical="center"/>
    </xf>
    <xf numFmtId="165" fontId="2" fillId="0" borderId="0" xfId="0" applyNumberFormat="1" applyFont="1" applyBorder="1"/>
    <xf numFmtId="0" fontId="2" fillId="0" borderId="0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4" borderId="0" xfId="0" applyFont="1" applyFill="1"/>
    <xf numFmtId="165" fontId="2" fillId="4" borderId="0" xfId="0" applyNumberFormat="1" applyFont="1" applyFill="1"/>
    <xf numFmtId="9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77"/>
  <sheetViews>
    <sheetView tabSelected="1" zoomScale="93" zoomScaleNormal="118" workbookViewId="0">
      <pane ySplit="2" topLeftCell="A51" activePane="bottomLeft" state="frozen"/>
      <selection pane="bottomLeft" activeCell="I65" sqref="I65"/>
    </sheetView>
  </sheetViews>
  <sheetFormatPr baseColWidth="10" defaultColWidth="11.453125" defaultRowHeight="12.5" x14ac:dyDescent="0.25"/>
  <cols>
    <col min="1" max="1" width="4" style="1" customWidth="1"/>
    <col min="2" max="2" width="35.81640625" style="1" customWidth="1"/>
    <col min="3" max="3" width="14.7265625" style="1" bestFit="1" customWidth="1"/>
    <col min="4" max="4" width="22.1796875" style="1" customWidth="1"/>
    <col min="5" max="5" width="18.54296875" style="1" customWidth="1"/>
    <col min="6" max="7" width="16.81640625" style="1" bestFit="1" customWidth="1"/>
    <col min="8" max="8" width="17.26953125" style="1" bestFit="1" customWidth="1"/>
    <col min="9" max="10" width="11.453125" style="1"/>
    <col min="11" max="11" width="31.90625" style="1" customWidth="1"/>
    <col min="12" max="12" width="34.26953125" style="1" customWidth="1"/>
    <col min="13" max="13" width="19.453125" style="1" customWidth="1"/>
    <col min="14" max="14" width="17.54296875" style="1" customWidth="1"/>
    <col min="15" max="15" width="19.1796875" style="1" customWidth="1"/>
    <col min="16" max="16" width="20.26953125" style="1" customWidth="1"/>
    <col min="17" max="16384" width="11.453125" style="1"/>
  </cols>
  <sheetData>
    <row r="2" spans="1:13" x14ac:dyDescent="0.25">
      <c r="B2" s="3" t="s">
        <v>0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 t="s">
        <v>1</v>
      </c>
      <c r="J2" s="1" t="s">
        <v>66</v>
      </c>
    </row>
    <row r="3" spans="1:13" x14ac:dyDescent="0.25">
      <c r="K3" s="37"/>
      <c r="L3" s="37"/>
      <c r="M3" s="37"/>
    </row>
    <row r="4" spans="1:13" x14ac:dyDescent="0.25">
      <c r="A4" s="1" t="s">
        <v>59</v>
      </c>
      <c r="B4" s="4" t="s">
        <v>50</v>
      </c>
      <c r="D4" s="6">
        <f>D27*(1+$I$5)</f>
        <v>161290</v>
      </c>
      <c r="E4" s="6">
        <f>+D4*(1+$I$4)</f>
        <v>182709.31200000001</v>
      </c>
      <c r="F4" s="6">
        <f t="shared" ref="F4:H13" si="0">+E4*(1+$I$4)</f>
        <v>206973.1086336</v>
      </c>
      <c r="G4" s="6">
        <f t="shared" si="0"/>
        <v>234459.13746014208</v>
      </c>
      <c r="H4" s="6">
        <f t="shared" si="0"/>
        <v>265595.31091484893</v>
      </c>
      <c r="I4" s="5">
        <v>0.1328</v>
      </c>
      <c r="K4" s="4"/>
      <c r="L4" s="38"/>
      <c r="M4" s="38"/>
    </row>
    <row r="5" spans="1:13" x14ac:dyDescent="0.25">
      <c r="A5" s="1" t="s">
        <v>59</v>
      </c>
      <c r="B5" s="4" t="s">
        <v>51</v>
      </c>
      <c r="D5" s="6">
        <f>D28*(1+$I$5)</f>
        <v>79248</v>
      </c>
      <c r="E5" s="6">
        <f t="shared" ref="E5:E11" si="1">+D5*(1+$I$4)</f>
        <v>89772.134399999995</v>
      </c>
      <c r="F5" s="6">
        <f t="shared" si="0"/>
        <v>101693.87384832</v>
      </c>
      <c r="G5" s="6">
        <f t="shared" si="0"/>
        <v>115198.82029537689</v>
      </c>
      <c r="H5" s="6">
        <f t="shared" si="0"/>
        <v>130497.22363060295</v>
      </c>
      <c r="I5" s="7">
        <v>0.27</v>
      </c>
      <c r="K5" s="4"/>
      <c r="L5" s="38"/>
      <c r="M5" s="38"/>
    </row>
    <row r="6" spans="1:13" x14ac:dyDescent="0.25">
      <c r="A6" s="1" t="s">
        <v>59</v>
      </c>
      <c r="B6" s="1" t="s">
        <v>54</v>
      </c>
      <c r="D6" s="6">
        <f>D29*(1+$I$5)</f>
        <v>27432</v>
      </c>
      <c r="E6" s="6">
        <f t="shared" si="1"/>
        <v>31074.9696</v>
      </c>
      <c r="F6" s="6">
        <f t="shared" si="0"/>
        <v>35201.725562880005</v>
      </c>
      <c r="G6" s="6">
        <f t="shared" si="0"/>
        <v>39876.514717630467</v>
      </c>
      <c r="H6" s="6">
        <f t="shared" si="0"/>
        <v>45172.115872131792</v>
      </c>
      <c r="K6" s="4"/>
      <c r="L6" s="38"/>
      <c r="M6" s="38"/>
    </row>
    <row r="7" spans="1:13" x14ac:dyDescent="0.25">
      <c r="A7" s="1" t="s">
        <v>59</v>
      </c>
      <c r="B7" s="4" t="s">
        <v>58</v>
      </c>
      <c r="D7" s="6">
        <f>D30*(1+$I$5)</f>
        <v>20193</v>
      </c>
      <c r="E7" s="6">
        <f t="shared" si="1"/>
        <v>22874.630400000002</v>
      </c>
      <c r="F7" s="6">
        <f t="shared" si="0"/>
        <v>25912.381317120002</v>
      </c>
      <c r="G7" s="6">
        <f t="shared" si="0"/>
        <v>29353.545556033539</v>
      </c>
      <c r="H7" s="6">
        <f t="shared" si="0"/>
        <v>33251.696405874791</v>
      </c>
      <c r="K7" s="4"/>
      <c r="L7" s="38"/>
      <c r="M7" s="38"/>
    </row>
    <row r="8" spans="1:13" x14ac:dyDescent="0.25">
      <c r="A8" s="1" t="s">
        <v>59</v>
      </c>
      <c r="B8" s="4" t="s">
        <v>57</v>
      </c>
      <c r="D8" s="6">
        <f>D31*(1+$I$5)</f>
        <v>20193</v>
      </c>
      <c r="E8" s="6">
        <f t="shared" si="1"/>
        <v>22874.630400000002</v>
      </c>
      <c r="F8" s="6">
        <f t="shared" si="0"/>
        <v>25912.381317120002</v>
      </c>
      <c r="G8" s="6">
        <f t="shared" si="0"/>
        <v>29353.545556033539</v>
      </c>
      <c r="H8" s="6">
        <f t="shared" si="0"/>
        <v>33251.696405874791</v>
      </c>
      <c r="K8" s="4"/>
      <c r="L8" s="38"/>
      <c r="M8" s="38"/>
    </row>
    <row r="9" spans="1:13" x14ac:dyDescent="0.25">
      <c r="A9" s="1" t="s">
        <v>59</v>
      </c>
      <c r="B9" s="4" t="s">
        <v>55</v>
      </c>
      <c r="D9" s="6">
        <f>D32*(1+$I$5)</f>
        <v>27432</v>
      </c>
      <c r="E9" s="6">
        <f t="shared" si="1"/>
        <v>31074.9696</v>
      </c>
      <c r="F9" s="6">
        <f t="shared" si="0"/>
        <v>35201.725562880005</v>
      </c>
      <c r="G9" s="6">
        <f t="shared" si="0"/>
        <v>39876.514717630467</v>
      </c>
      <c r="H9" s="6">
        <f t="shared" si="0"/>
        <v>45172.115872131792</v>
      </c>
      <c r="K9" s="4"/>
      <c r="L9" s="38"/>
      <c r="M9" s="38"/>
    </row>
    <row r="10" spans="1:13" x14ac:dyDescent="0.25">
      <c r="A10" s="1" t="s">
        <v>59</v>
      </c>
      <c r="B10" s="4" t="s">
        <v>53</v>
      </c>
      <c r="D10" s="6">
        <f>D33*(1+$I$5)</f>
        <v>20320</v>
      </c>
      <c r="E10" s="6">
        <f t="shared" si="1"/>
        <v>23018.495999999999</v>
      </c>
      <c r="F10" s="6">
        <f t="shared" si="0"/>
        <v>26075.352268800001</v>
      </c>
      <c r="G10" s="6">
        <f t="shared" si="0"/>
        <v>29538.159050096641</v>
      </c>
      <c r="H10" s="6">
        <f t="shared" si="0"/>
        <v>33460.826571949474</v>
      </c>
      <c r="K10" s="4"/>
      <c r="L10" s="38"/>
      <c r="M10" s="38"/>
    </row>
    <row r="11" spans="1:13" x14ac:dyDescent="0.25">
      <c r="A11" s="1" t="s">
        <v>59</v>
      </c>
      <c r="B11" s="4" t="s">
        <v>56</v>
      </c>
      <c r="D11" s="6">
        <f>D34*(1+$I$5)</f>
        <v>120904</v>
      </c>
      <c r="E11" s="6">
        <f t="shared" si="1"/>
        <v>136960.05120000002</v>
      </c>
      <c r="F11" s="6">
        <f t="shared" si="0"/>
        <v>155148.34599936003</v>
      </c>
      <c r="G11" s="6">
        <f t="shared" si="0"/>
        <v>175752.04634807503</v>
      </c>
      <c r="H11" s="6">
        <f t="shared" si="0"/>
        <v>199091.91810309939</v>
      </c>
      <c r="K11" s="4"/>
      <c r="L11" s="38"/>
      <c r="M11" s="38"/>
    </row>
    <row r="12" spans="1:13" x14ac:dyDescent="0.25">
      <c r="A12" s="1" t="s">
        <v>59</v>
      </c>
      <c r="B12" s="4" t="s">
        <v>61</v>
      </c>
      <c r="D12" s="6">
        <f>D35*(1+$I$5)</f>
        <v>17018</v>
      </c>
      <c r="E12" s="6">
        <f>+D12*(1+$I$4)</f>
        <v>19277.990399999999</v>
      </c>
      <c r="F12" s="6">
        <f t="shared" si="0"/>
        <v>21838.107525119998</v>
      </c>
      <c r="G12" s="6">
        <f t="shared" si="0"/>
        <v>24738.208204455936</v>
      </c>
      <c r="H12" s="6">
        <f t="shared" si="0"/>
        <v>28023.442254007685</v>
      </c>
      <c r="K12" s="4"/>
      <c r="L12" s="38"/>
      <c r="M12" s="38"/>
    </row>
    <row r="13" spans="1:13" x14ac:dyDescent="0.25">
      <c r="A13" s="1" t="s">
        <v>59</v>
      </c>
      <c r="B13" s="4" t="s">
        <v>69</v>
      </c>
      <c r="D13" s="6">
        <f>D26*(1+$I$5)</f>
        <v>698500</v>
      </c>
      <c r="E13" s="6">
        <f>+D13*(1+$I$4)</f>
        <v>791260.8</v>
      </c>
      <c r="F13" s="6">
        <f t="shared" si="0"/>
        <v>896340.23424000002</v>
      </c>
      <c r="G13" s="6">
        <f t="shared" si="0"/>
        <v>1015374.2173470721</v>
      </c>
      <c r="H13" s="6">
        <f t="shared" si="0"/>
        <v>1150215.9134107633</v>
      </c>
      <c r="K13" s="4"/>
      <c r="L13" s="38"/>
      <c r="M13" s="38"/>
    </row>
    <row r="14" spans="1:13" x14ac:dyDescent="0.25">
      <c r="A14" s="1" t="s">
        <v>60</v>
      </c>
      <c r="B14" s="4" t="s">
        <v>50</v>
      </c>
      <c r="D14" s="6">
        <v>5000</v>
      </c>
      <c r="E14" s="6">
        <f>+D14*(1+$I$14)</f>
        <v>5250</v>
      </c>
      <c r="F14" s="6">
        <f t="shared" ref="F14:H23" si="2">+E14*(1+$I$14)</f>
        <v>5512.5</v>
      </c>
      <c r="G14" s="6">
        <f t="shared" si="2"/>
        <v>5788.125</v>
      </c>
      <c r="H14" s="6">
        <f t="shared" si="2"/>
        <v>6077.53125</v>
      </c>
      <c r="I14" s="7">
        <v>0.05</v>
      </c>
    </row>
    <row r="15" spans="1:13" x14ac:dyDescent="0.25">
      <c r="A15" s="1" t="s">
        <v>60</v>
      </c>
      <c r="B15" s="4" t="s">
        <v>51</v>
      </c>
      <c r="D15" s="6">
        <v>6000</v>
      </c>
      <c r="E15" s="6">
        <f t="shared" ref="E15:E23" si="3">+D15*(1+$I$14)</f>
        <v>6300</v>
      </c>
      <c r="F15" s="6">
        <f t="shared" si="2"/>
        <v>6615</v>
      </c>
      <c r="G15" s="6">
        <f t="shared" si="2"/>
        <v>6945.75</v>
      </c>
      <c r="H15" s="6">
        <f t="shared" si="2"/>
        <v>7293.0375000000004</v>
      </c>
    </row>
    <row r="16" spans="1:13" x14ac:dyDescent="0.25">
      <c r="A16" s="1" t="s">
        <v>60</v>
      </c>
      <c r="B16" s="1" t="s">
        <v>54</v>
      </c>
      <c r="D16" s="6">
        <v>6000</v>
      </c>
      <c r="E16" s="6">
        <f t="shared" si="3"/>
        <v>6300</v>
      </c>
      <c r="F16" s="6">
        <f t="shared" si="2"/>
        <v>6615</v>
      </c>
      <c r="G16" s="6">
        <f t="shared" si="2"/>
        <v>6945.75</v>
      </c>
      <c r="H16" s="6">
        <f t="shared" si="2"/>
        <v>7293.0375000000004</v>
      </c>
    </row>
    <row r="17" spans="1:13" x14ac:dyDescent="0.25">
      <c r="A17" s="1" t="s">
        <v>60</v>
      </c>
      <c r="B17" s="4" t="s">
        <v>58</v>
      </c>
      <c r="D17" s="6">
        <v>6000</v>
      </c>
      <c r="E17" s="6">
        <f t="shared" si="3"/>
        <v>6300</v>
      </c>
      <c r="F17" s="6">
        <f t="shared" si="2"/>
        <v>6615</v>
      </c>
      <c r="G17" s="6">
        <f t="shared" si="2"/>
        <v>6945.75</v>
      </c>
      <c r="H17" s="6">
        <f t="shared" si="2"/>
        <v>7293.0375000000004</v>
      </c>
      <c r="K17" s="37"/>
      <c r="L17" s="37"/>
    </row>
    <row r="18" spans="1:13" x14ac:dyDescent="0.25">
      <c r="A18" s="1" t="s">
        <v>60</v>
      </c>
      <c r="B18" s="4" t="s">
        <v>57</v>
      </c>
      <c r="D18" s="6">
        <v>6000</v>
      </c>
      <c r="E18" s="6">
        <f t="shared" si="3"/>
        <v>6300</v>
      </c>
      <c r="F18" s="6">
        <f t="shared" si="2"/>
        <v>6615</v>
      </c>
      <c r="G18" s="6">
        <f t="shared" si="2"/>
        <v>6945.75</v>
      </c>
      <c r="H18" s="6">
        <f t="shared" si="2"/>
        <v>7293.0375000000004</v>
      </c>
      <c r="K18" s="37"/>
      <c r="L18" s="37"/>
    </row>
    <row r="19" spans="1:13" x14ac:dyDescent="0.25">
      <c r="A19" s="1" t="s">
        <v>60</v>
      </c>
      <c r="B19" s="4" t="s">
        <v>55</v>
      </c>
      <c r="D19" s="6">
        <v>6000</v>
      </c>
      <c r="E19" s="6">
        <f t="shared" si="3"/>
        <v>6300</v>
      </c>
      <c r="F19" s="6">
        <f t="shared" si="2"/>
        <v>6615</v>
      </c>
      <c r="G19" s="6">
        <f t="shared" si="2"/>
        <v>6945.75</v>
      </c>
      <c r="H19" s="6">
        <f t="shared" si="2"/>
        <v>7293.0375000000004</v>
      </c>
      <c r="K19" s="37"/>
      <c r="L19" s="37"/>
    </row>
    <row r="20" spans="1:13" x14ac:dyDescent="0.25">
      <c r="A20" s="1" t="s">
        <v>60</v>
      </c>
      <c r="B20" s="4" t="s">
        <v>53</v>
      </c>
      <c r="D20" s="6">
        <v>6000</v>
      </c>
      <c r="E20" s="6">
        <f t="shared" si="3"/>
        <v>6300</v>
      </c>
      <c r="F20" s="6">
        <f t="shared" si="2"/>
        <v>6615</v>
      </c>
      <c r="G20" s="6">
        <f t="shared" si="2"/>
        <v>6945.75</v>
      </c>
      <c r="H20" s="6">
        <f t="shared" si="2"/>
        <v>7293.0375000000004</v>
      </c>
      <c r="K20" s="37"/>
      <c r="L20" s="37"/>
    </row>
    <row r="21" spans="1:13" x14ac:dyDescent="0.25">
      <c r="A21" s="1" t="s">
        <v>60</v>
      </c>
      <c r="B21" s="4" t="s">
        <v>56</v>
      </c>
      <c r="D21" s="6">
        <v>6000</v>
      </c>
      <c r="E21" s="6">
        <f t="shared" si="3"/>
        <v>6300</v>
      </c>
      <c r="F21" s="6">
        <f t="shared" si="2"/>
        <v>6615</v>
      </c>
      <c r="G21" s="6">
        <f t="shared" si="2"/>
        <v>6945.75</v>
      </c>
      <c r="H21" s="6">
        <f t="shared" si="2"/>
        <v>7293.0375000000004</v>
      </c>
      <c r="K21" s="37"/>
      <c r="L21" s="37"/>
    </row>
    <row r="22" spans="1:13" x14ac:dyDescent="0.25">
      <c r="A22" s="1" t="s">
        <v>60</v>
      </c>
      <c r="B22" s="4" t="s">
        <v>52</v>
      </c>
      <c r="D22" s="6">
        <v>6000</v>
      </c>
      <c r="E22" s="6">
        <f t="shared" si="3"/>
        <v>6300</v>
      </c>
      <c r="F22" s="6">
        <f t="shared" si="2"/>
        <v>6615</v>
      </c>
      <c r="G22" s="6">
        <f t="shared" si="2"/>
        <v>6945.75</v>
      </c>
      <c r="H22" s="6">
        <f t="shared" si="2"/>
        <v>7293.0375000000004</v>
      </c>
      <c r="K22" s="37"/>
      <c r="L22" s="37"/>
    </row>
    <row r="23" spans="1:13" x14ac:dyDescent="0.25">
      <c r="A23" s="1" t="s">
        <v>60</v>
      </c>
      <c r="B23" s="4" t="s">
        <v>67</v>
      </c>
      <c r="D23" s="6">
        <v>6000</v>
      </c>
      <c r="E23" s="6">
        <f t="shared" si="3"/>
        <v>6300</v>
      </c>
      <c r="F23" s="6">
        <f t="shared" si="2"/>
        <v>6615</v>
      </c>
      <c r="G23" s="6">
        <f t="shared" si="2"/>
        <v>6945.75</v>
      </c>
      <c r="H23" s="6">
        <f t="shared" si="2"/>
        <v>7293.0375000000004</v>
      </c>
      <c r="K23" s="37"/>
      <c r="L23" s="37"/>
    </row>
    <row r="24" spans="1:13" x14ac:dyDescent="0.25">
      <c r="A24" s="26" t="s">
        <v>28</v>
      </c>
      <c r="B24" s="12" t="s">
        <v>2</v>
      </c>
      <c r="C24" s="11"/>
      <c r="D24" s="13">
        <f>+SUMPRODUCT(D4:D12,D14:D22)</f>
        <v>2802890000</v>
      </c>
      <c r="E24" s="13">
        <f>+SUMPRODUCT(E4:E12,E14:E22)</f>
        <v>3333869481.5999999</v>
      </c>
      <c r="F24" s="13">
        <f>+SUMPRODUCT(F4:F12,F14:F22)</f>
        <v>3965437716.194304</v>
      </c>
      <c r="G24" s="13">
        <f>+SUMPRODUCT(G4:G12,G14:G22)</f>
        <v>4716650237.1501522</v>
      </c>
      <c r="H24" s="13">
        <f>+SUMPRODUCT(H4:H12,H14:H22)</f>
        <v>5610172458.0758781</v>
      </c>
      <c r="K24" s="4"/>
      <c r="L24" s="38"/>
    </row>
    <row r="25" spans="1:13" x14ac:dyDescent="0.25">
      <c r="D25" s="10"/>
      <c r="E25" s="10"/>
      <c r="F25" s="10"/>
      <c r="G25" s="10"/>
      <c r="H25" s="10"/>
      <c r="K25" s="17" t="s">
        <v>75</v>
      </c>
      <c r="L25" s="59">
        <f>D23</f>
        <v>6000</v>
      </c>
    </row>
    <row r="26" spans="1:13" x14ac:dyDescent="0.25">
      <c r="A26" s="1" t="s">
        <v>65</v>
      </c>
      <c r="B26" s="1" t="s">
        <v>69</v>
      </c>
      <c r="D26" s="6">
        <v>550000</v>
      </c>
      <c r="E26" s="6">
        <f>+D26*(1+$I$4)</f>
        <v>623040</v>
      </c>
      <c r="F26" s="6">
        <f t="shared" ref="F26:H26" si="4">+E26*(1+$I$4)</f>
        <v>705779.71200000006</v>
      </c>
      <c r="G26" s="6">
        <f t="shared" si="4"/>
        <v>799507.25775360013</v>
      </c>
      <c r="H26" s="6">
        <f t="shared" si="4"/>
        <v>905681.82158327824</v>
      </c>
      <c r="K26" s="17" t="s">
        <v>76</v>
      </c>
      <c r="L26" s="59">
        <f>L25/12</f>
        <v>500</v>
      </c>
    </row>
    <row r="27" spans="1:13" x14ac:dyDescent="0.25">
      <c r="A27" s="1" t="s">
        <v>65</v>
      </c>
      <c r="B27" s="4" t="s">
        <v>50</v>
      </c>
      <c r="D27" s="6">
        <v>127000</v>
      </c>
      <c r="E27" s="6">
        <f>+D27*(1+$I$4)</f>
        <v>143865.60000000001</v>
      </c>
      <c r="F27" s="6">
        <f t="shared" ref="F27:H35" si="5">+E27*(1+$I$4)</f>
        <v>162970.95168</v>
      </c>
      <c r="G27" s="6">
        <f t="shared" si="5"/>
        <v>184613.49406310401</v>
      </c>
      <c r="H27" s="6">
        <f t="shared" si="5"/>
        <v>209130.16607468424</v>
      </c>
      <c r="K27" s="17" t="s">
        <v>77</v>
      </c>
      <c r="L27" s="59">
        <f>L26/L43</f>
        <v>100</v>
      </c>
    </row>
    <row r="28" spans="1:13" x14ac:dyDescent="0.25">
      <c r="A28" s="1" t="s">
        <v>65</v>
      </c>
      <c r="B28" s="4" t="s">
        <v>51</v>
      </c>
      <c r="D28" s="6">
        <v>62400</v>
      </c>
      <c r="E28" s="6">
        <f t="shared" ref="E28:E35" si="6">+D28*(1+$I$4)</f>
        <v>70686.720000000001</v>
      </c>
      <c r="F28" s="6">
        <f t="shared" si="5"/>
        <v>80073.916416000007</v>
      </c>
      <c r="G28" s="6">
        <f t="shared" si="5"/>
        <v>90707.732516044809</v>
      </c>
      <c r="H28" s="6">
        <f t="shared" si="5"/>
        <v>102753.71939417557</v>
      </c>
    </row>
    <row r="29" spans="1:13" x14ac:dyDescent="0.25">
      <c r="A29" s="1" t="s">
        <v>65</v>
      </c>
      <c r="B29" s="1" t="s">
        <v>54</v>
      </c>
      <c r="D29" s="6">
        <v>21600</v>
      </c>
      <c r="E29" s="6">
        <f t="shared" si="6"/>
        <v>24468.48</v>
      </c>
      <c r="F29" s="6">
        <f t="shared" si="5"/>
        <v>27717.894144000002</v>
      </c>
      <c r="G29" s="6">
        <f t="shared" si="5"/>
        <v>31398.830486323204</v>
      </c>
      <c r="H29" s="6">
        <f t="shared" si="5"/>
        <v>35568.595174906928</v>
      </c>
    </row>
    <row r="30" spans="1:13" x14ac:dyDescent="0.25">
      <c r="A30" s="1" t="s">
        <v>65</v>
      </c>
      <c r="B30" s="4" t="s">
        <v>58</v>
      </c>
      <c r="D30" s="6">
        <v>15900</v>
      </c>
      <c r="E30" s="6">
        <f t="shared" si="6"/>
        <v>18011.52</v>
      </c>
      <c r="F30" s="6">
        <f t="shared" si="5"/>
        <v>20403.449855999999</v>
      </c>
      <c r="G30" s="6">
        <f t="shared" si="5"/>
        <v>23113.027996876801</v>
      </c>
      <c r="H30" s="6">
        <f t="shared" si="5"/>
        <v>26182.438114862041</v>
      </c>
      <c r="K30" s="43" t="s">
        <v>5</v>
      </c>
      <c r="L30" s="43"/>
      <c r="M30" s="14" t="s">
        <v>8</v>
      </c>
    </row>
    <row r="31" spans="1:13" x14ac:dyDescent="0.25">
      <c r="A31" s="1" t="s">
        <v>65</v>
      </c>
      <c r="B31" s="4" t="s">
        <v>57</v>
      </c>
      <c r="D31" s="6">
        <v>15900</v>
      </c>
      <c r="E31" s="6">
        <f t="shared" si="6"/>
        <v>18011.52</v>
      </c>
      <c r="F31" s="6">
        <f t="shared" si="5"/>
        <v>20403.449855999999</v>
      </c>
      <c r="G31" s="6">
        <f t="shared" si="5"/>
        <v>23113.027996876801</v>
      </c>
      <c r="H31" s="6">
        <f t="shared" si="5"/>
        <v>26182.438114862041</v>
      </c>
      <c r="K31" s="17" t="s">
        <v>6</v>
      </c>
      <c r="L31" s="20">
        <v>500000</v>
      </c>
      <c r="M31" s="16">
        <f>+L31*12</f>
        <v>6000000</v>
      </c>
    </row>
    <row r="32" spans="1:13" x14ac:dyDescent="0.25">
      <c r="A32" s="1" t="s">
        <v>65</v>
      </c>
      <c r="B32" s="4" t="s">
        <v>55</v>
      </c>
      <c r="D32" s="6">
        <v>21600</v>
      </c>
      <c r="E32" s="6">
        <f t="shared" si="6"/>
        <v>24468.48</v>
      </c>
      <c r="F32" s="6">
        <f t="shared" si="5"/>
        <v>27717.894144000002</v>
      </c>
      <c r="G32" s="6">
        <f t="shared" si="5"/>
        <v>31398.830486323204</v>
      </c>
      <c r="H32" s="6">
        <f t="shared" si="5"/>
        <v>35568.595174906928</v>
      </c>
      <c r="K32" s="17" t="s">
        <v>7</v>
      </c>
      <c r="L32" s="20">
        <v>1200000</v>
      </c>
      <c r="M32" s="16">
        <f>+L32*12</f>
        <v>14400000</v>
      </c>
    </row>
    <row r="33" spans="1:16" x14ac:dyDescent="0.25">
      <c r="A33" s="1" t="s">
        <v>65</v>
      </c>
      <c r="B33" s="4" t="s">
        <v>53</v>
      </c>
      <c r="D33" s="6">
        <v>16000</v>
      </c>
      <c r="E33" s="6">
        <f t="shared" si="6"/>
        <v>18124.8</v>
      </c>
      <c r="F33" s="6">
        <f t="shared" si="5"/>
        <v>20531.773440000001</v>
      </c>
      <c r="G33" s="6">
        <f t="shared" si="5"/>
        <v>23258.392952832</v>
      </c>
      <c r="H33" s="6">
        <f t="shared" si="5"/>
        <v>26347.107536968091</v>
      </c>
      <c r="K33" s="17" t="s">
        <v>71</v>
      </c>
      <c r="L33" s="20">
        <v>180000</v>
      </c>
      <c r="M33" s="16">
        <f>L33*12</f>
        <v>2160000</v>
      </c>
    </row>
    <row r="34" spans="1:16" x14ac:dyDescent="0.25">
      <c r="A34" s="1" t="s">
        <v>65</v>
      </c>
      <c r="B34" s="4" t="s">
        <v>56</v>
      </c>
      <c r="D34" s="6">
        <v>95200</v>
      </c>
      <c r="E34" s="6">
        <f t="shared" si="6"/>
        <v>107842.56</v>
      </c>
      <c r="F34" s="6">
        <f t="shared" si="5"/>
        <v>122164.051968</v>
      </c>
      <c r="G34" s="6">
        <f t="shared" si="5"/>
        <v>138387.43806935041</v>
      </c>
      <c r="H34" s="6">
        <f t="shared" si="5"/>
        <v>156765.28984496015</v>
      </c>
      <c r="K34" s="53" t="s">
        <v>24</v>
      </c>
      <c r="L34" s="54"/>
      <c r="M34" s="42">
        <f>SUM(M31:M33)</f>
        <v>22560000</v>
      </c>
    </row>
    <row r="35" spans="1:16" x14ac:dyDescent="0.25">
      <c r="A35" s="1" t="s">
        <v>65</v>
      </c>
      <c r="B35" s="4" t="s">
        <v>61</v>
      </c>
      <c r="D35" s="6">
        <v>13400</v>
      </c>
      <c r="E35" s="6">
        <f t="shared" si="6"/>
        <v>15179.52</v>
      </c>
      <c r="F35" s="6">
        <f t="shared" si="5"/>
        <v>17195.360256</v>
      </c>
      <c r="G35" s="6">
        <f t="shared" si="5"/>
        <v>19478.904097996801</v>
      </c>
      <c r="H35" s="6">
        <f t="shared" si="5"/>
        <v>22065.702562210776</v>
      </c>
      <c r="K35" s="37"/>
      <c r="L35" s="37"/>
      <c r="M35" s="39"/>
    </row>
    <row r="36" spans="1:16" x14ac:dyDescent="0.25">
      <c r="A36" s="26" t="s">
        <v>29</v>
      </c>
      <c r="B36" s="12" t="s">
        <v>3</v>
      </c>
      <c r="C36" s="11"/>
      <c r="D36" s="13">
        <f>+SUMPRODUCT(D27:D35,D14:D22)</f>
        <v>2207000000</v>
      </c>
      <c r="E36" s="13">
        <f>+SUMPRODUCT(E27:E35,E14:E22)</f>
        <v>2625094080</v>
      </c>
      <c r="F36" s="13">
        <f>+SUMPRODUCT(F27:F35,F14:F22)</f>
        <v>3122391902.5152001</v>
      </c>
      <c r="G36" s="13">
        <f>+SUMPRODUCT(G27:G35,G14:G22)</f>
        <v>3713897824.5276799</v>
      </c>
      <c r="H36" s="13">
        <f>+SUMPRODUCT(H27:H35,H14:H22)</f>
        <v>4417458628.4062042</v>
      </c>
      <c r="K36" s="4"/>
      <c r="L36" s="40"/>
      <c r="M36" s="41"/>
      <c r="O36" s="45" t="s">
        <v>16</v>
      </c>
    </row>
    <row r="37" spans="1:16" x14ac:dyDescent="0.25">
      <c r="K37" s="4"/>
      <c r="L37" s="40"/>
      <c r="M37" s="41"/>
      <c r="O37" s="46">
        <v>140606</v>
      </c>
    </row>
    <row r="38" spans="1:16" x14ac:dyDescent="0.25">
      <c r="B38" s="44" t="s">
        <v>4</v>
      </c>
      <c r="C38" s="44"/>
      <c r="D38" s="44"/>
      <c r="E38" s="44"/>
      <c r="F38" s="44"/>
      <c r="G38" s="44"/>
      <c r="H38" s="44"/>
      <c r="K38" s="4"/>
      <c r="L38" s="40"/>
      <c r="M38" s="41"/>
      <c r="O38" s="45" t="s">
        <v>15</v>
      </c>
    </row>
    <row r="39" spans="1:16" x14ac:dyDescent="0.25">
      <c r="B39" s="1" t="s">
        <v>72</v>
      </c>
      <c r="D39" s="8">
        <f>+M34</f>
        <v>22560000</v>
      </c>
      <c r="E39" s="8">
        <f>+D39*(1+$I$4)</f>
        <v>25555968</v>
      </c>
      <c r="F39" s="8">
        <f t="shared" ref="F39:H39" si="7">+E39*(1+$I$4)</f>
        <v>28949800.5504</v>
      </c>
      <c r="G39" s="8">
        <f t="shared" si="7"/>
        <v>32794334.063493121</v>
      </c>
      <c r="H39" s="8">
        <f t="shared" si="7"/>
        <v>37149421.62712501</v>
      </c>
      <c r="M39" s="9"/>
      <c r="O39" s="47">
        <v>1190000</v>
      </c>
    </row>
    <row r="40" spans="1:16" x14ac:dyDescent="0.25">
      <c r="B40" s="1" t="s">
        <v>19</v>
      </c>
      <c r="D40" s="8">
        <f>+P46</f>
        <v>323335992</v>
      </c>
      <c r="E40" s="8">
        <f>+D40*(1+$I$4)</f>
        <v>366275011.73760003</v>
      </c>
      <c r="F40" s="8">
        <f t="shared" ref="F40:H40" si="8">+E40*(1+$I$4)</f>
        <v>414916333.29635334</v>
      </c>
      <c r="G40" s="8">
        <f t="shared" si="8"/>
        <v>470017222.35810906</v>
      </c>
      <c r="H40" s="8">
        <f t="shared" si="8"/>
        <v>532435509.48726594</v>
      </c>
      <c r="N40" s="21">
        <v>0.53</v>
      </c>
      <c r="O40" s="45" t="s">
        <v>14</v>
      </c>
    </row>
    <row r="41" spans="1:16" x14ac:dyDescent="0.25">
      <c r="A41" s="26" t="s">
        <v>30</v>
      </c>
      <c r="B41" s="13" t="s">
        <v>20</v>
      </c>
      <c r="C41" s="13"/>
      <c r="D41" s="13">
        <f>+D39+D40</f>
        <v>345895992</v>
      </c>
      <c r="E41" s="13">
        <f t="shared" ref="E41:H41" si="9">+E39+E40</f>
        <v>391830979.73760003</v>
      </c>
      <c r="F41" s="13">
        <f t="shared" si="9"/>
        <v>443866133.84675336</v>
      </c>
      <c r="G41" s="13">
        <f t="shared" si="9"/>
        <v>502811556.42160219</v>
      </c>
      <c r="H41" s="13">
        <f t="shared" si="9"/>
        <v>569584931.11439097</v>
      </c>
      <c r="K41" s="19" t="s">
        <v>9</v>
      </c>
      <c r="L41" s="19" t="s">
        <v>10</v>
      </c>
      <c r="M41" s="19" t="s">
        <v>11</v>
      </c>
      <c r="N41" s="19" t="s">
        <v>13</v>
      </c>
      <c r="O41" s="19" t="s">
        <v>16</v>
      </c>
      <c r="P41" s="19" t="s">
        <v>17</v>
      </c>
    </row>
    <row r="42" spans="1:16" x14ac:dyDescent="0.25">
      <c r="K42" s="17" t="s">
        <v>12</v>
      </c>
      <c r="L42" s="18">
        <v>1</v>
      </c>
      <c r="M42" s="22">
        <v>2100000</v>
      </c>
      <c r="N42" s="16">
        <f>+M42*$N$40</f>
        <v>1113000</v>
      </c>
      <c r="O42" s="16">
        <f>+IF(M42&lt;2*$O$39,$O$37,0)</f>
        <v>140606</v>
      </c>
      <c r="P42" s="16">
        <f>+SUM(M42:O42)*L42</f>
        <v>3353606</v>
      </c>
    </row>
    <row r="43" spans="1:16" x14ac:dyDescent="0.25">
      <c r="B43" s="44" t="s">
        <v>26</v>
      </c>
      <c r="C43" s="44"/>
      <c r="D43" s="44"/>
      <c r="E43" s="44"/>
      <c r="F43" s="44"/>
      <c r="G43" s="44"/>
      <c r="H43" s="44"/>
      <c r="K43" s="17" t="s">
        <v>62</v>
      </c>
      <c r="L43" s="18">
        <v>5</v>
      </c>
      <c r="M43" s="20">
        <v>1600000</v>
      </c>
      <c r="N43" s="16">
        <f t="shared" ref="N43:N44" si="10">+M43*$N$40</f>
        <v>848000</v>
      </c>
      <c r="O43" s="16">
        <f t="shared" ref="O43:O44" si="11">+IF(M43&lt;2*$O$39,$O$37,0)</f>
        <v>140606</v>
      </c>
      <c r="P43" s="16">
        <f t="shared" ref="P43:P44" si="12">+SUM(M43:O43)*L43</f>
        <v>12943030</v>
      </c>
    </row>
    <row r="44" spans="1:16" x14ac:dyDescent="0.25">
      <c r="B44" s="4" t="s">
        <v>63</v>
      </c>
      <c r="D44" s="6">
        <f>+N49/O49</f>
        <v>2250000</v>
      </c>
      <c r="E44" s="8">
        <f>+D44</f>
        <v>2250000</v>
      </c>
      <c r="F44" s="8">
        <f t="shared" ref="F44:H44" si="13">+E44</f>
        <v>2250000</v>
      </c>
      <c r="G44" s="8">
        <f t="shared" si="13"/>
        <v>2250000</v>
      </c>
      <c r="H44" s="8">
        <f t="shared" si="13"/>
        <v>2250000</v>
      </c>
      <c r="K44" s="17" t="s">
        <v>70</v>
      </c>
      <c r="L44" s="18">
        <v>5</v>
      </c>
      <c r="M44" s="20">
        <v>1300000</v>
      </c>
      <c r="N44" s="16">
        <f t="shared" si="10"/>
        <v>689000</v>
      </c>
      <c r="O44" s="16">
        <f t="shared" si="11"/>
        <v>140606</v>
      </c>
      <c r="P44" s="16">
        <f t="shared" si="12"/>
        <v>10648030</v>
      </c>
    </row>
    <row r="45" spans="1:16" x14ac:dyDescent="0.25">
      <c r="B45" s="4" t="s">
        <v>64</v>
      </c>
      <c r="D45" s="6">
        <f>+N50/O50</f>
        <v>180000</v>
      </c>
      <c r="E45" s="8">
        <f t="shared" ref="E45:H45" si="14">+D45</f>
        <v>180000</v>
      </c>
      <c r="F45" s="8">
        <f t="shared" si="14"/>
        <v>180000</v>
      </c>
      <c r="G45" s="8">
        <f t="shared" si="14"/>
        <v>180000</v>
      </c>
      <c r="H45" s="8">
        <f t="shared" si="14"/>
        <v>180000</v>
      </c>
      <c r="P45" s="23">
        <f>+SUM(P42:P44)</f>
        <v>26944666</v>
      </c>
    </row>
    <row r="46" spans="1:16" x14ac:dyDescent="0.25">
      <c r="B46" s="4"/>
      <c r="D46" s="6"/>
      <c r="E46" s="8"/>
      <c r="F46" s="8"/>
      <c r="G46" s="8"/>
      <c r="H46" s="8"/>
      <c r="O46" s="3" t="s">
        <v>18</v>
      </c>
      <c r="P46" s="10">
        <f>+P45*12</f>
        <v>323335992</v>
      </c>
    </row>
    <row r="47" spans="1:16" x14ac:dyDescent="0.25">
      <c r="B47" s="4"/>
      <c r="D47" s="6"/>
      <c r="E47" s="8"/>
      <c r="F47" s="8"/>
      <c r="G47" s="8"/>
      <c r="H47" s="8"/>
    </row>
    <row r="48" spans="1:16" x14ac:dyDescent="0.25">
      <c r="B48" s="4"/>
      <c r="D48" s="6"/>
      <c r="E48" s="8"/>
      <c r="F48" s="8"/>
      <c r="G48" s="8"/>
      <c r="H48" s="8"/>
      <c r="K48" s="19" t="s">
        <v>21</v>
      </c>
      <c r="L48" s="19" t="s">
        <v>22</v>
      </c>
      <c r="M48" s="19" t="s">
        <v>23</v>
      </c>
      <c r="N48" s="19" t="s">
        <v>24</v>
      </c>
      <c r="O48" s="19" t="s">
        <v>25</v>
      </c>
    </row>
    <row r="49" spans="1:15" x14ac:dyDescent="0.25">
      <c r="A49" s="26" t="s">
        <v>31</v>
      </c>
      <c r="B49" s="13" t="s">
        <v>27</v>
      </c>
      <c r="C49" s="13"/>
      <c r="D49" s="13">
        <f>+SUM(D44:D48)</f>
        <v>2430000</v>
      </c>
      <c r="E49" s="13">
        <f t="shared" ref="E49:H49" si="15">+D49</f>
        <v>2430000</v>
      </c>
      <c r="F49" s="13">
        <f t="shared" si="15"/>
        <v>2430000</v>
      </c>
      <c r="G49" s="13">
        <f t="shared" si="15"/>
        <v>2430000</v>
      </c>
      <c r="H49" s="13">
        <f t="shared" si="15"/>
        <v>2430000</v>
      </c>
      <c r="K49" s="17" t="s">
        <v>63</v>
      </c>
      <c r="L49" s="18">
        <v>5</v>
      </c>
      <c r="M49" s="24">
        <v>4500000</v>
      </c>
      <c r="N49" s="25">
        <f>+L49*M49</f>
        <v>22500000</v>
      </c>
      <c r="O49" s="15">
        <v>10</v>
      </c>
    </row>
    <row r="50" spans="1:15" x14ac:dyDescent="0.25">
      <c r="K50" s="17" t="s">
        <v>64</v>
      </c>
      <c r="L50" s="18">
        <v>5</v>
      </c>
      <c r="M50" s="24">
        <v>360000</v>
      </c>
      <c r="N50" s="25">
        <f>+L50*M50</f>
        <v>1800000</v>
      </c>
      <c r="O50" s="15">
        <v>10</v>
      </c>
    </row>
    <row r="51" spans="1:15" x14ac:dyDescent="0.25">
      <c r="B51" s="3" t="s">
        <v>32</v>
      </c>
      <c r="C51" s="3"/>
      <c r="D51" s="27">
        <f>+D24-D36-D41-D49</f>
        <v>247564008</v>
      </c>
      <c r="E51" s="27">
        <f>+E24-E36-E41-E49</f>
        <v>314514421.86239988</v>
      </c>
      <c r="F51" s="27">
        <f>+F24-F36-F41-F49</f>
        <v>396749679.83235049</v>
      </c>
      <c r="G51" s="27">
        <f>+G24-G36-G41-G49</f>
        <v>497510856.2008701</v>
      </c>
      <c r="H51" s="27">
        <f>+H24-H36-H41-H49</f>
        <v>620698898.55528295</v>
      </c>
      <c r="K51" s="48"/>
      <c r="L51" s="49"/>
      <c r="M51" s="50"/>
      <c r="N51" s="51">
        <f t="shared" ref="N51:N53" si="16">+L51*M51</f>
        <v>0</v>
      </c>
      <c r="O51" s="52"/>
    </row>
    <row r="52" spans="1:15" x14ac:dyDescent="0.25">
      <c r="B52" s="1" t="s">
        <v>33</v>
      </c>
      <c r="D52" s="8">
        <f>+IF(D51&gt;0,D51*$I$52,0)</f>
        <v>86647402.799999997</v>
      </c>
      <c r="E52" s="8">
        <f t="shared" ref="E52:H52" si="17">+IF(E51&gt;0,E51*$I$52,0)</f>
        <v>110080047.65183996</v>
      </c>
      <c r="F52" s="8">
        <f t="shared" si="17"/>
        <v>138862387.94132265</v>
      </c>
      <c r="G52" s="8">
        <f t="shared" si="17"/>
        <v>174128799.67030454</v>
      </c>
      <c r="H52" s="8">
        <f t="shared" si="17"/>
        <v>217244614.49434903</v>
      </c>
      <c r="I52" s="7">
        <v>0.35</v>
      </c>
      <c r="K52" s="48"/>
      <c r="L52" s="49"/>
      <c r="M52" s="50"/>
      <c r="N52" s="51">
        <f t="shared" si="16"/>
        <v>0</v>
      </c>
      <c r="O52" s="52"/>
    </row>
    <row r="53" spans="1:15" ht="25" x14ac:dyDescent="0.25">
      <c r="B53" s="29" t="s">
        <v>34</v>
      </c>
      <c r="C53" s="2"/>
      <c r="D53" s="23">
        <f>+D51-D52</f>
        <v>160916605.19999999</v>
      </c>
      <c r="E53" s="23">
        <f t="shared" ref="E53:H53" si="18">+E51-E52</f>
        <v>204434374.2105599</v>
      </c>
      <c r="F53" s="23">
        <f t="shared" si="18"/>
        <v>257887291.89102784</v>
      </c>
      <c r="G53" s="23">
        <f t="shared" si="18"/>
        <v>323382056.53056556</v>
      </c>
      <c r="H53" s="23">
        <f t="shared" si="18"/>
        <v>403454284.06093395</v>
      </c>
      <c r="K53" s="48"/>
      <c r="L53" s="49"/>
      <c r="M53" s="50"/>
      <c r="N53" s="51">
        <f t="shared" si="16"/>
        <v>0</v>
      </c>
      <c r="O53" s="52"/>
    </row>
    <row r="54" spans="1:15" x14ac:dyDescent="0.25">
      <c r="B54" s="1" t="s">
        <v>35</v>
      </c>
      <c r="D54" s="8">
        <f>+D49</f>
        <v>2430000</v>
      </c>
      <c r="E54" s="8">
        <f t="shared" ref="E54:H54" si="19">+E49</f>
        <v>2430000</v>
      </c>
      <c r="F54" s="8">
        <f t="shared" si="19"/>
        <v>2430000</v>
      </c>
      <c r="G54" s="8">
        <f t="shared" si="19"/>
        <v>2430000</v>
      </c>
      <c r="H54" s="8">
        <f t="shared" si="19"/>
        <v>2430000</v>
      </c>
    </row>
    <row r="55" spans="1:15" x14ac:dyDescent="0.25">
      <c r="A55" s="26" t="s">
        <v>48</v>
      </c>
      <c r="B55" s="30" t="s">
        <v>36</v>
      </c>
      <c r="C55" s="30"/>
      <c r="D55" s="31">
        <f>+D53+D54</f>
        <v>163346605.19999999</v>
      </c>
      <c r="E55" s="31">
        <f t="shared" ref="E55:H55" si="20">+E53+E54</f>
        <v>206864374.2105599</v>
      </c>
      <c r="F55" s="31">
        <f t="shared" si="20"/>
        <v>260317291.89102784</v>
      </c>
      <c r="G55" s="31">
        <f t="shared" si="20"/>
        <v>325812056.53056556</v>
      </c>
      <c r="H55" s="31">
        <f t="shared" si="20"/>
        <v>405884284.06093395</v>
      </c>
    </row>
    <row r="57" spans="1:15" x14ac:dyDescent="0.25">
      <c r="A57" s="1" t="s">
        <v>43</v>
      </c>
      <c r="B57" s="1" t="s">
        <v>37</v>
      </c>
      <c r="C57" s="8">
        <f>+SUM(N49:N50)</f>
        <v>24300000</v>
      </c>
    </row>
    <row r="58" spans="1:15" x14ac:dyDescent="0.25">
      <c r="A58" s="1" t="s">
        <v>44</v>
      </c>
      <c r="B58" s="1" t="s">
        <v>38</v>
      </c>
      <c r="H58" s="8">
        <f>+C57-SUM(D54:H54)</f>
        <v>12150000</v>
      </c>
    </row>
    <row r="59" spans="1:15" x14ac:dyDescent="0.25">
      <c r="B59" s="33" t="s">
        <v>39</v>
      </c>
      <c r="C59" s="33"/>
      <c r="D59" s="34">
        <f>+(D36+D41)/12</f>
        <v>212741332.66666666</v>
      </c>
      <c r="E59" s="34">
        <f>+(E36+E41)/12</f>
        <v>251410421.64479998</v>
      </c>
      <c r="F59" s="34">
        <f>+(F36+F41)/12</f>
        <v>297188169.6968295</v>
      </c>
      <c r="G59" s="34">
        <f>+(G36+G41)/12</f>
        <v>351392448.41244018</v>
      </c>
      <c r="H59" s="34">
        <f>+(H36+H41)/12</f>
        <v>415586963.29338294</v>
      </c>
    </row>
    <row r="60" spans="1:15" x14ac:dyDescent="0.25">
      <c r="A60" s="1" t="s">
        <v>43</v>
      </c>
      <c r="B60" s="28" t="s">
        <v>40</v>
      </c>
      <c r="C60" s="8">
        <f>+D59</f>
        <v>212741332.66666666</v>
      </c>
      <c r="D60" s="8">
        <f>+E59-D59</f>
        <v>38669088.978133321</v>
      </c>
      <c r="E60" s="8">
        <f>+F59-E59</f>
        <v>45777748.05202952</v>
      </c>
      <c r="F60" s="8">
        <f>+G59-F59</f>
        <v>54204278.715610683</v>
      </c>
      <c r="G60" s="8">
        <f>+H59-G59</f>
        <v>64194514.880942762</v>
      </c>
      <c r="H60" s="8"/>
    </row>
    <row r="61" spans="1:15" x14ac:dyDescent="0.25">
      <c r="A61" s="1" t="s">
        <v>44</v>
      </c>
      <c r="B61" s="28" t="s">
        <v>41</v>
      </c>
      <c r="H61" s="8">
        <f>+SUM(C60:G60)</f>
        <v>415586963.29338294</v>
      </c>
    </row>
    <row r="62" spans="1:15" x14ac:dyDescent="0.25">
      <c r="A62" s="1" t="s">
        <v>45</v>
      </c>
      <c r="B62" s="30" t="s">
        <v>42</v>
      </c>
      <c r="C62" s="35">
        <f t="shared" ref="C62:G62" si="21">-C57+C58-C60+C61</f>
        <v>-237041332.66666666</v>
      </c>
      <c r="D62" s="35">
        <f t="shared" si="21"/>
        <v>-38669088.978133321</v>
      </c>
      <c r="E62" s="35">
        <f t="shared" si="21"/>
        <v>-45777748.05202952</v>
      </c>
      <c r="F62" s="35">
        <f t="shared" si="21"/>
        <v>-54204278.715610683</v>
      </c>
      <c r="G62" s="35">
        <f t="shared" si="21"/>
        <v>-64194514.880942762</v>
      </c>
      <c r="H62" s="35">
        <f>-H57+H58-H60+H61</f>
        <v>427736963.29338294</v>
      </c>
    </row>
    <row r="63" spans="1:15" x14ac:dyDescent="0.25">
      <c r="A63" s="26" t="s">
        <v>47</v>
      </c>
    </row>
    <row r="64" spans="1:15" ht="25" x14ac:dyDescent="0.25">
      <c r="A64" s="26" t="s">
        <v>49</v>
      </c>
      <c r="B64" s="36" t="s">
        <v>46</v>
      </c>
      <c r="C64" s="35">
        <f t="shared" ref="C64:F64" si="22">+C55+C62</f>
        <v>-237041332.66666666</v>
      </c>
      <c r="D64" s="35">
        <f>+D55+D62</f>
        <v>124677516.22186667</v>
      </c>
      <c r="E64" s="35">
        <f t="shared" si="22"/>
        <v>161086626.15853038</v>
      </c>
      <c r="F64" s="35">
        <f t="shared" si="22"/>
        <v>206113013.17541716</v>
      </c>
      <c r="G64" s="35">
        <f>+G55+G62</f>
        <v>261617541.6496228</v>
      </c>
      <c r="H64" s="35">
        <f>+H55+H62</f>
        <v>833621247.35431695</v>
      </c>
    </row>
    <row r="66" spans="2:9" x14ac:dyDescent="0.25">
      <c r="B66" s="58" t="s">
        <v>73</v>
      </c>
      <c r="C66" s="58"/>
      <c r="D66" s="58"/>
      <c r="E66" s="58"/>
      <c r="F66" s="58"/>
      <c r="G66" s="58"/>
      <c r="H66" s="58"/>
      <c r="I66" s="58"/>
    </row>
    <row r="67" spans="2:9" x14ac:dyDescent="0.25">
      <c r="B67" s="4" t="s">
        <v>50</v>
      </c>
      <c r="D67" s="6">
        <f>+$I67*D$41/(D4-D27)</f>
        <v>2017.4744356955382</v>
      </c>
      <c r="E67" s="32">
        <f>+$I67*E$41/(E4-E27)</f>
        <v>2017.4744356955382</v>
      </c>
      <c r="F67" s="32">
        <f>+$I67*F$41/(F4-F27)</f>
        <v>2017.4744356955384</v>
      </c>
      <c r="G67" s="32">
        <f>+$I67*G$41/(G4-G27)</f>
        <v>2017.4744356955387</v>
      </c>
      <c r="H67" s="32">
        <f>+$I67*H$41/(H4-H27)</f>
        <v>2017.4744356955403</v>
      </c>
      <c r="I67" s="7">
        <v>0.2</v>
      </c>
    </row>
    <row r="68" spans="2:9" x14ac:dyDescent="0.25">
      <c r="B68" s="4" t="s">
        <v>51</v>
      </c>
      <c r="D68" s="6">
        <f>+$I68*D$41/(D5-D28)</f>
        <v>4106.0777777777785</v>
      </c>
      <c r="E68" s="32">
        <f>+$I68*E$41/(E5-E28)</f>
        <v>4106.0777777777794</v>
      </c>
      <c r="F68" s="32">
        <f>+$I68*F$41/(F5-F28)</f>
        <v>4106.0777777777803</v>
      </c>
      <c r="G68" s="32">
        <f>+$I68*G$41/(G5-G28)</f>
        <v>4106.0777777777812</v>
      </c>
      <c r="H68" s="32">
        <f>+$I68*H$41/(H5-H28)</f>
        <v>4106.0777777777812</v>
      </c>
      <c r="I68" s="7">
        <v>0.2</v>
      </c>
    </row>
    <row r="69" spans="2:9" x14ac:dyDescent="0.25">
      <c r="B69" s="1" t="s">
        <v>54</v>
      </c>
      <c r="D69" s="6">
        <f>+$I69*D$41/(D6-D29)</f>
        <v>11862.002469135803</v>
      </c>
      <c r="E69" s="32">
        <f>+$I69*E$41/(E6-E29)</f>
        <v>11862.002469135801</v>
      </c>
      <c r="F69" s="32">
        <f>+$I69*F$41/(F6-F29)</f>
        <v>11862.002469135801</v>
      </c>
      <c r="G69" s="32">
        <f>+$I69*G$41/(G6-G29)</f>
        <v>11862.002469135807</v>
      </c>
      <c r="H69" s="32">
        <f>+$I69*H$41/(H6-H29)</f>
        <v>11862.002469135812</v>
      </c>
      <c r="I69" s="7">
        <v>0.2</v>
      </c>
    </row>
    <row r="70" spans="2:9" x14ac:dyDescent="0.25">
      <c r="B70" s="4" t="s">
        <v>58</v>
      </c>
      <c r="D70" s="6">
        <f>+$I70*D$41/(D7-D30)</f>
        <v>16114.418448637318</v>
      </c>
      <c r="E70" s="32">
        <f>+$I70*E$41/(E7-E30)</f>
        <v>16114.418448637312</v>
      </c>
      <c r="F70" s="32">
        <f>+$I70*F$41/(F7-F30)</f>
        <v>16114.418448637312</v>
      </c>
      <c r="G70" s="32">
        <f>+$I70*G$41/(G7-G30)</f>
        <v>16114.418448637312</v>
      </c>
      <c r="H70" s="32">
        <f>+$I70*H$41/(H7-H30)</f>
        <v>16114.418448637323</v>
      </c>
      <c r="I70" s="7">
        <v>0.2</v>
      </c>
    </row>
    <row r="71" spans="2:9" x14ac:dyDescent="0.25">
      <c r="B71" s="4" t="s">
        <v>57</v>
      </c>
      <c r="D71" s="6">
        <f>+$I71*D$41/(D8-D31)</f>
        <v>16114.418448637318</v>
      </c>
      <c r="E71" s="32">
        <f>+$I71*E$41/(E8-E31)</f>
        <v>16114.418448637312</v>
      </c>
      <c r="F71" s="32">
        <f>+$I71*F$41/(F8-F31)</f>
        <v>16114.418448637312</v>
      </c>
      <c r="G71" s="32">
        <f>+$I71*G$41/(G8-G31)</f>
        <v>16114.418448637312</v>
      </c>
      <c r="H71" s="32">
        <f>+$I71*H$41/(H8-H31)</f>
        <v>16114.418448637323</v>
      </c>
      <c r="I71" s="7">
        <v>0.2</v>
      </c>
    </row>
    <row r="72" spans="2:9" x14ac:dyDescent="0.25">
      <c r="B72" s="4" t="s">
        <v>55</v>
      </c>
      <c r="D72" s="6">
        <f>+$I72*D$41/(D9-D32)</f>
        <v>11862.002469135803</v>
      </c>
      <c r="E72" s="32">
        <f>+$I72*E$41/(E9-E32)</f>
        <v>11862.002469135801</v>
      </c>
      <c r="F72" s="32">
        <f>+$I72*F$41/(F9-F32)</f>
        <v>11862.002469135801</v>
      </c>
      <c r="G72" s="32">
        <f>+$I72*G$41/(G9-G32)</f>
        <v>11862.002469135807</v>
      </c>
      <c r="H72" s="32">
        <f>+$I72*H$41/(H9-H32)</f>
        <v>11862.002469135812</v>
      </c>
      <c r="I72" s="7">
        <v>0.2</v>
      </c>
    </row>
    <row r="73" spans="2:9" x14ac:dyDescent="0.25">
      <c r="B73" s="4" t="s">
        <v>53</v>
      </c>
      <c r="D73" s="6">
        <f>+$I73*D$41/(D10-D33)</f>
        <v>16013.703333333335</v>
      </c>
      <c r="E73" s="32">
        <f>+$I73*E$41/(E10-E33)</f>
        <v>16013.703333333335</v>
      </c>
      <c r="F73" s="32">
        <f>+$I73*F$41/(F10-F33)</f>
        <v>16013.703333333337</v>
      </c>
      <c r="G73" s="32">
        <f>+$I73*G$41/(G10-G33)</f>
        <v>16013.703333333335</v>
      </c>
      <c r="H73" s="32">
        <f>+$I73*H$41/(H10-H33)</f>
        <v>16013.70333333334</v>
      </c>
      <c r="I73" s="7">
        <v>0.2</v>
      </c>
    </row>
    <row r="74" spans="2:9" x14ac:dyDescent="0.25">
      <c r="B74" s="4" t="s">
        <v>56</v>
      </c>
      <c r="D74" s="6">
        <f>+$I74*D$41/(D11-D34)</f>
        <v>2691.3787114845941</v>
      </c>
      <c r="E74" s="32">
        <f>+$I74*E$41/(E11-E34)</f>
        <v>2691.3787114845923</v>
      </c>
      <c r="F74" s="32">
        <f>+$I74*F$41/(F11-F34)</f>
        <v>2691.3787114845923</v>
      </c>
      <c r="G74" s="32">
        <f>+$I74*G$41/(G11-G34)</f>
        <v>2691.3787114845932</v>
      </c>
      <c r="H74" s="32">
        <f>+$I74*H$41/(H11-H34)</f>
        <v>2691.3787114845941</v>
      </c>
      <c r="I74" s="7">
        <v>0.2</v>
      </c>
    </row>
    <row r="75" spans="2:9" x14ac:dyDescent="0.25">
      <c r="B75" s="4" t="s">
        <v>61</v>
      </c>
      <c r="D75" s="6">
        <f>+$I75*D$41/(D12-D35)</f>
        <v>19120.839800995025</v>
      </c>
      <c r="E75" s="32">
        <f>+$I75*E$41/(E12-E35)</f>
        <v>19120.839800995032</v>
      </c>
      <c r="F75" s="32">
        <f>+$I75*F$41/(F12-F35)</f>
        <v>19120.839800995036</v>
      </c>
      <c r="G75" s="32">
        <f>+$I75*G$41/(G12-G35)</f>
        <v>19120.839800995036</v>
      </c>
      <c r="H75" s="32">
        <f>+$I75*H$41/(H12-H35)</f>
        <v>19120.839800995029</v>
      </c>
      <c r="I75" s="7">
        <v>0.2</v>
      </c>
    </row>
    <row r="76" spans="2:9" x14ac:dyDescent="0.25">
      <c r="B76" s="1" t="s">
        <v>68</v>
      </c>
      <c r="D76" s="6">
        <f>+$I76*D$41/(D13-D26)</f>
        <v>465.85318787878794</v>
      </c>
      <c r="E76" s="6">
        <f t="shared" ref="E76:H76" si="23">+$I76*E$41/(E13-E26)</f>
        <v>465.85318787878776</v>
      </c>
      <c r="F76" s="6">
        <f t="shared" si="23"/>
        <v>465.85318787878811</v>
      </c>
      <c r="G76" s="6">
        <f t="shared" si="23"/>
        <v>465.85318787878805</v>
      </c>
      <c r="H76" s="6">
        <f t="shared" si="23"/>
        <v>465.85318787878811</v>
      </c>
      <c r="I76" s="7">
        <v>0.2</v>
      </c>
    </row>
    <row r="77" spans="2:9" x14ac:dyDescent="0.25">
      <c r="B77" s="55" t="s">
        <v>74</v>
      </c>
      <c r="C77" s="55"/>
      <c r="D77" s="56">
        <f>+$I$77*D$41/(SUM(D4:D13)-SUM(D26:D35))</f>
        <v>272.86395456159039</v>
      </c>
      <c r="E77" s="56">
        <f t="shared" ref="E77:H77" si="24">+$I76*E$41/(SUM(E4:E13)-SUM(E26:E35))</f>
        <v>272.86395456159016</v>
      </c>
      <c r="F77" s="56">
        <f t="shared" si="24"/>
        <v>272.86395456159033</v>
      </c>
      <c r="G77" s="56">
        <f t="shared" si="24"/>
        <v>272.86395456159039</v>
      </c>
      <c r="H77" s="56">
        <f t="shared" si="24"/>
        <v>272.86395456159045</v>
      </c>
      <c r="I77" s="57">
        <v>0.2</v>
      </c>
    </row>
  </sheetData>
  <mergeCells count="5">
    <mergeCell ref="K30:L30"/>
    <mergeCell ref="B38:H38"/>
    <mergeCell ref="B43:H43"/>
    <mergeCell ref="K34:L34"/>
    <mergeCell ref="B66:I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b14s204</dc:creator>
  <cp:lastModifiedBy>JOSERIOS3PALACIOS</cp:lastModifiedBy>
  <dcterms:created xsi:type="dcterms:W3CDTF">2023-03-14T19:19:55Z</dcterms:created>
  <dcterms:modified xsi:type="dcterms:W3CDTF">2023-03-29T16:43:33Z</dcterms:modified>
</cp:coreProperties>
</file>