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engayaan\PAS Banget\"/>
    </mc:Choice>
  </mc:AlternateContent>
  <bookViews>
    <workbookView xWindow="0" yWindow="0" windowWidth="20490" windowHeight="7620"/>
  </bookViews>
  <sheets>
    <sheet name="Rekap" sheetId="2" r:id="rId1"/>
    <sheet name="Saldo Indri" sheetId="16" r:id="rId2"/>
    <sheet name="Saldo Samin" sheetId="17" r:id="rId3"/>
    <sheet name="Saldo Yudi" sheetId="18" r:id="rId4"/>
    <sheet name="Saldo Andri" sheetId="19" r:id="rId5"/>
    <sheet name="Donasi Pasar" sheetId="10" r:id="rId6"/>
    <sheet name="Andri" sheetId="15" r:id="rId7"/>
    <sheet name="Indri" sheetId="11" r:id="rId8"/>
    <sheet name="Samin" sheetId="13" r:id="rId9"/>
    <sheet name="Yudi" sheetId="14" r:id="rId10"/>
    <sheet name="Sheet4" sheetId="4" r:id="rId11"/>
  </sheets>
  <definedNames>
    <definedName name="_xlnm._FilterDatabase" localSheetId="6" hidden="1">Andri!$A$2:$Z$2</definedName>
    <definedName name="_xlnm._FilterDatabase" localSheetId="5" hidden="1">'Donasi Pasar'!$A$2:$B$2</definedName>
    <definedName name="_xlnm._FilterDatabase" localSheetId="7" hidden="1">Indri!$A$2:$Z$2</definedName>
    <definedName name="_xlnm._FilterDatabase" localSheetId="0" hidden="1">Rekap!$A$2:$AF$2</definedName>
    <definedName name="_xlnm._FilterDatabase" localSheetId="4" hidden="1">'Saldo Andri'!$A$2:$AI$2</definedName>
    <definedName name="_xlnm._FilterDatabase" localSheetId="1" hidden="1">'Saldo Indri'!$A$2:$AI$2</definedName>
    <definedName name="_xlnm._FilterDatabase" localSheetId="2" hidden="1">'Saldo Samin'!$A$2:$AI$2</definedName>
    <definedName name="_xlnm._FilterDatabase" localSheetId="3" hidden="1">'Saldo Yudi'!$A$2:$AI$2</definedName>
    <definedName name="_xlnm._FilterDatabase" localSheetId="8" hidden="1">Samin!$A$2:$Z$2</definedName>
    <definedName name="_xlnm._FilterDatabase" localSheetId="9" hidden="1">Yudi!$A$2:$Z$2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8" i="19" l="1"/>
  <c r="AH17" i="19"/>
  <c r="AG18" i="19"/>
  <c r="AG17" i="19"/>
  <c r="AE18" i="19"/>
  <c r="AD18" i="19"/>
  <c r="AC18" i="19"/>
  <c r="AB18" i="19"/>
  <c r="Y18" i="19"/>
  <c r="R18" i="19"/>
  <c r="AE17" i="19"/>
  <c r="AD17" i="19"/>
  <c r="AC17" i="19"/>
  <c r="AB17" i="19"/>
  <c r="Y17" i="19"/>
  <c r="R17" i="19"/>
  <c r="AH15" i="18"/>
  <c r="AG15" i="18"/>
  <c r="AH14" i="18"/>
  <c r="AG14" i="18"/>
  <c r="AG13" i="18"/>
  <c r="AH13" i="18" s="1"/>
  <c r="AE15" i="18"/>
  <c r="AD15" i="18"/>
  <c r="AC15" i="18"/>
  <c r="AB15" i="18"/>
  <c r="Y15" i="18"/>
  <c r="R15" i="18"/>
  <c r="AE14" i="18"/>
  <c r="AD14" i="18"/>
  <c r="AC14" i="18"/>
  <c r="AB14" i="18"/>
  <c r="Y14" i="18"/>
  <c r="Z14" i="18" s="1"/>
  <c r="AA14" i="18" s="1"/>
  <c r="R14" i="18"/>
  <c r="AE13" i="18"/>
  <c r="AD13" i="18"/>
  <c r="AC13" i="18"/>
  <c r="AB13" i="18"/>
  <c r="Y13" i="18"/>
  <c r="R13" i="18"/>
  <c r="AH29" i="17"/>
  <c r="AG29" i="17"/>
  <c r="AH28" i="17"/>
  <c r="AG28" i="17"/>
  <c r="AH27" i="17"/>
  <c r="AG27" i="17"/>
  <c r="AE29" i="17"/>
  <c r="AD29" i="17"/>
  <c r="AC29" i="17"/>
  <c r="AB29" i="17"/>
  <c r="Y29" i="17"/>
  <c r="R29" i="17"/>
  <c r="AE28" i="17"/>
  <c r="AD28" i="17"/>
  <c r="AC28" i="17"/>
  <c r="AB28" i="17"/>
  <c r="Y28" i="17"/>
  <c r="R28" i="17"/>
  <c r="AE27" i="17"/>
  <c r="AD27" i="17"/>
  <c r="AC27" i="17"/>
  <c r="AB27" i="17"/>
  <c r="Y27" i="17"/>
  <c r="R27" i="17"/>
  <c r="AB67" i="16"/>
  <c r="AH59" i="16"/>
  <c r="AG59" i="16"/>
  <c r="AE58" i="16"/>
  <c r="AD58" i="16"/>
  <c r="AG58" i="16" s="1"/>
  <c r="AC58" i="16"/>
  <c r="AB58" i="16"/>
  <c r="Y58" i="16"/>
  <c r="R58" i="16"/>
  <c r="AE57" i="16"/>
  <c r="AD57" i="16"/>
  <c r="AG57" i="16" s="1"/>
  <c r="AC57" i="16"/>
  <c r="AB57" i="16"/>
  <c r="Y57" i="16"/>
  <c r="R57" i="16"/>
  <c r="AE56" i="16"/>
  <c r="AD56" i="16"/>
  <c r="AC56" i="16"/>
  <c r="AG56" i="16" s="1"/>
  <c r="Y56" i="16"/>
  <c r="R56" i="16"/>
  <c r="AE55" i="16"/>
  <c r="AD55" i="16"/>
  <c r="AC55" i="16"/>
  <c r="AG55" i="16" s="1"/>
  <c r="Y55" i="16"/>
  <c r="R55" i="16"/>
  <c r="AE54" i="16"/>
  <c r="AD54" i="16"/>
  <c r="AC54" i="16"/>
  <c r="AG54" i="16" s="1"/>
  <c r="Y54" i="16"/>
  <c r="R54" i="16"/>
  <c r="AE53" i="16"/>
  <c r="AG53" i="16" s="1"/>
  <c r="AD53" i="16"/>
  <c r="AC53" i="16"/>
  <c r="Y53" i="16"/>
  <c r="R53" i="16"/>
  <c r="AG52" i="16"/>
  <c r="AE70" i="2"/>
  <c r="AD70" i="2"/>
  <c r="AC70" i="2"/>
  <c r="AB70" i="2"/>
  <c r="Y70" i="2"/>
  <c r="R70" i="2"/>
  <c r="AE69" i="2"/>
  <c r="AD69" i="2"/>
  <c r="AC69" i="2"/>
  <c r="AB69" i="2"/>
  <c r="Y69" i="2"/>
  <c r="Z69" i="2" s="1"/>
  <c r="R69" i="2"/>
  <c r="AD4" i="16"/>
  <c r="AD5" i="16"/>
  <c r="AD6" i="16"/>
  <c r="AD7" i="16"/>
  <c r="AD8" i="16"/>
  <c r="AD9" i="16"/>
  <c r="AD10" i="16"/>
  <c r="AD11" i="16"/>
  <c r="AD12" i="16"/>
  <c r="AD13" i="16"/>
  <c r="AD14" i="16"/>
  <c r="AD15" i="16"/>
  <c r="AD16" i="16"/>
  <c r="AD17" i="16"/>
  <c r="AD18" i="16"/>
  <c r="AD19" i="16"/>
  <c r="AD20" i="16"/>
  <c r="AD21" i="16"/>
  <c r="AD22" i="16"/>
  <c r="AD23" i="16"/>
  <c r="AD24" i="16"/>
  <c r="AD25" i="16"/>
  <c r="AD26" i="16"/>
  <c r="AD27" i="16"/>
  <c r="AD28" i="16"/>
  <c r="AD29" i="16"/>
  <c r="AD30" i="16"/>
  <c r="AD31" i="16"/>
  <c r="AD32" i="16"/>
  <c r="AD33" i="16"/>
  <c r="AD34" i="16"/>
  <c r="AD35" i="16"/>
  <c r="AD36" i="16"/>
  <c r="AD37" i="16"/>
  <c r="AD38" i="16"/>
  <c r="AD39" i="16"/>
  <c r="AD40" i="16"/>
  <c r="AD41" i="16"/>
  <c r="AD42" i="16"/>
  <c r="AD43" i="16"/>
  <c r="AD44" i="16"/>
  <c r="AD45" i="16"/>
  <c r="AD46" i="16"/>
  <c r="AD47" i="16"/>
  <c r="AD48" i="16"/>
  <c r="AD49" i="16"/>
  <c r="AD50" i="16"/>
  <c r="AD3" i="16"/>
  <c r="AD68" i="2"/>
  <c r="AD64" i="2"/>
  <c r="AD63" i="2"/>
  <c r="AD62" i="2"/>
  <c r="AD61" i="2"/>
  <c r="AD60" i="2"/>
  <c r="AD59" i="2"/>
  <c r="AD58" i="2"/>
  <c r="AD57" i="2"/>
  <c r="AD56" i="2"/>
  <c r="AD55" i="2"/>
  <c r="AD54" i="2"/>
  <c r="AD53" i="2"/>
  <c r="AD52" i="2"/>
  <c r="AD51" i="2"/>
  <c r="AD50" i="2"/>
  <c r="AD49" i="2"/>
  <c r="AD48" i="2"/>
  <c r="AD47" i="2"/>
  <c r="AD46" i="2"/>
  <c r="AD45" i="2"/>
  <c r="AD44" i="2"/>
  <c r="AD43" i="2"/>
  <c r="AD42" i="2"/>
  <c r="AD41" i="2"/>
  <c r="AD40" i="2"/>
  <c r="AD39" i="2"/>
  <c r="AD38" i="2"/>
  <c r="AD37" i="2"/>
  <c r="AE37" i="2"/>
  <c r="AD36" i="2"/>
  <c r="AD35" i="2"/>
  <c r="AD34" i="2"/>
  <c r="AD33" i="2"/>
  <c r="AD32" i="2"/>
  <c r="AD31" i="2"/>
  <c r="AD30" i="2"/>
  <c r="AD29" i="2"/>
  <c r="AD28" i="2"/>
  <c r="AD27" i="2"/>
  <c r="AD26" i="2"/>
  <c r="AD25" i="2"/>
  <c r="AD24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AD9" i="2"/>
  <c r="AD8" i="2"/>
  <c r="AD7" i="2"/>
  <c r="AD6" i="2"/>
  <c r="AD5" i="2"/>
  <c r="AD4" i="2"/>
  <c r="AD3" i="2"/>
  <c r="AE68" i="2"/>
  <c r="AC68" i="2"/>
  <c r="AB68" i="2"/>
  <c r="AE67" i="2"/>
  <c r="AD67" i="2"/>
  <c r="AC67" i="2"/>
  <c r="AB67" i="2"/>
  <c r="AE66" i="2"/>
  <c r="AD66" i="2"/>
  <c r="AC66" i="2"/>
  <c r="AB66" i="2"/>
  <c r="AE65" i="2"/>
  <c r="AD65" i="2"/>
  <c r="AC65" i="2"/>
  <c r="AB65" i="2"/>
  <c r="AE64" i="2"/>
  <c r="AC64" i="2"/>
  <c r="AB64" i="2"/>
  <c r="Y68" i="2"/>
  <c r="Z68" i="2" s="1"/>
  <c r="Y67" i="2"/>
  <c r="Y66" i="2"/>
  <c r="Y65" i="2"/>
  <c r="Y64" i="2"/>
  <c r="Z64" i="2" s="1"/>
  <c r="R68" i="2"/>
  <c r="R67" i="2"/>
  <c r="R66" i="2"/>
  <c r="R65" i="2"/>
  <c r="R64" i="2"/>
  <c r="AE63" i="2"/>
  <c r="AC63" i="2"/>
  <c r="AB63" i="2"/>
  <c r="Y63" i="2"/>
  <c r="Z63" i="2" s="1"/>
  <c r="R63" i="2"/>
  <c r="AE62" i="2"/>
  <c r="AC62" i="2"/>
  <c r="AB62" i="2"/>
  <c r="Y62" i="2"/>
  <c r="Z62" i="2" s="1"/>
  <c r="R62" i="2"/>
  <c r="AB16" i="19"/>
  <c r="AB15" i="19"/>
  <c r="AB14" i="19"/>
  <c r="AB13" i="19"/>
  <c r="AB12" i="19"/>
  <c r="AB11" i="19"/>
  <c r="AB10" i="19"/>
  <c r="AB9" i="19"/>
  <c r="AB8" i="19"/>
  <c r="AB7" i="19"/>
  <c r="AB6" i="19"/>
  <c r="AB5" i="19"/>
  <c r="AB4" i="19"/>
  <c r="AB3" i="19"/>
  <c r="AB12" i="18"/>
  <c r="AB11" i="18"/>
  <c r="AB10" i="18"/>
  <c r="AB9" i="18"/>
  <c r="AB7" i="18"/>
  <c r="AB6" i="18"/>
  <c r="AB5" i="18"/>
  <c r="AB4" i="18"/>
  <c r="AB3" i="18"/>
  <c r="AB26" i="17"/>
  <c r="AB25" i="17"/>
  <c r="AB24" i="17"/>
  <c r="AB23" i="17"/>
  <c r="AB22" i="17"/>
  <c r="AB21" i="17"/>
  <c r="AB20" i="17"/>
  <c r="AB19" i="17"/>
  <c r="AB18" i="17"/>
  <c r="AB17" i="17"/>
  <c r="AB16" i="17"/>
  <c r="AB15" i="17"/>
  <c r="AB14" i="17"/>
  <c r="AB13" i="17"/>
  <c r="AB11" i="17"/>
  <c r="AB10" i="17"/>
  <c r="AB9" i="17"/>
  <c r="AB8" i="17"/>
  <c r="AB7" i="17"/>
  <c r="AB5" i="17"/>
  <c r="AB4" i="17"/>
  <c r="AB50" i="16"/>
  <c r="AB49" i="16"/>
  <c r="AB48" i="16"/>
  <c r="AB46" i="16"/>
  <c r="AB40" i="16"/>
  <c r="AB33" i="16"/>
  <c r="AB32" i="16"/>
  <c r="AB26" i="16"/>
  <c r="AB17" i="16"/>
  <c r="AB13" i="16"/>
  <c r="AB7" i="16"/>
  <c r="AB6" i="16"/>
  <c r="AB5" i="16"/>
  <c r="AB4" i="16"/>
  <c r="AB3" i="16"/>
  <c r="AB61" i="2"/>
  <c r="AB60" i="2"/>
  <c r="AB59" i="2"/>
  <c r="AB58" i="2"/>
  <c r="AB57" i="2"/>
  <c r="AB56" i="2"/>
  <c r="AB55" i="2"/>
  <c r="AB54" i="2"/>
  <c r="AB53" i="2"/>
  <c r="AB52" i="2"/>
  <c r="AB51" i="2"/>
  <c r="AB50" i="2"/>
  <c r="AB49" i="2"/>
  <c r="AB48" i="2"/>
  <c r="AB47" i="2"/>
  <c r="AB46" i="2"/>
  <c r="AB45" i="2"/>
  <c r="AB44" i="2"/>
  <c r="AB43" i="2"/>
  <c r="AB42" i="2"/>
  <c r="AB41" i="2"/>
  <c r="AB40" i="2"/>
  <c r="AB39" i="2"/>
  <c r="AB38" i="2"/>
  <c r="AB37" i="2"/>
  <c r="AB36" i="2"/>
  <c r="AB35" i="2"/>
  <c r="AB34" i="2"/>
  <c r="AB33" i="2"/>
  <c r="AB32" i="2"/>
  <c r="AB31" i="2"/>
  <c r="AE61" i="2"/>
  <c r="AC61" i="2"/>
  <c r="Y61" i="2"/>
  <c r="Z61" i="2" s="1"/>
  <c r="R61" i="2"/>
  <c r="Z18" i="19" l="1"/>
  <c r="Z17" i="19"/>
  <c r="Z13" i="18"/>
  <c r="Z15" i="18"/>
  <c r="Z28" i="17"/>
  <c r="Z27" i="17"/>
  <c r="Z29" i="17"/>
  <c r="Z55" i="16"/>
  <c r="Z56" i="16"/>
  <c r="Z53" i="16"/>
  <c r="Z54" i="16"/>
  <c r="Z57" i="16"/>
  <c r="Z58" i="16"/>
  <c r="Z70" i="2"/>
  <c r="Z67" i="2"/>
  <c r="Z65" i="2"/>
  <c r="Z66" i="2"/>
  <c r="AA66" i="2" s="1"/>
  <c r="AE16" i="19" l="1"/>
  <c r="AD16" i="19"/>
  <c r="AG16" i="19" s="1"/>
  <c r="AC16" i="19"/>
  <c r="Y16" i="19"/>
  <c r="R16" i="19"/>
  <c r="AE15" i="19"/>
  <c r="AD15" i="19"/>
  <c r="AG15" i="19" s="1"/>
  <c r="AC15" i="19"/>
  <c r="Y15" i="19"/>
  <c r="R15" i="19"/>
  <c r="AE14" i="19"/>
  <c r="AD14" i="19"/>
  <c r="AG14" i="19" s="1"/>
  <c r="AC14" i="19"/>
  <c r="Y14" i="19"/>
  <c r="R14" i="19"/>
  <c r="AE13" i="19"/>
  <c r="AD13" i="19"/>
  <c r="AG13" i="19" s="1"/>
  <c r="AC13" i="19"/>
  <c r="Y13" i="19"/>
  <c r="R13" i="19"/>
  <c r="AG50" i="16"/>
  <c r="Z13" i="19" l="1"/>
  <c r="Z15" i="19"/>
  <c r="Z14" i="19"/>
  <c r="Z16" i="19"/>
  <c r="AG51" i="16" l="1"/>
  <c r="AC50" i="16"/>
  <c r="AG49" i="16"/>
  <c r="AG48" i="16"/>
  <c r="AE50" i="16"/>
  <c r="Y50" i="16"/>
  <c r="R50" i="16"/>
  <c r="AE49" i="16"/>
  <c r="AC49" i="16"/>
  <c r="Y49" i="16"/>
  <c r="R49" i="16"/>
  <c r="AE48" i="16"/>
  <c r="AC48" i="16"/>
  <c r="Y48" i="16"/>
  <c r="R48" i="16"/>
  <c r="AE47" i="16"/>
  <c r="AG47" i="16" s="1"/>
  <c r="AC47" i="16"/>
  <c r="Y47" i="16"/>
  <c r="R47" i="16"/>
  <c r="AE46" i="16"/>
  <c r="AG46" i="16" s="1"/>
  <c r="AC46" i="16"/>
  <c r="Y46" i="16"/>
  <c r="R46" i="16"/>
  <c r="AE45" i="16"/>
  <c r="AG45" i="16" s="1"/>
  <c r="AC45" i="16"/>
  <c r="Y45" i="16"/>
  <c r="R45" i="16"/>
  <c r="AE44" i="16"/>
  <c r="AC44" i="16"/>
  <c r="AG44" i="16" s="1"/>
  <c r="Y44" i="16"/>
  <c r="R44" i="16"/>
  <c r="AE43" i="16"/>
  <c r="AG43" i="16" s="1"/>
  <c r="AC43" i="16"/>
  <c r="Y43" i="16"/>
  <c r="R43" i="16"/>
  <c r="AE42" i="16"/>
  <c r="AC42" i="16"/>
  <c r="AG42" i="16" s="1"/>
  <c r="Y42" i="16"/>
  <c r="R42" i="16"/>
  <c r="AE41" i="16"/>
  <c r="AG41" i="16" s="1"/>
  <c r="AC41" i="16"/>
  <c r="Y41" i="16"/>
  <c r="R41" i="16"/>
  <c r="AG24" i="17"/>
  <c r="AG23" i="17"/>
  <c r="AE26" i="17"/>
  <c r="AD26" i="17"/>
  <c r="AG26" i="17" s="1"/>
  <c r="AC26" i="17"/>
  <c r="Y26" i="17"/>
  <c r="R26" i="17"/>
  <c r="AE25" i="17"/>
  <c r="AD25" i="17"/>
  <c r="AG25" i="17" s="1"/>
  <c r="AC25" i="17"/>
  <c r="Y25" i="17"/>
  <c r="R25" i="17"/>
  <c r="AE24" i="17"/>
  <c r="AD24" i="17"/>
  <c r="AC24" i="17"/>
  <c r="Y24" i="17"/>
  <c r="R24" i="17"/>
  <c r="AE23" i="17"/>
  <c r="AD23" i="17"/>
  <c r="AC23" i="17"/>
  <c r="Y23" i="17"/>
  <c r="R23" i="17"/>
  <c r="AE60" i="2"/>
  <c r="AC60" i="2"/>
  <c r="Y60" i="2"/>
  <c r="R60" i="2"/>
  <c r="Z60" i="2" s="1"/>
  <c r="AE59" i="2"/>
  <c r="AC59" i="2"/>
  <c r="Y59" i="2"/>
  <c r="R59" i="2"/>
  <c r="AE58" i="2"/>
  <c r="AC58" i="2"/>
  <c r="Y58" i="2"/>
  <c r="Z58" i="2"/>
  <c r="R58" i="2"/>
  <c r="AE57" i="2"/>
  <c r="AC57" i="2"/>
  <c r="Y57" i="2"/>
  <c r="R57" i="2"/>
  <c r="AE56" i="2"/>
  <c r="AC56" i="2"/>
  <c r="AE55" i="2"/>
  <c r="AC55" i="2"/>
  <c r="Y56" i="2"/>
  <c r="Y55" i="2"/>
  <c r="R56" i="2"/>
  <c r="R55" i="2"/>
  <c r="Z55" i="2" s="1"/>
  <c r="AE54" i="2"/>
  <c r="AC54" i="2"/>
  <c r="Y54" i="2"/>
  <c r="R54" i="2"/>
  <c r="Y53" i="2"/>
  <c r="AC53" i="2"/>
  <c r="AE53" i="2"/>
  <c r="R53" i="2"/>
  <c r="Z53" i="2" s="1"/>
  <c r="Y52" i="2"/>
  <c r="AC52" i="2"/>
  <c r="AE52" i="2"/>
  <c r="R52" i="2"/>
  <c r="Y51" i="2"/>
  <c r="AC51" i="2"/>
  <c r="AE51" i="2"/>
  <c r="R51" i="2"/>
  <c r="Y50" i="2"/>
  <c r="AC50" i="2"/>
  <c r="AE50" i="2"/>
  <c r="R50" i="2"/>
  <c r="AE49" i="2"/>
  <c r="AC49" i="2"/>
  <c r="Y49" i="2"/>
  <c r="Z49" i="2" s="1"/>
  <c r="R49" i="2"/>
  <c r="Z41" i="16" l="1"/>
  <c r="Z43" i="16"/>
  <c r="Z45" i="16"/>
  <c r="Z47" i="16"/>
  <c r="Z49" i="16"/>
  <c r="Z57" i="2"/>
  <c r="Z52" i="2"/>
  <c r="Z54" i="2"/>
  <c r="Z59" i="2"/>
  <c r="Z46" i="16"/>
  <c r="Z42" i="16"/>
  <c r="Z44" i="16"/>
  <c r="Z48" i="16"/>
  <c r="Z50" i="16"/>
  <c r="Z24" i="17"/>
  <c r="Z23" i="17"/>
  <c r="Z25" i="17"/>
  <c r="Z26" i="17"/>
  <c r="Z56" i="2"/>
  <c r="Z50" i="2"/>
  <c r="Z51" i="2"/>
  <c r="AG6" i="19" l="1"/>
  <c r="S38" i="19"/>
  <c r="U38" i="19" s="1"/>
  <c r="X24" i="19"/>
  <c r="W24" i="19"/>
  <c r="V24" i="19"/>
  <c r="U24" i="19"/>
  <c r="T24" i="19"/>
  <c r="S24" i="19"/>
  <c r="Q24" i="19"/>
  <c r="P24" i="19"/>
  <c r="O24" i="19"/>
  <c r="N24" i="19"/>
  <c r="M24" i="19"/>
  <c r="L24" i="19"/>
  <c r="K24" i="19"/>
  <c r="J24" i="19"/>
  <c r="I24" i="19"/>
  <c r="H24" i="19"/>
  <c r="G24" i="19"/>
  <c r="AE12" i="19"/>
  <c r="AD12" i="19"/>
  <c r="AG12" i="19" s="1"/>
  <c r="AC12" i="19"/>
  <c r="Y12" i="19"/>
  <c r="R12" i="19"/>
  <c r="AE11" i="19"/>
  <c r="AD11" i="19"/>
  <c r="AG11" i="19" s="1"/>
  <c r="AC11" i="19"/>
  <c r="Y11" i="19"/>
  <c r="R11" i="19"/>
  <c r="AE10" i="19"/>
  <c r="AD10" i="19"/>
  <c r="AG10" i="19" s="1"/>
  <c r="AC10" i="19"/>
  <c r="Y10" i="19"/>
  <c r="R10" i="19"/>
  <c r="AE9" i="19"/>
  <c r="AD9" i="19"/>
  <c r="AG9" i="19" s="1"/>
  <c r="AC9" i="19"/>
  <c r="Y9" i="19"/>
  <c r="R9" i="19"/>
  <c r="AE8" i="19"/>
  <c r="AD8" i="19"/>
  <c r="AC8" i="19"/>
  <c r="AG8" i="19"/>
  <c r="Y8" i="19"/>
  <c r="R8" i="19"/>
  <c r="AE7" i="19"/>
  <c r="AD7" i="19"/>
  <c r="AC7" i="19"/>
  <c r="AG7" i="19"/>
  <c r="Y7" i="19"/>
  <c r="R7" i="19"/>
  <c r="AE5" i="19"/>
  <c r="AD5" i="19"/>
  <c r="AG5" i="19" s="1"/>
  <c r="AC5" i="19"/>
  <c r="Y5" i="19"/>
  <c r="R5" i="19"/>
  <c r="AE4" i="19"/>
  <c r="AD4" i="19"/>
  <c r="AG4" i="19" s="1"/>
  <c r="AC4" i="19"/>
  <c r="Y4" i="19"/>
  <c r="R4" i="19"/>
  <c r="AE3" i="19"/>
  <c r="AD3" i="19"/>
  <c r="AG3" i="19" s="1"/>
  <c r="AH3" i="19" s="1"/>
  <c r="AC3" i="19"/>
  <c r="Y3" i="19"/>
  <c r="R3" i="19"/>
  <c r="AA21" i="18"/>
  <c r="AG9" i="18"/>
  <c r="AE4" i="18"/>
  <c r="AC4" i="18"/>
  <c r="AG8" i="18"/>
  <c r="S35" i="18"/>
  <c r="U35" i="18" s="1"/>
  <c r="S34" i="18"/>
  <c r="U34" i="18" s="1"/>
  <c r="X21" i="18"/>
  <c r="W21" i="18"/>
  <c r="V21" i="18"/>
  <c r="U21" i="18"/>
  <c r="T21" i="18"/>
  <c r="S21" i="18"/>
  <c r="Q21" i="18"/>
  <c r="P21" i="18"/>
  <c r="O21" i="18"/>
  <c r="N21" i="18"/>
  <c r="M21" i="18"/>
  <c r="L21" i="18"/>
  <c r="K21" i="18"/>
  <c r="J21" i="18"/>
  <c r="I21" i="18"/>
  <c r="H21" i="18"/>
  <c r="G21" i="18"/>
  <c r="AE12" i="18"/>
  <c r="AD12" i="18"/>
  <c r="AG12" i="18" s="1"/>
  <c r="AC12" i="18"/>
  <c r="Y12" i="18"/>
  <c r="R12" i="18"/>
  <c r="AE11" i="18"/>
  <c r="AD11" i="18"/>
  <c r="AG11" i="18" s="1"/>
  <c r="AC11" i="18"/>
  <c r="Y11" i="18"/>
  <c r="R11" i="18"/>
  <c r="AE10" i="18"/>
  <c r="AD10" i="18"/>
  <c r="AG10" i="18" s="1"/>
  <c r="AC10" i="18"/>
  <c r="Y10" i="18"/>
  <c r="R10" i="18"/>
  <c r="AE9" i="18"/>
  <c r="AD9" i="18"/>
  <c r="AC9" i="18"/>
  <c r="Y9" i="18"/>
  <c r="R9" i="18"/>
  <c r="AE7" i="18"/>
  <c r="AD7" i="18"/>
  <c r="AG7" i="18" s="1"/>
  <c r="Y7" i="18"/>
  <c r="R7" i="18"/>
  <c r="AE6" i="18"/>
  <c r="AD6" i="18"/>
  <c r="AG6" i="18" s="1"/>
  <c r="AC6" i="18"/>
  <c r="Y6" i="18"/>
  <c r="R6" i="18"/>
  <c r="AE5" i="18"/>
  <c r="AD5" i="18"/>
  <c r="AG5" i="18" s="1"/>
  <c r="AC5" i="18"/>
  <c r="Y5" i="18"/>
  <c r="R5" i="18"/>
  <c r="AD4" i="18"/>
  <c r="Y4" i="18"/>
  <c r="R4" i="18"/>
  <c r="AE3" i="18"/>
  <c r="AD3" i="18"/>
  <c r="AG3" i="18" s="1"/>
  <c r="AH3" i="18" s="1"/>
  <c r="AC3" i="18"/>
  <c r="Y3" i="18"/>
  <c r="R3" i="18"/>
  <c r="R21" i="18" s="1"/>
  <c r="AG12" i="17"/>
  <c r="AH3" i="17"/>
  <c r="AH4" i="17" s="1"/>
  <c r="AH5" i="17" s="1"/>
  <c r="AH6" i="17" s="1"/>
  <c r="AE4" i="17"/>
  <c r="AD4" i="17"/>
  <c r="AC4" i="17"/>
  <c r="Y4" i="17"/>
  <c r="R4" i="17"/>
  <c r="S49" i="17"/>
  <c r="U49" i="17" s="1"/>
  <c r="S48" i="17"/>
  <c r="U48" i="17" s="1"/>
  <c r="S47" i="17"/>
  <c r="U47" i="17" s="1"/>
  <c r="X35" i="17"/>
  <c r="W35" i="17"/>
  <c r="V35" i="17"/>
  <c r="U35" i="17"/>
  <c r="T35" i="17"/>
  <c r="S35" i="17"/>
  <c r="Q35" i="17"/>
  <c r="P35" i="17"/>
  <c r="O35" i="17"/>
  <c r="N35" i="17"/>
  <c r="L35" i="17"/>
  <c r="K35" i="17"/>
  <c r="J35" i="17"/>
  <c r="I35" i="17"/>
  <c r="H35" i="17"/>
  <c r="G35" i="17"/>
  <c r="AE22" i="17"/>
  <c r="AD22" i="17"/>
  <c r="AC22" i="17"/>
  <c r="AG22" i="17"/>
  <c r="Y22" i="17"/>
  <c r="R22" i="17"/>
  <c r="AE21" i="17"/>
  <c r="AD21" i="17"/>
  <c r="AG21" i="17" s="1"/>
  <c r="AC21" i="17"/>
  <c r="Y21" i="17"/>
  <c r="R21" i="17"/>
  <c r="AE20" i="17"/>
  <c r="AD20" i="17"/>
  <c r="AG20" i="17" s="1"/>
  <c r="AC20" i="17"/>
  <c r="Y20" i="17"/>
  <c r="R20" i="17"/>
  <c r="AE19" i="17"/>
  <c r="AD19" i="17"/>
  <c r="AC19" i="17"/>
  <c r="AG19" i="17"/>
  <c r="Y19" i="17"/>
  <c r="R19" i="17"/>
  <c r="AE18" i="17"/>
  <c r="AD18" i="17"/>
  <c r="AC18" i="17"/>
  <c r="AG18" i="17"/>
  <c r="Y18" i="17"/>
  <c r="R18" i="17"/>
  <c r="AE17" i="17"/>
  <c r="AD17" i="17"/>
  <c r="AC17" i="17"/>
  <c r="Y17" i="17"/>
  <c r="R17" i="17"/>
  <c r="AE16" i="17"/>
  <c r="AD16" i="17"/>
  <c r="AG16" i="17" s="1"/>
  <c r="AC16" i="17"/>
  <c r="Y16" i="17"/>
  <c r="R16" i="17"/>
  <c r="AE15" i="17"/>
  <c r="AD15" i="17"/>
  <c r="AC15" i="17"/>
  <c r="AG15" i="17"/>
  <c r="Y15" i="17"/>
  <c r="R15" i="17"/>
  <c r="AE14" i="17"/>
  <c r="AD14" i="17"/>
  <c r="AG14" i="17" s="1"/>
  <c r="AC14" i="17"/>
  <c r="Y14" i="17"/>
  <c r="R14" i="17"/>
  <c r="AE13" i="17"/>
  <c r="AD13" i="17"/>
  <c r="AG13" i="17" s="1"/>
  <c r="AC13" i="17"/>
  <c r="Y13" i="17"/>
  <c r="R13" i="17"/>
  <c r="AE11" i="17"/>
  <c r="AD11" i="17"/>
  <c r="AG11" i="17" s="1"/>
  <c r="AC11" i="17"/>
  <c r="Y11" i="17"/>
  <c r="R11" i="17"/>
  <c r="AE10" i="17"/>
  <c r="AD10" i="17"/>
  <c r="AG10" i="17" s="1"/>
  <c r="AC10" i="17"/>
  <c r="Y10" i="17"/>
  <c r="R10" i="17"/>
  <c r="AE9" i="17"/>
  <c r="AD9" i="17"/>
  <c r="AC9" i="17"/>
  <c r="AG9" i="17"/>
  <c r="Y9" i="17"/>
  <c r="R9" i="17"/>
  <c r="AE8" i="17"/>
  <c r="AD8" i="17"/>
  <c r="AG8" i="17" s="1"/>
  <c r="AC8" i="17"/>
  <c r="Y8" i="17"/>
  <c r="R8" i="17"/>
  <c r="AE7" i="17"/>
  <c r="AD7" i="17"/>
  <c r="AC7" i="17"/>
  <c r="AG7" i="17"/>
  <c r="Y7" i="17"/>
  <c r="M7" i="17"/>
  <c r="R7" i="17" s="1"/>
  <c r="AE5" i="17"/>
  <c r="AD5" i="17"/>
  <c r="AC5" i="17"/>
  <c r="Y5" i="17"/>
  <c r="R5" i="17"/>
  <c r="AE3" i="17"/>
  <c r="AD3" i="17"/>
  <c r="AC3" i="17"/>
  <c r="AB3" i="17"/>
  <c r="Y3" i="17"/>
  <c r="R3" i="17"/>
  <c r="AE31" i="16"/>
  <c r="AC31" i="16"/>
  <c r="AG31" i="16" s="1"/>
  <c r="Y31" i="16"/>
  <c r="R31" i="16"/>
  <c r="AE21" i="16"/>
  <c r="AC21" i="16"/>
  <c r="AG21" i="16" s="1"/>
  <c r="Y21" i="16"/>
  <c r="R21" i="16"/>
  <c r="AG19" i="16"/>
  <c r="AG11" i="16"/>
  <c r="AE9" i="16"/>
  <c r="AG9" i="16" s="1"/>
  <c r="AC9" i="16"/>
  <c r="AG35" i="16"/>
  <c r="AG34" i="16"/>
  <c r="AG25" i="16"/>
  <c r="AG18" i="16"/>
  <c r="AG4" i="18" l="1"/>
  <c r="Z5" i="19"/>
  <c r="Z8" i="19"/>
  <c r="Z12" i="19"/>
  <c r="AA12" i="19" s="1"/>
  <c r="AA24" i="19" s="1"/>
  <c r="Z7" i="19"/>
  <c r="AH4" i="19"/>
  <c r="AH5" i="19" s="1"/>
  <c r="AH7" i="19" s="1"/>
  <c r="AH8" i="19" s="1"/>
  <c r="AH9" i="19" s="1"/>
  <c r="AH10" i="19" s="1"/>
  <c r="AH11" i="19" s="1"/>
  <c r="AH12" i="19" s="1"/>
  <c r="AH13" i="19" s="1"/>
  <c r="AH14" i="19" s="1"/>
  <c r="AH15" i="19" s="1"/>
  <c r="AH16" i="19" s="1"/>
  <c r="Z11" i="19"/>
  <c r="AB24" i="19"/>
  <c r="Z3" i="19"/>
  <c r="Z16" i="17"/>
  <c r="AH7" i="17"/>
  <c r="AH8" i="17" s="1"/>
  <c r="AH9" i="17" s="1"/>
  <c r="AH10" i="17" s="1"/>
  <c r="AH11" i="17" s="1"/>
  <c r="Z4" i="17"/>
  <c r="AE24" i="19"/>
  <c r="AC24" i="19"/>
  <c r="Y24" i="19"/>
  <c r="V25" i="19" s="1"/>
  <c r="AD24" i="19"/>
  <c r="Z4" i="19"/>
  <c r="Z9" i="19"/>
  <c r="Z10" i="19"/>
  <c r="T25" i="19"/>
  <c r="R24" i="19"/>
  <c r="Q25" i="19" s="1"/>
  <c r="AH4" i="18"/>
  <c r="AH5" i="18" s="1"/>
  <c r="AH6" i="18" s="1"/>
  <c r="AH7" i="18" s="1"/>
  <c r="Z3" i="18"/>
  <c r="AD21" i="18"/>
  <c r="AB21" i="18"/>
  <c r="AA23" i="18" s="1"/>
  <c r="Z7" i="18"/>
  <c r="Z12" i="18"/>
  <c r="AE21" i="18"/>
  <c r="AC21" i="18"/>
  <c r="AC23" i="18" s="1"/>
  <c r="Y21" i="18"/>
  <c r="Z11" i="18"/>
  <c r="Z4" i="18"/>
  <c r="Z5" i="18"/>
  <c r="Z6" i="18"/>
  <c r="Z10" i="18"/>
  <c r="T22" i="18"/>
  <c r="Z9" i="18"/>
  <c r="O22" i="18"/>
  <c r="N22" i="18"/>
  <c r="T26" i="18"/>
  <c r="Q22" i="18"/>
  <c r="M22" i="18"/>
  <c r="P22" i="18"/>
  <c r="Z13" i="17"/>
  <c r="Z18" i="17"/>
  <c r="Z3" i="17"/>
  <c r="Z10" i="17"/>
  <c r="AB35" i="17"/>
  <c r="Z8" i="17"/>
  <c r="Z20" i="17"/>
  <c r="Z21" i="17"/>
  <c r="Z22" i="17"/>
  <c r="AC35" i="17"/>
  <c r="Y35" i="17"/>
  <c r="X36" i="17" s="1"/>
  <c r="Z9" i="17"/>
  <c r="AD35" i="17"/>
  <c r="Z14" i="17"/>
  <c r="AE35" i="17"/>
  <c r="T36" i="17"/>
  <c r="Z15" i="17"/>
  <c r="Z19" i="17"/>
  <c r="AA35" i="17"/>
  <c r="M35" i="17"/>
  <c r="R35" i="17"/>
  <c r="O36" i="17" s="1"/>
  <c r="Z5" i="17"/>
  <c r="Z7" i="17"/>
  <c r="Z11" i="17"/>
  <c r="Z17" i="17"/>
  <c r="Z31" i="16"/>
  <c r="Z21" i="16"/>
  <c r="T77" i="16"/>
  <c r="V77" i="16" s="1"/>
  <c r="W77" i="16" s="1"/>
  <c r="T76" i="16"/>
  <c r="V76" i="16" s="1"/>
  <c r="W76" i="16" s="1"/>
  <c r="T75" i="16"/>
  <c r="V75" i="16" s="1"/>
  <c r="W75" i="16" s="1"/>
  <c r="T74" i="16"/>
  <c r="V74" i="16" s="1"/>
  <c r="W74" i="16" s="1"/>
  <c r="X63" i="16"/>
  <c r="W63" i="16"/>
  <c r="V63" i="16"/>
  <c r="U63" i="16"/>
  <c r="T63" i="16"/>
  <c r="S63" i="16"/>
  <c r="Q63" i="16"/>
  <c r="P63" i="16"/>
  <c r="O63" i="16"/>
  <c r="N63" i="16"/>
  <c r="L63" i="16"/>
  <c r="K63" i="16"/>
  <c r="J63" i="16"/>
  <c r="I63" i="16"/>
  <c r="H63" i="16"/>
  <c r="G63" i="16"/>
  <c r="AE40" i="16"/>
  <c r="AC40" i="16"/>
  <c r="AG40" i="16"/>
  <c r="Y40" i="16"/>
  <c r="R40" i="16"/>
  <c r="AE38" i="16"/>
  <c r="AG38" i="16" s="1"/>
  <c r="AC38" i="16"/>
  <c r="Y38" i="16"/>
  <c r="R38" i="16"/>
  <c r="AE37" i="16"/>
  <c r="AG37" i="16" s="1"/>
  <c r="AC37" i="16"/>
  <c r="Y37" i="16"/>
  <c r="R37" i="16"/>
  <c r="AE36" i="16"/>
  <c r="AG36" i="16" s="1"/>
  <c r="AC36" i="16"/>
  <c r="Y36" i="16"/>
  <c r="R36" i="16"/>
  <c r="AE33" i="16"/>
  <c r="AG33" i="16"/>
  <c r="AC33" i="16"/>
  <c r="Y33" i="16"/>
  <c r="R33" i="16"/>
  <c r="AE32" i="16"/>
  <c r="AG32" i="16"/>
  <c r="AC32" i="16"/>
  <c r="Y32" i="16"/>
  <c r="R32" i="16"/>
  <c r="AE30" i="16"/>
  <c r="AG30" i="16" s="1"/>
  <c r="AC30" i="16"/>
  <c r="Y30" i="16"/>
  <c r="R30" i="16"/>
  <c r="AE29" i="16"/>
  <c r="AC29" i="16"/>
  <c r="AG29" i="16" s="1"/>
  <c r="Y29" i="16"/>
  <c r="R29" i="16"/>
  <c r="AE28" i="16"/>
  <c r="AG28" i="16" s="1"/>
  <c r="AC28" i="16"/>
  <c r="Y28" i="16"/>
  <c r="R28" i="16"/>
  <c r="AE27" i="16"/>
  <c r="AG27" i="16" s="1"/>
  <c r="AC27" i="16"/>
  <c r="Y27" i="16"/>
  <c r="R27" i="16"/>
  <c r="AE26" i="16"/>
  <c r="AG26" i="16"/>
  <c r="AC26" i="16"/>
  <c r="Y26" i="16"/>
  <c r="R26" i="16"/>
  <c r="AE24" i="16"/>
  <c r="AC24" i="16"/>
  <c r="Y24" i="16"/>
  <c r="R24" i="16"/>
  <c r="AE23" i="16"/>
  <c r="AC23" i="16"/>
  <c r="Y23" i="16"/>
  <c r="R23" i="16"/>
  <c r="AE22" i="16"/>
  <c r="AG22" i="16" s="1"/>
  <c r="AC22" i="16"/>
  <c r="Y22" i="16"/>
  <c r="R22" i="16"/>
  <c r="AE20" i="16"/>
  <c r="AG20" i="16" s="1"/>
  <c r="AC20" i="16"/>
  <c r="Y20" i="16"/>
  <c r="R20" i="16"/>
  <c r="AE17" i="16"/>
  <c r="AG17" i="16"/>
  <c r="AC17" i="16"/>
  <c r="Y17" i="16"/>
  <c r="R17" i="16"/>
  <c r="AE16" i="16"/>
  <c r="AC16" i="16"/>
  <c r="AG16" i="16" s="1"/>
  <c r="Y16" i="16"/>
  <c r="R16" i="16"/>
  <c r="AE15" i="16"/>
  <c r="AG15" i="16" s="1"/>
  <c r="AC15" i="16"/>
  <c r="Y15" i="16"/>
  <c r="R15" i="16"/>
  <c r="AE14" i="16"/>
  <c r="AC14" i="16"/>
  <c r="AG14" i="16" s="1"/>
  <c r="Y14" i="16"/>
  <c r="R14" i="16"/>
  <c r="AE13" i="16"/>
  <c r="AC13" i="16"/>
  <c r="Y13" i="16"/>
  <c r="R13" i="16"/>
  <c r="AE12" i="16"/>
  <c r="AG12" i="16" s="1"/>
  <c r="AC12" i="16"/>
  <c r="Y12" i="16"/>
  <c r="R12" i="16"/>
  <c r="AE11" i="16"/>
  <c r="AC11" i="16"/>
  <c r="Y11" i="16"/>
  <c r="M11" i="16"/>
  <c r="R11" i="16" s="1"/>
  <c r="Y9" i="16"/>
  <c r="R9" i="16"/>
  <c r="AE8" i="16"/>
  <c r="AG8" i="16" s="1"/>
  <c r="AC8" i="16"/>
  <c r="Y8" i="16"/>
  <c r="R8" i="16"/>
  <c r="AE7" i="16"/>
  <c r="AC7" i="16"/>
  <c r="Y7" i="16"/>
  <c r="R7" i="16"/>
  <c r="AE6" i="16"/>
  <c r="AC6" i="16"/>
  <c r="Y6" i="16"/>
  <c r="R6" i="16"/>
  <c r="AE5" i="16"/>
  <c r="AC5" i="16"/>
  <c r="Y5" i="16"/>
  <c r="R5" i="16"/>
  <c r="AE4" i="16"/>
  <c r="AC4" i="16"/>
  <c r="Y4" i="16"/>
  <c r="R4" i="16"/>
  <c r="AE3" i="16"/>
  <c r="AC3" i="16"/>
  <c r="Y3" i="16"/>
  <c r="R3" i="16"/>
  <c r="S76" i="2"/>
  <c r="T76" i="2"/>
  <c r="U76" i="2"/>
  <c r="V76" i="2"/>
  <c r="W76" i="2"/>
  <c r="X76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3" i="2"/>
  <c r="H76" i="2"/>
  <c r="I76" i="2"/>
  <c r="J76" i="2"/>
  <c r="K76" i="2"/>
  <c r="L76" i="2"/>
  <c r="N76" i="2"/>
  <c r="O76" i="2"/>
  <c r="P76" i="2"/>
  <c r="Q76" i="2"/>
  <c r="R4" i="2"/>
  <c r="R5" i="2"/>
  <c r="R6" i="2"/>
  <c r="R7" i="2"/>
  <c r="R8" i="2"/>
  <c r="R9" i="2"/>
  <c r="R10" i="2"/>
  <c r="R11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3" i="2"/>
  <c r="Z42" i="11"/>
  <c r="Y42" i="11"/>
  <c r="W42" i="11"/>
  <c r="V42" i="11"/>
  <c r="U42" i="11"/>
  <c r="T42" i="11"/>
  <c r="Q42" i="11"/>
  <c r="M42" i="11"/>
  <c r="R42" i="11" s="1"/>
  <c r="AE44" i="2"/>
  <c r="AE45" i="2"/>
  <c r="AE46" i="2"/>
  <c r="AE47" i="2"/>
  <c r="AE48" i="2"/>
  <c r="AC44" i="2"/>
  <c r="AC45" i="2"/>
  <c r="AC46" i="2"/>
  <c r="AC47" i="2"/>
  <c r="AC48" i="2"/>
  <c r="Z41" i="11"/>
  <c r="Y19" i="11"/>
  <c r="Y4" i="11"/>
  <c r="Y3" i="11"/>
  <c r="Y10" i="15"/>
  <c r="Z10" i="15"/>
  <c r="Z11" i="15" s="1"/>
  <c r="Y11" i="15"/>
  <c r="V11" i="15"/>
  <c r="T11" i="15"/>
  <c r="Q11" i="15"/>
  <c r="M11" i="15"/>
  <c r="R11" i="15" s="1"/>
  <c r="S11" i="15" s="1"/>
  <c r="V10" i="15"/>
  <c r="T10" i="15"/>
  <c r="Q10" i="15"/>
  <c r="M10" i="15"/>
  <c r="Y39" i="11"/>
  <c r="Y38" i="11"/>
  <c r="W40" i="11"/>
  <c r="Y40" i="11" s="1"/>
  <c r="W39" i="11"/>
  <c r="W38" i="11"/>
  <c r="U40" i="11"/>
  <c r="U39" i="11"/>
  <c r="U38" i="11"/>
  <c r="V40" i="11"/>
  <c r="T40" i="11"/>
  <c r="Q40" i="11"/>
  <c r="R40" i="11" s="1"/>
  <c r="S40" i="11" s="1"/>
  <c r="M40" i="11"/>
  <c r="V39" i="11"/>
  <c r="T39" i="11"/>
  <c r="Q39" i="11"/>
  <c r="M39" i="11"/>
  <c r="V38" i="11"/>
  <c r="T38" i="11"/>
  <c r="Q38" i="11"/>
  <c r="M38" i="11"/>
  <c r="Y20" i="13"/>
  <c r="Z20" i="13" s="1"/>
  <c r="W20" i="13"/>
  <c r="U20" i="13"/>
  <c r="V20" i="13"/>
  <c r="T20" i="13"/>
  <c r="Q20" i="13"/>
  <c r="M20" i="13"/>
  <c r="R20" i="13" s="1"/>
  <c r="AH6" i="19" l="1"/>
  <c r="T31" i="19"/>
  <c r="S89" i="2"/>
  <c r="S37" i="19"/>
  <c r="U37" i="19" s="1"/>
  <c r="Y76" i="2"/>
  <c r="V77" i="2" s="1"/>
  <c r="AA26" i="19"/>
  <c r="S90" i="2" s="1"/>
  <c r="Z24" i="19"/>
  <c r="T28" i="19" s="1"/>
  <c r="U28" i="19" s="1"/>
  <c r="U25" i="19"/>
  <c r="AH13" i="17"/>
  <c r="AH14" i="17" s="1"/>
  <c r="AH15" i="17" s="1"/>
  <c r="AH16" i="17" s="1"/>
  <c r="AH17" i="17" s="1"/>
  <c r="AH18" i="17" s="1"/>
  <c r="AH19" i="17" s="1"/>
  <c r="AH20" i="17" s="1"/>
  <c r="AH21" i="17" s="1"/>
  <c r="AH22" i="17" s="1"/>
  <c r="AH23" i="17" s="1"/>
  <c r="AH24" i="17" s="1"/>
  <c r="AH25" i="17" s="1"/>
  <c r="AH26" i="17" s="1"/>
  <c r="AH12" i="17"/>
  <c r="T29" i="19"/>
  <c r="AE26" i="19"/>
  <c r="P25" i="19"/>
  <c r="N25" i="19"/>
  <c r="M25" i="19"/>
  <c r="O25" i="19"/>
  <c r="W25" i="19"/>
  <c r="X25" i="19"/>
  <c r="AH9" i="18"/>
  <c r="AH10" i="18" s="1"/>
  <c r="AH11" i="18" s="1"/>
  <c r="AH12" i="18" s="1"/>
  <c r="AH8" i="18"/>
  <c r="Z21" i="18"/>
  <c r="T25" i="18" s="1"/>
  <c r="U25" i="18" s="1"/>
  <c r="AE23" i="18"/>
  <c r="U22" i="18"/>
  <c r="V22" i="18"/>
  <c r="W22" i="18"/>
  <c r="X22" i="18"/>
  <c r="T28" i="18"/>
  <c r="AA37" i="17"/>
  <c r="W36" i="17"/>
  <c r="U36" i="17"/>
  <c r="V36" i="17"/>
  <c r="P36" i="17"/>
  <c r="N36" i="17"/>
  <c r="M36" i="17"/>
  <c r="Z35" i="17"/>
  <c r="T39" i="17" s="1"/>
  <c r="U39" i="17" s="1"/>
  <c r="AE37" i="17"/>
  <c r="T42" i="17"/>
  <c r="T40" i="17"/>
  <c r="Q36" i="17"/>
  <c r="AG6" i="16"/>
  <c r="AG23" i="16"/>
  <c r="AG24" i="16"/>
  <c r="AG3" i="16"/>
  <c r="AH3" i="16" s="1"/>
  <c r="AG5" i="16"/>
  <c r="AG7" i="16"/>
  <c r="AG13" i="16"/>
  <c r="Z3" i="16"/>
  <c r="Z5" i="16"/>
  <c r="Z7" i="16"/>
  <c r="Z12" i="16"/>
  <c r="Z30" i="16"/>
  <c r="Z15" i="16"/>
  <c r="AE63" i="16"/>
  <c r="Z20" i="16"/>
  <c r="Z23" i="16"/>
  <c r="Z26" i="16"/>
  <c r="Z29" i="16"/>
  <c r="Z37" i="16"/>
  <c r="M63" i="16"/>
  <c r="AC63" i="16"/>
  <c r="AC65" i="16" s="1"/>
  <c r="Y63" i="16"/>
  <c r="X64" i="16" s="1"/>
  <c r="Z6" i="16"/>
  <c r="Z14" i="16"/>
  <c r="Z36" i="16"/>
  <c r="Z22" i="16"/>
  <c r="AD63" i="16"/>
  <c r="Z9" i="16"/>
  <c r="Z28" i="16"/>
  <c r="T64" i="16"/>
  <c r="Z8" i="16"/>
  <c r="Z11" i="16"/>
  <c r="Z17" i="16"/>
  <c r="Z27" i="16"/>
  <c r="Z32" i="16"/>
  <c r="Z33" i="16"/>
  <c r="R63" i="16"/>
  <c r="Q64" i="16" s="1"/>
  <c r="AB63" i="16"/>
  <c r="Z4" i="16"/>
  <c r="AA4" i="16" s="1"/>
  <c r="AG4" i="16" s="1"/>
  <c r="Z13" i="16"/>
  <c r="Z16" i="16"/>
  <c r="Z24" i="16"/>
  <c r="Z38" i="16"/>
  <c r="AA38" i="16" s="1"/>
  <c r="Z40" i="16"/>
  <c r="T77" i="2"/>
  <c r="Z46" i="2"/>
  <c r="AA46" i="2" s="1"/>
  <c r="Z45" i="2"/>
  <c r="Z47" i="2"/>
  <c r="Z48" i="2"/>
  <c r="Z44" i="2"/>
  <c r="R10" i="15"/>
  <c r="R38" i="11"/>
  <c r="R39" i="11"/>
  <c r="W9" i="15"/>
  <c r="V9" i="15"/>
  <c r="Y9" i="15" s="1"/>
  <c r="U9" i="15"/>
  <c r="T9" i="15"/>
  <c r="Q9" i="15"/>
  <c r="M9" i="15"/>
  <c r="W8" i="15"/>
  <c r="V8" i="15"/>
  <c r="Y8" i="15" s="1"/>
  <c r="U8" i="15"/>
  <c r="T8" i="15"/>
  <c r="Q8" i="15"/>
  <c r="M8" i="15"/>
  <c r="Z11" i="14"/>
  <c r="Y11" i="14"/>
  <c r="W11" i="14"/>
  <c r="V11" i="14"/>
  <c r="U11" i="14"/>
  <c r="T11" i="14"/>
  <c r="Q11" i="14"/>
  <c r="M11" i="14"/>
  <c r="R11" i="14" s="1"/>
  <c r="W19" i="13"/>
  <c r="V19" i="13"/>
  <c r="Y19" i="13" s="1"/>
  <c r="U19" i="13"/>
  <c r="T19" i="13"/>
  <c r="Q19" i="13"/>
  <c r="M19" i="13"/>
  <c r="W18" i="13"/>
  <c r="V18" i="13"/>
  <c r="U18" i="13"/>
  <c r="T18" i="13"/>
  <c r="Y18" i="13" s="1"/>
  <c r="Q18" i="13"/>
  <c r="M18" i="13"/>
  <c r="W17" i="13"/>
  <c r="V17" i="13"/>
  <c r="U17" i="13"/>
  <c r="T17" i="13"/>
  <c r="Y17" i="13" s="1"/>
  <c r="Q17" i="13"/>
  <c r="M17" i="13"/>
  <c r="W16" i="13"/>
  <c r="V16" i="13"/>
  <c r="U16" i="13"/>
  <c r="T16" i="13"/>
  <c r="Q16" i="13"/>
  <c r="M16" i="13"/>
  <c r="Y37" i="11"/>
  <c r="AE33" i="11"/>
  <c r="Y36" i="11"/>
  <c r="Y33" i="11"/>
  <c r="Y31" i="11"/>
  <c r="W35" i="11"/>
  <c r="V35" i="11"/>
  <c r="Y35" i="11" s="1"/>
  <c r="U35" i="11"/>
  <c r="T35" i="11"/>
  <c r="Q35" i="11"/>
  <c r="M35" i="11"/>
  <c r="W34" i="11"/>
  <c r="V34" i="11"/>
  <c r="Y34" i="11" s="1"/>
  <c r="U34" i="11"/>
  <c r="T34" i="11"/>
  <c r="Q34" i="11"/>
  <c r="M34" i="11"/>
  <c r="W32" i="11"/>
  <c r="Y32" i="11" s="1"/>
  <c r="V32" i="11"/>
  <c r="U32" i="11"/>
  <c r="T32" i="11"/>
  <c r="Q32" i="11"/>
  <c r="M32" i="11"/>
  <c r="W30" i="11"/>
  <c r="Y30" i="11" s="1"/>
  <c r="V30" i="11"/>
  <c r="U30" i="11"/>
  <c r="T30" i="11"/>
  <c r="Q30" i="11"/>
  <c r="M30" i="11"/>
  <c r="W29" i="11"/>
  <c r="Y29" i="11" s="1"/>
  <c r="V29" i="11"/>
  <c r="U29" i="11"/>
  <c r="T29" i="11"/>
  <c r="Q29" i="11"/>
  <c r="M29" i="11"/>
  <c r="W28" i="11"/>
  <c r="Y28" i="11" s="1"/>
  <c r="V28" i="11"/>
  <c r="U28" i="11"/>
  <c r="T28" i="11"/>
  <c r="Q28" i="11"/>
  <c r="M28" i="11"/>
  <c r="AC33" i="2"/>
  <c r="AE33" i="2"/>
  <c r="AC34" i="2"/>
  <c r="AE34" i="2"/>
  <c r="AC35" i="2"/>
  <c r="AE35" i="2"/>
  <c r="AC36" i="2"/>
  <c r="AE36" i="2"/>
  <c r="AC37" i="2"/>
  <c r="AC38" i="2"/>
  <c r="AE38" i="2"/>
  <c r="AC39" i="2"/>
  <c r="AE39" i="2"/>
  <c r="AC40" i="2"/>
  <c r="AE40" i="2"/>
  <c r="AC41" i="2"/>
  <c r="AE41" i="2"/>
  <c r="AC42" i="2"/>
  <c r="AE42" i="2"/>
  <c r="AC43" i="2"/>
  <c r="AE43" i="2"/>
  <c r="Z42" i="2"/>
  <c r="Z41" i="2"/>
  <c r="Z40" i="2"/>
  <c r="Z39" i="2"/>
  <c r="Z38" i="2"/>
  <c r="Z37" i="2"/>
  <c r="Z36" i="2"/>
  <c r="U29" i="19" l="1"/>
  <c r="U31" i="19"/>
  <c r="U77" i="2"/>
  <c r="X77" i="2"/>
  <c r="W77" i="2"/>
  <c r="S88" i="2"/>
  <c r="S36" i="19"/>
  <c r="U36" i="19" s="1"/>
  <c r="S33" i="18"/>
  <c r="U33" i="18" s="1"/>
  <c r="U26" i="18"/>
  <c r="U28" i="18"/>
  <c r="U42" i="17"/>
  <c r="U40" i="17"/>
  <c r="AH4" i="16"/>
  <c r="AH5" i="16" s="1"/>
  <c r="AH6" i="16" s="1"/>
  <c r="AH7" i="16" s="1"/>
  <c r="AH8" i="16" s="1"/>
  <c r="AH9" i="16" s="1"/>
  <c r="AH10" i="16" s="1"/>
  <c r="AH11" i="16" s="1"/>
  <c r="AH12" i="16" s="1"/>
  <c r="AH13" i="16" s="1"/>
  <c r="AH14" i="16" s="1"/>
  <c r="AH15" i="16" s="1"/>
  <c r="AH16" i="16" s="1"/>
  <c r="AH17" i="16" s="1"/>
  <c r="AH18" i="16" s="1"/>
  <c r="AH19" i="16" s="1"/>
  <c r="AH20" i="16" s="1"/>
  <c r="AH21" i="16" s="1"/>
  <c r="AH22" i="16" s="1"/>
  <c r="AH23" i="16" s="1"/>
  <c r="AH24" i="16" s="1"/>
  <c r="AH25" i="16" s="1"/>
  <c r="AH26" i="16" s="1"/>
  <c r="AH27" i="16" s="1"/>
  <c r="AH28" i="16" s="1"/>
  <c r="AH29" i="16" s="1"/>
  <c r="AH30" i="16" s="1"/>
  <c r="W64" i="16"/>
  <c r="V64" i="16"/>
  <c r="AE65" i="16"/>
  <c r="M64" i="16"/>
  <c r="T68" i="16"/>
  <c r="U64" i="16"/>
  <c r="P64" i="16"/>
  <c r="N64" i="16"/>
  <c r="O64" i="16"/>
  <c r="AA63" i="16"/>
  <c r="AA65" i="16" s="1"/>
  <c r="Z63" i="16"/>
  <c r="Z43" i="2"/>
  <c r="R29" i="11"/>
  <c r="R17" i="13"/>
  <c r="R8" i="15"/>
  <c r="R9" i="15"/>
  <c r="R18" i="13"/>
  <c r="R19" i="13"/>
  <c r="R16" i="13"/>
  <c r="R28" i="11"/>
  <c r="R35" i="11"/>
  <c r="R32" i="11"/>
  <c r="R30" i="11"/>
  <c r="R34" i="11"/>
  <c r="Z35" i="2"/>
  <c r="P16" i="15"/>
  <c r="O16" i="15"/>
  <c r="N16" i="15"/>
  <c r="L16" i="15"/>
  <c r="O29" i="15" s="1"/>
  <c r="J16" i="15"/>
  <c r="O27" i="15" s="1"/>
  <c r="I16" i="15"/>
  <c r="H16" i="15"/>
  <c r="G16" i="15"/>
  <c r="W7" i="15"/>
  <c r="V7" i="15"/>
  <c r="U7" i="15"/>
  <c r="T7" i="15"/>
  <c r="Y7" i="15" s="1"/>
  <c r="Q7" i="15"/>
  <c r="M7" i="15"/>
  <c r="W6" i="15"/>
  <c r="V6" i="15"/>
  <c r="U6" i="15"/>
  <c r="T6" i="15"/>
  <c r="Y6" i="15" s="1"/>
  <c r="Q6" i="15"/>
  <c r="M6" i="15"/>
  <c r="W5" i="15"/>
  <c r="V5" i="15"/>
  <c r="Y5" i="15" s="1"/>
  <c r="U5" i="15"/>
  <c r="T5" i="15"/>
  <c r="Q5" i="15"/>
  <c r="M5" i="15"/>
  <c r="W4" i="15"/>
  <c r="V4" i="15"/>
  <c r="Y4" i="15" s="1"/>
  <c r="U4" i="15"/>
  <c r="T4" i="15"/>
  <c r="Q4" i="15"/>
  <c r="M4" i="15"/>
  <c r="W3" i="15"/>
  <c r="V3" i="15"/>
  <c r="Y3" i="15" s="1"/>
  <c r="Z3" i="15" s="1"/>
  <c r="U3" i="15"/>
  <c r="T3" i="15"/>
  <c r="Q3" i="15"/>
  <c r="M3" i="15"/>
  <c r="K16" i="15"/>
  <c r="O28" i="15" s="1"/>
  <c r="Z10" i="14"/>
  <c r="Z9" i="14"/>
  <c r="Z8" i="14"/>
  <c r="Y8" i="14"/>
  <c r="Y6" i="14"/>
  <c r="Y5" i="14"/>
  <c r="Y4" i="14"/>
  <c r="Z4" i="14" s="1"/>
  <c r="Z5" i="14" s="1"/>
  <c r="Z6" i="14" s="1"/>
  <c r="Z7" i="14" s="1"/>
  <c r="Z3" i="14"/>
  <c r="Y3" i="14"/>
  <c r="P15" i="14"/>
  <c r="O15" i="14"/>
  <c r="N15" i="14"/>
  <c r="L15" i="14"/>
  <c r="O28" i="14" s="1"/>
  <c r="J15" i="14"/>
  <c r="O26" i="14" s="1"/>
  <c r="I15" i="14"/>
  <c r="H15" i="14"/>
  <c r="G15" i="14"/>
  <c r="W10" i="14"/>
  <c r="V10" i="14"/>
  <c r="U10" i="14"/>
  <c r="T10" i="14"/>
  <c r="Q10" i="14"/>
  <c r="M10" i="14"/>
  <c r="W9" i="14"/>
  <c r="V9" i="14"/>
  <c r="U9" i="14"/>
  <c r="T9" i="14"/>
  <c r="Q9" i="14"/>
  <c r="R9" i="14" s="1"/>
  <c r="W8" i="14"/>
  <c r="V8" i="14"/>
  <c r="U8" i="14"/>
  <c r="T8" i="14"/>
  <c r="Q8" i="14"/>
  <c r="M8" i="14"/>
  <c r="W7" i="14"/>
  <c r="V7" i="14"/>
  <c r="U7" i="14"/>
  <c r="T7" i="14"/>
  <c r="Q7" i="14"/>
  <c r="M7" i="14"/>
  <c r="R7" i="14" s="1"/>
  <c r="W6" i="14"/>
  <c r="V6" i="14"/>
  <c r="U6" i="14"/>
  <c r="T6" i="14"/>
  <c r="Q6" i="14"/>
  <c r="M6" i="14"/>
  <c r="W5" i="14"/>
  <c r="V5" i="14"/>
  <c r="U5" i="14"/>
  <c r="T5" i="14"/>
  <c r="Q5" i="14"/>
  <c r="M5" i="14"/>
  <c r="R5" i="14" s="1"/>
  <c r="K15" i="14"/>
  <c r="O27" i="14" s="1"/>
  <c r="W4" i="14"/>
  <c r="V4" i="14"/>
  <c r="U4" i="14"/>
  <c r="T4" i="14"/>
  <c r="Q4" i="14"/>
  <c r="M4" i="14"/>
  <c r="R4" i="14" s="1"/>
  <c r="W3" i="14"/>
  <c r="V3" i="14"/>
  <c r="U3" i="14"/>
  <c r="T3" i="14"/>
  <c r="Q3" i="14"/>
  <c r="M3" i="14"/>
  <c r="S15" i="14"/>
  <c r="V4" i="13"/>
  <c r="V5" i="13"/>
  <c r="V6" i="13"/>
  <c r="V7" i="13"/>
  <c r="V8" i="13"/>
  <c r="V9" i="13"/>
  <c r="V10" i="13"/>
  <c r="Y10" i="13" s="1"/>
  <c r="V11" i="13"/>
  <c r="V12" i="13"/>
  <c r="Y12" i="13" s="1"/>
  <c r="V13" i="13"/>
  <c r="Y13" i="13" s="1"/>
  <c r="V14" i="13"/>
  <c r="V15" i="13"/>
  <c r="Y15" i="13" s="1"/>
  <c r="V3" i="13"/>
  <c r="T4" i="13"/>
  <c r="T5" i="13"/>
  <c r="T6" i="13"/>
  <c r="T7" i="13"/>
  <c r="T8" i="13"/>
  <c r="T9" i="13"/>
  <c r="Y9" i="13" s="1"/>
  <c r="T10" i="13"/>
  <c r="T11" i="13"/>
  <c r="T12" i="13"/>
  <c r="T13" i="13"/>
  <c r="T14" i="13"/>
  <c r="Y14" i="13" s="1"/>
  <c r="T15" i="13"/>
  <c r="T3" i="13"/>
  <c r="T3" i="11"/>
  <c r="T4" i="11"/>
  <c r="T5" i="11"/>
  <c r="T6" i="11"/>
  <c r="T7" i="11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" i="2"/>
  <c r="Y11" i="13"/>
  <c r="Y8" i="13"/>
  <c r="K7" i="13"/>
  <c r="M7" i="13" s="1"/>
  <c r="Q7" i="13"/>
  <c r="U7" i="13"/>
  <c r="W7" i="13"/>
  <c r="Z3" i="13"/>
  <c r="Z4" i="13" s="1"/>
  <c r="Z5" i="13" s="1"/>
  <c r="Z6" i="13" s="1"/>
  <c r="P25" i="13"/>
  <c r="O25" i="13"/>
  <c r="N25" i="13"/>
  <c r="L25" i="13"/>
  <c r="O38" i="13" s="1"/>
  <c r="J25" i="13"/>
  <c r="O36" i="13" s="1"/>
  <c r="I25" i="13"/>
  <c r="H25" i="13"/>
  <c r="G25" i="13"/>
  <c r="Q15" i="13"/>
  <c r="M15" i="13"/>
  <c r="W14" i="13"/>
  <c r="U14" i="13"/>
  <c r="Q14" i="13"/>
  <c r="M14" i="13"/>
  <c r="W13" i="13"/>
  <c r="U13" i="13"/>
  <c r="Q13" i="13"/>
  <c r="M13" i="13"/>
  <c r="W12" i="13"/>
  <c r="U12" i="13"/>
  <c r="Q12" i="13"/>
  <c r="M12" i="13"/>
  <c r="W11" i="13"/>
  <c r="U11" i="13"/>
  <c r="Q11" i="13"/>
  <c r="M11" i="13"/>
  <c r="W10" i="13"/>
  <c r="U10" i="13"/>
  <c r="Q10" i="13"/>
  <c r="M10" i="13"/>
  <c r="W9" i="13"/>
  <c r="U9" i="13"/>
  <c r="Q9" i="13"/>
  <c r="M9" i="13"/>
  <c r="W8" i="13"/>
  <c r="U8" i="13"/>
  <c r="Q8" i="13"/>
  <c r="M8" i="13"/>
  <c r="W5" i="13"/>
  <c r="U5" i="13"/>
  <c r="Q5" i="13"/>
  <c r="M5" i="13"/>
  <c r="S25" i="13"/>
  <c r="W4" i="13"/>
  <c r="U4" i="13"/>
  <c r="Q4" i="13"/>
  <c r="M4" i="13"/>
  <c r="V27" i="11"/>
  <c r="Y27" i="11" s="1"/>
  <c r="T27" i="11"/>
  <c r="Q27" i="11"/>
  <c r="M27" i="11"/>
  <c r="AC26" i="2"/>
  <c r="AE26" i="2"/>
  <c r="AC27" i="2"/>
  <c r="AE27" i="2"/>
  <c r="AC28" i="2"/>
  <c r="AE28" i="2"/>
  <c r="AC29" i="2"/>
  <c r="AE29" i="2"/>
  <c r="AC30" i="2"/>
  <c r="AE30" i="2"/>
  <c r="AC31" i="2"/>
  <c r="AE31" i="2"/>
  <c r="AC32" i="2"/>
  <c r="AE32" i="2"/>
  <c r="Y26" i="11"/>
  <c r="U22" i="11"/>
  <c r="Y22" i="11" s="1"/>
  <c r="V22" i="11"/>
  <c r="W22" i="11"/>
  <c r="U23" i="11"/>
  <c r="V23" i="11"/>
  <c r="W23" i="11"/>
  <c r="Y23" i="11" s="1"/>
  <c r="U24" i="11"/>
  <c r="Y24" i="11" s="1"/>
  <c r="V24" i="11"/>
  <c r="W24" i="11"/>
  <c r="U25" i="11"/>
  <c r="Y25" i="11" s="1"/>
  <c r="V25" i="11"/>
  <c r="W25" i="11"/>
  <c r="Y18" i="11"/>
  <c r="Y20" i="11"/>
  <c r="Z3" i="11"/>
  <c r="P47" i="11"/>
  <c r="O47" i="11"/>
  <c r="N47" i="11"/>
  <c r="L47" i="11"/>
  <c r="O60" i="11" s="1"/>
  <c r="J47" i="11"/>
  <c r="O58" i="11" s="1"/>
  <c r="I47" i="11"/>
  <c r="H47" i="11"/>
  <c r="G47" i="11"/>
  <c r="Q25" i="11"/>
  <c r="M25" i="11"/>
  <c r="Q24" i="11"/>
  <c r="M24" i="11"/>
  <c r="Q23" i="11"/>
  <c r="M23" i="11"/>
  <c r="Q22" i="11"/>
  <c r="M22" i="11"/>
  <c r="W21" i="11"/>
  <c r="Y21" i="11" s="1"/>
  <c r="V21" i="11"/>
  <c r="U21" i="11"/>
  <c r="Q21" i="11"/>
  <c r="M21" i="11"/>
  <c r="W19" i="11"/>
  <c r="V19" i="11"/>
  <c r="U19" i="11"/>
  <c r="T19" i="11"/>
  <c r="Q19" i="11"/>
  <c r="M19" i="11"/>
  <c r="W17" i="11"/>
  <c r="V17" i="11"/>
  <c r="U17" i="11"/>
  <c r="Y17" i="11" s="1"/>
  <c r="Q17" i="11"/>
  <c r="M17" i="11"/>
  <c r="W16" i="11"/>
  <c r="Y16" i="11" s="1"/>
  <c r="V16" i="11"/>
  <c r="U16" i="11"/>
  <c r="Q16" i="11"/>
  <c r="M16" i="11"/>
  <c r="W14" i="11"/>
  <c r="V14" i="11"/>
  <c r="U14" i="11"/>
  <c r="Y14" i="11" s="1"/>
  <c r="Q14" i="11"/>
  <c r="M14" i="11"/>
  <c r="Y15" i="11" s="1"/>
  <c r="W13" i="11"/>
  <c r="V13" i="11"/>
  <c r="U13" i="11"/>
  <c r="T13" i="11"/>
  <c r="Q13" i="11"/>
  <c r="M13" i="11"/>
  <c r="W12" i="11"/>
  <c r="Y12" i="11" s="1"/>
  <c r="V12" i="11"/>
  <c r="U12" i="11"/>
  <c r="Q12" i="11"/>
  <c r="M12" i="11"/>
  <c r="W11" i="11"/>
  <c r="V11" i="11"/>
  <c r="U11" i="11"/>
  <c r="Q11" i="11"/>
  <c r="K11" i="11"/>
  <c r="M11" i="11" s="1"/>
  <c r="W9" i="11"/>
  <c r="V9" i="11"/>
  <c r="U9" i="11"/>
  <c r="Y9" i="11" s="1"/>
  <c r="Q9" i="11"/>
  <c r="M9" i="11"/>
  <c r="W8" i="11"/>
  <c r="Y8" i="11" s="1"/>
  <c r="V8" i="11"/>
  <c r="U8" i="11"/>
  <c r="Q8" i="11"/>
  <c r="M8" i="11"/>
  <c r="W7" i="11"/>
  <c r="V7" i="11"/>
  <c r="Y7" i="11" s="1"/>
  <c r="U7" i="11"/>
  <c r="Q7" i="11"/>
  <c r="M7" i="11"/>
  <c r="W6" i="11"/>
  <c r="V6" i="11"/>
  <c r="U6" i="11"/>
  <c r="Q6" i="11"/>
  <c r="M6" i="11"/>
  <c r="W5" i="11"/>
  <c r="V5" i="11"/>
  <c r="U5" i="11"/>
  <c r="Q5" i="11"/>
  <c r="M5" i="11"/>
  <c r="W4" i="11"/>
  <c r="V4" i="11"/>
  <c r="U4" i="11"/>
  <c r="Q4" i="11"/>
  <c r="M4" i="11"/>
  <c r="W3" i="11"/>
  <c r="V3" i="11"/>
  <c r="U3" i="11"/>
  <c r="Q3" i="11"/>
  <c r="M3" i="11"/>
  <c r="AC25" i="2"/>
  <c r="AE25" i="2"/>
  <c r="S32" i="18" l="1"/>
  <c r="U32" i="18" s="1"/>
  <c r="S87" i="2"/>
  <c r="S35" i="19"/>
  <c r="U35" i="19" s="1"/>
  <c r="S46" i="17"/>
  <c r="U46" i="17" s="1"/>
  <c r="AH31" i="16"/>
  <c r="AH32" i="16" s="1"/>
  <c r="AH33" i="16" s="1"/>
  <c r="AH34" i="16" s="1"/>
  <c r="AH35" i="16" s="1"/>
  <c r="AH36" i="16" s="1"/>
  <c r="AH37" i="16" s="1"/>
  <c r="AH38" i="16" s="1"/>
  <c r="AH39" i="16" s="1"/>
  <c r="AH40" i="16" s="1"/>
  <c r="AH41" i="16" s="1"/>
  <c r="AH42" i="16" s="1"/>
  <c r="AH43" i="16" s="1"/>
  <c r="AH44" i="16" s="1"/>
  <c r="AH45" i="16" s="1"/>
  <c r="AH46" i="16" s="1"/>
  <c r="AH47" i="16" s="1"/>
  <c r="AH48" i="16" s="1"/>
  <c r="AH49" i="16" s="1"/>
  <c r="AH50" i="16" s="1"/>
  <c r="AH51" i="16" s="1"/>
  <c r="AH52" i="16" s="1"/>
  <c r="AH53" i="16" s="1"/>
  <c r="AH54" i="16" s="1"/>
  <c r="AH55" i="16" s="1"/>
  <c r="AH56" i="16" s="1"/>
  <c r="AH57" i="16" s="1"/>
  <c r="AH58" i="16" s="1"/>
  <c r="T70" i="16"/>
  <c r="T67" i="16"/>
  <c r="U68" i="16" s="1"/>
  <c r="Z11" i="2"/>
  <c r="Z7" i="2"/>
  <c r="Z34" i="2"/>
  <c r="Y7" i="13"/>
  <c r="R6" i="15"/>
  <c r="W16" i="15"/>
  <c r="R3" i="15"/>
  <c r="Z4" i="15"/>
  <c r="Z5" i="15" s="1"/>
  <c r="Z6" i="15" s="1"/>
  <c r="Z7" i="15" s="1"/>
  <c r="Z8" i="15" s="1"/>
  <c r="Z9" i="15" s="1"/>
  <c r="R5" i="15"/>
  <c r="U89" i="2"/>
  <c r="V89" i="2" s="1"/>
  <c r="R9" i="13"/>
  <c r="R7" i="13"/>
  <c r="R10" i="13"/>
  <c r="R13" i="13"/>
  <c r="R3" i="11"/>
  <c r="R7" i="11"/>
  <c r="R27" i="11"/>
  <c r="Y5" i="11"/>
  <c r="Y13" i="11"/>
  <c r="Z33" i="2"/>
  <c r="Z10" i="2"/>
  <c r="Z6" i="2"/>
  <c r="Z26" i="2"/>
  <c r="Z22" i="2"/>
  <c r="Z18" i="2"/>
  <c r="Z14" i="2"/>
  <c r="R7" i="15"/>
  <c r="V16" i="15"/>
  <c r="R4" i="15"/>
  <c r="U16" i="15"/>
  <c r="U18" i="15" s="1"/>
  <c r="Q16" i="15"/>
  <c r="T16" i="15"/>
  <c r="S16" i="15"/>
  <c r="R3" i="14"/>
  <c r="R8" i="14"/>
  <c r="Q15" i="14"/>
  <c r="U15" i="14"/>
  <c r="U17" i="14" s="1"/>
  <c r="W15" i="14"/>
  <c r="T15" i="14"/>
  <c r="S17" i="14" s="1"/>
  <c r="R6" i="14"/>
  <c r="R10" i="14"/>
  <c r="V15" i="14"/>
  <c r="W17" i="14" s="1"/>
  <c r="O17" i="14"/>
  <c r="Z7" i="13"/>
  <c r="Z8" i="13" s="1"/>
  <c r="Z9" i="13" s="1"/>
  <c r="Z10" i="13" s="1"/>
  <c r="Z11" i="13" s="1"/>
  <c r="Z12" i="13" s="1"/>
  <c r="Z13" i="13" s="1"/>
  <c r="Z14" i="13" s="1"/>
  <c r="Z15" i="13" s="1"/>
  <c r="Z16" i="13" s="1"/>
  <c r="Z17" i="13" s="1"/>
  <c r="Z18" i="13" s="1"/>
  <c r="Z19" i="13" s="1"/>
  <c r="R8" i="13"/>
  <c r="Q25" i="13"/>
  <c r="W25" i="13"/>
  <c r="T25" i="13"/>
  <c r="S27" i="13" s="1"/>
  <c r="R14" i="13"/>
  <c r="R5" i="13"/>
  <c r="R11" i="13"/>
  <c r="K25" i="13"/>
  <c r="O37" i="13" s="1"/>
  <c r="R15" i="13"/>
  <c r="U25" i="13"/>
  <c r="U27" i="13" s="1"/>
  <c r="M25" i="13"/>
  <c r="O30" i="13" s="1"/>
  <c r="P36" i="13" s="1"/>
  <c r="V25" i="13"/>
  <c r="R12" i="13"/>
  <c r="O27" i="13"/>
  <c r="R4" i="13"/>
  <c r="Y6" i="11"/>
  <c r="R16" i="11"/>
  <c r="R19" i="11"/>
  <c r="R23" i="11"/>
  <c r="U47" i="11"/>
  <c r="U49" i="11" s="1"/>
  <c r="R9" i="11"/>
  <c r="R12" i="11"/>
  <c r="R21" i="11"/>
  <c r="V47" i="11"/>
  <c r="R4" i="11"/>
  <c r="S4" i="11" s="1"/>
  <c r="R6" i="11"/>
  <c r="R14" i="11"/>
  <c r="T47" i="11"/>
  <c r="K47" i="11"/>
  <c r="O59" i="11" s="1"/>
  <c r="R17" i="11"/>
  <c r="R24" i="11"/>
  <c r="Q47" i="11"/>
  <c r="W47" i="11"/>
  <c r="R22" i="11"/>
  <c r="R5" i="11"/>
  <c r="R8" i="11"/>
  <c r="R11" i="11"/>
  <c r="R13" i="11"/>
  <c r="R25" i="11"/>
  <c r="M47" i="11"/>
  <c r="O52" i="11" s="1"/>
  <c r="Z9" i="2"/>
  <c r="Z5" i="2"/>
  <c r="Z30" i="2"/>
  <c r="Z21" i="2"/>
  <c r="Z17" i="2"/>
  <c r="Z13" i="2"/>
  <c r="Z8" i="2"/>
  <c r="Z4" i="2"/>
  <c r="Z32" i="2"/>
  <c r="Z23" i="2"/>
  <c r="Z19" i="2"/>
  <c r="Z15" i="2"/>
  <c r="Z29" i="2"/>
  <c r="Z24" i="2"/>
  <c r="Z20" i="2"/>
  <c r="Z31" i="2"/>
  <c r="Z28" i="2"/>
  <c r="Z16" i="2"/>
  <c r="Z25" i="2"/>
  <c r="Z27" i="2"/>
  <c r="Z3" i="2"/>
  <c r="U67" i="16" l="1"/>
  <c r="U70" i="16"/>
  <c r="U88" i="2"/>
  <c r="V88" i="2" s="1"/>
  <c r="W18" i="15"/>
  <c r="R16" i="15"/>
  <c r="U90" i="2"/>
  <c r="V90" i="2" s="1"/>
  <c r="W49" i="11"/>
  <c r="O23" i="15"/>
  <c r="O18" i="15"/>
  <c r="S18" i="15"/>
  <c r="M16" i="15"/>
  <c r="O21" i="15" s="1"/>
  <c r="O22" i="14"/>
  <c r="R15" i="14"/>
  <c r="M15" i="14"/>
  <c r="O20" i="14" s="1"/>
  <c r="O32" i="13"/>
  <c r="P32" i="13" s="1"/>
  <c r="W27" i="13"/>
  <c r="R25" i="13"/>
  <c r="P37" i="13"/>
  <c r="P38" i="13"/>
  <c r="S47" i="11"/>
  <c r="Z4" i="11"/>
  <c r="Z5" i="11" s="1"/>
  <c r="Z6" i="11" s="1"/>
  <c r="Z7" i="11" s="1"/>
  <c r="Z8" i="11" s="1"/>
  <c r="Z9" i="11" s="1"/>
  <c r="Z10" i="11" s="1"/>
  <c r="Z11" i="11" s="1"/>
  <c r="Z12" i="11" s="1"/>
  <c r="Z13" i="11" s="1"/>
  <c r="Z14" i="11" s="1"/>
  <c r="Z15" i="11" s="1"/>
  <c r="Z16" i="11" s="1"/>
  <c r="Z17" i="11" s="1"/>
  <c r="Z18" i="11" s="1"/>
  <c r="Z19" i="11" s="1"/>
  <c r="Z20" i="11" s="1"/>
  <c r="Z21" i="11" s="1"/>
  <c r="Z22" i="11" s="1"/>
  <c r="Z23" i="11" s="1"/>
  <c r="Z24" i="11" s="1"/>
  <c r="Z25" i="11" s="1"/>
  <c r="Z26" i="11" s="1"/>
  <c r="Z27" i="11" s="1"/>
  <c r="Z28" i="11" s="1"/>
  <c r="Z29" i="11" s="1"/>
  <c r="Z30" i="11" s="1"/>
  <c r="Z31" i="11" s="1"/>
  <c r="Z32" i="11" s="1"/>
  <c r="Z33" i="11" s="1"/>
  <c r="Z34" i="11" s="1"/>
  <c r="Z35" i="11" s="1"/>
  <c r="Z36" i="11" s="1"/>
  <c r="Z37" i="11" s="1"/>
  <c r="Z38" i="11" s="1"/>
  <c r="Z39" i="11" s="1"/>
  <c r="Z40" i="11" s="1"/>
  <c r="R47" i="11"/>
  <c r="P59" i="11"/>
  <c r="P60" i="11"/>
  <c r="P58" i="11"/>
  <c r="B13" i="10"/>
  <c r="AE27" i="19" l="1"/>
  <c r="AE24" i="18"/>
  <c r="AE38" i="17"/>
  <c r="AE66" i="16"/>
  <c r="AE79" i="2"/>
  <c r="W19" i="15"/>
  <c r="O22" i="15" s="1"/>
  <c r="P22" i="15" s="1"/>
  <c r="W50" i="11"/>
  <c r="O53" i="11" s="1"/>
  <c r="P53" i="11" s="1"/>
  <c r="W18" i="14"/>
  <c r="W28" i="13"/>
  <c r="O31" i="13" s="1"/>
  <c r="P31" i="13" s="1"/>
  <c r="U87" i="2"/>
  <c r="V87" i="2" s="1"/>
  <c r="P27" i="15"/>
  <c r="P28" i="15"/>
  <c r="P29" i="15"/>
  <c r="P23" i="15"/>
  <c r="P26" i="14"/>
  <c r="P27" i="14"/>
  <c r="P28" i="14"/>
  <c r="P22" i="14"/>
  <c r="S49" i="11"/>
  <c r="O49" i="11"/>
  <c r="O54" i="11"/>
  <c r="P54" i="11" s="1"/>
  <c r="O55" i="11" l="1"/>
  <c r="P55" i="11" s="1"/>
  <c r="T41" i="17"/>
  <c r="U41" i="17" s="1"/>
  <c r="T43" i="17"/>
  <c r="U43" i="17" s="1"/>
  <c r="T27" i="18"/>
  <c r="U27" i="18" s="1"/>
  <c r="T29" i="18"/>
  <c r="U29" i="18" s="1"/>
  <c r="T71" i="16"/>
  <c r="U71" i="16" s="1"/>
  <c r="T69" i="16"/>
  <c r="U69" i="16" s="1"/>
  <c r="T30" i="19"/>
  <c r="U30" i="19" s="1"/>
  <c r="T32" i="19"/>
  <c r="U32" i="19" s="1"/>
  <c r="O24" i="15"/>
  <c r="P24" i="15" s="1"/>
  <c r="O23" i="14"/>
  <c r="P23" i="14" s="1"/>
  <c r="O21" i="14"/>
  <c r="P21" i="14" s="1"/>
  <c r="O33" i="13"/>
  <c r="P33" i="13" s="1"/>
  <c r="AC24" i="2"/>
  <c r="AE24" i="2"/>
  <c r="AC23" i="2"/>
  <c r="AE23" i="2"/>
  <c r="AE22" i="2"/>
  <c r="AC22" i="2"/>
  <c r="AE21" i="2"/>
  <c r="AC21" i="2"/>
  <c r="AE20" i="2"/>
  <c r="AC20" i="2"/>
  <c r="AE19" i="2"/>
  <c r="AC19" i="2"/>
  <c r="AE18" i="2" l="1"/>
  <c r="AC18" i="2"/>
  <c r="AE17" i="2"/>
  <c r="AC17" i="2"/>
  <c r="AC16" i="2"/>
  <c r="AE16" i="2"/>
  <c r="G76" i="2" l="1"/>
  <c r="AE8" i="2"/>
  <c r="AC8" i="2"/>
  <c r="AE7" i="2"/>
  <c r="AC7" i="2"/>
  <c r="AE6" i="2"/>
  <c r="AC6" i="2"/>
  <c r="AE5" i="2"/>
  <c r="AC5" i="2"/>
  <c r="AE4" i="2"/>
  <c r="AC4" i="2"/>
  <c r="AE3" i="2"/>
  <c r="AC3" i="2"/>
  <c r="AA5" i="2"/>
  <c r="AA76" i="2" s="1"/>
  <c r="T82" i="2" s="1"/>
  <c r="M12" i="2"/>
  <c r="R12" i="2" s="1"/>
  <c r="AE10" i="2"/>
  <c r="AE11" i="2"/>
  <c r="AE12" i="2"/>
  <c r="AE13" i="2"/>
  <c r="AE14" i="2"/>
  <c r="AE15" i="2"/>
  <c r="AE9" i="2"/>
  <c r="AC15" i="2"/>
  <c r="AC10" i="2"/>
  <c r="AC14" i="2"/>
  <c r="AC13" i="2"/>
  <c r="AC12" i="2"/>
  <c r="AC11" i="2"/>
  <c r="AC9" i="2"/>
  <c r="M76" i="2" l="1"/>
  <c r="AE76" i="2"/>
  <c r="AC76" i="2"/>
  <c r="AC78" i="2" s="1"/>
  <c r="AD76" i="2"/>
  <c r="AB76" i="2"/>
  <c r="T83" i="2" l="1"/>
  <c r="Z12" i="2"/>
  <c r="Z76" i="2" s="1"/>
  <c r="T80" i="2" s="1"/>
  <c r="R76" i="2"/>
  <c r="AE78" i="2"/>
  <c r="T84" i="2" s="1"/>
  <c r="AA78" i="2"/>
  <c r="T81" i="2" l="1"/>
  <c r="U81" i="2" s="1"/>
  <c r="Q77" i="2"/>
  <c r="P77" i="2"/>
  <c r="O77" i="2"/>
  <c r="N77" i="2"/>
  <c r="M77" i="2"/>
  <c r="U84" i="2"/>
  <c r="U83" i="2"/>
  <c r="U80" i="2"/>
  <c r="U82" i="2"/>
</calcChain>
</file>

<file path=xl/sharedStrings.xml><?xml version="1.0" encoding="utf-8"?>
<sst xmlns="http://schemas.openxmlformats.org/spreadsheetml/2006/main" count="1353" uniqueCount="148">
  <si>
    <t>No. Pesanan</t>
  </si>
  <si>
    <t>Nama Pelanggan</t>
  </si>
  <si>
    <t>212 Mart</t>
  </si>
  <si>
    <t>Tarif Ojek</t>
  </si>
  <si>
    <t>Eka</t>
  </si>
  <si>
    <t>Total Belanja</t>
  </si>
  <si>
    <t>Irna</t>
  </si>
  <si>
    <t>Samin</t>
  </si>
  <si>
    <t>Indri</t>
  </si>
  <si>
    <t>Triesnia</t>
  </si>
  <si>
    <t>Afia</t>
  </si>
  <si>
    <t>Lucy</t>
  </si>
  <si>
    <t>Yuli</t>
  </si>
  <si>
    <t>Transfer/ Cash</t>
  </si>
  <si>
    <t>Cash</t>
  </si>
  <si>
    <t>Transfer</t>
  </si>
  <si>
    <t>Niniek (Bu Sundari)</t>
  </si>
  <si>
    <t>Yudi</t>
  </si>
  <si>
    <t>Novri</t>
  </si>
  <si>
    <t>Meliyanti</t>
  </si>
  <si>
    <t>Ira</t>
  </si>
  <si>
    <t>Amy</t>
  </si>
  <si>
    <t>Henny</t>
  </si>
  <si>
    <t>Total Bayar</t>
  </si>
  <si>
    <t>Donasi Pelanggan</t>
  </si>
  <si>
    <t>Bagi Hasil Ojek
(80%)</t>
  </si>
  <si>
    <t>Bagi Hasil Koord. Pasar
(80%)</t>
  </si>
  <si>
    <t>Bagi Hasil PAS dari Ojek (20%)</t>
  </si>
  <si>
    <t>Bagi Hasil PAS dari Koord. Pasar (20%)</t>
  </si>
  <si>
    <t>Tanggal</t>
  </si>
  <si>
    <t>Pasar Nusantara</t>
  </si>
  <si>
    <t>Total Pendapatan Usaha</t>
  </si>
  <si>
    <t>Total Pendapatan Ojek</t>
  </si>
  <si>
    <t>Total Pendapatan Koord. Pasar</t>
  </si>
  <si>
    <t>Ojek</t>
  </si>
  <si>
    <t>TOTAL</t>
  </si>
  <si>
    <t>Posisi Uang</t>
  </si>
  <si>
    <t>Saldo Samin</t>
  </si>
  <si>
    <t>Tambah/Kurang</t>
  </si>
  <si>
    <t>Modal awal</t>
  </si>
  <si>
    <t>Nalangin Belanjaan Lucy</t>
  </si>
  <si>
    <t>Perusahaan</t>
  </si>
  <si>
    <t>Lebihan belanjaan Lucy</t>
  </si>
  <si>
    <t>Saldo Indri</t>
  </si>
  <si>
    <t>Bunda Nara</t>
  </si>
  <si>
    <t>Andri</t>
  </si>
  <si>
    <t>No. Per Hari</t>
  </si>
  <si>
    <t>Sinta</t>
  </si>
  <si>
    <t>Cholifah</t>
  </si>
  <si>
    <t>Anisa/ Zahra</t>
  </si>
  <si>
    <t>Other</t>
  </si>
  <si>
    <t>Saldo Andri</t>
  </si>
  <si>
    <t>Talangin Cholifah</t>
  </si>
  <si>
    <t>Total Pendapatan Bagi Hasil Perusahaan</t>
  </si>
  <si>
    <t>Penyelesaian</t>
  </si>
  <si>
    <t>Jumlah</t>
  </si>
  <si>
    <t>Total Donasi Pasar</t>
  </si>
  <si>
    <t>Total Pendapatan Ojek &amp; Koord. Pasar</t>
  </si>
  <si>
    <t>Total Profit Perusahaan (belum dikurangi komisi Admin)</t>
  </si>
  <si>
    <t>Total Pendapatan Jasa</t>
  </si>
  <si>
    <t>%</t>
  </si>
  <si>
    <t>Pasar</t>
  </si>
  <si>
    <t>Donasi 212 Mart 17 Apr</t>
  </si>
  <si>
    <t>Saldo Yudi</t>
  </si>
  <si>
    <t>Total Belanja
212 Mart</t>
  </si>
  <si>
    <t>Total Belanja
Pasar Nusantara</t>
  </si>
  <si>
    <t>Total Belanja
Others</t>
  </si>
  <si>
    <t>Total Belanja Semua</t>
  </si>
  <si>
    <t>Tarif Market Tambahan</t>
  </si>
  <si>
    <t>Total Tarif Layanan</t>
  </si>
  <si>
    <t>Elly</t>
  </si>
  <si>
    <t>Fella</t>
  </si>
  <si>
    <t>Sunirah</t>
  </si>
  <si>
    <t>Tarif Tambahan Kios Pasar</t>
  </si>
  <si>
    <t>Atiek</t>
  </si>
  <si>
    <t>Penghasilan Ojek &amp; Koord Pasar</t>
  </si>
  <si>
    <t>Total Pembayaran</t>
  </si>
  <si>
    <t>Melly, Dahlia 3</t>
  </si>
  <si>
    <t>Yaya, Kecapi 7</t>
  </si>
  <si>
    <t>Budiyanto, Deltamas</t>
  </si>
  <si>
    <t>Bunda Fira, Anyelir Barat</t>
  </si>
  <si>
    <t>Bunda Dzaki, Cendana 2</t>
  </si>
  <si>
    <t>Sinta Kelana, Taman Nirwana</t>
  </si>
  <si>
    <t>Atiek, Melati Ujung 1</t>
  </si>
  <si>
    <t>Eka, Cemara Baru 5</t>
  </si>
  <si>
    <t>Dyta, Dahlia 2</t>
  </si>
  <si>
    <t>Nalangin Bunda Dzaki, Cendana 2</t>
  </si>
  <si>
    <t>Nalangin Atiek, Melati Ujung 1</t>
  </si>
  <si>
    <t>Donasi pedagang</t>
  </si>
  <si>
    <t>Yesi, Taman 7</t>
  </si>
  <si>
    <t>Sinta, Taman Nirwana</t>
  </si>
  <si>
    <t>Dian, Nusantara 1</t>
  </si>
  <si>
    <t>Per Hari</t>
  </si>
  <si>
    <t>Per Bulan (25 hari)</t>
  </si>
  <si>
    <t>Hari Bergabung</t>
  </si>
  <si>
    <t>Ida, Dahlia 7</t>
  </si>
  <si>
    <t>Yeti, Sabrina Azzura</t>
  </si>
  <si>
    <t>Pas Send</t>
  </si>
  <si>
    <t>PasMart
Pasar Nusantara</t>
  </si>
  <si>
    <t>PasMart
212 Mart</t>
  </si>
  <si>
    <t>PasFood</t>
  </si>
  <si>
    <t>Pasmart
Own</t>
  </si>
  <si>
    <t>PasMart Other</t>
  </si>
  <si>
    <t>Total PasMart
Pasar Nusantara</t>
  </si>
  <si>
    <t>Total PasMart
212 Mart</t>
  </si>
  <si>
    <t>Total PasMart
Own</t>
  </si>
  <si>
    <t>Total PasMart
Other</t>
  </si>
  <si>
    <t>Total PasFood</t>
  </si>
  <si>
    <t>Tarif PasMart Ojek</t>
  </si>
  <si>
    <t>Tarif PasMart Tambahan Kios Pasar</t>
  </si>
  <si>
    <t>Tarif PasMart Tambahan Market</t>
  </si>
  <si>
    <t>Tarif PasFood</t>
  </si>
  <si>
    <t>Tarif PasFood Tambahan Kuliner</t>
  </si>
  <si>
    <t>Tarif PasSend</t>
  </si>
  <si>
    <t>Tips Pelanggan</t>
  </si>
  <si>
    <t>Total Tarif PasMart</t>
  </si>
  <si>
    <t>Lebihan belanjaan Lucy dari Samin</t>
  </si>
  <si>
    <t>Talangin Bunda Nara</t>
  </si>
  <si>
    <t>Note</t>
  </si>
  <si>
    <t>Transferan sudah langsung diberikan</t>
  </si>
  <si>
    <t>Tambahan kios pasar dibagi 2 dengan Yudi @Rp 6.000</t>
  </si>
  <si>
    <t>Tambahan kios pasar dibagi 2 dengan Indri @Rp 6.000</t>
  </si>
  <si>
    <t>Donasi 212 Mart</t>
  </si>
  <si>
    <t>Dianggap tips pelanggan</t>
  </si>
  <si>
    <t>Nalangin transferan</t>
  </si>
  <si>
    <t>Donasi pedagang 18-19 April 2020</t>
  </si>
  <si>
    <t>Terkait Samin</t>
  </si>
  <si>
    <t>Modal Awal</t>
  </si>
  <si>
    <t>Nalangin Lucy</t>
  </si>
  <si>
    <t>Dyta kurang transfer 10.000</t>
  </si>
  <si>
    <t>Bolak-balik 2 tapi lebihnya dihitung sebagai donasi</t>
  </si>
  <si>
    <t>Ummu Nada, Puri Kencana Pengasinan</t>
  </si>
  <si>
    <t>Rena, Taman Nirwana</t>
  </si>
  <si>
    <t>Cholifah, Taman Nirwana</t>
  </si>
  <si>
    <t>Ami Nurhayati, Garuda 3</t>
  </si>
  <si>
    <t>Niniek (Bu Sundoro)</t>
  </si>
  <si>
    <t>Henny, Setia Mekar</t>
  </si>
  <si>
    <t>Irna, Rambutan</t>
  </si>
  <si>
    <t>Ira, Premier Residence 2</t>
  </si>
  <si>
    <t>Tips berupa paket sembako senilai 60.000</t>
  </si>
  <si>
    <t>Tidak dikenakan tarif</t>
  </si>
  <si>
    <t>Dede Ena, Taman Nirwana</t>
  </si>
  <si>
    <t>Feby Halim, Pesona Jatimulya</t>
  </si>
  <si>
    <t>Sunirah, Taman Raflesia</t>
  </si>
  <si>
    <t>Amelya, Kecapi 8</t>
  </si>
  <si>
    <t>Zahra, Kecapi 7</t>
  </si>
  <si>
    <t>Eka Oktia, Camara Baru 5</t>
  </si>
  <si>
    <t>Lucy, Taman Raflesia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</si>
</sst>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164" formatCode="0.0%"/>
  </numFmts>
  <fonts count="1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b/>
      <sz val="16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41" fontId="0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1" fontId="0" fillId="0" borderId="0" xfId="0" applyNumberFormat="1"/>
    <xf numFmtId="41" fontId="3" fillId="0" borderId="0" xfId="1" applyFont="1" applyAlignment="1">
      <alignment horizontal="center" vertical="center"/>
    </xf>
    <xf numFmtId="41" fontId="4" fillId="0" borderId="0" xfId="1" applyFont="1" applyAlignment="1">
      <alignment horizontal="center" vertical="center"/>
    </xf>
    <xf numFmtId="15" fontId="0" fillId="0" borderId="0" xfId="0" applyNumberFormat="1"/>
    <xf numFmtId="41" fontId="0" fillId="0" borderId="0" xfId="1" applyFont="1" applyAlignment="1">
      <alignment horizontal="center"/>
    </xf>
    <xf numFmtId="41" fontId="3" fillId="0" borderId="0" xfId="1" applyFont="1" applyAlignment="1">
      <alignment horizontal="center" vertical="center" wrapText="1"/>
    </xf>
    <xf numFmtId="41" fontId="5" fillId="0" borderId="0" xfId="0" applyNumberFormat="1" applyFont="1" applyAlignment="1">
      <alignment vertical="center"/>
    </xf>
    <xf numFmtId="41" fontId="0" fillId="0" borderId="0" xfId="0" applyNumberFormat="1" applyAlignment="1">
      <alignment horizontal="center" vertical="center" wrapText="1"/>
    </xf>
    <xf numFmtId="41" fontId="0" fillId="0" borderId="0" xfId="0" applyNumberFormat="1" applyAlignment="1">
      <alignment horizontal="center"/>
    </xf>
    <xf numFmtId="41" fontId="5" fillId="0" borderId="0" xfId="0" applyNumberFormat="1" applyFont="1"/>
    <xf numFmtId="41" fontId="6" fillId="0" borderId="0" xfId="1" applyFont="1" applyAlignment="1">
      <alignment horizontal="center" vertical="center"/>
    </xf>
    <xf numFmtId="41" fontId="6" fillId="0" borderId="0" xfId="0" applyNumberFormat="1" applyFont="1" applyAlignment="1">
      <alignment vertical="center"/>
    </xf>
    <xf numFmtId="41" fontId="6" fillId="0" borderId="0" xfId="1" applyFont="1" applyAlignment="1">
      <alignment horizontal="center" vertical="center" wrapText="1"/>
    </xf>
    <xf numFmtId="41" fontId="7" fillId="0" borderId="0" xfId="1" applyFont="1" applyAlignment="1">
      <alignment horizontal="center" vertical="center"/>
    </xf>
    <xf numFmtId="41" fontId="8" fillId="0" borderId="0" xfId="1" applyFont="1" applyAlignment="1">
      <alignment horizontal="center" vertical="center" wrapText="1"/>
    </xf>
    <xf numFmtId="10" fontId="0" fillId="0" borderId="0" xfId="2" applyNumberFormat="1" applyFont="1" applyAlignment="1">
      <alignment horizontal="center" vertical="center"/>
    </xf>
    <xf numFmtId="41" fontId="6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1" fontId="6" fillId="0" borderId="1" xfId="1" applyFont="1" applyBorder="1" applyAlignment="1">
      <alignment horizontal="center" vertical="center"/>
    </xf>
    <xf numFmtId="10" fontId="4" fillId="0" borderId="1" xfId="2" applyNumberFormat="1" applyFont="1" applyBorder="1" applyAlignment="1">
      <alignment horizontal="center" vertical="center"/>
    </xf>
    <xf numFmtId="41" fontId="0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41" fontId="0" fillId="0" borderId="0" xfId="1" applyFont="1" applyAlignment="1">
      <alignment horizontal="center" vertical="center" wrapText="1"/>
    </xf>
    <xf numFmtId="41" fontId="0" fillId="0" borderId="0" xfId="0" applyNumberFormat="1" applyAlignment="1">
      <alignment horizontal="center" vertical="center"/>
    </xf>
    <xf numFmtId="9" fontId="4" fillId="0" borderId="1" xfId="2" applyFont="1" applyBorder="1" applyAlignment="1">
      <alignment horizontal="center" vertical="center"/>
    </xf>
    <xf numFmtId="41" fontId="0" fillId="0" borderId="0" xfId="1" applyFont="1" applyAlignment="1">
      <alignment horizontal="center" wrapText="1"/>
    </xf>
    <xf numFmtId="41" fontId="8" fillId="0" borderId="0" xfId="1" applyFont="1" applyBorder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9" fontId="4" fillId="0" borderId="0" xfId="2" applyFont="1" applyBorder="1" applyAlignment="1">
      <alignment horizontal="center" vertical="center"/>
    </xf>
    <xf numFmtId="10" fontId="4" fillId="0" borderId="0" xfId="2" applyNumberFormat="1" applyFont="1" applyBorder="1" applyAlignment="1">
      <alignment horizontal="center" vertical="center"/>
    </xf>
    <xf numFmtId="9" fontId="0" fillId="0" borderId="0" xfId="2" applyFont="1" applyAlignment="1">
      <alignment horizontal="center" vertical="center"/>
    </xf>
    <xf numFmtId="9" fontId="0" fillId="0" borderId="0" xfId="2" applyNumberFormat="1" applyFont="1" applyAlignment="1">
      <alignment horizontal="center" vertical="center"/>
    </xf>
    <xf numFmtId="41" fontId="0" fillId="0" borderId="0" xfId="2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4" fillId="0" borderId="1" xfId="2" applyNumberFormat="1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41" fontId="0" fillId="2" borderId="0" xfId="1" applyFont="1" applyFill="1" applyAlignment="1">
      <alignment horizontal="center" vertical="center"/>
    </xf>
    <xf numFmtId="41" fontId="7" fillId="2" borderId="0" xfId="1" applyFont="1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41" fontId="0" fillId="2" borderId="0" xfId="0" applyNumberFormat="1" applyFill="1"/>
    <xf numFmtId="0" fontId="0" fillId="2" borderId="0" xfId="0" applyFill="1"/>
    <xf numFmtId="41" fontId="4" fillId="2" borderId="0" xfId="1" applyFont="1" applyFill="1" applyAlignment="1">
      <alignment horizontal="center" vertical="center"/>
    </xf>
    <xf numFmtId="41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5" fontId="0" fillId="0" borderId="0" xfId="0" applyNumberFormat="1" applyAlignment="1">
      <alignment vertical="center"/>
    </xf>
    <xf numFmtId="41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1" fontId="8" fillId="0" borderId="1" xfId="1" applyFont="1" applyBorder="1" applyAlignment="1">
      <alignment horizontal="center" vertical="center" wrapText="1"/>
    </xf>
    <xf numFmtId="41" fontId="10" fillId="0" borderId="0" xfId="1" applyFont="1" applyAlignment="1">
      <alignment horizontal="center" vertical="center"/>
    </xf>
    <xf numFmtId="41" fontId="11" fillId="0" borderId="0" xfId="1" applyFont="1" applyAlignment="1">
      <alignment horizontal="center" vertical="center"/>
    </xf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95"/>
  <sheetViews>
    <sheetView tabSelected="1" zoomScale="80" zoomScaleNormal="80" workbookViewId="0">
      <pane xSplit="6" ySplit="2" topLeftCell="R79" activePane="bottomRight" state="frozen"/>
      <selection pane="topRight" activeCell="G1" sqref="G1"/>
      <selection pane="bottomLeft" activeCell="A3" sqref="A3"/>
      <selection pane="bottomRight" activeCell="R93" sqref="R93:T95"/>
    </sheetView>
  </sheetViews>
  <sheetFormatPr defaultRowHeight="15" x14ac:dyDescent="0.25"/>
  <cols>
    <col min="1" max="1" width="10.7109375" style="52" customWidth="1"/>
    <col min="2" max="3" width="6.140625" style="41" customWidth="1"/>
    <col min="4" max="4" width="27" style="4" customWidth="1"/>
    <col min="5" max="5" width="14.7109375" style="41" customWidth="1"/>
    <col min="6" max="6" width="9.42578125" style="41" customWidth="1"/>
    <col min="7" max="12" width="7.28515625" style="4" customWidth="1"/>
    <col min="13" max="21" width="17.42578125" style="41" customWidth="1"/>
    <col min="22" max="22" width="20.42578125" style="41" customWidth="1"/>
    <col min="23" max="27" width="17.42578125" style="41" customWidth="1"/>
    <col min="28" max="28" width="19.140625" style="41" customWidth="1"/>
    <col min="29" max="30" width="17.42578125" style="41" customWidth="1"/>
    <col min="31" max="31" width="19.85546875" style="52" customWidth="1"/>
    <col min="32" max="32" width="15.7109375" style="52" customWidth="1"/>
    <col min="33" max="16384" width="9.140625" style="52"/>
  </cols>
  <sheetData>
    <row r="2" spans="1:32" s="5" customFormat="1" ht="48" x14ac:dyDescent="0.25">
      <c r="A2" s="5" t="s">
        <v>29</v>
      </c>
      <c r="B2" s="4" t="s">
        <v>0</v>
      </c>
      <c r="C2" s="4" t="s">
        <v>46</v>
      </c>
      <c r="D2" s="4" t="s">
        <v>1</v>
      </c>
      <c r="E2" s="4" t="s">
        <v>34</v>
      </c>
      <c r="F2" s="4" t="s">
        <v>13</v>
      </c>
      <c r="G2" s="7" t="s">
        <v>98</v>
      </c>
      <c r="H2" s="7" t="s">
        <v>99</v>
      </c>
      <c r="I2" s="7" t="s">
        <v>101</v>
      </c>
      <c r="J2" s="7" t="s">
        <v>102</v>
      </c>
      <c r="K2" s="7" t="s">
        <v>100</v>
      </c>
      <c r="L2" s="7" t="s">
        <v>97</v>
      </c>
      <c r="M2" s="7" t="s">
        <v>103</v>
      </c>
      <c r="N2" s="7" t="s">
        <v>104</v>
      </c>
      <c r="O2" s="7" t="s">
        <v>105</v>
      </c>
      <c r="P2" s="7" t="s">
        <v>106</v>
      </c>
      <c r="Q2" s="7" t="s">
        <v>107</v>
      </c>
      <c r="R2" s="44" t="s">
        <v>67</v>
      </c>
      <c r="S2" s="35" t="s">
        <v>108</v>
      </c>
      <c r="T2" s="35" t="s">
        <v>109</v>
      </c>
      <c r="U2" s="35" t="s">
        <v>110</v>
      </c>
      <c r="V2" s="35" t="s">
        <v>111</v>
      </c>
      <c r="W2" s="35" t="s">
        <v>112</v>
      </c>
      <c r="X2" s="35" t="s">
        <v>113</v>
      </c>
      <c r="Y2" s="44" t="s">
        <v>69</v>
      </c>
      <c r="Z2" s="29" t="s">
        <v>23</v>
      </c>
      <c r="AA2" s="4" t="s">
        <v>114</v>
      </c>
      <c r="AB2" s="4" t="s">
        <v>25</v>
      </c>
      <c r="AC2" s="4" t="s">
        <v>26</v>
      </c>
      <c r="AD2" s="47" t="s">
        <v>27</v>
      </c>
      <c r="AE2" s="47" t="s">
        <v>28</v>
      </c>
      <c r="AF2" s="4" t="s">
        <v>118</v>
      </c>
    </row>
    <row r="3" spans="1:32" s="5" customFormat="1" x14ac:dyDescent="0.25">
      <c r="A3" s="53">
        <v>43936</v>
      </c>
      <c r="B3" s="41">
        <v>1</v>
      </c>
      <c r="C3" s="41">
        <v>1</v>
      </c>
      <c r="D3" s="4" t="s">
        <v>4</v>
      </c>
      <c r="E3" s="6" t="s">
        <v>7</v>
      </c>
      <c r="F3" s="6" t="s">
        <v>14</v>
      </c>
      <c r="G3" s="4">
        <v>2</v>
      </c>
      <c r="H3" s="4"/>
      <c r="I3" s="4"/>
      <c r="J3" s="4"/>
      <c r="K3" s="4"/>
      <c r="L3" s="4"/>
      <c r="M3" s="6">
        <v>210000</v>
      </c>
      <c r="N3" s="6"/>
      <c r="O3" s="6"/>
      <c r="P3" s="6"/>
      <c r="Q3" s="6"/>
      <c r="R3" s="45">
        <f>M3+N3+O3+P3+Q3</f>
        <v>210000</v>
      </c>
      <c r="S3" s="6">
        <v>10000</v>
      </c>
      <c r="T3" s="6">
        <v>2000</v>
      </c>
      <c r="U3" s="6"/>
      <c r="V3" s="6"/>
      <c r="W3" s="6"/>
      <c r="X3" s="6"/>
      <c r="Y3" s="45">
        <f>SUM(S3:X3)</f>
        <v>12000</v>
      </c>
      <c r="Z3" s="6">
        <f>R3+Y3</f>
        <v>222000</v>
      </c>
      <c r="AA3" s="6">
        <v>0</v>
      </c>
      <c r="AB3" s="6">
        <f>(S3+U3)*80%</f>
        <v>8000</v>
      </c>
      <c r="AC3" s="6">
        <f t="shared" ref="AC3:AC8" si="0">T3*80%</f>
        <v>1600</v>
      </c>
      <c r="AD3" s="45">
        <f>(S3+U3+V3+W3+X3)*20%</f>
        <v>2000</v>
      </c>
      <c r="AE3" s="54">
        <f t="shared" ref="AE3:AE8" si="1">T3*20%</f>
        <v>400</v>
      </c>
    </row>
    <row r="4" spans="1:32" s="5" customFormat="1" x14ac:dyDescent="0.25">
      <c r="A4" s="53">
        <v>43936</v>
      </c>
      <c r="B4" s="41">
        <v>2</v>
      </c>
      <c r="C4" s="41">
        <v>2</v>
      </c>
      <c r="D4" s="4" t="s">
        <v>6</v>
      </c>
      <c r="E4" s="6" t="s">
        <v>8</v>
      </c>
      <c r="F4" s="6" t="s">
        <v>15</v>
      </c>
      <c r="G4" s="4">
        <v>6</v>
      </c>
      <c r="H4" s="4"/>
      <c r="I4" s="4"/>
      <c r="J4" s="4"/>
      <c r="K4" s="4"/>
      <c r="L4" s="4"/>
      <c r="M4" s="6">
        <v>325000</v>
      </c>
      <c r="N4" s="6"/>
      <c r="O4" s="6"/>
      <c r="P4" s="6"/>
      <c r="Q4" s="6"/>
      <c r="R4" s="45">
        <f t="shared" ref="R4:R63" si="2">M4+N4+O4+P4+Q4</f>
        <v>325000</v>
      </c>
      <c r="S4" s="6">
        <v>10000</v>
      </c>
      <c r="T4" s="6">
        <v>10000</v>
      </c>
      <c r="U4" s="6"/>
      <c r="V4" s="6"/>
      <c r="W4" s="6"/>
      <c r="X4" s="6"/>
      <c r="Y4" s="45">
        <f t="shared" ref="Y4:Y56" si="3">SUM(S4:X4)</f>
        <v>20000</v>
      </c>
      <c r="Z4" s="6">
        <f t="shared" ref="Z4:Z56" si="4">R4+Y4</f>
        <v>345000</v>
      </c>
      <c r="AA4" s="6">
        <v>5000</v>
      </c>
      <c r="AB4" s="6">
        <f t="shared" ref="AB4:AB32" si="5">(S4+U4)*80%</f>
        <v>8000</v>
      </c>
      <c r="AC4" s="6">
        <f t="shared" si="0"/>
        <v>8000</v>
      </c>
      <c r="AD4" s="45">
        <f>(S4+U4+V4+W4+X4)*20%</f>
        <v>2000</v>
      </c>
      <c r="AE4" s="54">
        <f t="shared" si="1"/>
        <v>2000</v>
      </c>
    </row>
    <row r="5" spans="1:32" s="5" customFormat="1" x14ac:dyDescent="0.25">
      <c r="A5" s="53">
        <v>43936</v>
      </c>
      <c r="B5" s="41">
        <v>3</v>
      </c>
      <c r="C5" s="41">
        <v>3</v>
      </c>
      <c r="D5" s="4" t="s">
        <v>9</v>
      </c>
      <c r="E5" s="6" t="s">
        <v>8</v>
      </c>
      <c r="F5" s="6" t="s">
        <v>15</v>
      </c>
      <c r="G5" s="4"/>
      <c r="H5" s="4">
        <v>1</v>
      </c>
      <c r="I5" s="4"/>
      <c r="J5" s="4"/>
      <c r="K5" s="4"/>
      <c r="L5" s="4"/>
      <c r="M5" s="6"/>
      <c r="N5" s="6">
        <v>316200</v>
      </c>
      <c r="O5" s="6"/>
      <c r="P5" s="6"/>
      <c r="Q5" s="6"/>
      <c r="R5" s="45">
        <f t="shared" si="2"/>
        <v>316200</v>
      </c>
      <c r="S5" s="6">
        <v>10000</v>
      </c>
      <c r="T5" s="6">
        <v>0</v>
      </c>
      <c r="U5" s="6"/>
      <c r="V5" s="6"/>
      <c r="W5" s="6"/>
      <c r="X5" s="6"/>
      <c r="Y5" s="45">
        <f t="shared" si="3"/>
        <v>10000</v>
      </c>
      <c r="Z5" s="6">
        <f t="shared" si="4"/>
        <v>326200</v>
      </c>
      <c r="AA5" s="6">
        <f>340000-T5-Z5</f>
        <v>13800</v>
      </c>
      <c r="AB5" s="6">
        <f t="shared" si="5"/>
        <v>8000</v>
      </c>
      <c r="AC5" s="6">
        <f t="shared" si="0"/>
        <v>0</v>
      </c>
      <c r="AD5" s="45">
        <f>(S5+U5+V5+W5+X5)*20%</f>
        <v>2000</v>
      </c>
      <c r="AE5" s="54">
        <f t="shared" si="1"/>
        <v>0</v>
      </c>
    </row>
    <row r="6" spans="1:32" s="5" customFormat="1" x14ac:dyDescent="0.25">
      <c r="A6" s="53">
        <v>43936</v>
      </c>
      <c r="B6" s="41">
        <v>4</v>
      </c>
      <c r="C6" s="41">
        <v>4</v>
      </c>
      <c r="D6" s="4" t="s">
        <v>10</v>
      </c>
      <c r="E6" s="6" t="s">
        <v>8</v>
      </c>
      <c r="F6" s="6" t="s">
        <v>14</v>
      </c>
      <c r="G6" s="4">
        <v>3</v>
      </c>
      <c r="H6" s="4"/>
      <c r="I6" s="4"/>
      <c r="J6" s="4"/>
      <c r="K6" s="4"/>
      <c r="L6" s="4"/>
      <c r="M6" s="6">
        <v>191000</v>
      </c>
      <c r="R6" s="45">
        <f t="shared" si="2"/>
        <v>191000</v>
      </c>
      <c r="S6" s="6">
        <v>10000</v>
      </c>
      <c r="T6" s="6">
        <v>4000</v>
      </c>
      <c r="U6" s="6"/>
      <c r="V6" s="6"/>
      <c r="W6" s="6"/>
      <c r="X6" s="6"/>
      <c r="Y6" s="45">
        <f t="shared" si="3"/>
        <v>14000</v>
      </c>
      <c r="Z6" s="6">
        <f t="shared" si="4"/>
        <v>205000</v>
      </c>
      <c r="AA6" s="6">
        <v>0</v>
      </c>
      <c r="AB6" s="6">
        <f t="shared" si="5"/>
        <v>8000</v>
      </c>
      <c r="AC6" s="6">
        <f t="shared" si="0"/>
        <v>3200</v>
      </c>
      <c r="AD6" s="45">
        <f>(S6+U6+V6+W6+X6)*20%</f>
        <v>2000</v>
      </c>
      <c r="AE6" s="54">
        <f t="shared" si="1"/>
        <v>800</v>
      </c>
    </row>
    <row r="7" spans="1:32" s="5" customFormat="1" x14ac:dyDescent="0.25">
      <c r="A7" s="53">
        <v>43936</v>
      </c>
      <c r="B7" s="41">
        <v>5</v>
      </c>
      <c r="C7" s="41">
        <v>5</v>
      </c>
      <c r="D7" s="4" t="s">
        <v>11</v>
      </c>
      <c r="E7" s="6" t="s">
        <v>8</v>
      </c>
      <c r="F7" s="6" t="s">
        <v>14</v>
      </c>
      <c r="G7" s="4">
        <v>3</v>
      </c>
      <c r="H7" s="4"/>
      <c r="I7" s="4"/>
      <c r="J7" s="4"/>
      <c r="K7" s="4"/>
      <c r="L7" s="4"/>
      <c r="M7" s="6">
        <v>58000</v>
      </c>
      <c r="R7" s="45">
        <f t="shared" si="2"/>
        <v>58000</v>
      </c>
      <c r="S7" s="6">
        <v>10000</v>
      </c>
      <c r="T7" s="6">
        <v>4000</v>
      </c>
      <c r="U7" s="6"/>
      <c r="V7" s="6"/>
      <c r="W7" s="6"/>
      <c r="X7" s="6"/>
      <c r="Y7" s="45">
        <f t="shared" si="3"/>
        <v>14000</v>
      </c>
      <c r="Z7" s="6">
        <f t="shared" si="4"/>
        <v>72000</v>
      </c>
      <c r="AA7" s="6">
        <v>4000</v>
      </c>
      <c r="AB7" s="6">
        <f t="shared" si="5"/>
        <v>8000</v>
      </c>
      <c r="AC7" s="6">
        <f t="shared" si="0"/>
        <v>3200</v>
      </c>
      <c r="AD7" s="45">
        <f>(S7+U7+V7+W7+X7)*20%</f>
        <v>2000</v>
      </c>
      <c r="AE7" s="54">
        <f t="shared" si="1"/>
        <v>800</v>
      </c>
    </row>
    <row r="8" spans="1:32" s="5" customFormat="1" x14ac:dyDescent="0.25">
      <c r="A8" s="53">
        <v>43936</v>
      </c>
      <c r="B8" s="41">
        <v>6</v>
      </c>
      <c r="C8" s="41">
        <v>6</v>
      </c>
      <c r="D8" s="4" t="s">
        <v>12</v>
      </c>
      <c r="E8" s="6" t="s">
        <v>8</v>
      </c>
      <c r="F8" s="6" t="s">
        <v>14</v>
      </c>
      <c r="G8" s="4"/>
      <c r="H8" s="4">
        <v>1</v>
      </c>
      <c r="I8" s="4"/>
      <c r="J8" s="4"/>
      <c r="K8" s="4"/>
      <c r="L8" s="4"/>
      <c r="M8" s="6"/>
      <c r="N8" s="6">
        <v>377600</v>
      </c>
      <c r="O8" s="6"/>
      <c r="P8" s="6"/>
      <c r="Q8" s="6"/>
      <c r="R8" s="45">
        <f t="shared" si="2"/>
        <v>377600</v>
      </c>
      <c r="S8" s="6">
        <v>10000</v>
      </c>
      <c r="T8" s="6">
        <v>0</v>
      </c>
      <c r="U8" s="6"/>
      <c r="V8" s="6"/>
      <c r="W8" s="6"/>
      <c r="X8" s="6"/>
      <c r="Y8" s="45">
        <f t="shared" si="3"/>
        <v>10000</v>
      </c>
      <c r="Z8" s="6">
        <f t="shared" si="4"/>
        <v>387600</v>
      </c>
      <c r="AA8" s="6">
        <v>10000</v>
      </c>
      <c r="AB8" s="6">
        <f t="shared" si="5"/>
        <v>8000</v>
      </c>
      <c r="AC8" s="6">
        <f t="shared" si="0"/>
        <v>0</v>
      </c>
      <c r="AD8" s="45">
        <f>(S8+U8+V8+W8+X8)*20%</f>
        <v>2000</v>
      </c>
      <c r="AE8" s="54">
        <f t="shared" si="1"/>
        <v>0</v>
      </c>
    </row>
    <row r="9" spans="1:32" x14ac:dyDescent="0.25">
      <c r="A9" s="53">
        <v>43937</v>
      </c>
      <c r="B9" s="41">
        <v>7</v>
      </c>
      <c r="C9" s="41">
        <v>1</v>
      </c>
      <c r="D9" s="4" t="s">
        <v>135</v>
      </c>
      <c r="E9" s="6" t="s">
        <v>17</v>
      </c>
      <c r="F9" s="6" t="s">
        <v>14</v>
      </c>
      <c r="G9" s="4">
        <v>1</v>
      </c>
      <c r="M9" s="6">
        <v>46000</v>
      </c>
      <c r="R9" s="45">
        <f t="shared" si="2"/>
        <v>46000</v>
      </c>
      <c r="S9" s="6">
        <v>10000</v>
      </c>
      <c r="T9" s="6">
        <v>0</v>
      </c>
      <c r="U9" s="6"/>
      <c r="V9" s="6"/>
      <c r="W9" s="6"/>
      <c r="X9" s="6"/>
      <c r="Y9" s="45">
        <f t="shared" si="3"/>
        <v>10000</v>
      </c>
      <c r="Z9" s="6">
        <f t="shared" si="4"/>
        <v>56000</v>
      </c>
      <c r="AA9" s="6">
        <v>1000</v>
      </c>
      <c r="AB9" s="6">
        <f t="shared" si="5"/>
        <v>8000</v>
      </c>
      <c r="AC9" s="6">
        <f t="shared" ref="AC9:AC25" si="6">T9*80%</f>
        <v>0</v>
      </c>
      <c r="AD9" s="45">
        <f>(S9+U9+V9+W9+X9)*20%</f>
        <v>2000</v>
      </c>
      <c r="AE9" s="54">
        <f>T9*20%</f>
        <v>0</v>
      </c>
    </row>
    <row r="10" spans="1:32" x14ac:dyDescent="0.25">
      <c r="A10" s="53">
        <v>43937</v>
      </c>
      <c r="B10" s="41">
        <v>8</v>
      </c>
      <c r="C10" s="41">
        <v>2</v>
      </c>
      <c r="D10" s="4" t="s">
        <v>22</v>
      </c>
      <c r="E10" s="6" t="s">
        <v>7</v>
      </c>
      <c r="F10" s="6" t="s">
        <v>14</v>
      </c>
      <c r="G10" s="4">
        <v>4</v>
      </c>
      <c r="M10" s="6">
        <v>189000</v>
      </c>
      <c r="R10" s="45">
        <f t="shared" si="2"/>
        <v>189000</v>
      </c>
      <c r="S10" s="6">
        <v>20000</v>
      </c>
      <c r="T10" s="6">
        <v>6000</v>
      </c>
      <c r="U10" s="6"/>
      <c r="V10" s="6"/>
      <c r="W10" s="6"/>
      <c r="X10" s="6"/>
      <c r="Y10" s="45">
        <f t="shared" si="3"/>
        <v>26000</v>
      </c>
      <c r="Z10" s="6">
        <f t="shared" si="4"/>
        <v>215000</v>
      </c>
      <c r="AA10" s="6">
        <v>0</v>
      </c>
      <c r="AB10" s="6">
        <f t="shared" si="5"/>
        <v>16000</v>
      </c>
      <c r="AC10" s="6">
        <f t="shared" si="6"/>
        <v>4800</v>
      </c>
      <c r="AD10" s="45">
        <f>(S10+U10+V10+W10+X10)*20%</f>
        <v>4000</v>
      </c>
      <c r="AE10" s="54">
        <f t="shared" ref="AE10:AE16" si="7">T10*20%</f>
        <v>1200</v>
      </c>
    </row>
    <row r="11" spans="1:32" x14ac:dyDescent="0.25">
      <c r="A11" s="53">
        <v>43937</v>
      </c>
      <c r="B11" s="41">
        <v>9</v>
      </c>
      <c r="C11" s="41">
        <v>3</v>
      </c>
      <c r="D11" s="4" t="s">
        <v>18</v>
      </c>
      <c r="E11" s="6" t="s">
        <v>17</v>
      </c>
      <c r="F11" s="6" t="s">
        <v>14</v>
      </c>
      <c r="G11" s="4">
        <v>7</v>
      </c>
      <c r="M11" s="6">
        <v>156000</v>
      </c>
      <c r="R11" s="45">
        <f t="shared" si="2"/>
        <v>156000</v>
      </c>
      <c r="S11" s="6">
        <v>10000</v>
      </c>
      <c r="T11" s="6">
        <v>12000</v>
      </c>
      <c r="U11" s="6"/>
      <c r="V11" s="6"/>
      <c r="W11" s="6"/>
      <c r="X11" s="6"/>
      <c r="Y11" s="45">
        <f t="shared" si="3"/>
        <v>22000</v>
      </c>
      <c r="Z11" s="6">
        <f t="shared" si="4"/>
        <v>178000</v>
      </c>
      <c r="AA11" s="6">
        <v>2000</v>
      </c>
      <c r="AB11" s="6">
        <f t="shared" si="5"/>
        <v>8000</v>
      </c>
      <c r="AC11" s="6">
        <f t="shared" si="6"/>
        <v>9600</v>
      </c>
      <c r="AD11" s="45">
        <f>(S11+U11+V11+W11+X11)*20%</f>
        <v>2000</v>
      </c>
      <c r="AE11" s="54">
        <f t="shared" si="7"/>
        <v>2400</v>
      </c>
    </row>
    <row r="12" spans="1:32" x14ac:dyDescent="0.25">
      <c r="A12" s="53">
        <v>43937</v>
      </c>
      <c r="B12" s="41">
        <v>10</v>
      </c>
      <c r="C12" s="41">
        <v>4</v>
      </c>
      <c r="D12" s="4" t="s">
        <v>11</v>
      </c>
      <c r="E12" s="6" t="s">
        <v>7</v>
      </c>
      <c r="F12" s="6" t="s">
        <v>15</v>
      </c>
      <c r="G12" s="4">
        <v>7</v>
      </c>
      <c r="M12" s="6">
        <f>138000+57500</f>
        <v>195500</v>
      </c>
      <c r="R12" s="45">
        <f t="shared" si="2"/>
        <v>195500</v>
      </c>
      <c r="S12" s="6">
        <v>10000</v>
      </c>
      <c r="T12" s="6">
        <v>12000</v>
      </c>
      <c r="U12" s="6"/>
      <c r="V12" s="6"/>
      <c r="W12" s="6"/>
      <c r="X12" s="6"/>
      <c r="Y12" s="45">
        <f t="shared" si="3"/>
        <v>22000</v>
      </c>
      <c r="Z12" s="6">
        <f t="shared" si="4"/>
        <v>217500</v>
      </c>
      <c r="AA12" s="6">
        <v>22500</v>
      </c>
      <c r="AB12" s="6">
        <f t="shared" si="5"/>
        <v>8000</v>
      </c>
      <c r="AC12" s="6">
        <f t="shared" si="6"/>
        <v>9600</v>
      </c>
      <c r="AD12" s="45">
        <f>(S12+U12+V12+W12+X12)*20%</f>
        <v>2000</v>
      </c>
      <c r="AE12" s="54">
        <f t="shared" si="7"/>
        <v>2400</v>
      </c>
    </row>
    <row r="13" spans="1:32" x14ac:dyDescent="0.25">
      <c r="A13" s="53">
        <v>43937</v>
      </c>
      <c r="B13" s="41">
        <v>11</v>
      </c>
      <c r="C13" s="41">
        <v>5</v>
      </c>
      <c r="D13" s="4" t="s">
        <v>19</v>
      </c>
      <c r="E13" s="6" t="s">
        <v>7</v>
      </c>
      <c r="F13" s="6" t="s">
        <v>14</v>
      </c>
      <c r="G13" s="4">
        <v>3</v>
      </c>
      <c r="M13" s="6">
        <v>175000</v>
      </c>
      <c r="R13" s="45">
        <f t="shared" si="2"/>
        <v>175000</v>
      </c>
      <c r="S13" s="6">
        <v>10000</v>
      </c>
      <c r="T13" s="6">
        <v>4000</v>
      </c>
      <c r="U13" s="6"/>
      <c r="V13" s="6"/>
      <c r="W13" s="6"/>
      <c r="X13" s="6"/>
      <c r="Y13" s="45">
        <f t="shared" si="3"/>
        <v>14000</v>
      </c>
      <c r="Z13" s="6">
        <f t="shared" si="4"/>
        <v>189000</v>
      </c>
      <c r="AA13" s="6">
        <v>11000</v>
      </c>
      <c r="AB13" s="6">
        <f t="shared" si="5"/>
        <v>8000</v>
      </c>
      <c r="AC13" s="6">
        <f t="shared" si="6"/>
        <v>3200</v>
      </c>
      <c r="AD13" s="45">
        <f>(S13+U13+V13+W13+X13)*20%</f>
        <v>2000</v>
      </c>
      <c r="AE13" s="54">
        <f t="shared" si="7"/>
        <v>800</v>
      </c>
    </row>
    <row r="14" spans="1:32" x14ac:dyDescent="0.25">
      <c r="A14" s="53">
        <v>43937</v>
      </c>
      <c r="B14" s="41">
        <v>12</v>
      </c>
      <c r="C14" s="41">
        <v>6</v>
      </c>
      <c r="D14" s="4" t="s">
        <v>21</v>
      </c>
      <c r="E14" s="6" t="s">
        <v>8</v>
      </c>
      <c r="F14" s="6" t="s">
        <v>14</v>
      </c>
      <c r="G14" s="4">
        <v>2</v>
      </c>
      <c r="M14" s="6">
        <v>60000</v>
      </c>
      <c r="R14" s="45">
        <f t="shared" si="2"/>
        <v>60000</v>
      </c>
      <c r="S14" s="6">
        <v>10000</v>
      </c>
      <c r="T14" s="6">
        <v>2000</v>
      </c>
      <c r="U14" s="6"/>
      <c r="V14" s="6"/>
      <c r="W14" s="6"/>
      <c r="X14" s="6"/>
      <c r="Y14" s="45">
        <f t="shared" si="3"/>
        <v>12000</v>
      </c>
      <c r="Z14" s="6">
        <f t="shared" si="4"/>
        <v>72000</v>
      </c>
      <c r="AA14" s="6">
        <v>10000</v>
      </c>
      <c r="AB14" s="6">
        <f t="shared" si="5"/>
        <v>8000</v>
      </c>
      <c r="AC14" s="6">
        <f t="shared" si="6"/>
        <v>1600</v>
      </c>
      <c r="AD14" s="45">
        <f>(S14+U14+V14+W14+X14)*20%</f>
        <v>2000</v>
      </c>
      <c r="AE14" s="54">
        <f t="shared" si="7"/>
        <v>400</v>
      </c>
    </row>
    <row r="15" spans="1:32" x14ac:dyDescent="0.25">
      <c r="A15" s="53">
        <v>43937</v>
      </c>
      <c r="B15" s="41">
        <v>13</v>
      </c>
      <c r="C15" s="41">
        <v>7</v>
      </c>
      <c r="D15" s="4" t="s">
        <v>20</v>
      </c>
      <c r="E15" s="6" t="s">
        <v>17</v>
      </c>
      <c r="F15" s="6" t="s">
        <v>14</v>
      </c>
      <c r="H15" s="4">
        <v>1</v>
      </c>
      <c r="M15" s="6"/>
      <c r="N15" s="6">
        <v>165300</v>
      </c>
      <c r="O15" s="6"/>
      <c r="P15" s="6"/>
      <c r="Q15" s="6"/>
      <c r="R15" s="45">
        <f t="shared" si="2"/>
        <v>165300</v>
      </c>
      <c r="S15" s="6">
        <v>20000</v>
      </c>
      <c r="T15" s="6">
        <v>0</v>
      </c>
      <c r="U15" s="6"/>
      <c r="V15" s="6"/>
      <c r="W15" s="6"/>
      <c r="X15" s="6"/>
      <c r="Y15" s="45">
        <f t="shared" si="3"/>
        <v>20000</v>
      </c>
      <c r="Z15" s="6">
        <f t="shared" si="4"/>
        <v>185300</v>
      </c>
      <c r="AA15" s="6">
        <v>4700</v>
      </c>
      <c r="AB15" s="6">
        <f t="shared" si="5"/>
        <v>16000</v>
      </c>
      <c r="AC15" s="6">
        <f t="shared" si="6"/>
        <v>0</v>
      </c>
      <c r="AD15" s="45">
        <f>(S15+U15+V15+W15+X15)*20%</f>
        <v>4000</v>
      </c>
      <c r="AE15" s="54">
        <f t="shared" si="7"/>
        <v>0</v>
      </c>
    </row>
    <row r="16" spans="1:32" x14ac:dyDescent="0.25">
      <c r="A16" s="53">
        <v>43938</v>
      </c>
      <c r="B16" s="41">
        <v>14</v>
      </c>
      <c r="C16" s="41">
        <v>1</v>
      </c>
      <c r="D16" s="4" t="s">
        <v>44</v>
      </c>
      <c r="E16" s="6" t="s">
        <v>7</v>
      </c>
      <c r="F16" s="6" t="s">
        <v>15</v>
      </c>
      <c r="G16" s="4">
        <v>9</v>
      </c>
      <c r="M16" s="6">
        <v>344000</v>
      </c>
      <c r="R16" s="45">
        <f t="shared" si="2"/>
        <v>344000</v>
      </c>
      <c r="S16" s="6">
        <v>10000</v>
      </c>
      <c r="T16" s="6">
        <v>16000</v>
      </c>
      <c r="U16" s="6"/>
      <c r="V16" s="6"/>
      <c r="W16" s="6"/>
      <c r="X16" s="6"/>
      <c r="Y16" s="45">
        <f t="shared" si="3"/>
        <v>26000</v>
      </c>
      <c r="Z16" s="6">
        <f t="shared" si="4"/>
        <v>370000</v>
      </c>
      <c r="AA16" s="6">
        <v>20000</v>
      </c>
      <c r="AB16" s="6">
        <f t="shared" si="5"/>
        <v>8000</v>
      </c>
      <c r="AC16" s="6">
        <f t="shared" si="6"/>
        <v>12800</v>
      </c>
      <c r="AD16" s="45">
        <f>(S16+U16+V16+W16+X16)*20%</f>
        <v>2000</v>
      </c>
      <c r="AE16" s="54">
        <f t="shared" si="7"/>
        <v>3200</v>
      </c>
    </row>
    <row r="17" spans="1:31" x14ac:dyDescent="0.25">
      <c r="A17" s="53">
        <v>43938</v>
      </c>
      <c r="B17" s="41">
        <v>15</v>
      </c>
      <c r="C17" s="41">
        <v>2</v>
      </c>
      <c r="D17" s="4" t="s">
        <v>49</v>
      </c>
      <c r="E17" s="6" t="s">
        <v>45</v>
      </c>
      <c r="F17" s="6" t="s">
        <v>14</v>
      </c>
      <c r="G17" s="4">
        <v>3</v>
      </c>
      <c r="M17" s="6">
        <v>86500</v>
      </c>
      <c r="R17" s="45">
        <f t="shared" si="2"/>
        <v>86500</v>
      </c>
      <c r="S17" s="6">
        <v>10000</v>
      </c>
      <c r="T17" s="6">
        <v>4000</v>
      </c>
      <c r="U17" s="6"/>
      <c r="V17" s="6"/>
      <c r="W17" s="6"/>
      <c r="X17" s="6"/>
      <c r="Y17" s="45">
        <f t="shared" si="3"/>
        <v>14000</v>
      </c>
      <c r="Z17" s="6">
        <f t="shared" si="4"/>
        <v>100500</v>
      </c>
      <c r="AA17" s="6">
        <v>0</v>
      </c>
      <c r="AB17" s="6">
        <f t="shared" si="5"/>
        <v>8000</v>
      </c>
      <c r="AC17" s="6">
        <f t="shared" si="6"/>
        <v>3200</v>
      </c>
      <c r="AD17" s="45">
        <f>(S17+U17+V17+W17+X17)*20%</f>
        <v>2000</v>
      </c>
      <c r="AE17" s="54">
        <f t="shared" ref="AE17:AE18" si="8">T17*20%</f>
        <v>800</v>
      </c>
    </row>
    <row r="18" spans="1:31" x14ac:dyDescent="0.25">
      <c r="A18" s="53">
        <v>43938</v>
      </c>
      <c r="B18" s="41">
        <v>16</v>
      </c>
      <c r="C18" s="41">
        <v>3</v>
      </c>
      <c r="D18" s="4" t="s">
        <v>47</v>
      </c>
      <c r="E18" s="6" t="s">
        <v>7</v>
      </c>
      <c r="F18" s="6" t="s">
        <v>14</v>
      </c>
      <c r="H18" s="4">
        <v>1</v>
      </c>
      <c r="M18" s="6"/>
      <c r="N18" s="6">
        <v>669000</v>
      </c>
      <c r="O18" s="6"/>
      <c r="P18" s="6"/>
      <c r="Q18" s="6"/>
      <c r="R18" s="45">
        <f t="shared" si="2"/>
        <v>669000</v>
      </c>
      <c r="S18" s="6">
        <v>15000</v>
      </c>
      <c r="T18" s="6">
        <v>0</v>
      </c>
      <c r="U18" s="6"/>
      <c r="V18" s="6"/>
      <c r="W18" s="6"/>
      <c r="X18" s="6"/>
      <c r="Y18" s="45">
        <f t="shared" si="3"/>
        <v>15000</v>
      </c>
      <c r="Z18" s="6">
        <f t="shared" si="4"/>
        <v>684000</v>
      </c>
      <c r="AA18" s="6">
        <v>5000</v>
      </c>
      <c r="AB18" s="6">
        <f t="shared" si="5"/>
        <v>12000</v>
      </c>
      <c r="AC18" s="6">
        <f t="shared" si="6"/>
        <v>0</v>
      </c>
      <c r="AD18" s="45">
        <f>(S18+U18+V18+W18+X18)*20%</f>
        <v>3000</v>
      </c>
      <c r="AE18" s="54">
        <f t="shared" si="8"/>
        <v>0</v>
      </c>
    </row>
    <row r="19" spans="1:31" x14ac:dyDescent="0.25">
      <c r="A19" s="53">
        <v>43938</v>
      </c>
      <c r="B19" s="41">
        <v>16</v>
      </c>
      <c r="C19" s="41">
        <v>3</v>
      </c>
      <c r="D19" s="4" t="s">
        <v>47</v>
      </c>
      <c r="E19" s="6" t="s">
        <v>7</v>
      </c>
      <c r="F19" s="6" t="s">
        <v>14</v>
      </c>
      <c r="H19" s="4">
        <v>1</v>
      </c>
      <c r="M19" s="6"/>
      <c r="N19" s="6">
        <v>669000</v>
      </c>
      <c r="O19" s="6"/>
      <c r="P19" s="6"/>
      <c r="Q19" s="6"/>
      <c r="R19" s="45">
        <f t="shared" si="2"/>
        <v>669000</v>
      </c>
      <c r="S19" s="6">
        <v>15000</v>
      </c>
      <c r="T19" s="6">
        <v>0</v>
      </c>
      <c r="U19" s="6"/>
      <c r="V19" s="6"/>
      <c r="W19" s="6"/>
      <c r="X19" s="6"/>
      <c r="Y19" s="45">
        <f t="shared" si="3"/>
        <v>15000</v>
      </c>
      <c r="Z19" s="6">
        <f t="shared" si="4"/>
        <v>684000</v>
      </c>
      <c r="AA19" s="6">
        <v>0</v>
      </c>
      <c r="AB19" s="6">
        <f t="shared" si="5"/>
        <v>12000</v>
      </c>
      <c r="AC19" s="6">
        <f t="shared" si="6"/>
        <v>0</v>
      </c>
      <c r="AD19" s="45">
        <f>(S19+U19+V19+W19+X19)*20%</f>
        <v>3000</v>
      </c>
      <c r="AE19" s="54">
        <f t="shared" ref="AE19:AE25" si="9">T19*20%</f>
        <v>0</v>
      </c>
    </row>
    <row r="20" spans="1:31" x14ac:dyDescent="0.25">
      <c r="A20" s="53">
        <v>43938</v>
      </c>
      <c r="B20" s="41">
        <v>16</v>
      </c>
      <c r="C20" s="41">
        <v>3</v>
      </c>
      <c r="D20" s="4" t="s">
        <v>47</v>
      </c>
      <c r="E20" s="6" t="s">
        <v>45</v>
      </c>
      <c r="F20" s="6" t="s">
        <v>14</v>
      </c>
      <c r="H20" s="4">
        <v>1</v>
      </c>
      <c r="M20" s="6"/>
      <c r="N20" s="6">
        <v>669000</v>
      </c>
      <c r="O20" s="6"/>
      <c r="P20" s="6"/>
      <c r="Q20" s="6"/>
      <c r="R20" s="45">
        <f t="shared" si="2"/>
        <v>669000</v>
      </c>
      <c r="S20" s="6">
        <v>15000</v>
      </c>
      <c r="T20" s="6">
        <v>0</v>
      </c>
      <c r="U20" s="6"/>
      <c r="V20" s="6"/>
      <c r="W20" s="6"/>
      <c r="X20" s="6"/>
      <c r="Y20" s="45">
        <f t="shared" si="3"/>
        <v>15000</v>
      </c>
      <c r="Z20" s="6">
        <f t="shared" si="4"/>
        <v>684000</v>
      </c>
      <c r="AA20" s="6">
        <v>0</v>
      </c>
      <c r="AB20" s="6">
        <f t="shared" si="5"/>
        <v>12000</v>
      </c>
      <c r="AC20" s="6">
        <f t="shared" si="6"/>
        <v>0</v>
      </c>
      <c r="AD20" s="45">
        <f>(S20+U20+V20+W20+X20)*20%</f>
        <v>3000</v>
      </c>
      <c r="AE20" s="54">
        <f t="shared" si="9"/>
        <v>0</v>
      </c>
    </row>
    <row r="21" spans="1:31" x14ac:dyDescent="0.25">
      <c r="A21" s="53">
        <v>43938</v>
      </c>
      <c r="B21" s="41">
        <v>16</v>
      </c>
      <c r="C21" s="41">
        <v>3</v>
      </c>
      <c r="D21" s="4" t="s">
        <v>47</v>
      </c>
      <c r="E21" s="6" t="s">
        <v>45</v>
      </c>
      <c r="F21" s="6" t="s">
        <v>14</v>
      </c>
      <c r="H21" s="4">
        <v>1</v>
      </c>
      <c r="M21" s="6"/>
      <c r="N21" s="6">
        <v>669000</v>
      </c>
      <c r="O21" s="6"/>
      <c r="P21" s="6"/>
      <c r="Q21" s="6"/>
      <c r="R21" s="45">
        <f t="shared" si="2"/>
        <v>669000</v>
      </c>
      <c r="S21" s="6">
        <v>15000</v>
      </c>
      <c r="T21" s="6">
        <v>0</v>
      </c>
      <c r="U21" s="6"/>
      <c r="V21" s="6"/>
      <c r="W21" s="6"/>
      <c r="X21" s="6"/>
      <c r="Y21" s="45">
        <f t="shared" si="3"/>
        <v>15000</v>
      </c>
      <c r="Z21" s="6">
        <f t="shared" si="4"/>
        <v>684000</v>
      </c>
      <c r="AA21" s="6">
        <v>0</v>
      </c>
      <c r="AB21" s="6">
        <f t="shared" si="5"/>
        <v>12000</v>
      </c>
      <c r="AC21" s="6">
        <f t="shared" si="6"/>
        <v>0</v>
      </c>
      <c r="AD21" s="45">
        <f>(S21+U21+V21+W21+X21)*20%</f>
        <v>3000</v>
      </c>
      <c r="AE21" s="54">
        <f t="shared" si="9"/>
        <v>0</v>
      </c>
    </row>
    <row r="22" spans="1:31" x14ac:dyDescent="0.25">
      <c r="A22" s="53">
        <v>43938</v>
      </c>
      <c r="B22" s="41">
        <v>16</v>
      </c>
      <c r="C22" s="41">
        <v>3</v>
      </c>
      <c r="D22" s="4" t="s">
        <v>47</v>
      </c>
      <c r="E22" s="6" t="s">
        <v>17</v>
      </c>
      <c r="F22" s="6" t="s">
        <v>14</v>
      </c>
      <c r="H22" s="4">
        <v>1</v>
      </c>
      <c r="M22" s="6"/>
      <c r="N22" s="6">
        <v>669000</v>
      </c>
      <c r="O22" s="6"/>
      <c r="P22" s="6"/>
      <c r="Q22" s="6"/>
      <c r="R22" s="45">
        <f t="shared" si="2"/>
        <v>669000</v>
      </c>
      <c r="S22" s="6">
        <v>15000</v>
      </c>
      <c r="T22" s="6">
        <v>0</v>
      </c>
      <c r="U22" s="6"/>
      <c r="V22" s="6"/>
      <c r="W22" s="6"/>
      <c r="X22" s="6"/>
      <c r="Y22" s="45">
        <f t="shared" si="3"/>
        <v>15000</v>
      </c>
      <c r="Z22" s="6">
        <f t="shared" si="4"/>
        <v>684000</v>
      </c>
      <c r="AA22" s="6">
        <v>0</v>
      </c>
      <c r="AB22" s="6">
        <f t="shared" si="5"/>
        <v>12000</v>
      </c>
      <c r="AC22" s="6">
        <f t="shared" si="6"/>
        <v>0</v>
      </c>
      <c r="AD22" s="45">
        <f>(S22+U22+V22+W22+X22)*20%</f>
        <v>3000</v>
      </c>
      <c r="AE22" s="54">
        <f t="shared" si="9"/>
        <v>0</v>
      </c>
    </row>
    <row r="23" spans="1:31" x14ac:dyDescent="0.25">
      <c r="A23" s="53">
        <v>43938</v>
      </c>
      <c r="B23" s="41">
        <v>17</v>
      </c>
      <c r="C23" s="41">
        <v>4</v>
      </c>
      <c r="D23" s="4" t="s">
        <v>48</v>
      </c>
      <c r="E23" s="6" t="s">
        <v>17</v>
      </c>
      <c r="F23" s="6" t="s">
        <v>15</v>
      </c>
      <c r="G23" s="4">
        <v>4</v>
      </c>
      <c r="M23" s="6">
        <v>304000</v>
      </c>
      <c r="R23" s="45">
        <f t="shared" si="2"/>
        <v>304000</v>
      </c>
      <c r="S23" s="6">
        <v>10000</v>
      </c>
      <c r="T23" s="6">
        <v>6000</v>
      </c>
      <c r="U23" s="6"/>
      <c r="V23" s="6"/>
      <c r="W23" s="6"/>
      <c r="X23" s="6"/>
      <c r="Y23" s="45">
        <f t="shared" si="3"/>
        <v>16000</v>
      </c>
      <c r="Z23" s="6">
        <f t="shared" si="4"/>
        <v>320000</v>
      </c>
      <c r="AA23" s="6">
        <v>4000</v>
      </c>
      <c r="AB23" s="6">
        <f t="shared" si="5"/>
        <v>8000</v>
      </c>
      <c r="AC23" s="6">
        <f t="shared" si="6"/>
        <v>4800</v>
      </c>
      <c r="AD23" s="45">
        <f>(S23+U23+V23+W23+X23)*20%</f>
        <v>2000</v>
      </c>
      <c r="AE23" s="54">
        <f t="shared" si="9"/>
        <v>1200</v>
      </c>
    </row>
    <row r="24" spans="1:31" x14ac:dyDescent="0.25">
      <c r="A24" s="53">
        <v>43938</v>
      </c>
      <c r="B24" s="41">
        <v>18</v>
      </c>
      <c r="C24" s="41">
        <v>5</v>
      </c>
      <c r="D24" s="4" t="s">
        <v>84</v>
      </c>
      <c r="E24" s="6" t="s">
        <v>8</v>
      </c>
      <c r="F24" s="6" t="s">
        <v>14</v>
      </c>
      <c r="J24" s="4">
        <v>1</v>
      </c>
      <c r="M24" s="6"/>
      <c r="P24" s="6">
        <v>20000</v>
      </c>
      <c r="R24" s="45">
        <f t="shared" si="2"/>
        <v>20000</v>
      </c>
      <c r="S24" s="6">
        <v>10000</v>
      </c>
      <c r="T24" s="6">
        <v>0</v>
      </c>
      <c r="U24" s="6"/>
      <c r="V24" s="6"/>
      <c r="W24" s="6"/>
      <c r="X24" s="6"/>
      <c r="Y24" s="45">
        <f t="shared" si="3"/>
        <v>10000</v>
      </c>
      <c r="Z24" s="6">
        <f t="shared" si="4"/>
        <v>30000</v>
      </c>
      <c r="AA24" s="6">
        <v>7000</v>
      </c>
      <c r="AB24" s="6">
        <f t="shared" si="5"/>
        <v>8000</v>
      </c>
      <c r="AC24" s="6">
        <f t="shared" si="6"/>
        <v>0</v>
      </c>
      <c r="AD24" s="45">
        <f>(S24+U24+V24+W24+X24)*20%</f>
        <v>2000</v>
      </c>
      <c r="AE24" s="54">
        <f t="shared" si="9"/>
        <v>0</v>
      </c>
    </row>
    <row r="25" spans="1:31" x14ac:dyDescent="0.25">
      <c r="A25" s="53">
        <v>43939</v>
      </c>
      <c r="B25" s="41">
        <v>19</v>
      </c>
      <c r="C25" s="41">
        <v>1</v>
      </c>
      <c r="D25" s="4" t="s">
        <v>22</v>
      </c>
      <c r="E25" s="6" t="s">
        <v>7</v>
      </c>
      <c r="F25" s="6" t="s">
        <v>14</v>
      </c>
      <c r="G25" s="4">
        <v>1</v>
      </c>
      <c r="H25" s="4">
        <v>1</v>
      </c>
      <c r="M25" s="6">
        <v>185000</v>
      </c>
      <c r="N25" s="6">
        <v>149700</v>
      </c>
      <c r="O25" s="6"/>
      <c r="P25" s="6"/>
      <c r="Q25" s="6"/>
      <c r="R25" s="45">
        <f t="shared" si="2"/>
        <v>334700</v>
      </c>
      <c r="S25" s="6">
        <v>20000</v>
      </c>
      <c r="T25" s="6">
        <v>6000</v>
      </c>
      <c r="U25" s="6">
        <v>5000</v>
      </c>
      <c r="V25" s="6"/>
      <c r="W25" s="6"/>
      <c r="X25" s="6"/>
      <c r="Y25" s="45">
        <f t="shared" si="3"/>
        <v>31000</v>
      </c>
      <c r="Z25" s="6">
        <f t="shared" si="4"/>
        <v>365700</v>
      </c>
      <c r="AA25" s="6">
        <v>1300</v>
      </c>
      <c r="AB25" s="6">
        <f t="shared" si="5"/>
        <v>20000</v>
      </c>
      <c r="AC25" s="6">
        <f t="shared" si="6"/>
        <v>4800</v>
      </c>
      <c r="AD25" s="45">
        <f>(S25+U25+V25+W25+X25)*20%</f>
        <v>5000</v>
      </c>
      <c r="AE25" s="54">
        <f t="shared" si="9"/>
        <v>1200</v>
      </c>
    </row>
    <row r="26" spans="1:31" x14ac:dyDescent="0.25">
      <c r="A26" s="53">
        <v>43939</v>
      </c>
      <c r="B26" s="41">
        <v>20</v>
      </c>
      <c r="C26" s="41">
        <v>2</v>
      </c>
      <c r="D26" s="4" t="s">
        <v>72</v>
      </c>
      <c r="E26" s="6" t="s">
        <v>17</v>
      </c>
      <c r="F26" s="6" t="s">
        <v>15</v>
      </c>
      <c r="H26" s="4">
        <v>1</v>
      </c>
      <c r="M26" s="6"/>
      <c r="N26" s="59">
        <v>836000</v>
      </c>
      <c r="O26" s="6"/>
      <c r="P26" s="6"/>
      <c r="Q26" s="6"/>
      <c r="R26" s="45">
        <f t="shared" si="2"/>
        <v>836000</v>
      </c>
      <c r="S26" s="6">
        <v>10000</v>
      </c>
      <c r="T26" s="6"/>
      <c r="U26" s="6"/>
      <c r="V26" s="6"/>
      <c r="W26" s="6"/>
      <c r="X26" s="6"/>
      <c r="Y26" s="45">
        <f t="shared" si="3"/>
        <v>10000</v>
      </c>
      <c r="Z26" s="6">
        <f t="shared" si="4"/>
        <v>846000</v>
      </c>
      <c r="AA26" s="6">
        <v>10000</v>
      </c>
      <c r="AB26" s="6">
        <f t="shared" si="5"/>
        <v>8000</v>
      </c>
      <c r="AC26" s="6">
        <f t="shared" ref="AC26:AC32" si="10">T26*80%</f>
        <v>0</v>
      </c>
      <c r="AD26" s="45">
        <f>(S26+U26+V26+W26+X26)*20%</f>
        <v>2000</v>
      </c>
      <c r="AE26" s="54">
        <f t="shared" ref="AE26:AE32" si="11">T26*20%</f>
        <v>0</v>
      </c>
    </row>
    <row r="27" spans="1:31" x14ac:dyDescent="0.25">
      <c r="A27" s="53">
        <v>43939</v>
      </c>
      <c r="B27" s="41">
        <v>21</v>
      </c>
      <c r="C27" s="41">
        <v>3</v>
      </c>
      <c r="D27" s="4" t="s">
        <v>20</v>
      </c>
      <c r="E27" s="6" t="s">
        <v>45</v>
      </c>
      <c r="F27" s="6" t="s">
        <v>15</v>
      </c>
      <c r="G27" s="4">
        <v>4</v>
      </c>
      <c r="I27" s="4">
        <v>1</v>
      </c>
      <c r="M27" s="6">
        <v>215500</v>
      </c>
      <c r="N27" s="6"/>
      <c r="O27" s="6">
        <v>84000</v>
      </c>
      <c r="P27" s="6"/>
      <c r="Q27" s="6"/>
      <c r="R27" s="45">
        <f t="shared" si="2"/>
        <v>299500</v>
      </c>
      <c r="S27" s="6">
        <v>20000</v>
      </c>
      <c r="U27" s="6">
        <v>5000</v>
      </c>
      <c r="V27" s="6"/>
      <c r="W27" s="6"/>
      <c r="X27" s="6"/>
      <c r="Y27" s="45">
        <f t="shared" si="3"/>
        <v>25000</v>
      </c>
      <c r="Z27" s="6">
        <f t="shared" si="4"/>
        <v>324500</v>
      </c>
      <c r="AA27" s="6">
        <v>5000</v>
      </c>
      <c r="AB27" s="6">
        <f t="shared" si="5"/>
        <v>20000</v>
      </c>
      <c r="AC27" s="6">
        <f t="shared" si="10"/>
        <v>0</v>
      </c>
      <c r="AD27" s="45">
        <f>(S27+U27+V27+W27+X27)*20%</f>
        <v>5000</v>
      </c>
      <c r="AE27" s="54">
        <f t="shared" si="11"/>
        <v>0</v>
      </c>
    </row>
    <row r="28" spans="1:31" x14ac:dyDescent="0.25">
      <c r="A28" s="53">
        <v>43939</v>
      </c>
      <c r="B28" s="41">
        <v>22</v>
      </c>
      <c r="C28" s="41">
        <v>4</v>
      </c>
      <c r="D28" s="4" t="s">
        <v>47</v>
      </c>
      <c r="E28" s="6" t="s">
        <v>7</v>
      </c>
      <c r="F28" s="6" t="s">
        <v>14</v>
      </c>
      <c r="G28" s="4">
        <v>1</v>
      </c>
      <c r="J28" s="4">
        <v>1</v>
      </c>
      <c r="M28" s="6">
        <v>331000</v>
      </c>
      <c r="N28" s="6"/>
      <c r="O28" s="6"/>
      <c r="P28" s="6">
        <v>35000</v>
      </c>
      <c r="Q28" s="6"/>
      <c r="R28" s="45">
        <f t="shared" si="2"/>
        <v>366000</v>
      </c>
      <c r="S28" s="6">
        <v>20000</v>
      </c>
      <c r="T28" s="6">
        <v>8000</v>
      </c>
      <c r="U28" s="6">
        <v>5000</v>
      </c>
      <c r="V28" s="6"/>
      <c r="W28" s="6"/>
      <c r="X28" s="6"/>
      <c r="Y28" s="45">
        <f t="shared" si="3"/>
        <v>33000</v>
      </c>
      <c r="Z28" s="6">
        <f t="shared" si="4"/>
        <v>399000</v>
      </c>
      <c r="AA28" s="6">
        <v>1000</v>
      </c>
      <c r="AB28" s="6">
        <f t="shared" si="5"/>
        <v>20000</v>
      </c>
      <c r="AC28" s="6">
        <f t="shared" si="10"/>
        <v>6400</v>
      </c>
      <c r="AD28" s="45">
        <f>(S28+U28+V28+W28+X28)*20%</f>
        <v>5000</v>
      </c>
      <c r="AE28" s="54">
        <f t="shared" si="11"/>
        <v>1600</v>
      </c>
    </row>
    <row r="29" spans="1:31" x14ac:dyDescent="0.25">
      <c r="A29" s="53">
        <v>43939</v>
      </c>
      <c r="B29" s="41">
        <v>23</v>
      </c>
      <c r="C29" s="41">
        <v>5</v>
      </c>
      <c r="D29" s="4" t="s">
        <v>9</v>
      </c>
      <c r="E29" s="6" t="s">
        <v>45</v>
      </c>
      <c r="F29" s="6" t="s">
        <v>15</v>
      </c>
      <c r="G29" s="4">
        <v>1</v>
      </c>
      <c r="M29" s="6">
        <v>235000</v>
      </c>
      <c r="N29" s="6">
        <v>0</v>
      </c>
      <c r="O29" s="6"/>
      <c r="P29" s="6"/>
      <c r="Q29" s="6"/>
      <c r="R29" s="45">
        <f t="shared" si="2"/>
        <v>235000</v>
      </c>
      <c r="S29" s="6">
        <v>10000</v>
      </c>
      <c r="T29" s="6">
        <v>8000</v>
      </c>
      <c r="U29" s="6"/>
      <c r="V29" s="6"/>
      <c r="W29" s="6"/>
      <c r="X29" s="6"/>
      <c r="Y29" s="45">
        <f t="shared" si="3"/>
        <v>18000</v>
      </c>
      <c r="Z29" s="6">
        <f t="shared" si="4"/>
        <v>253000</v>
      </c>
      <c r="AA29" s="6">
        <v>12000</v>
      </c>
      <c r="AB29" s="6">
        <f t="shared" si="5"/>
        <v>8000</v>
      </c>
      <c r="AC29" s="6">
        <f t="shared" si="10"/>
        <v>6400</v>
      </c>
      <c r="AD29" s="45">
        <f>(S29+U29+V29+W29+X29)*20%</f>
        <v>2000</v>
      </c>
      <c r="AE29" s="54">
        <f t="shared" si="11"/>
        <v>1600</v>
      </c>
    </row>
    <row r="30" spans="1:31" x14ac:dyDescent="0.25">
      <c r="A30" s="53">
        <v>43939</v>
      </c>
      <c r="B30" s="41">
        <v>24</v>
      </c>
      <c r="C30" s="41">
        <v>6</v>
      </c>
      <c r="D30" s="4" t="s">
        <v>71</v>
      </c>
      <c r="E30" s="6" t="s">
        <v>7</v>
      </c>
      <c r="F30" s="6" t="s">
        <v>15</v>
      </c>
      <c r="G30" s="4">
        <v>1</v>
      </c>
      <c r="M30" s="6">
        <v>161000</v>
      </c>
      <c r="N30" s="6"/>
      <c r="O30" s="6"/>
      <c r="P30" s="6"/>
      <c r="Q30" s="6"/>
      <c r="R30" s="45">
        <f t="shared" si="2"/>
        <v>161000</v>
      </c>
      <c r="S30" s="6">
        <v>10000</v>
      </c>
      <c r="T30" s="6">
        <v>8000</v>
      </c>
      <c r="U30" s="6"/>
      <c r="V30" s="6"/>
      <c r="W30" s="6"/>
      <c r="X30" s="6"/>
      <c r="Y30" s="45">
        <f t="shared" si="3"/>
        <v>18000</v>
      </c>
      <c r="Z30" s="6">
        <f t="shared" si="4"/>
        <v>179000</v>
      </c>
      <c r="AA30" s="6">
        <v>10000</v>
      </c>
      <c r="AB30" s="6">
        <f t="shared" si="5"/>
        <v>8000</v>
      </c>
      <c r="AC30" s="6">
        <f t="shared" si="10"/>
        <v>6400</v>
      </c>
      <c r="AD30" s="45">
        <f>(S30+U30+V30+W30+X30)*20%</f>
        <v>2000</v>
      </c>
      <c r="AE30" s="54">
        <f t="shared" si="11"/>
        <v>1600</v>
      </c>
    </row>
    <row r="31" spans="1:31" x14ac:dyDescent="0.25">
      <c r="A31" s="53">
        <v>43939</v>
      </c>
      <c r="B31" s="41">
        <v>25</v>
      </c>
      <c r="C31" s="41">
        <v>7</v>
      </c>
      <c r="D31" s="4" t="s">
        <v>6</v>
      </c>
      <c r="E31" s="6" t="s">
        <v>17</v>
      </c>
      <c r="F31" s="6" t="s">
        <v>14</v>
      </c>
      <c r="H31" s="4">
        <v>1</v>
      </c>
      <c r="M31" s="6"/>
      <c r="N31" s="6">
        <v>519100</v>
      </c>
      <c r="O31" s="6"/>
      <c r="P31" s="6"/>
      <c r="Q31" s="6"/>
      <c r="R31" s="45">
        <f t="shared" si="2"/>
        <v>519100</v>
      </c>
      <c r="S31" s="6">
        <v>10000</v>
      </c>
      <c r="T31" s="6"/>
      <c r="U31" s="6"/>
      <c r="V31" s="6"/>
      <c r="W31" s="6"/>
      <c r="X31" s="6"/>
      <c r="Y31" s="45">
        <f t="shared" si="3"/>
        <v>10000</v>
      </c>
      <c r="Z31" s="6">
        <f t="shared" si="4"/>
        <v>529100</v>
      </c>
      <c r="AA31" s="6">
        <v>2000</v>
      </c>
      <c r="AB31" s="6">
        <f>(S31+U31+V31+W31+X31)*80%</f>
        <v>8000</v>
      </c>
      <c r="AC31" s="6">
        <f t="shared" si="10"/>
        <v>0</v>
      </c>
      <c r="AD31" s="45">
        <f>(S31+U31+V31+W31+X31)*20%</f>
        <v>2000</v>
      </c>
      <c r="AE31" s="54">
        <f t="shared" si="11"/>
        <v>0</v>
      </c>
    </row>
    <row r="32" spans="1:31" x14ac:dyDescent="0.25">
      <c r="A32" s="53">
        <v>43939</v>
      </c>
      <c r="B32" s="41">
        <v>26</v>
      </c>
      <c r="C32" s="41">
        <v>8</v>
      </c>
      <c r="D32" s="4" t="s">
        <v>70</v>
      </c>
      <c r="E32" s="6" t="s">
        <v>17</v>
      </c>
      <c r="F32" s="6" t="s">
        <v>14</v>
      </c>
      <c r="H32" s="4">
        <v>1</v>
      </c>
      <c r="M32" s="6"/>
      <c r="N32" s="6">
        <v>638000</v>
      </c>
      <c r="O32" s="6"/>
      <c r="P32" s="6"/>
      <c r="Q32" s="6"/>
      <c r="R32" s="45">
        <f t="shared" si="2"/>
        <v>638000</v>
      </c>
      <c r="S32" s="6">
        <v>10000</v>
      </c>
      <c r="T32" s="6"/>
      <c r="U32" s="6"/>
      <c r="V32" s="6"/>
      <c r="W32" s="6"/>
      <c r="X32" s="6"/>
      <c r="Y32" s="45">
        <f t="shared" si="3"/>
        <v>10000</v>
      </c>
      <c r="Z32" s="6">
        <f t="shared" si="4"/>
        <v>648000</v>
      </c>
      <c r="AA32" s="6">
        <v>2000</v>
      </c>
      <c r="AB32" s="6">
        <f>(S32+U32+V32+W32+X32)*80%</f>
        <v>8000</v>
      </c>
      <c r="AC32" s="6">
        <f t="shared" si="10"/>
        <v>0</v>
      </c>
      <c r="AD32" s="45">
        <f>(S32+U32+V32+W32+X32)*20%</f>
        <v>2000</v>
      </c>
      <c r="AE32" s="54">
        <f t="shared" si="11"/>
        <v>0</v>
      </c>
    </row>
    <row r="33" spans="1:31" x14ac:dyDescent="0.25">
      <c r="A33" s="53">
        <v>43939</v>
      </c>
      <c r="B33" s="41">
        <v>27</v>
      </c>
      <c r="C33" s="41">
        <v>9</v>
      </c>
      <c r="D33" s="4" t="s">
        <v>74</v>
      </c>
      <c r="E33" s="6" t="s">
        <v>8</v>
      </c>
      <c r="F33" s="6" t="s">
        <v>14</v>
      </c>
      <c r="K33" s="4">
        <v>1</v>
      </c>
      <c r="M33" s="6"/>
      <c r="N33" s="6"/>
      <c r="O33" s="6"/>
      <c r="P33" s="6"/>
      <c r="Q33" s="6">
        <v>60000</v>
      </c>
      <c r="R33" s="45">
        <f t="shared" si="2"/>
        <v>60000</v>
      </c>
      <c r="T33" s="6"/>
      <c r="U33" s="6"/>
      <c r="V33" s="6">
        <v>15000</v>
      </c>
      <c r="W33" s="6"/>
      <c r="X33" s="6"/>
      <c r="Y33" s="45">
        <f>SUM(T33:X33)</f>
        <v>15000</v>
      </c>
      <c r="Z33" s="6">
        <f t="shared" si="4"/>
        <v>75000</v>
      </c>
      <c r="AA33" s="6"/>
      <c r="AB33" s="6">
        <f>(S33+U33+V33+W33+X33)*80%</f>
        <v>12000</v>
      </c>
      <c r="AC33" s="6">
        <f t="shared" ref="AC33:AC53" si="12">T33*80%</f>
        <v>0</v>
      </c>
      <c r="AD33" s="45">
        <f>(S33+U33+V33+W33+X33)*20%</f>
        <v>3000</v>
      </c>
      <c r="AE33" s="54">
        <f t="shared" ref="AE33:AE53" si="13">T33*20%</f>
        <v>0</v>
      </c>
    </row>
    <row r="34" spans="1:31" x14ac:dyDescent="0.25">
      <c r="A34" s="53">
        <v>43939</v>
      </c>
      <c r="B34" s="41">
        <v>28</v>
      </c>
      <c r="C34" s="41">
        <v>10</v>
      </c>
      <c r="D34" s="4" t="s">
        <v>19</v>
      </c>
      <c r="E34" s="6" t="s">
        <v>7</v>
      </c>
      <c r="F34" s="6" t="s">
        <v>14</v>
      </c>
      <c r="J34" s="4">
        <v>1</v>
      </c>
      <c r="M34" s="6"/>
      <c r="N34" s="6"/>
      <c r="O34" s="6"/>
      <c r="P34" s="6">
        <v>150000</v>
      </c>
      <c r="Q34" s="6"/>
      <c r="R34" s="45">
        <f t="shared" si="2"/>
        <v>150000</v>
      </c>
      <c r="S34" s="6">
        <v>15000</v>
      </c>
      <c r="T34" s="6"/>
      <c r="U34" s="6"/>
      <c r="V34" s="6"/>
      <c r="W34" s="6"/>
      <c r="X34" s="6"/>
      <c r="Y34" s="45">
        <f t="shared" si="3"/>
        <v>15000</v>
      </c>
      <c r="Z34" s="6">
        <f t="shared" si="4"/>
        <v>165000</v>
      </c>
      <c r="AA34" s="6"/>
      <c r="AB34" s="6">
        <f>(S34+U34+V34+W34+X34)*80%</f>
        <v>12000</v>
      </c>
      <c r="AC34" s="6">
        <f t="shared" si="12"/>
        <v>0</v>
      </c>
      <c r="AD34" s="45">
        <f>(S34+U34+V34+W34+X34)*20%</f>
        <v>3000</v>
      </c>
      <c r="AE34" s="54">
        <f t="shared" si="13"/>
        <v>0</v>
      </c>
    </row>
    <row r="35" spans="1:31" x14ac:dyDescent="0.25">
      <c r="A35" s="53">
        <v>43940</v>
      </c>
      <c r="B35" s="41">
        <v>29</v>
      </c>
      <c r="C35" s="41">
        <v>1</v>
      </c>
      <c r="D35" s="4" t="s">
        <v>85</v>
      </c>
      <c r="E35" s="6" t="s">
        <v>7</v>
      </c>
      <c r="F35" s="6" t="s">
        <v>14</v>
      </c>
      <c r="G35" s="4">
        <v>3</v>
      </c>
      <c r="J35" s="4">
        <v>1</v>
      </c>
      <c r="M35" s="6">
        <v>88000</v>
      </c>
      <c r="N35" s="6"/>
      <c r="O35" s="6"/>
      <c r="P35" s="6">
        <v>65000</v>
      </c>
      <c r="Q35" s="6"/>
      <c r="R35" s="45">
        <f t="shared" si="2"/>
        <v>153000</v>
      </c>
      <c r="S35" s="6">
        <v>10000</v>
      </c>
      <c r="T35" s="6">
        <v>4000</v>
      </c>
      <c r="U35" s="6">
        <v>5000</v>
      </c>
      <c r="V35" s="6"/>
      <c r="W35" s="6"/>
      <c r="X35" s="6"/>
      <c r="Y35" s="45">
        <f t="shared" si="3"/>
        <v>19000</v>
      </c>
      <c r="Z35" s="6">
        <f t="shared" si="4"/>
        <v>172000</v>
      </c>
      <c r="AA35" s="6"/>
      <c r="AB35" s="6">
        <f>(S35+U35+V35+W35+X35)*80%</f>
        <v>12000</v>
      </c>
      <c r="AC35" s="6">
        <f t="shared" si="12"/>
        <v>3200</v>
      </c>
      <c r="AD35" s="45">
        <f>(S35+U35+V35+W35+X35)*20%</f>
        <v>3000</v>
      </c>
      <c r="AE35" s="54">
        <f t="shared" si="13"/>
        <v>800</v>
      </c>
    </row>
    <row r="36" spans="1:31" x14ac:dyDescent="0.25">
      <c r="A36" s="53">
        <v>43940</v>
      </c>
      <c r="B36" s="41">
        <v>30</v>
      </c>
      <c r="C36" s="41">
        <v>2</v>
      </c>
      <c r="D36" s="4" t="s">
        <v>84</v>
      </c>
      <c r="E36" s="6" t="s">
        <v>45</v>
      </c>
      <c r="F36" s="6" t="s">
        <v>14</v>
      </c>
      <c r="G36" s="4">
        <v>5</v>
      </c>
      <c r="M36" s="6">
        <v>204000</v>
      </c>
      <c r="N36" s="6"/>
      <c r="O36" s="6"/>
      <c r="P36" s="6"/>
      <c r="Q36" s="6"/>
      <c r="R36" s="45">
        <f t="shared" si="2"/>
        <v>204000</v>
      </c>
      <c r="S36" s="6">
        <v>10000</v>
      </c>
      <c r="T36" s="6">
        <v>8000</v>
      </c>
      <c r="U36" s="6"/>
      <c r="V36" s="6"/>
      <c r="W36" s="6"/>
      <c r="X36" s="6"/>
      <c r="Y36" s="45">
        <f t="shared" si="3"/>
        <v>18000</v>
      </c>
      <c r="Z36" s="6">
        <f t="shared" si="4"/>
        <v>222000</v>
      </c>
      <c r="AA36" s="6">
        <v>8000</v>
      </c>
      <c r="AB36" s="6">
        <f>(S36+U36+V36+W36+X36)*80%</f>
        <v>8000</v>
      </c>
      <c r="AC36" s="6">
        <f t="shared" si="12"/>
        <v>6400</v>
      </c>
      <c r="AD36" s="45">
        <f>(S36+U36+V36+W36+X36)*20%</f>
        <v>2000</v>
      </c>
      <c r="AE36" s="54">
        <f t="shared" si="13"/>
        <v>1600</v>
      </c>
    </row>
    <row r="37" spans="1:31" x14ac:dyDescent="0.25">
      <c r="A37" s="53">
        <v>43940</v>
      </c>
      <c r="B37" s="41">
        <v>31</v>
      </c>
      <c r="C37" s="41">
        <v>3</v>
      </c>
      <c r="D37" s="4" t="s">
        <v>83</v>
      </c>
      <c r="E37" s="6" t="s">
        <v>7</v>
      </c>
      <c r="F37" s="6" t="s">
        <v>15</v>
      </c>
      <c r="G37" s="4">
        <v>5</v>
      </c>
      <c r="H37" s="4">
        <v>1</v>
      </c>
      <c r="M37" s="6">
        <v>128000</v>
      </c>
      <c r="N37" s="59">
        <v>132300</v>
      </c>
      <c r="O37" s="6"/>
      <c r="P37" s="6"/>
      <c r="Q37" s="6"/>
      <c r="R37" s="45">
        <f t="shared" si="2"/>
        <v>260300</v>
      </c>
      <c r="S37" s="6">
        <v>10000</v>
      </c>
      <c r="T37" s="6">
        <v>8000</v>
      </c>
      <c r="U37" s="6">
        <v>5000</v>
      </c>
      <c r="V37" s="6"/>
      <c r="W37" s="6"/>
      <c r="X37" s="6"/>
      <c r="Y37" s="45">
        <f t="shared" si="3"/>
        <v>23000</v>
      </c>
      <c r="Z37" s="6">
        <f t="shared" si="4"/>
        <v>283300</v>
      </c>
      <c r="AA37" s="6"/>
      <c r="AB37" s="6">
        <f>(S37+U37+V37+W37+X37)*80%</f>
        <v>12000</v>
      </c>
      <c r="AC37" s="6">
        <f t="shared" si="12"/>
        <v>6400</v>
      </c>
      <c r="AD37" s="45">
        <f>(S37+U37+V37+W37+X37)*20%</f>
        <v>3000</v>
      </c>
      <c r="AE37" s="54">
        <f t="shared" si="13"/>
        <v>1600</v>
      </c>
    </row>
    <row r="38" spans="1:31" ht="30" x14ac:dyDescent="0.25">
      <c r="A38" s="53">
        <v>43940</v>
      </c>
      <c r="B38" s="41">
        <v>32</v>
      </c>
      <c r="C38" s="41">
        <v>4</v>
      </c>
      <c r="D38" s="4" t="s">
        <v>82</v>
      </c>
      <c r="E38" s="6" t="s">
        <v>45</v>
      </c>
      <c r="F38" s="6" t="s">
        <v>14</v>
      </c>
      <c r="G38" s="4">
        <v>3</v>
      </c>
      <c r="H38" s="4">
        <v>1</v>
      </c>
      <c r="M38" s="6">
        <v>92000</v>
      </c>
      <c r="N38" s="6">
        <v>88300</v>
      </c>
      <c r="O38" s="6"/>
      <c r="P38" s="6"/>
      <c r="Q38" s="6"/>
      <c r="R38" s="45">
        <f t="shared" si="2"/>
        <v>180300</v>
      </c>
      <c r="S38" s="6">
        <v>20000</v>
      </c>
      <c r="T38" s="6">
        <v>4000</v>
      </c>
      <c r="U38" s="6">
        <v>5000</v>
      </c>
      <c r="V38" s="6"/>
      <c r="W38" s="6"/>
      <c r="X38" s="6"/>
      <c r="Y38" s="45">
        <f t="shared" si="3"/>
        <v>29000</v>
      </c>
      <c r="Z38" s="6">
        <f t="shared" si="4"/>
        <v>209300</v>
      </c>
      <c r="AA38" s="6">
        <v>700</v>
      </c>
      <c r="AB38" s="6">
        <f>(S38+U38+V38+W38+X38)*80%</f>
        <v>20000</v>
      </c>
      <c r="AC38" s="6">
        <f t="shared" si="12"/>
        <v>3200</v>
      </c>
      <c r="AD38" s="45">
        <f>(S38+U38+V38+W38+X38)*20%</f>
        <v>5000</v>
      </c>
      <c r="AE38" s="54">
        <f t="shared" si="13"/>
        <v>800</v>
      </c>
    </row>
    <row r="39" spans="1:31" x14ac:dyDescent="0.25">
      <c r="A39" s="53">
        <v>43940</v>
      </c>
      <c r="B39" s="41">
        <v>33</v>
      </c>
      <c r="C39" s="41">
        <v>5</v>
      </c>
      <c r="D39" s="4" t="s">
        <v>81</v>
      </c>
      <c r="E39" s="6" t="s">
        <v>7</v>
      </c>
      <c r="F39" s="6" t="s">
        <v>15</v>
      </c>
      <c r="G39" s="4">
        <v>1</v>
      </c>
      <c r="M39" s="6">
        <v>128000</v>
      </c>
      <c r="N39" s="6"/>
      <c r="O39" s="6"/>
      <c r="P39" s="6"/>
      <c r="Q39" s="6"/>
      <c r="R39" s="45">
        <f t="shared" si="2"/>
        <v>128000</v>
      </c>
      <c r="S39" s="6">
        <v>10000</v>
      </c>
      <c r="T39" s="6"/>
      <c r="U39" s="6"/>
      <c r="V39" s="6"/>
      <c r="W39" s="6"/>
      <c r="X39" s="6"/>
      <c r="Y39" s="45">
        <f t="shared" si="3"/>
        <v>10000</v>
      </c>
      <c r="Z39" s="6">
        <f t="shared" si="4"/>
        <v>138000</v>
      </c>
      <c r="AA39" s="6"/>
      <c r="AB39" s="6">
        <f>(S39+U39+V39+W39+X39)*80%</f>
        <v>8000</v>
      </c>
      <c r="AC39" s="6">
        <f t="shared" si="12"/>
        <v>0</v>
      </c>
      <c r="AD39" s="45">
        <f>(S39+U39+V39+W39+X39)*20%</f>
        <v>2000</v>
      </c>
      <c r="AE39" s="54">
        <f t="shared" si="13"/>
        <v>0</v>
      </c>
    </row>
    <row r="40" spans="1:31" x14ac:dyDescent="0.25">
      <c r="A40" s="53">
        <v>43940</v>
      </c>
      <c r="B40" s="41">
        <v>34</v>
      </c>
      <c r="C40" s="41">
        <v>6</v>
      </c>
      <c r="D40" s="4" t="s">
        <v>80</v>
      </c>
      <c r="E40" s="6" t="s">
        <v>8</v>
      </c>
      <c r="F40" s="6" t="s">
        <v>14</v>
      </c>
      <c r="H40" s="4">
        <v>1</v>
      </c>
      <c r="M40" s="6"/>
      <c r="N40" s="6">
        <v>650000</v>
      </c>
      <c r="O40" s="6"/>
      <c r="P40" s="6"/>
      <c r="Q40" s="6"/>
      <c r="R40" s="45">
        <f t="shared" si="2"/>
        <v>650000</v>
      </c>
      <c r="S40" s="6">
        <v>40000</v>
      </c>
      <c r="T40" s="6"/>
      <c r="U40" s="6"/>
      <c r="V40" s="6"/>
      <c r="W40" s="6"/>
      <c r="X40" s="6"/>
      <c r="Y40" s="45">
        <f t="shared" si="3"/>
        <v>40000</v>
      </c>
      <c r="Z40" s="6">
        <f t="shared" si="4"/>
        <v>690000</v>
      </c>
      <c r="AA40" s="6">
        <v>9000</v>
      </c>
      <c r="AB40" s="6">
        <f>(S40+U40+V40+W40+X40)*80%</f>
        <v>32000</v>
      </c>
      <c r="AC40" s="6">
        <f t="shared" si="12"/>
        <v>0</v>
      </c>
      <c r="AD40" s="45">
        <f>(S40+U40+V40+W40+X40)*20%</f>
        <v>8000</v>
      </c>
      <c r="AE40" s="54">
        <f t="shared" si="13"/>
        <v>0</v>
      </c>
    </row>
    <row r="41" spans="1:31" x14ac:dyDescent="0.25">
      <c r="A41" s="53">
        <v>43940</v>
      </c>
      <c r="B41" s="41">
        <v>35</v>
      </c>
      <c r="C41" s="41">
        <v>7</v>
      </c>
      <c r="D41" s="4" t="s">
        <v>79</v>
      </c>
      <c r="E41" s="6" t="s">
        <v>17</v>
      </c>
      <c r="F41" s="6" t="s">
        <v>14</v>
      </c>
      <c r="L41" s="4">
        <v>1</v>
      </c>
      <c r="M41" s="6"/>
      <c r="N41" s="6"/>
      <c r="O41" s="6"/>
      <c r="P41" s="6"/>
      <c r="Q41" s="6"/>
      <c r="R41" s="45">
        <f t="shared" si="2"/>
        <v>0</v>
      </c>
      <c r="T41" s="6"/>
      <c r="U41" s="6"/>
      <c r="V41" s="6"/>
      <c r="W41" s="6"/>
      <c r="X41" s="6">
        <v>90000</v>
      </c>
      <c r="Y41" s="45">
        <f>SUM(T41:X41)</f>
        <v>90000</v>
      </c>
      <c r="Z41" s="6">
        <f t="shared" si="4"/>
        <v>90000</v>
      </c>
      <c r="AA41" s="6">
        <v>10000</v>
      </c>
      <c r="AB41" s="6">
        <f>(S41+U41+V41+W41+X41)*80%</f>
        <v>72000</v>
      </c>
      <c r="AC41" s="6">
        <f t="shared" si="12"/>
        <v>0</v>
      </c>
      <c r="AD41" s="45">
        <f>(S41+U41+V41+W41+X41)*20%</f>
        <v>18000</v>
      </c>
      <c r="AE41" s="54">
        <f t="shared" si="13"/>
        <v>0</v>
      </c>
    </row>
    <row r="42" spans="1:31" x14ac:dyDescent="0.25">
      <c r="A42" s="53">
        <v>43940</v>
      </c>
      <c r="B42" s="41">
        <v>36</v>
      </c>
      <c r="C42" s="41">
        <v>8</v>
      </c>
      <c r="D42" s="4" t="s">
        <v>77</v>
      </c>
      <c r="E42" s="6" t="s">
        <v>8</v>
      </c>
      <c r="F42" s="6" t="s">
        <v>14</v>
      </c>
      <c r="K42" s="4">
        <v>1</v>
      </c>
      <c r="M42" s="6"/>
      <c r="N42" s="6"/>
      <c r="O42" s="6"/>
      <c r="P42" s="6"/>
      <c r="Q42" s="6">
        <v>94000</v>
      </c>
      <c r="R42" s="45">
        <f t="shared" si="2"/>
        <v>94000</v>
      </c>
      <c r="T42" s="6"/>
      <c r="U42" s="6"/>
      <c r="V42" s="6">
        <v>15000</v>
      </c>
      <c r="W42" s="6"/>
      <c r="X42" s="6"/>
      <c r="Y42" s="45">
        <f>SUM(T42:X42)</f>
        <v>15000</v>
      </c>
      <c r="Z42" s="6">
        <f t="shared" si="4"/>
        <v>109000</v>
      </c>
      <c r="AA42" s="6">
        <v>6000</v>
      </c>
      <c r="AB42" s="6">
        <f>(S42+U42+V42+W42+X42)*80%</f>
        <v>12000</v>
      </c>
      <c r="AC42" s="6">
        <f t="shared" si="12"/>
        <v>0</v>
      </c>
      <c r="AD42" s="45">
        <f>(S42+U42+V42+W42+X42)*20%</f>
        <v>3000</v>
      </c>
      <c r="AE42" s="54">
        <f t="shared" si="13"/>
        <v>0</v>
      </c>
    </row>
    <row r="43" spans="1:31" x14ac:dyDescent="0.25">
      <c r="A43" s="53">
        <v>43940</v>
      </c>
      <c r="B43" s="41">
        <v>37</v>
      </c>
      <c r="C43" s="41">
        <v>9</v>
      </c>
      <c r="D43" s="4" t="s">
        <v>78</v>
      </c>
      <c r="E43" s="6" t="s">
        <v>7</v>
      </c>
      <c r="F43" s="6" t="s">
        <v>14</v>
      </c>
      <c r="L43" s="4">
        <v>1</v>
      </c>
      <c r="M43" s="6"/>
      <c r="N43" s="6"/>
      <c r="O43" s="6"/>
      <c r="P43" s="6"/>
      <c r="Q43" s="6"/>
      <c r="R43" s="45">
        <f t="shared" si="2"/>
        <v>0</v>
      </c>
      <c r="T43" s="6"/>
      <c r="U43" s="6"/>
      <c r="V43" s="6"/>
      <c r="W43" s="6"/>
      <c r="X43" s="6">
        <v>15000</v>
      </c>
      <c r="Y43" s="45">
        <f>SUM(T43:X43)</f>
        <v>15000</v>
      </c>
      <c r="Z43" s="6">
        <f t="shared" si="4"/>
        <v>15000</v>
      </c>
      <c r="AA43" s="6"/>
      <c r="AB43" s="6">
        <f>(S43+U43+V43+W43+X43)*80%</f>
        <v>12000</v>
      </c>
      <c r="AC43" s="6">
        <f t="shared" si="12"/>
        <v>0</v>
      </c>
      <c r="AD43" s="45">
        <f>(S43+U43+V43+W43+X43)*20%</f>
        <v>3000</v>
      </c>
      <c r="AE43" s="54">
        <f t="shared" si="13"/>
        <v>0</v>
      </c>
    </row>
    <row r="44" spans="1:31" x14ac:dyDescent="0.25">
      <c r="A44" s="53">
        <v>43941</v>
      </c>
      <c r="B44" s="41">
        <v>38</v>
      </c>
      <c r="C44" s="41">
        <v>1</v>
      </c>
      <c r="D44" s="4" t="s">
        <v>89</v>
      </c>
      <c r="E44" s="6" t="s">
        <v>45</v>
      </c>
      <c r="F44" s="6" t="s">
        <v>14</v>
      </c>
      <c r="G44" s="4">
        <v>3</v>
      </c>
      <c r="M44" s="6">
        <v>138000</v>
      </c>
      <c r="N44" s="6"/>
      <c r="O44" s="6"/>
      <c r="P44" s="6"/>
      <c r="Q44" s="6"/>
      <c r="R44" s="45">
        <f t="shared" si="2"/>
        <v>138000</v>
      </c>
      <c r="S44" s="6">
        <v>10000</v>
      </c>
      <c r="T44" s="6">
        <v>4000</v>
      </c>
      <c r="U44" s="6"/>
      <c r="V44" s="6"/>
      <c r="W44" s="6"/>
      <c r="X44" s="6"/>
      <c r="Y44" s="45">
        <f t="shared" si="3"/>
        <v>14000</v>
      </c>
      <c r="Z44" s="6">
        <f t="shared" si="4"/>
        <v>152000</v>
      </c>
      <c r="AA44" s="6">
        <v>1000</v>
      </c>
      <c r="AB44" s="6">
        <f>(S44+U44+V44+W44+X44)*80%</f>
        <v>8000</v>
      </c>
      <c r="AC44" s="6">
        <f t="shared" si="12"/>
        <v>3200</v>
      </c>
      <c r="AD44" s="45">
        <f>(S44+U44+V44+W44+X44)*20%</f>
        <v>2000</v>
      </c>
      <c r="AE44" s="54">
        <f t="shared" si="13"/>
        <v>800</v>
      </c>
    </row>
    <row r="45" spans="1:31" x14ac:dyDescent="0.25">
      <c r="A45" s="53">
        <v>43941</v>
      </c>
      <c r="B45" s="41">
        <v>39</v>
      </c>
      <c r="C45" s="41">
        <v>2</v>
      </c>
      <c r="D45" s="4" t="s">
        <v>90</v>
      </c>
      <c r="E45" s="6" t="s">
        <v>7</v>
      </c>
      <c r="F45" s="6" t="s">
        <v>14</v>
      </c>
      <c r="G45" s="4">
        <v>3</v>
      </c>
      <c r="M45" s="6">
        <v>91000</v>
      </c>
      <c r="N45" s="6"/>
      <c r="O45" s="6"/>
      <c r="P45" s="6"/>
      <c r="Q45" s="6"/>
      <c r="R45" s="45">
        <f t="shared" si="2"/>
        <v>91000</v>
      </c>
      <c r="S45" s="6">
        <v>20000</v>
      </c>
      <c r="T45" s="6">
        <v>4000</v>
      </c>
      <c r="U45" s="6"/>
      <c r="V45" s="6"/>
      <c r="W45" s="6"/>
      <c r="X45" s="6"/>
      <c r="Y45" s="45">
        <f t="shared" si="3"/>
        <v>24000</v>
      </c>
      <c r="Z45" s="6">
        <f t="shared" si="4"/>
        <v>115000</v>
      </c>
      <c r="AA45" s="6">
        <v>5000</v>
      </c>
      <c r="AB45" s="6">
        <f>(S45+U45+V45+W45+X45)*80%</f>
        <v>16000</v>
      </c>
      <c r="AC45" s="6">
        <f t="shared" si="12"/>
        <v>3200</v>
      </c>
      <c r="AD45" s="45">
        <f>(S45+U45+V45+W45+X45)*20%</f>
        <v>4000</v>
      </c>
      <c r="AE45" s="54">
        <f t="shared" si="13"/>
        <v>800</v>
      </c>
    </row>
    <row r="46" spans="1:31" x14ac:dyDescent="0.25">
      <c r="A46" s="53">
        <v>43941</v>
      </c>
      <c r="B46" s="41">
        <v>40</v>
      </c>
      <c r="C46" s="41">
        <v>3</v>
      </c>
      <c r="D46" s="4" t="s">
        <v>91</v>
      </c>
      <c r="E46" s="6" t="s">
        <v>45</v>
      </c>
      <c r="F46" s="6" t="s">
        <v>14</v>
      </c>
      <c r="G46" s="4">
        <v>6</v>
      </c>
      <c r="H46" s="4">
        <v>1</v>
      </c>
      <c r="M46" s="6">
        <v>287000</v>
      </c>
      <c r="N46" s="6">
        <v>36700</v>
      </c>
      <c r="O46" s="6"/>
      <c r="P46" s="6"/>
      <c r="Q46" s="6"/>
      <c r="R46" s="45">
        <f t="shared" si="2"/>
        <v>323700</v>
      </c>
      <c r="S46" s="6">
        <v>10000</v>
      </c>
      <c r="T46" s="6">
        <v>10000</v>
      </c>
      <c r="U46" s="6">
        <v>5000</v>
      </c>
      <c r="V46" s="6"/>
      <c r="W46" s="6"/>
      <c r="X46" s="6"/>
      <c r="Y46" s="45">
        <f t="shared" si="3"/>
        <v>25000</v>
      </c>
      <c r="Z46" s="6">
        <f t="shared" si="4"/>
        <v>348700</v>
      </c>
      <c r="AA46" s="6">
        <f>355000-Z46</f>
        <v>6300</v>
      </c>
      <c r="AB46" s="6">
        <f>(S46+U46+V46+W46+X46)*80%</f>
        <v>12000</v>
      </c>
      <c r="AC46" s="6">
        <f t="shared" si="12"/>
        <v>8000</v>
      </c>
      <c r="AD46" s="45">
        <f>(S46+U46+V46+W46+X46)*20%</f>
        <v>3000</v>
      </c>
      <c r="AE46" s="54">
        <f t="shared" si="13"/>
        <v>2000</v>
      </c>
    </row>
    <row r="47" spans="1:31" x14ac:dyDescent="0.25">
      <c r="A47" s="53">
        <v>43941</v>
      </c>
      <c r="B47" s="41">
        <v>41</v>
      </c>
      <c r="C47" s="41">
        <v>4</v>
      </c>
      <c r="D47" s="4" t="s">
        <v>95</v>
      </c>
      <c r="E47" s="6" t="s">
        <v>7</v>
      </c>
      <c r="F47" s="6" t="s">
        <v>15</v>
      </c>
      <c r="H47" s="4">
        <v>1</v>
      </c>
      <c r="I47" s="4">
        <v>1</v>
      </c>
      <c r="M47" s="6"/>
      <c r="N47" s="59">
        <v>10800</v>
      </c>
      <c r="O47" s="6">
        <v>165000</v>
      </c>
      <c r="P47" s="6"/>
      <c r="Q47" s="6"/>
      <c r="R47" s="45">
        <f t="shared" si="2"/>
        <v>175800</v>
      </c>
      <c r="S47" s="6">
        <v>10000</v>
      </c>
      <c r="T47" s="6"/>
      <c r="U47" s="6">
        <v>5000</v>
      </c>
      <c r="V47" s="6"/>
      <c r="W47" s="6"/>
      <c r="X47" s="6"/>
      <c r="Y47" s="45">
        <f t="shared" si="3"/>
        <v>15000</v>
      </c>
      <c r="Z47" s="6">
        <f t="shared" si="4"/>
        <v>190800</v>
      </c>
      <c r="AA47" s="6">
        <v>10000</v>
      </c>
      <c r="AB47" s="6">
        <f>(S47+U47+V47+W47+X47)*80%</f>
        <v>12000</v>
      </c>
      <c r="AC47" s="6">
        <f t="shared" si="12"/>
        <v>0</v>
      </c>
      <c r="AD47" s="45">
        <f>(S47+U47+V47+W47+X47)*20%</f>
        <v>3000</v>
      </c>
      <c r="AE47" s="54">
        <f t="shared" si="13"/>
        <v>0</v>
      </c>
    </row>
    <row r="48" spans="1:31" x14ac:dyDescent="0.25">
      <c r="A48" s="53">
        <v>43941</v>
      </c>
      <c r="B48" s="41">
        <v>42</v>
      </c>
      <c r="C48" s="41">
        <v>5</v>
      </c>
      <c r="D48" s="4" t="s">
        <v>96</v>
      </c>
      <c r="E48" s="6" t="s">
        <v>8</v>
      </c>
      <c r="F48" s="6" t="s">
        <v>15</v>
      </c>
      <c r="I48" s="4">
        <v>1</v>
      </c>
      <c r="M48" s="6"/>
      <c r="N48" s="6"/>
      <c r="O48" s="6">
        <v>485000</v>
      </c>
      <c r="P48" s="6"/>
      <c r="Q48" s="6"/>
      <c r="R48" s="45">
        <f t="shared" si="2"/>
        <v>485000</v>
      </c>
      <c r="S48" s="6">
        <v>20000</v>
      </c>
      <c r="T48" s="6"/>
      <c r="U48" s="6"/>
      <c r="V48" s="6"/>
      <c r="W48" s="6"/>
      <c r="X48" s="6"/>
      <c r="Y48" s="45">
        <f t="shared" si="3"/>
        <v>20000</v>
      </c>
      <c r="Z48" s="6">
        <f t="shared" si="4"/>
        <v>505000</v>
      </c>
      <c r="AA48" s="6"/>
      <c r="AB48" s="6">
        <f>(S48+U48+V48+W48+X48)*80%</f>
        <v>16000</v>
      </c>
      <c r="AC48" s="6">
        <f t="shared" si="12"/>
        <v>0</v>
      </c>
      <c r="AD48" s="45">
        <f>(S48+U48+V48+W48+X48)*20%</f>
        <v>4000</v>
      </c>
      <c r="AE48" s="54">
        <f t="shared" si="13"/>
        <v>0</v>
      </c>
    </row>
    <row r="49" spans="1:32" ht="30" x14ac:dyDescent="0.25">
      <c r="A49" s="53">
        <v>43942</v>
      </c>
      <c r="B49" s="41">
        <v>43</v>
      </c>
      <c r="C49" s="41">
        <v>1</v>
      </c>
      <c r="D49" s="4" t="s">
        <v>131</v>
      </c>
      <c r="E49" s="6" t="s">
        <v>45</v>
      </c>
      <c r="F49" s="6" t="s">
        <v>14</v>
      </c>
      <c r="G49" s="4">
        <v>5</v>
      </c>
      <c r="M49" s="6">
        <v>278000</v>
      </c>
      <c r="N49" s="6"/>
      <c r="O49" s="6"/>
      <c r="P49" s="6"/>
      <c r="Q49" s="6"/>
      <c r="R49" s="45">
        <f t="shared" si="2"/>
        <v>278000</v>
      </c>
      <c r="S49" s="6">
        <v>20000</v>
      </c>
      <c r="T49" s="6">
        <v>8000</v>
      </c>
      <c r="U49" s="6"/>
      <c r="V49" s="6"/>
      <c r="W49" s="6"/>
      <c r="X49" s="6"/>
      <c r="Y49" s="45">
        <f t="shared" si="3"/>
        <v>28000</v>
      </c>
      <c r="Z49" s="6">
        <f t="shared" si="4"/>
        <v>306000</v>
      </c>
      <c r="AA49" s="6">
        <v>4000</v>
      </c>
      <c r="AB49" s="6">
        <f>(S49+U49+V49+W49+X49)*80%</f>
        <v>16000</v>
      </c>
      <c r="AC49" s="6">
        <f t="shared" si="12"/>
        <v>6400</v>
      </c>
      <c r="AD49" s="45">
        <f>(S49+U49+V49+W49+X49)*20%</f>
        <v>4000</v>
      </c>
      <c r="AE49" s="54">
        <f t="shared" si="13"/>
        <v>1600</v>
      </c>
    </row>
    <row r="50" spans="1:32" x14ac:dyDescent="0.25">
      <c r="A50" s="53">
        <v>43942</v>
      </c>
      <c r="B50" s="41">
        <v>44</v>
      </c>
      <c r="C50" s="41">
        <v>2</v>
      </c>
      <c r="D50" s="4" t="s">
        <v>132</v>
      </c>
      <c r="E50" s="6" t="s">
        <v>7</v>
      </c>
      <c r="F50" s="6" t="s">
        <v>15</v>
      </c>
      <c r="G50" s="4">
        <v>6</v>
      </c>
      <c r="H50" s="4">
        <v>1</v>
      </c>
      <c r="M50" s="6">
        <v>156000</v>
      </c>
      <c r="N50" s="59">
        <v>45100</v>
      </c>
      <c r="O50" s="6"/>
      <c r="P50" s="6"/>
      <c r="Q50" s="6"/>
      <c r="R50" s="45">
        <f t="shared" si="2"/>
        <v>201100</v>
      </c>
      <c r="S50" s="6">
        <v>20000</v>
      </c>
      <c r="T50" s="6">
        <v>10000</v>
      </c>
      <c r="U50" s="6">
        <v>5000</v>
      </c>
      <c r="V50" s="6"/>
      <c r="W50" s="6"/>
      <c r="X50" s="6"/>
      <c r="Y50" s="45">
        <f t="shared" si="3"/>
        <v>35000</v>
      </c>
      <c r="Z50" s="6">
        <f t="shared" si="4"/>
        <v>236100</v>
      </c>
      <c r="AA50" s="6">
        <v>0</v>
      </c>
      <c r="AB50" s="6">
        <f>(S50+U50+V50+W50+X50)*80%</f>
        <v>20000</v>
      </c>
      <c r="AC50" s="6">
        <f t="shared" si="12"/>
        <v>8000</v>
      </c>
      <c r="AD50" s="45">
        <f>(S50+U50+V50+W50+X50)*20%</f>
        <v>5000</v>
      </c>
      <c r="AE50" s="54">
        <f t="shared" si="13"/>
        <v>2000</v>
      </c>
    </row>
    <row r="51" spans="1:32" ht="30" x14ac:dyDescent="0.25">
      <c r="A51" s="53">
        <v>43942</v>
      </c>
      <c r="B51" s="41">
        <v>45</v>
      </c>
      <c r="C51" s="41">
        <v>3</v>
      </c>
      <c r="D51" s="4" t="s">
        <v>82</v>
      </c>
      <c r="E51" s="6" t="s">
        <v>45</v>
      </c>
      <c r="F51" s="6" t="s">
        <v>14</v>
      </c>
      <c r="G51" s="4">
        <v>5</v>
      </c>
      <c r="M51" s="6">
        <v>393000</v>
      </c>
      <c r="N51" s="6"/>
      <c r="O51" s="6"/>
      <c r="P51" s="6">
        <v>50000</v>
      </c>
      <c r="Q51" s="6"/>
      <c r="R51" s="45">
        <f t="shared" si="2"/>
        <v>443000</v>
      </c>
      <c r="S51" s="6">
        <v>20000</v>
      </c>
      <c r="T51" s="6">
        <v>8000</v>
      </c>
      <c r="U51" s="6">
        <v>5000</v>
      </c>
      <c r="V51" s="6"/>
      <c r="W51" s="6"/>
      <c r="X51" s="6"/>
      <c r="Y51" s="45">
        <f t="shared" si="3"/>
        <v>33000</v>
      </c>
      <c r="Z51" s="6">
        <f t="shared" si="4"/>
        <v>476000</v>
      </c>
      <c r="AA51" s="6">
        <v>64000</v>
      </c>
      <c r="AB51" s="6">
        <f>(S51+U51+V51+W51+X51)*80%</f>
        <v>20000</v>
      </c>
      <c r="AC51" s="6">
        <f t="shared" si="12"/>
        <v>6400</v>
      </c>
      <c r="AD51" s="45">
        <f>(S51+U51+V51+W51+X51)*20%</f>
        <v>5000</v>
      </c>
      <c r="AE51" s="54">
        <f t="shared" si="13"/>
        <v>1600</v>
      </c>
    </row>
    <row r="52" spans="1:32" x14ac:dyDescent="0.25">
      <c r="A52" s="53">
        <v>43942</v>
      </c>
      <c r="B52" s="41">
        <v>46</v>
      </c>
      <c r="C52" s="41">
        <v>4</v>
      </c>
      <c r="D52" s="4" t="s">
        <v>133</v>
      </c>
      <c r="E52" s="6" t="s">
        <v>7</v>
      </c>
      <c r="F52" s="6" t="s">
        <v>15</v>
      </c>
      <c r="G52" s="4">
        <v>7</v>
      </c>
      <c r="M52" s="6">
        <v>289000</v>
      </c>
      <c r="N52" s="6"/>
      <c r="O52" s="6"/>
      <c r="P52" s="6"/>
      <c r="Q52" s="6"/>
      <c r="R52" s="45">
        <f t="shared" si="2"/>
        <v>289000</v>
      </c>
      <c r="S52" s="6">
        <v>20000</v>
      </c>
      <c r="T52" s="6">
        <v>12000</v>
      </c>
      <c r="U52" s="6"/>
      <c r="V52" s="6"/>
      <c r="W52" s="6"/>
      <c r="X52" s="6"/>
      <c r="Y52" s="45">
        <f t="shared" si="3"/>
        <v>32000</v>
      </c>
      <c r="Z52" s="6">
        <f t="shared" si="4"/>
        <v>321000</v>
      </c>
      <c r="AA52" s="6">
        <v>0</v>
      </c>
      <c r="AB52" s="6">
        <f>(S52+U52+V52+W52+X52)*80%</f>
        <v>16000</v>
      </c>
      <c r="AC52" s="6">
        <f t="shared" si="12"/>
        <v>9600</v>
      </c>
      <c r="AD52" s="45">
        <f>(S52+U52+V52+W52+X52)*20%</f>
        <v>4000</v>
      </c>
      <c r="AE52" s="54">
        <f t="shared" si="13"/>
        <v>2400</v>
      </c>
    </row>
    <row r="53" spans="1:32" x14ac:dyDescent="0.25">
      <c r="A53" s="53">
        <v>43942</v>
      </c>
      <c r="B53" s="41">
        <v>47</v>
      </c>
      <c r="C53" s="41">
        <v>5</v>
      </c>
      <c r="D53" s="4" t="s">
        <v>134</v>
      </c>
      <c r="E53" s="6" t="s">
        <v>45</v>
      </c>
      <c r="F53" s="6" t="s">
        <v>14</v>
      </c>
      <c r="G53" s="4">
        <v>6</v>
      </c>
      <c r="M53" s="6">
        <v>215500</v>
      </c>
      <c r="N53" s="6"/>
      <c r="O53" s="6"/>
      <c r="P53" s="6"/>
      <c r="Q53" s="6"/>
      <c r="R53" s="45">
        <f t="shared" si="2"/>
        <v>215500</v>
      </c>
      <c r="S53" s="6">
        <v>10000</v>
      </c>
      <c r="T53" s="6">
        <v>10000</v>
      </c>
      <c r="U53" s="6"/>
      <c r="V53" s="6"/>
      <c r="W53" s="6"/>
      <c r="X53" s="6"/>
      <c r="Y53" s="45">
        <f t="shared" si="3"/>
        <v>20000</v>
      </c>
      <c r="Z53" s="6">
        <f t="shared" si="4"/>
        <v>235500</v>
      </c>
      <c r="AA53" s="6">
        <v>14500</v>
      </c>
      <c r="AB53" s="6">
        <f>(S53+U53+V53+W53+X53)*80%</f>
        <v>8000</v>
      </c>
      <c r="AC53" s="6">
        <f t="shared" si="12"/>
        <v>8000</v>
      </c>
      <c r="AD53" s="45">
        <f>(S53+U53+V53+W53+X53)*20%</f>
        <v>2000</v>
      </c>
      <c r="AE53" s="54">
        <f t="shared" si="13"/>
        <v>2000</v>
      </c>
    </row>
    <row r="54" spans="1:32" x14ac:dyDescent="0.25">
      <c r="A54" s="53">
        <v>43942</v>
      </c>
      <c r="B54" s="41">
        <v>48</v>
      </c>
      <c r="C54" s="41">
        <v>6</v>
      </c>
      <c r="D54" s="4" t="s">
        <v>89</v>
      </c>
      <c r="E54" s="6" t="s">
        <v>7</v>
      </c>
      <c r="F54" s="6" t="s">
        <v>14</v>
      </c>
      <c r="G54" s="4">
        <v>1</v>
      </c>
      <c r="M54" s="6">
        <v>70000</v>
      </c>
      <c r="N54" s="6"/>
      <c r="O54" s="6"/>
      <c r="P54" s="6"/>
      <c r="Q54" s="6"/>
      <c r="R54" s="45">
        <f t="shared" si="2"/>
        <v>70000</v>
      </c>
      <c r="S54" s="6">
        <v>10000</v>
      </c>
      <c r="T54" s="6"/>
      <c r="U54" s="6"/>
      <c r="V54" s="6"/>
      <c r="W54" s="6"/>
      <c r="X54" s="6"/>
      <c r="Y54" s="45">
        <f t="shared" si="3"/>
        <v>10000</v>
      </c>
      <c r="Z54" s="6">
        <f t="shared" si="4"/>
        <v>80000</v>
      </c>
      <c r="AA54" s="6">
        <v>5000</v>
      </c>
      <c r="AB54" s="6">
        <f>(S54+U54+V54+W54+X54)*80%</f>
        <v>8000</v>
      </c>
      <c r="AC54" s="6">
        <f t="shared" ref="AC54" si="14">T54*80%</f>
        <v>0</v>
      </c>
      <c r="AD54" s="45">
        <f>(S54+U54+V54+W54+X54)*20%</f>
        <v>2000</v>
      </c>
      <c r="AE54" s="54">
        <f t="shared" ref="AE54" si="15">T54*20%</f>
        <v>0</v>
      </c>
    </row>
    <row r="55" spans="1:32" ht="30" x14ac:dyDescent="0.25">
      <c r="A55" s="53">
        <v>43942</v>
      </c>
      <c r="B55" s="41">
        <v>49</v>
      </c>
      <c r="C55" s="41">
        <v>7</v>
      </c>
      <c r="D55" s="4" t="s">
        <v>135</v>
      </c>
      <c r="E55" s="6" t="s">
        <v>8</v>
      </c>
      <c r="F55" s="6" t="s">
        <v>14</v>
      </c>
      <c r="M55" s="6"/>
      <c r="N55" s="6"/>
      <c r="O55" s="6"/>
      <c r="P55" s="6"/>
      <c r="Q55" s="6"/>
      <c r="R55" s="45">
        <f t="shared" si="2"/>
        <v>0</v>
      </c>
      <c r="S55" s="6"/>
      <c r="T55" s="6"/>
      <c r="U55" s="6"/>
      <c r="V55" s="6"/>
      <c r="W55" s="6"/>
      <c r="X55" s="6"/>
      <c r="Y55" s="45">
        <f t="shared" si="3"/>
        <v>0</v>
      </c>
      <c r="Z55" s="6">
        <f t="shared" si="4"/>
        <v>0</v>
      </c>
      <c r="AA55" s="6">
        <v>7000</v>
      </c>
      <c r="AB55" s="6">
        <f>(S55+U55+V55+W55+X55)*80%</f>
        <v>0</v>
      </c>
      <c r="AC55" s="6">
        <f t="shared" ref="AC55:AC56" si="16">T55*80%</f>
        <v>0</v>
      </c>
      <c r="AD55" s="45">
        <f>(S55+U55+V55+W55+X55)*20%</f>
        <v>0</v>
      </c>
      <c r="AE55" s="54">
        <f t="shared" ref="AE55:AE56" si="17">T55*20%</f>
        <v>0</v>
      </c>
      <c r="AF55" s="5" t="s">
        <v>140</v>
      </c>
    </row>
    <row r="56" spans="1:32" x14ac:dyDescent="0.25">
      <c r="A56" s="53">
        <v>43942</v>
      </c>
      <c r="B56" s="41">
        <v>50</v>
      </c>
      <c r="C56" s="41">
        <v>8</v>
      </c>
      <c r="D56" s="4" t="s">
        <v>85</v>
      </c>
      <c r="E56" s="6" t="s">
        <v>45</v>
      </c>
      <c r="F56" s="6" t="s">
        <v>14</v>
      </c>
      <c r="G56" s="4">
        <v>3</v>
      </c>
      <c r="M56" s="6">
        <v>93000</v>
      </c>
      <c r="N56" s="6"/>
      <c r="O56" s="6"/>
      <c r="P56" s="6"/>
      <c r="Q56" s="6"/>
      <c r="R56" s="45">
        <f t="shared" si="2"/>
        <v>93000</v>
      </c>
      <c r="S56" s="6">
        <v>10000</v>
      </c>
      <c r="T56" s="6">
        <v>4000</v>
      </c>
      <c r="U56" s="6"/>
      <c r="V56" s="6"/>
      <c r="W56" s="6"/>
      <c r="X56" s="6"/>
      <c r="Y56" s="45">
        <f t="shared" si="3"/>
        <v>14000</v>
      </c>
      <c r="Z56" s="6">
        <f t="shared" si="4"/>
        <v>107000</v>
      </c>
      <c r="AA56" s="6">
        <v>3000</v>
      </c>
      <c r="AB56" s="6">
        <f>(S56+U56+V56+W56+X56)*80%</f>
        <v>8000</v>
      </c>
      <c r="AC56" s="6">
        <f t="shared" si="16"/>
        <v>3200</v>
      </c>
      <c r="AD56" s="45">
        <f>(S56+U56+V56+W56+X56)*20%</f>
        <v>2000</v>
      </c>
      <c r="AE56" s="54">
        <f t="shared" si="17"/>
        <v>800</v>
      </c>
    </row>
    <row r="57" spans="1:32" x14ac:dyDescent="0.25">
      <c r="A57" s="53">
        <v>43942</v>
      </c>
      <c r="B57" s="41">
        <v>51</v>
      </c>
      <c r="C57" s="41">
        <v>9</v>
      </c>
      <c r="D57" s="4" t="s">
        <v>136</v>
      </c>
      <c r="E57" s="6" t="s">
        <v>7</v>
      </c>
      <c r="F57" s="6" t="s">
        <v>14</v>
      </c>
      <c r="H57" s="4">
        <v>1</v>
      </c>
      <c r="M57" s="6"/>
      <c r="N57" s="6">
        <v>197000</v>
      </c>
      <c r="O57" s="6"/>
      <c r="P57" s="6"/>
      <c r="Q57" s="6"/>
      <c r="R57" s="45">
        <f t="shared" si="2"/>
        <v>197000</v>
      </c>
      <c r="S57" s="6">
        <v>30000</v>
      </c>
      <c r="T57" s="6"/>
      <c r="U57" s="6"/>
      <c r="V57" s="6"/>
      <c r="W57" s="6"/>
      <c r="X57" s="6"/>
      <c r="Y57" s="45">
        <f t="shared" ref="Y57:Y60" si="18">SUM(S57:X57)</f>
        <v>30000</v>
      </c>
      <c r="Z57" s="6">
        <f t="shared" ref="Z57:Z60" si="19">R57+Y57</f>
        <v>227000</v>
      </c>
      <c r="AA57" s="6">
        <v>0</v>
      </c>
      <c r="AB57" s="6">
        <f>(S57+U57+V57+W57+X57)*80%</f>
        <v>24000</v>
      </c>
      <c r="AC57" s="6">
        <f t="shared" ref="AC57" si="20">T57*80%</f>
        <v>0</v>
      </c>
      <c r="AD57" s="45">
        <f>(S57+U57+V57+W57+X57)*20%</f>
        <v>6000</v>
      </c>
      <c r="AE57" s="54">
        <f t="shared" ref="AE57" si="21">T57*20%</f>
        <v>0</v>
      </c>
    </row>
    <row r="58" spans="1:32" x14ac:dyDescent="0.25">
      <c r="A58" s="53">
        <v>43942</v>
      </c>
      <c r="B58" s="41">
        <v>52</v>
      </c>
      <c r="C58" s="41">
        <v>10</v>
      </c>
      <c r="D58" s="4" t="s">
        <v>137</v>
      </c>
      <c r="E58" s="6" t="s">
        <v>8</v>
      </c>
      <c r="F58" s="6" t="s">
        <v>15</v>
      </c>
      <c r="H58" s="4">
        <v>1</v>
      </c>
      <c r="M58" s="6"/>
      <c r="N58" s="59">
        <v>497500</v>
      </c>
      <c r="O58" s="6"/>
      <c r="P58" s="6"/>
      <c r="Q58" s="6"/>
      <c r="R58" s="45">
        <f t="shared" si="2"/>
        <v>497500</v>
      </c>
      <c r="S58" s="6">
        <v>15000</v>
      </c>
      <c r="T58" s="6"/>
      <c r="U58" s="6"/>
      <c r="V58" s="6"/>
      <c r="W58" s="6"/>
      <c r="X58" s="6"/>
      <c r="Y58" s="45">
        <f t="shared" si="18"/>
        <v>15000</v>
      </c>
      <c r="Z58" s="6">
        <f t="shared" si="19"/>
        <v>512500</v>
      </c>
      <c r="AA58" s="6">
        <v>5000</v>
      </c>
      <c r="AB58" s="6">
        <f>(S58+U58+V58+W58+X58)*80%</f>
        <v>12000</v>
      </c>
      <c r="AC58" s="6">
        <f t="shared" ref="AC58" si="22">T58*80%</f>
        <v>0</v>
      </c>
      <c r="AD58" s="45">
        <f>(S58+U58+V58+W58+X58)*20%</f>
        <v>3000</v>
      </c>
      <c r="AE58" s="54">
        <f t="shared" ref="AE58" si="23">T58*20%</f>
        <v>0</v>
      </c>
    </row>
    <row r="59" spans="1:32" x14ac:dyDescent="0.25">
      <c r="A59" s="53">
        <v>43942</v>
      </c>
      <c r="B59" s="41">
        <v>53</v>
      </c>
      <c r="C59" s="41">
        <v>11</v>
      </c>
      <c r="D59" s="4" t="s">
        <v>138</v>
      </c>
      <c r="E59" s="6" t="s">
        <v>8</v>
      </c>
      <c r="F59" s="6" t="s">
        <v>15</v>
      </c>
      <c r="I59" s="4">
        <v>1</v>
      </c>
      <c r="M59" s="6"/>
      <c r="N59" s="6"/>
      <c r="O59" s="6"/>
      <c r="P59" s="6">
        <v>220000</v>
      </c>
      <c r="Q59" s="6"/>
      <c r="R59" s="45">
        <f t="shared" si="2"/>
        <v>220000</v>
      </c>
      <c r="S59" s="6">
        <v>30000</v>
      </c>
      <c r="T59" s="6"/>
      <c r="U59" s="6"/>
      <c r="V59" s="6"/>
      <c r="W59" s="6"/>
      <c r="X59" s="6"/>
      <c r="Y59" s="45">
        <f t="shared" si="18"/>
        <v>30000</v>
      </c>
      <c r="Z59" s="6">
        <f t="shared" si="19"/>
        <v>250000</v>
      </c>
      <c r="AA59" s="6">
        <v>5000</v>
      </c>
      <c r="AB59" s="6">
        <f>(S59+U59+V59+W59+X59)*80%</f>
        <v>24000</v>
      </c>
      <c r="AC59" s="6">
        <f t="shared" ref="AC59" si="24">T59*80%</f>
        <v>0</v>
      </c>
      <c r="AD59" s="45">
        <f>(S59+U59+V59+W59+X59)*20%</f>
        <v>6000</v>
      </c>
      <c r="AE59" s="54">
        <f t="shared" ref="AE59" si="25">T59*20%</f>
        <v>0</v>
      </c>
    </row>
    <row r="60" spans="1:32" x14ac:dyDescent="0.25">
      <c r="A60" s="53">
        <v>43942</v>
      </c>
      <c r="B60" s="41">
        <v>54</v>
      </c>
      <c r="C60" s="41">
        <v>12</v>
      </c>
      <c r="D60" s="4" t="s">
        <v>48</v>
      </c>
      <c r="E60" s="6" t="s">
        <v>8</v>
      </c>
      <c r="F60" s="6" t="s">
        <v>15</v>
      </c>
      <c r="K60" s="4">
        <v>1</v>
      </c>
      <c r="M60" s="6"/>
      <c r="N60" s="6"/>
      <c r="O60" s="6"/>
      <c r="P60" s="6"/>
      <c r="Q60" s="6">
        <v>130000</v>
      </c>
      <c r="R60" s="45">
        <f t="shared" si="2"/>
        <v>130000</v>
      </c>
      <c r="S60" s="6"/>
      <c r="T60" s="6"/>
      <c r="U60" s="6"/>
      <c r="V60" s="6">
        <v>25000</v>
      </c>
      <c r="W60" s="6"/>
      <c r="X60" s="6"/>
      <c r="Y60" s="45">
        <f t="shared" si="18"/>
        <v>25000</v>
      </c>
      <c r="Z60" s="6">
        <f t="shared" si="19"/>
        <v>155000</v>
      </c>
      <c r="AA60" s="6">
        <v>0</v>
      </c>
      <c r="AB60" s="6">
        <f>(S60+U60+V60+W60+X60)*80%</f>
        <v>20000</v>
      </c>
      <c r="AC60" s="6">
        <f t="shared" ref="AC60" si="26">T60*80%</f>
        <v>0</v>
      </c>
      <c r="AD60" s="45">
        <f>(S60+U60+V60+W60+X60)*20%</f>
        <v>5000</v>
      </c>
      <c r="AE60" s="54">
        <f t="shared" ref="AE60" si="27">T60*20%</f>
        <v>0</v>
      </c>
    </row>
    <row r="61" spans="1:32" ht="30" x14ac:dyDescent="0.25">
      <c r="A61" s="53">
        <v>43943</v>
      </c>
      <c r="B61" s="43">
        <v>55</v>
      </c>
      <c r="C61" s="43">
        <v>1</v>
      </c>
      <c r="D61" s="4" t="s">
        <v>82</v>
      </c>
      <c r="E61" s="6" t="s">
        <v>7</v>
      </c>
      <c r="F61" s="6" t="s">
        <v>14</v>
      </c>
      <c r="G61" s="4">
        <v>5</v>
      </c>
      <c r="H61" s="4">
        <v>1</v>
      </c>
      <c r="M61" s="6">
        <v>57000</v>
      </c>
      <c r="N61" s="6">
        <v>71300</v>
      </c>
      <c r="O61" s="6"/>
      <c r="P61" s="6"/>
      <c r="Q61" s="6"/>
      <c r="R61" s="45">
        <f t="shared" si="2"/>
        <v>128300</v>
      </c>
      <c r="S61" s="6">
        <v>20000</v>
      </c>
      <c r="T61" s="6">
        <v>8000</v>
      </c>
      <c r="U61" s="6">
        <v>5000</v>
      </c>
      <c r="V61" s="6"/>
      <c r="W61" s="6"/>
      <c r="X61" s="6"/>
      <c r="Y61" s="45">
        <f t="shared" ref="Y61" si="28">SUM(S61:X61)</f>
        <v>33000</v>
      </c>
      <c r="Z61" s="6">
        <f t="shared" ref="Z61" si="29">R61+Y61</f>
        <v>161300</v>
      </c>
      <c r="AA61" s="6">
        <v>8700</v>
      </c>
      <c r="AB61" s="6">
        <f>(S61+U61+V61+W61+X61)*80%</f>
        <v>20000</v>
      </c>
      <c r="AC61" s="6">
        <f t="shared" ref="AC61" si="30">T61*80%</f>
        <v>6400</v>
      </c>
      <c r="AD61" s="45">
        <f>(S61+U61+V61+W61+X61)*20%</f>
        <v>5000</v>
      </c>
      <c r="AE61" s="54">
        <f t="shared" ref="AE61" si="31">T61*20%</f>
        <v>1600</v>
      </c>
    </row>
    <row r="62" spans="1:32" x14ac:dyDescent="0.25">
      <c r="A62" s="53">
        <v>43943</v>
      </c>
      <c r="B62" s="43">
        <v>56</v>
      </c>
      <c r="C62" s="43">
        <v>2</v>
      </c>
      <c r="D62" s="4" t="s">
        <v>141</v>
      </c>
      <c r="E62" s="6" t="s">
        <v>7</v>
      </c>
      <c r="F62" s="6" t="s">
        <v>15</v>
      </c>
      <c r="G62" s="4">
        <v>4</v>
      </c>
      <c r="H62" s="4">
        <v>1</v>
      </c>
      <c r="M62" s="6">
        <v>203000</v>
      </c>
      <c r="N62" s="6">
        <v>189200</v>
      </c>
      <c r="O62" s="6"/>
      <c r="P62" s="6"/>
      <c r="Q62" s="6"/>
      <c r="R62" s="45">
        <f t="shared" si="2"/>
        <v>392200</v>
      </c>
      <c r="S62" s="6">
        <v>20000</v>
      </c>
      <c r="T62" s="6">
        <v>6000</v>
      </c>
      <c r="U62" s="6">
        <v>5000</v>
      </c>
      <c r="V62" s="6"/>
      <c r="W62" s="6"/>
      <c r="X62" s="6"/>
      <c r="Y62" s="45">
        <f t="shared" ref="Y62" si="32">SUM(S62:X62)</f>
        <v>31000</v>
      </c>
      <c r="Z62" s="6">
        <f t="shared" ref="Z62" si="33">R62+Y62</f>
        <v>423200</v>
      </c>
      <c r="AA62" s="6"/>
      <c r="AB62" s="6">
        <f>(S62+U62+V62+W62+X62)*80%</f>
        <v>20000</v>
      </c>
      <c r="AC62" s="6">
        <f t="shared" ref="AC62" si="34">T62*80%</f>
        <v>4800</v>
      </c>
      <c r="AD62" s="45">
        <f>(S62+U62+V62+W62+X62)*20%</f>
        <v>5000</v>
      </c>
      <c r="AE62" s="54">
        <f t="shared" ref="AE62" si="35">T62*20%</f>
        <v>1200</v>
      </c>
    </row>
    <row r="63" spans="1:32" ht="30" x14ac:dyDescent="0.25">
      <c r="A63" s="53">
        <v>43943</v>
      </c>
      <c r="B63" s="43">
        <v>57</v>
      </c>
      <c r="C63" s="43">
        <v>3</v>
      </c>
      <c r="D63" s="4" t="s">
        <v>142</v>
      </c>
      <c r="E63" s="6" t="s">
        <v>45</v>
      </c>
      <c r="F63" s="6" t="s">
        <v>15</v>
      </c>
      <c r="G63" s="4">
        <v>4</v>
      </c>
      <c r="M63" s="6">
        <v>203000</v>
      </c>
      <c r="N63" s="6"/>
      <c r="O63" s="6"/>
      <c r="P63" s="6"/>
      <c r="Q63" s="6"/>
      <c r="R63" s="45">
        <f t="shared" si="2"/>
        <v>203000</v>
      </c>
      <c r="S63" s="6">
        <v>10000</v>
      </c>
      <c r="T63" s="6">
        <v>6000</v>
      </c>
      <c r="U63" s="6"/>
      <c r="V63" s="6"/>
      <c r="W63" s="6"/>
      <c r="X63" s="6"/>
      <c r="Y63" s="45">
        <f t="shared" ref="Y63" si="36">SUM(S63:X63)</f>
        <v>16000</v>
      </c>
      <c r="Z63" s="6">
        <f t="shared" ref="Z63" si="37">R63+Y63</f>
        <v>219000</v>
      </c>
      <c r="AA63" s="6">
        <v>3000</v>
      </c>
      <c r="AB63" s="6">
        <f>(S63+U63+V63+W63+X63)*80%</f>
        <v>8000</v>
      </c>
      <c r="AC63" s="6">
        <f t="shared" ref="AC63" si="38">T63*80%</f>
        <v>4800</v>
      </c>
      <c r="AD63" s="45">
        <f>(S63+U63+V63+W63+X63)*20%</f>
        <v>2000</v>
      </c>
      <c r="AE63" s="54">
        <f t="shared" ref="AE63" si="39">T63*20%</f>
        <v>1200</v>
      </c>
    </row>
    <row r="64" spans="1:32" x14ac:dyDescent="0.25">
      <c r="A64" s="53">
        <v>43943</v>
      </c>
      <c r="B64" s="43">
        <v>58</v>
      </c>
      <c r="C64" s="43">
        <v>4</v>
      </c>
      <c r="D64" s="4" t="s">
        <v>143</v>
      </c>
      <c r="E64" s="6" t="s">
        <v>45</v>
      </c>
      <c r="F64" s="6" t="s">
        <v>14</v>
      </c>
      <c r="G64" s="4">
        <v>4</v>
      </c>
      <c r="M64" s="6">
        <v>130000</v>
      </c>
      <c r="N64" s="6"/>
      <c r="O64" s="6"/>
      <c r="P64" s="6"/>
      <c r="Q64" s="6"/>
      <c r="R64" s="45">
        <f t="shared" ref="R64:R70" si="40">M64+N64+O64+P64+Q64</f>
        <v>130000</v>
      </c>
      <c r="S64" s="6">
        <v>10000</v>
      </c>
      <c r="T64" s="6">
        <v>6000</v>
      </c>
      <c r="U64" s="6"/>
      <c r="V64" s="6"/>
      <c r="W64" s="6"/>
      <c r="X64" s="6"/>
      <c r="Y64" s="45">
        <f t="shared" ref="Y64:Y68" si="41">SUM(S64:X64)</f>
        <v>16000</v>
      </c>
      <c r="Z64" s="6">
        <f t="shared" ref="Z64:Z68" si="42">R64+Y64</f>
        <v>146000</v>
      </c>
      <c r="AA64" s="6">
        <v>6000</v>
      </c>
      <c r="AB64" s="6">
        <f>(S64+U64+V64+W64+X64)*80%</f>
        <v>8000</v>
      </c>
      <c r="AC64" s="6">
        <f t="shared" ref="AC64:AC67" si="43">T64*80%</f>
        <v>4800</v>
      </c>
      <c r="AD64" s="45">
        <f>(S64+U64+V64+W64+X64)*20%</f>
        <v>2000</v>
      </c>
      <c r="AE64" s="54">
        <f t="shared" ref="AE64:AE67" si="44">T64*20%</f>
        <v>1200</v>
      </c>
    </row>
    <row r="65" spans="1:31" x14ac:dyDescent="0.25">
      <c r="A65" s="53">
        <v>43943</v>
      </c>
      <c r="B65" s="43">
        <v>59</v>
      </c>
      <c r="C65" s="43">
        <v>5</v>
      </c>
      <c r="D65" s="4" t="s">
        <v>144</v>
      </c>
      <c r="E65" s="6" t="s">
        <v>17</v>
      </c>
      <c r="F65" s="6" t="s">
        <v>14</v>
      </c>
      <c r="H65" s="4">
        <v>1</v>
      </c>
      <c r="M65" s="6">
        <v>0</v>
      </c>
      <c r="N65" s="6">
        <v>66700</v>
      </c>
      <c r="O65" s="6"/>
      <c r="P65" s="6"/>
      <c r="Q65" s="6"/>
      <c r="R65" s="45">
        <f t="shared" si="40"/>
        <v>66700</v>
      </c>
      <c r="S65" s="6">
        <v>10000</v>
      </c>
      <c r="T65" s="6"/>
      <c r="U65" s="6"/>
      <c r="V65" s="6"/>
      <c r="W65" s="6"/>
      <c r="X65" s="6"/>
      <c r="Y65" s="45">
        <f t="shared" si="41"/>
        <v>10000</v>
      </c>
      <c r="Z65" s="6">
        <f t="shared" si="42"/>
        <v>76700</v>
      </c>
      <c r="AA65" s="6">
        <v>3700</v>
      </c>
      <c r="AB65" s="6">
        <f>(S65+U65+V65+W65+X65)*80%</f>
        <v>8000</v>
      </c>
      <c r="AC65" s="6">
        <f t="shared" si="43"/>
        <v>0</v>
      </c>
      <c r="AD65" s="45">
        <f t="shared" ref="AD64:AD67" si="45">(S65+U65)*20%</f>
        <v>2000</v>
      </c>
      <c r="AE65" s="54">
        <f t="shared" si="44"/>
        <v>0</v>
      </c>
    </row>
    <row r="66" spans="1:31" x14ac:dyDescent="0.25">
      <c r="A66" s="53">
        <v>43943</v>
      </c>
      <c r="B66" s="43">
        <v>60</v>
      </c>
      <c r="C66" s="43">
        <v>6</v>
      </c>
      <c r="D66" s="4" t="s">
        <v>145</v>
      </c>
      <c r="E66" s="6" t="s">
        <v>17</v>
      </c>
      <c r="F66" s="6" t="s">
        <v>15</v>
      </c>
      <c r="H66" s="4">
        <v>1</v>
      </c>
      <c r="M66" s="6">
        <v>0</v>
      </c>
      <c r="N66" s="6">
        <v>69400</v>
      </c>
      <c r="O66" s="6"/>
      <c r="P66" s="6"/>
      <c r="Q66" s="6"/>
      <c r="R66" s="45">
        <f t="shared" si="40"/>
        <v>69400</v>
      </c>
      <c r="S66" s="6">
        <v>10000</v>
      </c>
      <c r="T66" s="6"/>
      <c r="U66" s="6"/>
      <c r="V66" s="6"/>
      <c r="W66" s="6"/>
      <c r="X66" s="6"/>
      <c r="Y66" s="45">
        <f t="shared" si="41"/>
        <v>10000</v>
      </c>
      <c r="Z66" s="6">
        <f t="shared" si="42"/>
        <v>79400</v>
      </c>
      <c r="AA66" s="6">
        <f>83500-Z66</f>
        <v>4100</v>
      </c>
      <c r="AB66" s="6">
        <f>(S66+U66+V66+W66+X66)*80%</f>
        <v>8000</v>
      </c>
      <c r="AC66" s="6">
        <f t="shared" si="43"/>
        <v>0</v>
      </c>
      <c r="AD66" s="45">
        <f t="shared" si="45"/>
        <v>2000</v>
      </c>
      <c r="AE66" s="54">
        <f t="shared" si="44"/>
        <v>0</v>
      </c>
    </row>
    <row r="67" spans="1:31" x14ac:dyDescent="0.25">
      <c r="A67" s="53">
        <v>43943</v>
      </c>
      <c r="B67" s="43">
        <v>61</v>
      </c>
      <c r="C67" s="43">
        <v>7</v>
      </c>
      <c r="D67" s="4" t="s">
        <v>146</v>
      </c>
      <c r="E67" s="6" t="s">
        <v>8</v>
      </c>
      <c r="F67" s="6" t="s">
        <v>14</v>
      </c>
      <c r="H67" s="4">
        <v>1</v>
      </c>
      <c r="M67" s="6"/>
      <c r="N67" s="6">
        <v>26300</v>
      </c>
      <c r="O67" s="6"/>
      <c r="P67" s="6"/>
      <c r="Q67" s="6"/>
      <c r="R67" s="45">
        <f t="shared" si="40"/>
        <v>26300</v>
      </c>
      <c r="S67" s="6">
        <v>10000</v>
      </c>
      <c r="T67" s="6"/>
      <c r="U67" s="6"/>
      <c r="V67" s="6"/>
      <c r="W67" s="6"/>
      <c r="X67" s="6"/>
      <c r="Y67" s="45">
        <f t="shared" si="41"/>
        <v>10000</v>
      </c>
      <c r="Z67" s="6">
        <f t="shared" si="42"/>
        <v>36300</v>
      </c>
      <c r="AA67" s="6">
        <v>200</v>
      </c>
      <c r="AB67" s="6">
        <f>(S67+U67+V67+W67+X67)*80%</f>
        <v>8000</v>
      </c>
      <c r="AC67" s="6">
        <f t="shared" si="43"/>
        <v>0</v>
      </c>
      <c r="AD67" s="45">
        <f t="shared" si="45"/>
        <v>2000</v>
      </c>
      <c r="AE67" s="54">
        <f t="shared" si="44"/>
        <v>0</v>
      </c>
    </row>
    <row r="68" spans="1:31" ht="30" x14ac:dyDescent="0.25">
      <c r="A68" s="53">
        <v>43943</v>
      </c>
      <c r="B68" s="43">
        <v>62</v>
      </c>
      <c r="C68" s="43">
        <v>8</v>
      </c>
      <c r="D68" s="4" t="s">
        <v>142</v>
      </c>
      <c r="E68" s="6" t="s">
        <v>8</v>
      </c>
      <c r="F68" s="6" t="s">
        <v>15</v>
      </c>
      <c r="G68" s="4">
        <v>1</v>
      </c>
      <c r="H68" s="4">
        <v>1</v>
      </c>
      <c r="K68" s="4">
        <v>1</v>
      </c>
      <c r="M68" s="6">
        <v>36000</v>
      </c>
      <c r="N68" s="6">
        <v>250000</v>
      </c>
      <c r="O68" s="6"/>
      <c r="P68" s="6"/>
      <c r="Q68" s="6">
        <v>56700</v>
      </c>
      <c r="R68" s="45">
        <f t="shared" si="40"/>
        <v>342700</v>
      </c>
      <c r="S68" s="6"/>
      <c r="T68" s="6"/>
      <c r="U68" s="6">
        <v>5000</v>
      </c>
      <c r="V68" s="6">
        <v>15000</v>
      </c>
      <c r="W68" s="6"/>
      <c r="X68" s="6"/>
      <c r="Y68" s="45">
        <f t="shared" si="41"/>
        <v>20000</v>
      </c>
      <c r="Z68" s="6">
        <f t="shared" si="42"/>
        <v>362700</v>
      </c>
      <c r="AA68" s="6">
        <v>5300</v>
      </c>
      <c r="AB68" s="6">
        <f>(S68+U68+V68+W68+X68)*80%</f>
        <v>16000</v>
      </c>
      <c r="AC68" s="6">
        <f t="shared" ref="AC68" si="46">T68*80%</f>
        <v>0</v>
      </c>
      <c r="AD68" s="45">
        <f>(S68+U68+V68+W68+X68)*20%</f>
        <v>4000</v>
      </c>
      <c r="AE68" s="54">
        <f t="shared" ref="AE68" si="47">T68*20%</f>
        <v>0</v>
      </c>
    </row>
    <row r="69" spans="1:31" x14ac:dyDescent="0.25">
      <c r="A69" s="53">
        <v>43943</v>
      </c>
      <c r="B69" s="43">
        <v>63</v>
      </c>
      <c r="C69" s="43">
        <v>9</v>
      </c>
      <c r="D69" s="4" t="s">
        <v>147</v>
      </c>
      <c r="E69" s="6" t="s">
        <v>7</v>
      </c>
      <c r="F69" s="6" t="s">
        <v>15</v>
      </c>
      <c r="H69" s="4">
        <v>1</v>
      </c>
      <c r="M69" s="6"/>
      <c r="N69" s="6">
        <v>347900</v>
      </c>
      <c r="O69" s="6"/>
      <c r="P69" s="6"/>
      <c r="Q69" s="6"/>
      <c r="R69" s="45">
        <f t="shared" si="40"/>
        <v>347900</v>
      </c>
      <c r="S69" s="6">
        <v>10000</v>
      </c>
      <c r="T69" s="6"/>
      <c r="U69" s="6"/>
      <c r="V69" s="6"/>
      <c r="W69" s="6"/>
      <c r="X69" s="6"/>
      <c r="Y69" s="45">
        <f t="shared" ref="Y69" si="48">SUM(S69:X69)</f>
        <v>10000</v>
      </c>
      <c r="Z69" s="6">
        <f t="shared" ref="Z69" si="49">R69+Y69</f>
        <v>357900</v>
      </c>
      <c r="AA69" s="6"/>
      <c r="AB69" s="6">
        <f>(S69+U69+V69+W69+X69)*80%</f>
        <v>8000</v>
      </c>
      <c r="AC69" s="6">
        <f t="shared" ref="AC69" si="50">T69*80%</f>
        <v>0</v>
      </c>
      <c r="AD69" s="45">
        <f>(S69+U69+V69+W69+X69)*20%</f>
        <v>2000</v>
      </c>
      <c r="AE69" s="54">
        <f t="shared" ref="AE69" si="51">T69*20%</f>
        <v>0</v>
      </c>
    </row>
    <row r="70" spans="1:31" x14ac:dyDescent="0.25">
      <c r="A70" s="53">
        <v>43943</v>
      </c>
      <c r="B70" s="43">
        <v>64</v>
      </c>
      <c r="C70" s="43">
        <v>10</v>
      </c>
      <c r="D70" s="4" t="s">
        <v>146</v>
      </c>
      <c r="E70" s="6" t="s">
        <v>17</v>
      </c>
      <c r="F70" s="6" t="s">
        <v>14</v>
      </c>
      <c r="L70" s="4">
        <v>1</v>
      </c>
      <c r="M70" s="6"/>
      <c r="N70" s="6"/>
      <c r="O70" s="6"/>
      <c r="P70" s="6">
        <v>40000</v>
      </c>
      <c r="Q70" s="6"/>
      <c r="R70" s="45">
        <f t="shared" si="40"/>
        <v>40000</v>
      </c>
      <c r="S70" s="6"/>
      <c r="T70" s="6"/>
      <c r="U70" s="6"/>
      <c r="V70" s="6"/>
      <c r="W70" s="6"/>
      <c r="X70" s="6">
        <v>25000</v>
      </c>
      <c r="Y70" s="45">
        <f t="shared" ref="Y70" si="52">SUM(S70:X70)</f>
        <v>25000</v>
      </c>
      <c r="Z70" s="6">
        <f t="shared" ref="Z70" si="53">R70+Y70</f>
        <v>65000</v>
      </c>
      <c r="AA70" s="6"/>
      <c r="AB70" s="6">
        <f>(S70+U70+V70+W70+X70)*80%</f>
        <v>20000</v>
      </c>
      <c r="AC70" s="6">
        <f t="shared" ref="AC70" si="54">T70*80%</f>
        <v>0</v>
      </c>
      <c r="AD70" s="45">
        <f>(S70+U70+V70+W70+X70)*20%</f>
        <v>5000</v>
      </c>
      <c r="AE70" s="54">
        <f t="shared" ref="AE70" si="55">T70*20%</f>
        <v>0</v>
      </c>
    </row>
    <row r="71" spans="1:31" x14ac:dyDescent="0.25">
      <c r="A71" s="53"/>
      <c r="B71" s="43"/>
      <c r="C71" s="43"/>
      <c r="E71" s="6"/>
      <c r="F71" s="6"/>
      <c r="M71" s="6"/>
      <c r="N71" s="6"/>
      <c r="O71" s="6"/>
      <c r="P71" s="6"/>
      <c r="Q71" s="6"/>
      <c r="R71" s="45"/>
      <c r="S71" s="6"/>
      <c r="T71" s="6"/>
      <c r="U71" s="6"/>
      <c r="V71" s="6"/>
      <c r="W71" s="6"/>
      <c r="X71" s="6"/>
      <c r="Y71" s="45"/>
      <c r="Z71" s="6"/>
      <c r="AA71" s="6"/>
      <c r="AB71" s="6"/>
      <c r="AC71" s="6"/>
      <c r="AD71" s="45"/>
      <c r="AE71" s="54"/>
    </row>
    <row r="72" spans="1:31" x14ac:dyDescent="0.25">
      <c r="A72" s="53"/>
      <c r="E72" s="6"/>
      <c r="F72" s="6"/>
      <c r="M72" s="6"/>
      <c r="N72" s="6"/>
      <c r="O72" s="6"/>
      <c r="P72" s="6"/>
      <c r="Q72" s="6"/>
      <c r="R72" s="45"/>
      <c r="S72" s="6"/>
      <c r="T72" s="6"/>
      <c r="U72" s="6"/>
      <c r="V72" s="6"/>
      <c r="W72" s="6"/>
      <c r="X72" s="6"/>
      <c r="Y72" s="45"/>
      <c r="Z72" s="6"/>
      <c r="AA72" s="6"/>
      <c r="AB72" s="6"/>
      <c r="AC72" s="6"/>
      <c r="AD72" s="45"/>
      <c r="AE72" s="55"/>
    </row>
    <row r="73" spans="1:31" x14ac:dyDescent="0.25">
      <c r="A73" s="53"/>
      <c r="D73" s="15"/>
      <c r="E73" s="6"/>
      <c r="F73" s="6"/>
      <c r="M73" s="6"/>
      <c r="N73" s="6"/>
      <c r="O73" s="6"/>
      <c r="P73" s="6"/>
      <c r="Q73" s="6"/>
      <c r="R73" s="45"/>
      <c r="S73" s="6"/>
      <c r="T73" s="6"/>
      <c r="U73" s="6"/>
      <c r="V73" s="6"/>
      <c r="W73" s="6"/>
      <c r="X73" s="6"/>
      <c r="Y73" s="45"/>
      <c r="Z73" s="6"/>
      <c r="AA73" s="6"/>
      <c r="AB73" s="6"/>
      <c r="AC73" s="6"/>
      <c r="AD73" s="45"/>
      <c r="AE73" s="55"/>
    </row>
    <row r="74" spans="1:31" x14ac:dyDescent="0.25">
      <c r="A74" s="53"/>
      <c r="E74" s="6"/>
      <c r="F74" s="6"/>
      <c r="M74" s="6"/>
      <c r="N74" s="6"/>
      <c r="O74" s="6"/>
      <c r="P74" s="6"/>
      <c r="Q74" s="6"/>
      <c r="R74" s="45"/>
      <c r="S74" s="6"/>
      <c r="T74" s="6"/>
      <c r="U74" s="6"/>
      <c r="V74" s="6"/>
      <c r="W74" s="6"/>
      <c r="X74" s="6"/>
      <c r="Y74" s="45"/>
      <c r="Z74" s="6"/>
      <c r="AA74" s="6"/>
      <c r="AB74" s="6"/>
      <c r="AC74" s="6"/>
      <c r="AD74" s="45"/>
      <c r="AE74" s="55"/>
    </row>
    <row r="75" spans="1:31" x14ac:dyDescent="0.25">
      <c r="A75" s="53"/>
      <c r="E75" s="6"/>
      <c r="F75" s="6"/>
      <c r="M75" s="6"/>
      <c r="N75" s="6"/>
      <c r="O75" s="6"/>
      <c r="P75" s="6"/>
      <c r="Q75" s="6"/>
      <c r="R75" s="45"/>
      <c r="S75" s="6"/>
      <c r="T75" s="6"/>
      <c r="U75" s="6"/>
      <c r="V75" s="6"/>
      <c r="W75" s="6"/>
      <c r="X75" s="6"/>
      <c r="Y75" s="45"/>
      <c r="Z75" s="6"/>
      <c r="AA75" s="6"/>
      <c r="AB75" s="6"/>
      <c r="AC75" s="6"/>
      <c r="AD75" s="45"/>
      <c r="AE75" s="55"/>
    </row>
    <row r="76" spans="1:31" ht="15.75" x14ac:dyDescent="0.25">
      <c r="E76" s="10" t="s">
        <v>35</v>
      </c>
      <c r="F76" s="6"/>
      <c r="G76" s="10">
        <f>SUM(G3:G75)</f>
        <v>142</v>
      </c>
      <c r="H76" s="10">
        <f t="shared" ref="H76:L76" si="56">SUM(H3:H75)</f>
        <v>27</v>
      </c>
      <c r="I76" s="10">
        <f t="shared" si="56"/>
        <v>4</v>
      </c>
      <c r="J76" s="10">
        <f t="shared" si="56"/>
        <v>4</v>
      </c>
      <c r="K76" s="10">
        <f t="shared" si="56"/>
        <v>4</v>
      </c>
      <c r="L76" s="10">
        <f t="shared" si="56"/>
        <v>3</v>
      </c>
      <c r="M76" s="21">
        <f>SUM(M3:M75)</f>
        <v>6747000</v>
      </c>
      <c r="N76" s="21">
        <f t="shared" ref="N76:Q76" si="57">SUM(N3:N75)</f>
        <v>9025400</v>
      </c>
      <c r="O76" s="21">
        <f t="shared" si="57"/>
        <v>734000</v>
      </c>
      <c r="P76" s="21">
        <f t="shared" si="57"/>
        <v>580000</v>
      </c>
      <c r="Q76" s="21">
        <f t="shared" si="57"/>
        <v>340700</v>
      </c>
      <c r="R76" s="46">
        <f t="shared" ref="R76:Y76" si="58">SUM(R3:R75)</f>
        <v>17427100</v>
      </c>
      <c r="S76" s="21">
        <f t="shared" si="58"/>
        <v>845000</v>
      </c>
      <c r="T76" s="21">
        <f t="shared" si="58"/>
        <v>232000</v>
      </c>
      <c r="U76" s="21">
        <f t="shared" si="58"/>
        <v>65000</v>
      </c>
      <c r="V76" s="21">
        <f t="shared" si="58"/>
        <v>70000</v>
      </c>
      <c r="W76" s="21">
        <f t="shared" si="58"/>
        <v>0</v>
      </c>
      <c r="X76" s="21">
        <f t="shared" si="58"/>
        <v>130000</v>
      </c>
      <c r="Y76" s="46">
        <f t="shared" si="58"/>
        <v>1342000</v>
      </c>
      <c r="Z76" s="10">
        <f t="shared" ref="Z76:AE76" si="59">SUM(Z3:Z75)</f>
        <v>18769100</v>
      </c>
      <c r="AA76" s="10">
        <f t="shared" si="59"/>
        <v>357800</v>
      </c>
      <c r="AB76" s="10">
        <f t="shared" si="59"/>
        <v>888000</v>
      </c>
      <c r="AC76" s="10">
        <f t="shared" si="59"/>
        <v>185600</v>
      </c>
      <c r="AD76" s="50">
        <f t="shared" si="59"/>
        <v>222000</v>
      </c>
      <c r="AE76" s="50">
        <f t="shared" si="59"/>
        <v>46400</v>
      </c>
    </row>
    <row r="77" spans="1:31" ht="30" x14ac:dyDescent="0.25">
      <c r="E77" s="6"/>
      <c r="F77" s="6"/>
      <c r="M77" s="38">
        <f>M76/$R$76</f>
        <v>0.38715563691032934</v>
      </c>
      <c r="N77" s="38">
        <f t="shared" ref="N77:Q77" si="60">N76/$R$76</f>
        <v>0.51789454355572639</v>
      </c>
      <c r="O77" s="38">
        <f t="shared" si="60"/>
        <v>4.2118309988466239E-2</v>
      </c>
      <c r="P77" s="38">
        <f t="shared" si="60"/>
        <v>3.3281498356008743E-2</v>
      </c>
      <c r="Q77" s="38">
        <f t="shared" si="60"/>
        <v>1.9550011189469276E-2</v>
      </c>
      <c r="R77" s="45"/>
      <c r="S77" s="39" t="s">
        <v>115</v>
      </c>
      <c r="T77" s="40">
        <f>S76+T76+U76</f>
        <v>1142000</v>
      </c>
      <c r="U77" s="39">
        <f>T77/$Y$76</f>
        <v>0.8509687034277198</v>
      </c>
      <c r="V77" s="39">
        <f t="shared" ref="V77:X77" si="61">V76/$Y$76</f>
        <v>5.216095380029806E-2</v>
      </c>
      <c r="W77" s="39">
        <f t="shared" si="61"/>
        <v>0</v>
      </c>
      <c r="X77" s="39">
        <f t="shared" si="61"/>
        <v>9.6870342771982115E-2</v>
      </c>
      <c r="Y77" s="45"/>
      <c r="Z77" s="30" t="s">
        <v>62</v>
      </c>
      <c r="AA77" s="9">
        <v>240000</v>
      </c>
      <c r="AB77" s="6"/>
      <c r="AC77" s="6"/>
      <c r="AD77" s="45"/>
      <c r="AE77" s="55"/>
    </row>
    <row r="78" spans="1:31" ht="45" x14ac:dyDescent="0.25">
      <c r="D78" s="30"/>
      <c r="E78" s="6"/>
      <c r="F78" s="6"/>
      <c r="M78" s="6"/>
      <c r="N78" s="6"/>
      <c r="O78" s="6"/>
      <c r="P78" s="6"/>
      <c r="Q78" s="6"/>
      <c r="R78" s="6"/>
      <c r="S78" s="13"/>
      <c r="T78" s="18"/>
      <c r="U78" s="18"/>
      <c r="V78" s="18"/>
      <c r="W78" s="18"/>
      <c r="X78" s="18"/>
      <c r="Y78" s="18"/>
      <c r="Z78" s="13" t="s">
        <v>32</v>
      </c>
      <c r="AA78" s="18">
        <f>AB76+AA76+AA77</f>
        <v>1485800</v>
      </c>
      <c r="AB78" s="13" t="s">
        <v>33</v>
      </c>
      <c r="AC78" s="18">
        <f>AC76</f>
        <v>185600</v>
      </c>
      <c r="AD78" s="13" t="s">
        <v>53</v>
      </c>
      <c r="AE78" s="14">
        <f>AD76+AE76</f>
        <v>268400</v>
      </c>
    </row>
    <row r="79" spans="1:31" ht="18.75" x14ac:dyDescent="0.25">
      <c r="E79" s="6"/>
      <c r="F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9" t="s">
        <v>56</v>
      </c>
      <c r="AE79" s="14">
        <f>'Donasi Pasar'!B13</f>
        <v>154000</v>
      </c>
    </row>
    <row r="80" spans="1:31" ht="18.75" x14ac:dyDescent="0.25">
      <c r="E80" s="6"/>
      <c r="F80" s="6"/>
      <c r="M80" s="6"/>
      <c r="N80" s="6"/>
      <c r="O80" s="6"/>
      <c r="P80" s="6"/>
      <c r="Q80" s="6"/>
      <c r="R80" s="58" t="s">
        <v>76</v>
      </c>
      <c r="S80" s="58"/>
      <c r="T80" s="24">
        <f>Z76+AA76+AA77</f>
        <v>19366900</v>
      </c>
      <c r="U80" s="42">
        <f>T80/$T$80</f>
        <v>1</v>
      </c>
      <c r="V80" s="6"/>
      <c r="W80" s="6"/>
      <c r="X80" s="6"/>
      <c r="Y80" s="6"/>
      <c r="Z80" s="6"/>
      <c r="AA80" s="6"/>
      <c r="AB80" s="6"/>
      <c r="AC80" s="6"/>
      <c r="AD80" s="6"/>
    </row>
    <row r="81" spans="5:30" ht="18.75" x14ac:dyDescent="0.25">
      <c r="E81" s="6"/>
      <c r="F81" s="6"/>
      <c r="M81" s="34"/>
      <c r="N81" s="34"/>
      <c r="O81" s="34"/>
      <c r="P81" s="34"/>
      <c r="Q81" s="34"/>
      <c r="R81" s="58" t="s">
        <v>5</v>
      </c>
      <c r="S81" s="58"/>
      <c r="T81" s="24">
        <f>R76</f>
        <v>17427100</v>
      </c>
      <c r="U81" s="42">
        <f>T81/$T$80</f>
        <v>0.89983941673680357</v>
      </c>
      <c r="V81" s="36"/>
      <c r="W81" s="36"/>
      <c r="X81" s="36"/>
      <c r="Y81" s="20"/>
      <c r="AA81" s="18"/>
      <c r="AB81" s="22"/>
      <c r="AC81" s="19"/>
      <c r="AD81" s="52"/>
    </row>
    <row r="82" spans="5:30" ht="18.75" x14ac:dyDescent="0.25">
      <c r="E82" s="6"/>
      <c r="F82" s="6"/>
      <c r="M82" s="34"/>
      <c r="N82" s="34"/>
      <c r="O82" s="34"/>
      <c r="P82" s="34"/>
      <c r="Q82" s="34"/>
      <c r="R82" s="58" t="s">
        <v>59</v>
      </c>
      <c r="S82" s="58"/>
      <c r="T82" s="26">
        <f>Y76+AA76+AA77+AE79</f>
        <v>2093800</v>
      </c>
      <c r="U82" s="42">
        <f>T82/$T$80</f>
        <v>0.10811229468836003</v>
      </c>
      <c r="V82" s="37"/>
      <c r="W82" s="37"/>
      <c r="X82" s="37"/>
      <c r="Y82" s="6"/>
      <c r="Z82" s="6"/>
      <c r="AA82" s="6"/>
      <c r="AB82" s="6"/>
      <c r="AC82" s="52"/>
      <c r="AD82" s="52"/>
    </row>
    <row r="83" spans="5:30" ht="18.75" x14ac:dyDescent="0.25">
      <c r="E83" s="6"/>
      <c r="F83" s="6"/>
      <c r="M83" s="34"/>
      <c r="N83" s="34"/>
      <c r="O83" s="34"/>
      <c r="P83" s="34"/>
      <c r="Q83" s="34"/>
      <c r="R83" s="58" t="s">
        <v>57</v>
      </c>
      <c r="S83" s="58"/>
      <c r="T83" s="26">
        <f>AA76+AA77+AB76+AC76</f>
        <v>1671400</v>
      </c>
      <c r="U83" s="42">
        <f>T83/$T$80</f>
        <v>8.6301886207911432E-2</v>
      </c>
      <c r="V83" s="37"/>
      <c r="W83" s="37"/>
      <c r="X83" s="37"/>
      <c r="Y83" s="6"/>
      <c r="Z83" s="6"/>
      <c r="AA83" s="6"/>
      <c r="AB83" s="6"/>
      <c r="AC83" s="52"/>
      <c r="AD83" s="52"/>
    </row>
    <row r="84" spans="5:30" ht="30.75" customHeight="1" x14ac:dyDescent="0.25">
      <c r="E84" s="6"/>
      <c r="F84" s="6"/>
      <c r="M84" s="34"/>
      <c r="N84" s="34"/>
      <c r="O84" s="34"/>
      <c r="P84" s="34"/>
      <c r="Q84" s="34"/>
      <c r="R84" s="58" t="s">
        <v>58</v>
      </c>
      <c r="S84" s="58"/>
      <c r="T84" s="26">
        <f>AE78+AE79</f>
        <v>422400</v>
      </c>
      <c r="U84" s="42">
        <f>T84/$T$80</f>
        <v>2.1810408480448601E-2</v>
      </c>
      <c r="V84" s="37"/>
      <c r="W84" s="37"/>
      <c r="X84" s="37"/>
      <c r="Y84" s="6"/>
      <c r="Z84" s="6"/>
      <c r="AA84" s="6"/>
      <c r="AB84" s="6"/>
      <c r="AC84" s="52"/>
      <c r="AD84" s="52"/>
    </row>
    <row r="85" spans="5:30" x14ac:dyDescent="0.25">
      <c r="E85" s="6"/>
      <c r="F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</row>
    <row r="86" spans="5:30" x14ac:dyDescent="0.25">
      <c r="R86" s="57" t="s">
        <v>75</v>
      </c>
      <c r="S86" s="57"/>
      <c r="T86" s="41" t="s">
        <v>94</v>
      </c>
      <c r="U86" s="41" t="s">
        <v>92</v>
      </c>
      <c r="V86" s="41" t="s">
        <v>93</v>
      </c>
      <c r="AB86" s="52"/>
      <c r="AC86" s="52"/>
      <c r="AD86" s="52"/>
    </row>
    <row r="87" spans="5:30" x14ac:dyDescent="0.25">
      <c r="R87" s="41" t="s">
        <v>8</v>
      </c>
      <c r="S87" s="31">
        <f>'Saldo Indri'!AA65+'Saldo Indri'!AC65</f>
        <v>653800</v>
      </c>
      <c r="T87" s="41">
        <v>8</v>
      </c>
      <c r="U87" s="31">
        <f>S87/T87</f>
        <v>81725</v>
      </c>
      <c r="V87" s="31">
        <f>U87*22</f>
        <v>1797950</v>
      </c>
      <c r="AB87" s="52"/>
      <c r="AC87" s="52"/>
      <c r="AD87" s="52"/>
    </row>
    <row r="88" spans="5:30" x14ac:dyDescent="0.25">
      <c r="R88" s="41" t="s">
        <v>7</v>
      </c>
      <c r="S88" s="31">
        <f>'Saldo Samin'!AA37</f>
        <v>477000</v>
      </c>
      <c r="T88" s="41">
        <v>8</v>
      </c>
      <c r="U88" s="31">
        <f>S88/T88</f>
        <v>59625</v>
      </c>
      <c r="V88" s="31">
        <f t="shared" ref="V88:V90" si="62">U88*22</f>
        <v>1311750</v>
      </c>
      <c r="AB88" s="52"/>
      <c r="AC88" s="52"/>
      <c r="AD88" s="52"/>
    </row>
    <row r="89" spans="5:30" x14ac:dyDescent="0.25">
      <c r="R89" s="41" t="s">
        <v>17</v>
      </c>
      <c r="S89" s="31">
        <f>'Saldo Yudi'!AA23+'Saldo Yudi'!AC23</f>
        <v>292300</v>
      </c>
      <c r="T89" s="41">
        <v>6</v>
      </c>
      <c r="U89" s="31">
        <f>S89/T89</f>
        <v>48716.666666666664</v>
      </c>
      <c r="V89" s="31">
        <f t="shared" si="62"/>
        <v>1071766.6666666665</v>
      </c>
      <c r="AB89" s="52"/>
      <c r="AC89" s="52"/>
      <c r="AD89" s="52"/>
    </row>
    <row r="90" spans="5:30" x14ac:dyDescent="0.25">
      <c r="R90" s="41" t="s">
        <v>45</v>
      </c>
      <c r="S90" s="31">
        <f>'Saldo Andri'!AA26</f>
        <v>363500</v>
      </c>
      <c r="T90" s="41">
        <v>6</v>
      </c>
      <c r="U90" s="31">
        <f>S90/T90</f>
        <v>60583.333333333336</v>
      </c>
      <c r="V90" s="31">
        <f t="shared" si="62"/>
        <v>1332833.3333333335</v>
      </c>
      <c r="AB90" s="52"/>
      <c r="AC90" s="52"/>
      <c r="AD90" s="52"/>
    </row>
    <row r="93" spans="5:30" x14ac:dyDescent="0.25">
      <c r="S93" s="56"/>
      <c r="T93" s="31"/>
    </row>
    <row r="94" spans="5:30" x14ac:dyDescent="0.25">
      <c r="S94" s="56"/>
      <c r="T94" s="31"/>
    </row>
    <row r="95" spans="5:30" x14ac:dyDescent="0.25">
      <c r="S95" s="56"/>
      <c r="T95" s="31"/>
    </row>
  </sheetData>
  <autoFilter ref="A2:AF2"/>
  <mergeCells count="6">
    <mergeCell ref="R86:S86"/>
    <mergeCell ref="R81:S81"/>
    <mergeCell ref="R80:S80"/>
    <mergeCell ref="R82:S82"/>
    <mergeCell ref="R83:S83"/>
    <mergeCell ref="R84:S84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8"/>
  <sheetViews>
    <sheetView zoomScale="80" zoomScaleNormal="80" workbookViewId="0">
      <pane xSplit="8" ySplit="2" topLeftCell="S3" activePane="bottomRight" state="frozen"/>
      <selection pane="topRight" activeCell="I1" sqref="I1"/>
      <selection pane="bottomLeft" activeCell="A3" sqref="A3"/>
      <selection pane="bottomRight" activeCell="X3" sqref="X3:Z11"/>
    </sheetView>
  </sheetViews>
  <sheetFormatPr defaultRowHeight="15" x14ac:dyDescent="0.25"/>
  <cols>
    <col min="1" max="1" width="10.7109375" customWidth="1"/>
    <col min="2" max="3" width="6.140625" style="1" customWidth="1"/>
    <col min="4" max="4" width="19" style="1" customWidth="1"/>
    <col min="5" max="5" width="14.7109375" style="3" customWidth="1"/>
    <col min="6" max="6" width="9.42578125" style="3" customWidth="1"/>
    <col min="7" max="9" width="7.28515625" style="2" customWidth="1"/>
    <col min="10" max="19" width="17.42578125" style="3" customWidth="1"/>
    <col min="20" max="20" width="19.140625" style="3" customWidth="1"/>
    <col min="21" max="22" width="17.42578125" style="3" customWidth="1"/>
    <col min="23" max="23" width="19.85546875" customWidth="1"/>
    <col min="24" max="24" width="15.42578125" style="1" customWidth="1"/>
    <col min="25" max="26" width="16.140625" style="1" customWidth="1"/>
  </cols>
  <sheetData>
    <row r="2" spans="1:26" s="5" customFormat="1" ht="45" x14ac:dyDescent="0.25">
      <c r="A2" s="5" t="s">
        <v>29</v>
      </c>
      <c r="B2" s="4" t="s">
        <v>0</v>
      </c>
      <c r="C2" s="4" t="s">
        <v>46</v>
      </c>
      <c r="D2" s="4" t="s">
        <v>1</v>
      </c>
      <c r="E2" s="4" t="s">
        <v>34</v>
      </c>
      <c r="F2" s="4" t="s">
        <v>13</v>
      </c>
      <c r="G2" s="7" t="s">
        <v>2</v>
      </c>
      <c r="H2" s="7" t="s">
        <v>30</v>
      </c>
      <c r="I2" s="7" t="s">
        <v>50</v>
      </c>
      <c r="J2" s="4" t="s">
        <v>64</v>
      </c>
      <c r="K2" s="4" t="s">
        <v>65</v>
      </c>
      <c r="L2" s="4" t="s">
        <v>66</v>
      </c>
      <c r="M2" s="29" t="s">
        <v>67</v>
      </c>
      <c r="N2" s="4" t="s">
        <v>3</v>
      </c>
      <c r="O2" s="4" t="s">
        <v>73</v>
      </c>
      <c r="P2" s="4" t="s">
        <v>68</v>
      </c>
      <c r="Q2" s="29" t="s">
        <v>69</v>
      </c>
      <c r="R2" s="29" t="s">
        <v>23</v>
      </c>
      <c r="S2" s="4" t="s">
        <v>24</v>
      </c>
      <c r="T2" s="4" t="s">
        <v>25</v>
      </c>
      <c r="U2" s="4" t="s">
        <v>26</v>
      </c>
      <c r="V2" s="4" t="s">
        <v>27</v>
      </c>
      <c r="W2" s="4" t="s">
        <v>28</v>
      </c>
      <c r="X2" s="4" t="s">
        <v>36</v>
      </c>
      <c r="Y2" s="4" t="s">
        <v>38</v>
      </c>
      <c r="Z2" s="4" t="s">
        <v>63</v>
      </c>
    </row>
    <row r="3" spans="1:26" s="5" customFormat="1" x14ac:dyDescent="0.25">
      <c r="A3" s="11">
        <v>43937</v>
      </c>
      <c r="B3" s="1">
        <v>7</v>
      </c>
      <c r="C3" s="1">
        <v>1</v>
      </c>
      <c r="D3" s="1" t="s">
        <v>16</v>
      </c>
      <c r="E3" s="6" t="s">
        <v>17</v>
      </c>
      <c r="F3" s="6" t="s">
        <v>14</v>
      </c>
      <c r="G3" s="2"/>
      <c r="H3" s="2">
        <v>1</v>
      </c>
      <c r="I3" s="2"/>
      <c r="J3" s="3"/>
      <c r="K3" s="6">
        <v>46000</v>
      </c>
      <c r="L3" s="6"/>
      <c r="M3" s="6">
        <f t="shared" ref="M3:M8" si="0">J3+K3+L3</f>
        <v>46000</v>
      </c>
      <c r="N3" s="6">
        <v>10000</v>
      </c>
      <c r="O3" s="6">
        <v>0</v>
      </c>
      <c r="P3" s="6"/>
      <c r="Q3" s="6">
        <f t="shared" ref="Q3:Q11" si="1">N3+O3+P3</f>
        <v>10000</v>
      </c>
      <c r="R3" s="6">
        <f t="shared" ref="R3:R11" si="2">M3+Q3</f>
        <v>56000</v>
      </c>
      <c r="S3" s="6">
        <v>1000</v>
      </c>
      <c r="T3" s="6">
        <f t="shared" ref="T3:T11" si="3">(N3+P3)*80%</f>
        <v>8000</v>
      </c>
      <c r="U3" s="6">
        <f t="shared" ref="U3:U11" si="4">O3*80%</f>
        <v>0</v>
      </c>
      <c r="V3" s="6">
        <f t="shared" ref="V3:V11" si="5">(N3+P3)*20%</f>
        <v>2000</v>
      </c>
      <c r="W3" s="8">
        <f t="shared" ref="W3:W11" si="6">O3*20%</f>
        <v>0</v>
      </c>
      <c r="X3" s="1" t="s">
        <v>17</v>
      </c>
      <c r="Y3" s="16">
        <f>-V3</f>
        <v>-2000</v>
      </c>
      <c r="Z3" s="8">
        <f>Y3</f>
        <v>-2000</v>
      </c>
    </row>
    <row r="4" spans="1:26" s="5" customFormat="1" x14ac:dyDescent="0.25">
      <c r="A4" s="11">
        <v>43937</v>
      </c>
      <c r="B4" s="1">
        <v>9</v>
      </c>
      <c r="C4" s="1">
        <v>3</v>
      </c>
      <c r="D4" s="1" t="s">
        <v>18</v>
      </c>
      <c r="E4" s="6" t="s">
        <v>17</v>
      </c>
      <c r="F4" s="6" t="s">
        <v>14</v>
      </c>
      <c r="G4" s="2"/>
      <c r="H4" s="2">
        <v>7</v>
      </c>
      <c r="I4" s="2"/>
      <c r="J4" s="3"/>
      <c r="K4" s="6">
        <v>156000</v>
      </c>
      <c r="L4" s="6"/>
      <c r="M4" s="6">
        <f t="shared" si="0"/>
        <v>156000</v>
      </c>
      <c r="N4" s="6">
        <v>10000</v>
      </c>
      <c r="O4" s="6">
        <v>12000</v>
      </c>
      <c r="P4" s="6"/>
      <c r="Q4" s="6">
        <f t="shared" si="1"/>
        <v>22000</v>
      </c>
      <c r="R4" s="6">
        <f t="shared" si="2"/>
        <v>178000</v>
      </c>
      <c r="S4" s="6">
        <v>2000</v>
      </c>
      <c r="T4" s="6">
        <f t="shared" si="3"/>
        <v>8000</v>
      </c>
      <c r="U4" s="6">
        <f t="shared" si="4"/>
        <v>9600</v>
      </c>
      <c r="V4" s="6">
        <f t="shared" si="5"/>
        <v>2000</v>
      </c>
      <c r="W4" s="8">
        <f t="shared" si="6"/>
        <v>2400</v>
      </c>
      <c r="X4" s="1" t="s">
        <v>17</v>
      </c>
      <c r="Y4" s="16">
        <f>-V4-1200</f>
        <v>-3200</v>
      </c>
      <c r="Z4" s="8">
        <f t="shared" ref="Z4:Z11" si="7">Z3+Y4</f>
        <v>-5200</v>
      </c>
    </row>
    <row r="5" spans="1:26" s="5" customFormat="1" x14ac:dyDescent="0.25">
      <c r="A5" s="11">
        <v>43937</v>
      </c>
      <c r="B5" s="1">
        <v>13</v>
      </c>
      <c r="C5" s="1">
        <v>7</v>
      </c>
      <c r="D5" s="1" t="s">
        <v>20</v>
      </c>
      <c r="E5" s="6" t="s">
        <v>17</v>
      </c>
      <c r="F5" s="6" t="s">
        <v>14</v>
      </c>
      <c r="G5" s="2">
        <v>1</v>
      </c>
      <c r="H5" s="2"/>
      <c r="I5" s="2"/>
      <c r="J5" s="6">
        <v>165300</v>
      </c>
      <c r="K5" s="6"/>
      <c r="L5" s="6"/>
      <c r="M5" s="6">
        <f t="shared" si="0"/>
        <v>165300</v>
      </c>
      <c r="N5" s="6">
        <v>20000</v>
      </c>
      <c r="O5" s="6">
        <v>0</v>
      </c>
      <c r="P5" s="6"/>
      <c r="Q5" s="6">
        <f t="shared" si="1"/>
        <v>20000</v>
      </c>
      <c r="R5" s="6">
        <f t="shared" si="2"/>
        <v>185300</v>
      </c>
      <c r="S5" s="6">
        <v>4700</v>
      </c>
      <c r="T5" s="6">
        <f t="shared" si="3"/>
        <v>16000</v>
      </c>
      <c r="U5" s="6">
        <f t="shared" si="4"/>
        <v>0</v>
      </c>
      <c r="V5" s="6">
        <f t="shared" si="5"/>
        <v>4000</v>
      </c>
      <c r="W5" s="8">
        <f t="shared" si="6"/>
        <v>0</v>
      </c>
      <c r="X5" s="1" t="s">
        <v>17</v>
      </c>
      <c r="Y5" s="8">
        <f>-V5</f>
        <v>-4000</v>
      </c>
      <c r="Z5" s="8">
        <f t="shared" si="7"/>
        <v>-9200</v>
      </c>
    </row>
    <row r="6" spans="1:26" s="5" customFormat="1" x14ac:dyDescent="0.25">
      <c r="A6" s="11">
        <v>43938</v>
      </c>
      <c r="B6" s="1">
        <v>16</v>
      </c>
      <c r="C6" s="1">
        <v>3</v>
      </c>
      <c r="D6" s="1" t="s">
        <v>47</v>
      </c>
      <c r="E6" s="6" t="s">
        <v>17</v>
      </c>
      <c r="F6" s="6" t="s">
        <v>14</v>
      </c>
      <c r="G6" s="2">
        <v>1</v>
      </c>
      <c r="H6" s="2"/>
      <c r="I6" s="2"/>
      <c r="J6" s="6">
        <v>669000</v>
      </c>
      <c r="K6" s="6"/>
      <c r="L6" s="6"/>
      <c r="M6" s="6">
        <f t="shared" si="0"/>
        <v>669000</v>
      </c>
      <c r="N6" s="6">
        <v>15000</v>
      </c>
      <c r="O6" s="6">
        <v>0</v>
      </c>
      <c r="P6" s="6"/>
      <c r="Q6" s="6">
        <f t="shared" si="1"/>
        <v>15000</v>
      </c>
      <c r="R6" s="6">
        <f t="shared" si="2"/>
        <v>684000</v>
      </c>
      <c r="S6" s="6">
        <v>0</v>
      </c>
      <c r="T6" s="6">
        <f t="shared" si="3"/>
        <v>12000</v>
      </c>
      <c r="U6" s="6">
        <f t="shared" si="4"/>
        <v>0</v>
      </c>
      <c r="V6" s="6">
        <f t="shared" si="5"/>
        <v>3000</v>
      </c>
      <c r="W6" s="8">
        <f t="shared" si="6"/>
        <v>0</v>
      </c>
      <c r="X6" s="1" t="s">
        <v>17</v>
      </c>
      <c r="Y6" s="8">
        <f>-V6</f>
        <v>-3000</v>
      </c>
      <c r="Z6" s="8">
        <f t="shared" si="7"/>
        <v>-12200</v>
      </c>
    </row>
    <row r="7" spans="1:26" s="5" customFormat="1" x14ac:dyDescent="0.25">
      <c r="A7" s="11">
        <v>43938</v>
      </c>
      <c r="B7" s="1">
        <v>17</v>
      </c>
      <c r="C7" s="1">
        <v>4</v>
      </c>
      <c r="D7" s="1" t="s">
        <v>48</v>
      </c>
      <c r="E7" s="6" t="s">
        <v>17</v>
      </c>
      <c r="F7" s="6" t="s">
        <v>15</v>
      </c>
      <c r="G7" s="2"/>
      <c r="H7" s="2">
        <v>4</v>
      </c>
      <c r="I7" s="2"/>
      <c r="J7" s="3"/>
      <c r="K7" s="6">
        <v>304000</v>
      </c>
      <c r="L7" s="6"/>
      <c r="M7" s="6">
        <f t="shared" si="0"/>
        <v>304000</v>
      </c>
      <c r="N7" s="6">
        <v>10000</v>
      </c>
      <c r="O7" s="6">
        <v>6000</v>
      </c>
      <c r="P7" s="6"/>
      <c r="Q7" s="6">
        <f t="shared" si="1"/>
        <v>16000</v>
      </c>
      <c r="R7" s="6">
        <f t="shared" si="2"/>
        <v>320000</v>
      </c>
      <c r="S7" s="6">
        <v>4000</v>
      </c>
      <c r="T7" s="6">
        <f t="shared" si="3"/>
        <v>8000</v>
      </c>
      <c r="U7" s="6">
        <f t="shared" si="4"/>
        <v>4800</v>
      </c>
      <c r="V7" s="6">
        <f t="shared" si="5"/>
        <v>2000</v>
      </c>
      <c r="W7" s="8">
        <f t="shared" si="6"/>
        <v>1200</v>
      </c>
      <c r="X7" s="1" t="s">
        <v>17</v>
      </c>
      <c r="Y7" s="8">
        <v>-2000</v>
      </c>
      <c r="Z7" s="8">
        <f t="shared" si="7"/>
        <v>-14200</v>
      </c>
    </row>
    <row r="8" spans="1:26" s="5" customFormat="1" x14ac:dyDescent="0.25">
      <c r="A8" s="11">
        <v>43939</v>
      </c>
      <c r="B8" s="1">
        <v>20</v>
      </c>
      <c r="C8" s="1">
        <v>2</v>
      </c>
      <c r="D8" s="1" t="s">
        <v>72</v>
      </c>
      <c r="E8" s="6" t="s">
        <v>17</v>
      </c>
      <c r="F8" s="6" t="s">
        <v>15</v>
      </c>
      <c r="G8" s="2">
        <v>1</v>
      </c>
      <c r="H8" s="2"/>
      <c r="I8" s="2"/>
      <c r="J8" s="6">
        <v>836000</v>
      </c>
      <c r="K8" s="6"/>
      <c r="L8" s="6"/>
      <c r="M8" s="6">
        <f t="shared" si="0"/>
        <v>836000</v>
      </c>
      <c r="N8" s="6">
        <v>10000</v>
      </c>
      <c r="O8" s="6"/>
      <c r="P8" s="6"/>
      <c r="Q8" s="6">
        <f t="shared" si="1"/>
        <v>10000</v>
      </c>
      <c r="R8" s="6">
        <f t="shared" si="2"/>
        <v>846000</v>
      </c>
      <c r="S8" s="6">
        <v>10000</v>
      </c>
      <c r="T8" s="6">
        <f t="shared" si="3"/>
        <v>8000</v>
      </c>
      <c r="U8" s="6">
        <f t="shared" si="4"/>
        <v>0</v>
      </c>
      <c r="V8" s="6">
        <f t="shared" si="5"/>
        <v>2000</v>
      </c>
      <c r="W8" s="8">
        <f t="shared" si="6"/>
        <v>0</v>
      </c>
      <c r="X8" s="1" t="s">
        <v>41</v>
      </c>
      <c r="Y8" s="16">
        <f>T8</f>
        <v>8000</v>
      </c>
      <c r="Z8" s="8">
        <f t="shared" si="7"/>
        <v>-6200</v>
      </c>
    </row>
    <row r="9" spans="1:26" x14ac:dyDescent="0.25">
      <c r="A9" s="11">
        <v>43939</v>
      </c>
      <c r="B9" s="1">
        <v>25</v>
      </c>
      <c r="C9" s="1">
        <v>7</v>
      </c>
      <c r="D9" s="1" t="s">
        <v>6</v>
      </c>
      <c r="E9" s="6" t="s">
        <v>17</v>
      </c>
      <c r="F9" s="6" t="s">
        <v>14</v>
      </c>
      <c r="G9" s="2">
        <v>1</v>
      </c>
      <c r="J9" s="6">
        <v>519100</v>
      </c>
      <c r="K9" s="6"/>
      <c r="L9" s="6"/>
      <c r="M9" s="6">
        <v>538000</v>
      </c>
      <c r="N9" s="6">
        <v>10000</v>
      </c>
      <c r="O9" s="6"/>
      <c r="P9" s="6"/>
      <c r="Q9" s="6">
        <f t="shared" si="1"/>
        <v>10000</v>
      </c>
      <c r="R9" s="6">
        <f t="shared" si="2"/>
        <v>548000</v>
      </c>
      <c r="S9" s="6">
        <v>2000</v>
      </c>
      <c r="T9" s="6">
        <f t="shared" si="3"/>
        <v>8000</v>
      </c>
      <c r="U9" s="6">
        <f t="shared" si="4"/>
        <v>0</v>
      </c>
      <c r="V9" s="6">
        <f t="shared" si="5"/>
        <v>2000</v>
      </c>
      <c r="W9" s="8">
        <f t="shared" si="6"/>
        <v>0</v>
      </c>
      <c r="X9" s="1" t="s">
        <v>17</v>
      </c>
      <c r="Y9" s="8">
        <v>-2000</v>
      </c>
      <c r="Z9" s="8">
        <f t="shared" si="7"/>
        <v>-8200</v>
      </c>
    </row>
    <row r="10" spans="1:26" x14ac:dyDescent="0.25">
      <c r="A10" s="11">
        <v>43939</v>
      </c>
      <c r="B10" s="1">
        <v>26</v>
      </c>
      <c r="C10" s="1">
        <v>8</v>
      </c>
      <c r="D10" s="1" t="s">
        <v>70</v>
      </c>
      <c r="E10" s="6" t="s">
        <v>17</v>
      </c>
      <c r="F10" s="6" t="s">
        <v>14</v>
      </c>
      <c r="G10" s="2">
        <v>1</v>
      </c>
      <c r="J10" s="6">
        <v>638000</v>
      </c>
      <c r="K10" s="6"/>
      <c r="L10" s="6"/>
      <c r="M10" s="6">
        <f>J10+K10+L10</f>
        <v>638000</v>
      </c>
      <c r="N10" s="6">
        <v>10000</v>
      </c>
      <c r="O10" s="6"/>
      <c r="P10" s="6"/>
      <c r="Q10" s="6">
        <f t="shared" si="1"/>
        <v>10000</v>
      </c>
      <c r="R10" s="6">
        <f t="shared" si="2"/>
        <v>648000</v>
      </c>
      <c r="S10" s="6">
        <v>2000</v>
      </c>
      <c r="T10" s="6">
        <f t="shared" si="3"/>
        <v>8000</v>
      </c>
      <c r="U10" s="6">
        <f t="shared" si="4"/>
        <v>0</v>
      </c>
      <c r="V10" s="6">
        <f t="shared" si="5"/>
        <v>2000</v>
      </c>
      <c r="W10" s="8">
        <f t="shared" si="6"/>
        <v>0</v>
      </c>
      <c r="X10" s="1" t="s">
        <v>17</v>
      </c>
      <c r="Y10" s="8">
        <v>-2000</v>
      </c>
      <c r="Z10" s="8">
        <f t="shared" si="7"/>
        <v>-10200</v>
      </c>
    </row>
    <row r="11" spans="1:26" x14ac:dyDescent="0.25">
      <c r="A11" s="11">
        <v>43940</v>
      </c>
      <c r="B11" s="1">
        <v>35</v>
      </c>
      <c r="C11" s="1">
        <v>7</v>
      </c>
      <c r="D11" s="1" t="s">
        <v>79</v>
      </c>
      <c r="E11" s="6" t="s">
        <v>17</v>
      </c>
      <c r="F11" s="6" t="s">
        <v>14</v>
      </c>
      <c r="I11" s="2">
        <v>1</v>
      </c>
      <c r="J11" s="6"/>
      <c r="K11" s="6"/>
      <c r="L11" s="6">
        <v>500000</v>
      </c>
      <c r="M11" s="6">
        <f t="shared" ref="M11" si="8">J11+K11+L11</f>
        <v>500000</v>
      </c>
      <c r="N11" s="6">
        <v>90000</v>
      </c>
      <c r="O11" s="6"/>
      <c r="P11" s="6"/>
      <c r="Q11" s="6">
        <f t="shared" si="1"/>
        <v>90000</v>
      </c>
      <c r="R11" s="6">
        <f t="shared" si="2"/>
        <v>590000</v>
      </c>
      <c r="S11" s="6">
        <v>10000</v>
      </c>
      <c r="T11" s="6">
        <f t="shared" si="3"/>
        <v>72000</v>
      </c>
      <c r="U11" s="6">
        <f t="shared" si="4"/>
        <v>0</v>
      </c>
      <c r="V11" s="6">
        <f t="shared" si="5"/>
        <v>18000</v>
      </c>
      <c r="W11" s="8">
        <f t="shared" si="6"/>
        <v>0</v>
      </c>
      <c r="X11" s="1" t="s">
        <v>17</v>
      </c>
      <c r="Y11" s="8">
        <f>-V11</f>
        <v>-18000</v>
      </c>
      <c r="Z11" s="8">
        <f t="shared" si="7"/>
        <v>-28200</v>
      </c>
    </row>
    <row r="12" spans="1:26" x14ac:dyDescent="0.25">
      <c r="A12" s="11"/>
      <c r="E12" s="6"/>
      <c r="F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1:26" x14ac:dyDescent="0.25">
      <c r="A13" s="11"/>
      <c r="E13" s="6"/>
      <c r="F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1:26" x14ac:dyDescent="0.25">
      <c r="A14" s="11"/>
      <c r="E14" s="6"/>
      <c r="F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1:26" ht="15.75" x14ac:dyDescent="0.25">
      <c r="E15" s="10" t="s">
        <v>35</v>
      </c>
      <c r="F15" s="6"/>
      <c r="G15" s="10">
        <f t="shared" ref="G15:O15" si="9">SUM(G3:G14)</f>
        <v>5</v>
      </c>
      <c r="H15" s="10">
        <f t="shared" si="9"/>
        <v>12</v>
      </c>
      <c r="I15" s="10">
        <f t="shared" si="9"/>
        <v>1</v>
      </c>
      <c r="J15" s="21">
        <f t="shared" si="9"/>
        <v>2827400</v>
      </c>
      <c r="K15" s="21">
        <f t="shared" si="9"/>
        <v>506000</v>
      </c>
      <c r="L15" s="21">
        <f t="shared" si="9"/>
        <v>500000</v>
      </c>
      <c r="M15" s="21">
        <f t="shared" si="9"/>
        <v>3852300</v>
      </c>
      <c r="N15" s="10">
        <f t="shared" si="9"/>
        <v>185000</v>
      </c>
      <c r="O15" s="10">
        <f t="shared" si="9"/>
        <v>18000</v>
      </c>
      <c r="P15" s="10">
        <f t="shared" ref="P15:Q15" si="10">SUM(P3:P14)</f>
        <v>0</v>
      </c>
      <c r="Q15" s="10">
        <f t="shared" si="10"/>
        <v>203000</v>
      </c>
      <c r="R15" s="10">
        <f t="shared" ref="R15:W15" si="11">SUM(R3:R14)</f>
        <v>4055300</v>
      </c>
      <c r="S15" s="10">
        <f t="shared" si="11"/>
        <v>35700</v>
      </c>
      <c r="T15" s="10">
        <f t="shared" si="11"/>
        <v>148000</v>
      </c>
      <c r="U15" s="10">
        <f t="shared" si="11"/>
        <v>14400</v>
      </c>
      <c r="V15" s="10">
        <f t="shared" si="11"/>
        <v>37000</v>
      </c>
      <c r="W15" s="10">
        <f t="shared" si="11"/>
        <v>3600</v>
      </c>
    </row>
    <row r="16" spans="1:26" ht="30" x14ac:dyDescent="0.25">
      <c r="E16" s="6"/>
      <c r="F16" s="6"/>
      <c r="J16" s="6"/>
      <c r="K16" s="6"/>
      <c r="L16" s="6"/>
      <c r="M16" s="6"/>
      <c r="N16" s="6"/>
      <c r="O16" s="6"/>
      <c r="P16" s="6"/>
      <c r="Q16" s="6"/>
      <c r="R16" s="30" t="s">
        <v>62</v>
      </c>
      <c r="S16" s="9">
        <v>60000</v>
      </c>
      <c r="T16" s="6"/>
      <c r="U16" s="6"/>
      <c r="V16" s="6"/>
    </row>
    <row r="17" spans="4:23" ht="45" x14ac:dyDescent="0.25">
      <c r="D17" s="12"/>
      <c r="E17" s="6"/>
      <c r="F17" s="6"/>
      <c r="J17" s="6"/>
      <c r="K17" s="6"/>
      <c r="L17" s="6"/>
      <c r="M17" s="6"/>
      <c r="N17" s="13" t="s">
        <v>31</v>
      </c>
      <c r="O17" s="18">
        <f>N15+O15+S15</f>
        <v>238700</v>
      </c>
      <c r="P17" s="18"/>
      <c r="Q17" s="18"/>
      <c r="R17" s="13" t="s">
        <v>32</v>
      </c>
      <c r="S17" s="18">
        <f>T15+S15+S16</f>
        <v>243700</v>
      </c>
      <c r="T17" s="13" t="s">
        <v>33</v>
      </c>
      <c r="U17" s="18">
        <f>U15</f>
        <v>14400</v>
      </c>
      <c r="V17" s="13" t="s">
        <v>53</v>
      </c>
      <c r="W17" s="14">
        <f>V15+W15</f>
        <v>40600</v>
      </c>
    </row>
    <row r="18" spans="4:23" ht="18.75" x14ac:dyDescent="0.3">
      <c r="E18" s="6"/>
      <c r="F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9" t="s">
        <v>56</v>
      </c>
      <c r="W18" s="17">
        <f>'Donasi Pasar'!B13</f>
        <v>154000</v>
      </c>
    </row>
    <row r="19" spans="4:23" x14ac:dyDescent="0.25">
      <c r="E19" s="6"/>
      <c r="F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4:23" ht="18.75" x14ac:dyDescent="0.25">
      <c r="E20" s="6"/>
      <c r="F20" s="6"/>
      <c r="J20" s="58" t="s">
        <v>5</v>
      </c>
      <c r="K20" s="58"/>
      <c r="L20" s="58"/>
      <c r="M20" s="58"/>
      <c r="N20" s="58"/>
      <c r="O20" s="24">
        <f>M15</f>
        <v>3852300</v>
      </c>
      <c r="P20" s="25" t="s">
        <v>60</v>
      </c>
      <c r="Q20" s="20"/>
      <c r="S20" s="18"/>
      <c r="T20" s="22"/>
      <c r="U20" s="19"/>
      <c r="V20"/>
    </row>
    <row r="21" spans="4:23" ht="18.75" x14ac:dyDescent="0.25">
      <c r="E21" s="6"/>
      <c r="F21" s="6"/>
      <c r="J21" s="58" t="s">
        <v>59</v>
      </c>
      <c r="K21" s="58"/>
      <c r="L21" s="58"/>
      <c r="M21" s="58"/>
      <c r="N21" s="58"/>
      <c r="O21" s="26">
        <f>Q15+S15+S16+W18</f>
        <v>452700</v>
      </c>
      <c r="P21" s="27">
        <f>O21/$O$20</f>
        <v>0.11751421228876256</v>
      </c>
      <c r="Q21" s="6"/>
      <c r="R21" s="6"/>
      <c r="S21" s="6"/>
      <c r="T21" s="6"/>
      <c r="U21"/>
      <c r="V21"/>
    </row>
    <row r="22" spans="4:23" ht="18.75" x14ac:dyDescent="0.25">
      <c r="E22" s="6"/>
      <c r="F22" s="6"/>
      <c r="J22" s="58" t="s">
        <v>57</v>
      </c>
      <c r="K22" s="58"/>
      <c r="L22" s="58"/>
      <c r="M22" s="58"/>
      <c r="N22" s="58"/>
      <c r="O22" s="26">
        <f>S15+S16+T15+U15</f>
        <v>258100</v>
      </c>
      <c r="P22" s="27">
        <f>O22/$O$20</f>
        <v>6.6998935700750203E-2</v>
      </c>
      <c r="Q22" s="6"/>
      <c r="R22" s="6"/>
      <c r="S22" s="6"/>
      <c r="T22" s="6"/>
      <c r="U22"/>
      <c r="V22"/>
    </row>
    <row r="23" spans="4:23" ht="33.75" customHeight="1" x14ac:dyDescent="0.25">
      <c r="E23" s="6"/>
      <c r="F23" s="6"/>
      <c r="J23" s="58" t="s">
        <v>58</v>
      </c>
      <c r="K23" s="58"/>
      <c r="L23" s="58"/>
      <c r="M23" s="58"/>
      <c r="N23" s="58"/>
      <c r="O23" s="26">
        <f>W17+W18</f>
        <v>194600</v>
      </c>
      <c r="P23" s="27">
        <f>O23/$O$20</f>
        <v>5.0515276588012359E-2</v>
      </c>
      <c r="Q23" s="6"/>
      <c r="R23" s="6"/>
      <c r="S23" s="6"/>
      <c r="T23" s="6"/>
      <c r="U23"/>
      <c r="V23"/>
    </row>
    <row r="24" spans="4:23" x14ac:dyDescent="0.25">
      <c r="E24" s="6"/>
      <c r="F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4:23" x14ac:dyDescent="0.25">
      <c r="E25" s="6"/>
      <c r="F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4:23" x14ac:dyDescent="0.25">
      <c r="E26" s="6"/>
      <c r="F26" s="6"/>
      <c r="J26" s="6"/>
      <c r="K26" s="6"/>
      <c r="L26" s="6"/>
      <c r="M26" s="6"/>
      <c r="N26" s="6" t="s">
        <v>2</v>
      </c>
      <c r="O26" s="28">
        <f>J15</f>
        <v>2827400</v>
      </c>
      <c r="P26" s="23">
        <f>O26/$O$20</f>
        <v>0.73395114606858236</v>
      </c>
      <c r="Q26" s="6"/>
      <c r="R26" s="6"/>
      <c r="S26" s="6"/>
      <c r="T26" s="6"/>
      <c r="U26"/>
      <c r="V26"/>
    </row>
    <row r="27" spans="4:23" x14ac:dyDescent="0.25">
      <c r="E27" s="6"/>
      <c r="F27" s="6"/>
      <c r="J27" s="6"/>
      <c r="K27" s="6"/>
      <c r="L27" s="6"/>
      <c r="M27" s="6"/>
      <c r="N27" s="6" t="s">
        <v>61</v>
      </c>
      <c r="O27" s="6">
        <f>K15</f>
        <v>506000</v>
      </c>
      <c r="P27" s="23">
        <f>O27/$O$20</f>
        <v>0.13135010253614723</v>
      </c>
      <c r="Q27" s="6"/>
      <c r="R27" s="6"/>
      <c r="S27" s="6"/>
      <c r="T27" s="6"/>
      <c r="U27"/>
      <c r="V27"/>
    </row>
    <row r="28" spans="4:23" x14ac:dyDescent="0.25">
      <c r="E28" s="6"/>
      <c r="F28" s="6"/>
      <c r="J28" s="6"/>
      <c r="K28" s="6"/>
      <c r="L28" s="6"/>
      <c r="M28" s="6"/>
      <c r="N28" s="6" t="s">
        <v>50</v>
      </c>
      <c r="O28" s="6">
        <f>L15</f>
        <v>500000</v>
      </c>
      <c r="P28" s="23">
        <f>O28/$O$20</f>
        <v>0.12979259143888067</v>
      </c>
      <c r="Q28" s="6"/>
      <c r="R28" s="6"/>
      <c r="S28" s="6"/>
      <c r="T28" s="6"/>
      <c r="U28"/>
      <c r="V28"/>
    </row>
  </sheetData>
  <autoFilter ref="A2:Z2"/>
  <mergeCells count="4">
    <mergeCell ref="J20:N20"/>
    <mergeCell ref="J21:N21"/>
    <mergeCell ref="J22:N22"/>
    <mergeCell ref="J23:N23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77"/>
  <sheetViews>
    <sheetView zoomScale="80" zoomScaleNormal="80" workbookViewId="0">
      <pane xSplit="6" ySplit="2" topLeftCell="AA56" activePane="bottomRight" state="frozen"/>
      <selection pane="topRight" activeCell="G1" sqref="G1"/>
      <selection pane="bottomLeft" activeCell="A3" sqref="A3"/>
      <selection pane="bottomRight" activeCell="AF68" sqref="AF68"/>
    </sheetView>
  </sheetViews>
  <sheetFormatPr defaultRowHeight="15" x14ac:dyDescent="0.25"/>
  <cols>
    <col min="1" max="1" width="10.7109375" style="52" customWidth="1"/>
    <col min="2" max="3" width="6.140625" style="41" customWidth="1"/>
    <col min="4" max="4" width="19" style="41" customWidth="1"/>
    <col min="5" max="5" width="14.7109375" style="41" customWidth="1"/>
    <col min="6" max="6" width="9.42578125" style="41" customWidth="1"/>
    <col min="7" max="12" width="7.28515625" style="4" customWidth="1"/>
    <col min="13" max="27" width="17.42578125" style="41" customWidth="1"/>
    <col min="28" max="28" width="19.140625" style="41" customWidth="1"/>
    <col min="29" max="30" width="17.42578125" style="41" customWidth="1"/>
    <col min="31" max="31" width="19.85546875" style="52" customWidth="1"/>
    <col min="32" max="32" width="15.42578125" style="41" customWidth="1"/>
    <col min="33" max="34" width="16.140625" style="41" customWidth="1"/>
    <col min="35" max="35" width="27" style="52" customWidth="1"/>
    <col min="36" max="16384" width="9.140625" style="52"/>
  </cols>
  <sheetData>
    <row r="2" spans="1:35" s="5" customFormat="1" ht="48" x14ac:dyDescent="0.25">
      <c r="A2" s="5" t="s">
        <v>29</v>
      </c>
      <c r="B2" s="4" t="s">
        <v>0</v>
      </c>
      <c r="C2" s="4" t="s">
        <v>46</v>
      </c>
      <c r="D2" s="4" t="s">
        <v>1</v>
      </c>
      <c r="E2" s="4" t="s">
        <v>34</v>
      </c>
      <c r="F2" s="4" t="s">
        <v>13</v>
      </c>
      <c r="G2" s="7" t="s">
        <v>98</v>
      </c>
      <c r="H2" s="7" t="s">
        <v>99</v>
      </c>
      <c r="I2" s="7" t="s">
        <v>101</v>
      </c>
      <c r="J2" s="7" t="s">
        <v>102</v>
      </c>
      <c r="K2" s="7" t="s">
        <v>100</v>
      </c>
      <c r="L2" s="7" t="s">
        <v>97</v>
      </c>
      <c r="M2" s="7" t="s">
        <v>103</v>
      </c>
      <c r="N2" s="7" t="s">
        <v>104</v>
      </c>
      <c r="O2" s="7" t="s">
        <v>105</v>
      </c>
      <c r="P2" s="7" t="s">
        <v>106</v>
      </c>
      <c r="Q2" s="7" t="s">
        <v>107</v>
      </c>
      <c r="R2" s="44" t="s">
        <v>67</v>
      </c>
      <c r="S2" s="35" t="s">
        <v>108</v>
      </c>
      <c r="T2" s="35" t="s">
        <v>109</v>
      </c>
      <c r="U2" s="35" t="s">
        <v>110</v>
      </c>
      <c r="V2" s="35" t="s">
        <v>111</v>
      </c>
      <c r="W2" s="35" t="s">
        <v>112</v>
      </c>
      <c r="X2" s="35" t="s">
        <v>113</v>
      </c>
      <c r="Y2" s="44" t="s">
        <v>69</v>
      </c>
      <c r="Z2" s="29" t="s">
        <v>23</v>
      </c>
      <c r="AA2" s="4" t="s">
        <v>114</v>
      </c>
      <c r="AB2" s="4" t="s">
        <v>25</v>
      </c>
      <c r="AC2" s="4" t="s">
        <v>26</v>
      </c>
      <c r="AD2" s="47" t="s">
        <v>27</v>
      </c>
      <c r="AE2" s="47" t="s">
        <v>28</v>
      </c>
      <c r="AF2" s="4" t="s">
        <v>36</v>
      </c>
      <c r="AG2" s="4" t="s">
        <v>38</v>
      </c>
      <c r="AH2" s="4" t="s">
        <v>43</v>
      </c>
      <c r="AI2" s="4" t="s">
        <v>118</v>
      </c>
    </row>
    <row r="3" spans="1:35" s="5" customFormat="1" ht="30" x14ac:dyDescent="0.25">
      <c r="A3" s="53">
        <v>43936</v>
      </c>
      <c r="B3" s="41">
        <v>2</v>
      </c>
      <c r="C3" s="41">
        <v>2</v>
      </c>
      <c r="D3" s="41" t="s">
        <v>6</v>
      </c>
      <c r="E3" s="6" t="s">
        <v>8</v>
      </c>
      <c r="F3" s="6" t="s">
        <v>15</v>
      </c>
      <c r="G3" s="4">
        <v>6</v>
      </c>
      <c r="H3" s="4"/>
      <c r="I3" s="4"/>
      <c r="J3" s="4"/>
      <c r="K3" s="4"/>
      <c r="L3" s="4"/>
      <c r="M3" s="6">
        <v>325000</v>
      </c>
      <c r="N3" s="6"/>
      <c r="O3" s="6"/>
      <c r="P3" s="6"/>
      <c r="Q3" s="6"/>
      <c r="R3" s="45">
        <f t="shared" ref="R3:R50" si="0">M3+N3+O3+P3+Q3</f>
        <v>325000</v>
      </c>
      <c r="S3" s="6">
        <v>10000</v>
      </c>
      <c r="T3" s="6">
        <v>10000</v>
      </c>
      <c r="U3" s="6"/>
      <c r="V3" s="6"/>
      <c r="W3" s="6"/>
      <c r="X3" s="6"/>
      <c r="Y3" s="45">
        <f t="shared" ref="Y3:Y50" si="1">SUM(S3:X3)</f>
        <v>20000</v>
      </c>
      <c r="Z3" s="6">
        <f t="shared" ref="Z3:Z50" si="2">R3+Y3</f>
        <v>345000</v>
      </c>
      <c r="AA3" s="6">
        <v>5000</v>
      </c>
      <c r="AB3" s="6">
        <f>(S3+U3+V3+W3+X3)*80%</f>
        <v>8000</v>
      </c>
      <c r="AC3" s="6">
        <f t="shared" ref="AC3:AC50" si="3">T3*80%</f>
        <v>8000</v>
      </c>
      <c r="AD3" s="45">
        <f>(S3+U3+V3+W3+X3)*20%</f>
        <v>2000</v>
      </c>
      <c r="AE3" s="54">
        <f t="shared" ref="AE3:AE7" si="4">T3*20%</f>
        <v>2000</v>
      </c>
      <c r="AF3" s="4" t="s">
        <v>8</v>
      </c>
      <c r="AG3" s="51">
        <f>-AD3-AE3</f>
        <v>-4000</v>
      </c>
      <c r="AH3" s="15">
        <f>AG3</f>
        <v>-4000</v>
      </c>
      <c r="AI3" s="5" t="s">
        <v>119</v>
      </c>
    </row>
    <row r="4" spans="1:35" s="5" customFormat="1" x14ac:dyDescent="0.25">
      <c r="A4" s="53">
        <v>43936</v>
      </c>
      <c r="B4" s="41">
        <v>3</v>
      </c>
      <c r="C4" s="41">
        <v>3</v>
      </c>
      <c r="D4" s="41" t="s">
        <v>9</v>
      </c>
      <c r="E4" s="6" t="s">
        <v>8</v>
      </c>
      <c r="F4" s="6" t="s">
        <v>15</v>
      </c>
      <c r="G4" s="4"/>
      <c r="H4" s="4">
        <v>1</v>
      </c>
      <c r="I4" s="4"/>
      <c r="J4" s="4"/>
      <c r="K4" s="4"/>
      <c r="L4" s="4"/>
      <c r="M4" s="6"/>
      <c r="N4" s="6">
        <v>316200</v>
      </c>
      <c r="O4" s="6"/>
      <c r="P4" s="6"/>
      <c r="Q4" s="6"/>
      <c r="R4" s="45">
        <f t="shared" si="0"/>
        <v>316200</v>
      </c>
      <c r="S4" s="6">
        <v>10000</v>
      </c>
      <c r="T4" s="6">
        <v>0</v>
      </c>
      <c r="U4" s="6"/>
      <c r="V4" s="6"/>
      <c r="W4" s="6"/>
      <c r="X4" s="6"/>
      <c r="Y4" s="45">
        <f t="shared" si="1"/>
        <v>10000</v>
      </c>
      <c r="Z4" s="6">
        <f t="shared" si="2"/>
        <v>326200</v>
      </c>
      <c r="AA4" s="6">
        <f>340000-T4-Z4</f>
        <v>13800</v>
      </c>
      <c r="AB4" s="6">
        <f>(S4+U4+V4+W4+X4)*80%</f>
        <v>8000</v>
      </c>
      <c r="AC4" s="6">
        <f t="shared" si="3"/>
        <v>0</v>
      </c>
      <c r="AD4" s="45">
        <f t="shared" ref="AD4:AD50" si="5">(S4+U4+V4+W4+X4)*20%</f>
        <v>2000</v>
      </c>
      <c r="AE4" s="54">
        <f t="shared" si="4"/>
        <v>0</v>
      </c>
      <c r="AF4" s="41" t="s">
        <v>41</v>
      </c>
      <c r="AG4" s="51">
        <f>AA4+AB4</f>
        <v>21800</v>
      </c>
      <c r="AH4" s="51">
        <f>AH3+AG4</f>
        <v>17800</v>
      </c>
    </row>
    <row r="5" spans="1:35" s="5" customFormat="1" x14ac:dyDescent="0.25">
      <c r="A5" s="53">
        <v>43936</v>
      </c>
      <c r="B5" s="41">
        <v>4</v>
      </c>
      <c r="C5" s="41">
        <v>4</v>
      </c>
      <c r="D5" s="41" t="s">
        <v>10</v>
      </c>
      <c r="E5" s="6" t="s">
        <v>8</v>
      </c>
      <c r="F5" s="6" t="s">
        <v>14</v>
      </c>
      <c r="G5" s="4">
        <v>3</v>
      </c>
      <c r="H5" s="4"/>
      <c r="I5" s="4"/>
      <c r="J5" s="4"/>
      <c r="K5" s="4"/>
      <c r="L5" s="4"/>
      <c r="M5" s="6">
        <v>191000</v>
      </c>
      <c r="R5" s="45">
        <f t="shared" si="0"/>
        <v>191000</v>
      </c>
      <c r="S5" s="6">
        <v>10000</v>
      </c>
      <c r="T5" s="6">
        <v>4000</v>
      </c>
      <c r="U5" s="6"/>
      <c r="V5" s="6"/>
      <c r="W5" s="6"/>
      <c r="X5" s="6"/>
      <c r="Y5" s="45">
        <f t="shared" si="1"/>
        <v>14000</v>
      </c>
      <c r="Z5" s="6">
        <f t="shared" si="2"/>
        <v>205000</v>
      </c>
      <c r="AA5" s="6">
        <v>0</v>
      </c>
      <c r="AB5" s="6">
        <f>(S5+U5+V5+W5+X5)*80%</f>
        <v>8000</v>
      </c>
      <c r="AC5" s="6">
        <f t="shared" si="3"/>
        <v>3200</v>
      </c>
      <c r="AD5" s="45">
        <f t="shared" si="5"/>
        <v>2000</v>
      </c>
      <c r="AE5" s="54">
        <f t="shared" si="4"/>
        <v>800</v>
      </c>
      <c r="AF5" s="41" t="s">
        <v>8</v>
      </c>
      <c r="AG5" s="51">
        <f>-AD5-AE5</f>
        <v>-2800</v>
      </c>
      <c r="AH5" s="51">
        <f t="shared" ref="AH5:AH54" si="6">AH4+AG5</f>
        <v>15000</v>
      </c>
    </row>
    <row r="6" spans="1:35" s="5" customFormat="1" x14ac:dyDescent="0.25">
      <c r="A6" s="53">
        <v>43936</v>
      </c>
      <c r="B6" s="41">
        <v>5</v>
      </c>
      <c r="C6" s="41">
        <v>5</v>
      </c>
      <c r="D6" s="41" t="s">
        <v>11</v>
      </c>
      <c r="E6" s="6" t="s">
        <v>8</v>
      </c>
      <c r="F6" s="6" t="s">
        <v>14</v>
      </c>
      <c r="G6" s="4">
        <v>3</v>
      </c>
      <c r="H6" s="4"/>
      <c r="I6" s="4"/>
      <c r="J6" s="4"/>
      <c r="K6" s="4"/>
      <c r="L6" s="4"/>
      <c r="M6" s="6">
        <v>58000</v>
      </c>
      <c r="R6" s="45">
        <f t="shared" si="0"/>
        <v>58000</v>
      </c>
      <c r="S6" s="6">
        <v>10000</v>
      </c>
      <c r="T6" s="6">
        <v>4000</v>
      </c>
      <c r="U6" s="6"/>
      <c r="V6" s="6"/>
      <c r="W6" s="6"/>
      <c r="X6" s="6"/>
      <c r="Y6" s="45">
        <f t="shared" si="1"/>
        <v>14000</v>
      </c>
      <c r="Z6" s="6">
        <f t="shared" si="2"/>
        <v>72000</v>
      </c>
      <c r="AA6" s="6">
        <v>4000</v>
      </c>
      <c r="AB6" s="6">
        <f>(S6+U6+V6+W6+X6)*80%</f>
        <v>8000</v>
      </c>
      <c r="AC6" s="6">
        <f t="shared" si="3"/>
        <v>3200</v>
      </c>
      <c r="AD6" s="45">
        <f t="shared" si="5"/>
        <v>2000</v>
      </c>
      <c r="AE6" s="54">
        <f t="shared" si="4"/>
        <v>800</v>
      </c>
      <c r="AF6" s="41" t="s">
        <v>8</v>
      </c>
      <c r="AG6" s="51">
        <f>-AD6-AE6</f>
        <v>-2800</v>
      </c>
      <c r="AH6" s="51">
        <f t="shared" si="6"/>
        <v>12200</v>
      </c>
    </row>
    <row r="7" spans="1:35" s="5" customFormat="1" x14ac:dyDescent="0.25">
      <c r="A7" s="53">
        <v>43936</v>
      </c>
      <c r="B7" s="41">
        <v>6</v>
      </c>
      <c r="C7" s="41">
        <v>6</v>
      </c>
      <c r="D7" s="41" t="s">
        <v>12</v>
      </c>
      <c r="E7" s="6" t="s">
        <v>8</v>
      </c>
      <c r="F7" s="6" t="s">
        <v>14</v>
      </c>
      <c r="G7" s="4"/>
      <c r="H7" s="4">
        <v>1</v>
      </c>
      <c r="I7" s="4"/>
      <c r="J7" s="4"/>
      <c r="K7" s="4"/>
      <c r="L7" s="4"/>
      <c r="M7" s="6"/>
      <c r="N7" s="6">
        <v>377600</v>
      </c>
      <c r="O7" s="6"/>
      <c r="P7" s="6"/>
      <c r="Q7" s="6"/>
      <c r="R7" s="45">
        <f t="shared" si="0"/>
        <v>377600</v>
      </c>
      <c r="S7" s="6">
        <v>10000</v>
      </c>
      <c r="T7" s="6">
        <v>0</v>
      </c>
      <c r="U7" s="6"/>
      <c r="V7" s="6"/>
      <c r="W7" s="6"/>
      <c r="X7" s="6"/>
      <c r="Y7" s="45">
        <f t="shared" si="1"/>
        <v>10000</v>
      </c>
      <c r="Z7" s="6">
        <f t="shared" si="2"/>
        <v>387600</v>
      </c>
      <c r="AA7" s="6">
        <v>10000</v>
      </c>
      <c r="AB7" s="6">
        <f>(S7+U7+V7+W7+X7)*80%</f>
        <v>8000</v>
      </c>
      <c r="AC7" s="6">
        <f t="shared" si="3"/>
        <v>0</v>
      </c>
      <c r="AD7" s="45">
        <f t="shared" si="5"/>
        <v>2000</v>
      </c>
      <c r="AE7" s="54">
        <f t="shared" si="4"/>
        <v>0</v>
      </c>
      <c r="AF7" s="41" t="s">
        <v>8</v>
      </c>
      <c r="AG7" s="51">
        <f>-AD7-AE7</f>
        <v>-2000</v>
      </c>
      <c r="AH7" s="51">
        <f t="shared" si="6"/>
        <v>10200</v>
      </c>
    </row>
    <row r="8" spans="1:35" x14ac:dyDescent="0.25">
      <c r="A8" s="53">
        <v>43937</v>
      </c>
      <c r="B8" s="41">
        <v>8</v>
      </c>
      <c r="C8" s="41">
        <v>2</v>
      </c>
      <c r="D8" s="41" t="s">
        <v>22</v>
      </c>
      <c r="E8" s="6" t="s">
        <v>7</v>
      </c>
      <c r="F8" s="6" t="s">
        <v>14</v>
      </c>
      <c r="G8" s="4">
        <v>4</v>
      </c>
      <c r="M8" s="6">
        <v>189000</v>
      </c>
      <c r="R8" s="45">
        <f t="shared" si="0"/>
        <v>189000</v>
      </c>
      <c r="S8" s="6">
        <v>20000</v>
      </c>
      <c r="T8" s="6">
        <v>6000</v>
      </c>
      <c r="U8" s="6"/>
      <c r="V8" s="6"/>
      <c r="W8" s="6"/>
      <c r="X8" s="6"/>
      <c r="Y8" s="45">
        <f t="shared" si="1"/>
        <v>26000</v>
      </c>
      <c r="Z8" s="6">
        <f t="shared" si="2"/>
        <v>215000</v>
      </c>
      <c r="AA8" s="6">
        <v>0</v>
      </c>
      <c r="AB8" s="6"/>
      <c r="AC8" s="6">
        <f t="shared" si="3"/>
        <v>4800</v>
      </c>
      <c r="AD8" s="45">
        <f t="shared" si="5"/>
        <v>4000</v>
      </c>
      <c r="AE8" s="54">
        <f t="shared" ref="AE8:AE50" si="7">T8*20%</f>
        <v>1200</v>
      </c>
      <c r="AF8" s="41" t="s">
        <v>8</v>
      </c>
      <c r="AG8" s="31">
        <f>-AE8</f>
        <v>-1200</v>
      </c>
      <c r="AH8" s="51">
        <f t="shared" si="6"/>
        <v>9000</v>
      </c>
    </row>
    <row r="9" spans="1:35" ht="45.75" customHeight="1" x14ac:dyDescent="0.25">
      <c r="A9" s="53">
        <v>43937</v>
      </c>
      <c r="B9" s="41">
        <v>9</v>
      </c>
      <c r="C9" s="41">
        <v>3</v>
      </c>
      <c r="D9" s="41" t="s">
        <v>18</v>
      </c>
      <c r="E9" s="6" t="s">
        <v>17</v>
      </c>
      <c r="F9" s="6" t="s">
        <v>14</v>
      </c>
      <c r="G9" s="4">
        <v>7</v>
      </c>
      <c r="M9" s="6">
        <v>156000</v>
      </c>
      <c r="R9" s="45">
        <f t="shared" si="0"/>
        <v>156000</v>
      </c>
      <c r="S9" s="6">
        <v>10000</v>
      </c>
      <c r="T9" s="6">
        <v>12000</v>
      </c>
      <c r="U9" s="6"/>
      <c r="V9" s="6"/>
      <c r="W9" s="6"/>
      <c r="X9" s="6"/>
      <c r="Y9" s="45">
        <f t="shared" si="1"/>
        <v>22000</v>
      </c>
      <c r="Z9" s="6">
        <f t="shared" si="2"/>
        <v>178000</v>
      </c>
      <c r="AA9" s="6">
        <v>2000</v>
      </c>
      <c r="AB9" s="6"/>
      <c r="AC9" s="6">
        <f>T9/2*80%</f>
        <v>4800</v>
      </c>
      <c r="AD9" s="45">
        <f t="shared" si="5"/>
        <v>2000</v>
      </c>
      <c r="AE9" s="54">
        <f>T9/2*20%</f>
        <v>1200</v>
      </c>
      <c r="AF9" s="41" t="s">
        <v>8</v>
      </c>
      <c r="AG9" s="31">
        <f>-AE9</f>
        <v>-1200</v>
      </c>
      <c r="AH9" s="51">
        <f t="shared" si="6"/>
        <v>7800</v>
      </c>
      <c r="AI9" s="5" t="s">
        <v>120</v>
      </c>
    </row>
    <row r="10" spans="1:35" x14ac:dyDescent="0.25">
      <c r="A10" s="53">
        <v>43937</v>
      </c>
      <c r="D10" s="41" t="s">
        <v>116</v>
      </c>
      <c r="E10" s="6"/>
      <c r="F10" s="6"/>
      <c r="M10" s="6"/>
      <c r="R10" s="45"/>
      <c r="S10" s="6"/>
      <c r="T10" s="6"/>
      <c r="U10" s="6"/>
      <c r="V10" s="6"/>
      <c r="W10" s="6"/>
      <c r="X10" s="6"/>
      <c r="Y10" s="45"/>
      <c r="Z10" s="6"/>
      <c r="AA10" s="6"/>
      <c r="AB10" s="6"/>
      <c r="AC10" s="6"/>
      <c r="AD10" s="45">
        <f t="shared" si="5"/>
        <v>0</v>
      </c>
      <c r="AE10" s="54"/>
      <c r="AF10" s="41" t="s">
        <v>8</v>
      </c>
      <c r="AG10" s="31">
        <v>-2000</v>
      </c>
      <c r="AH10" s="51">
        <f t="shared" si="6"/>
        <v>5800</v>
      </c>
      <c r="AI10" s="52" t="s">
        <v>126</v>
      </c>
    </row>
    <row r="11" spans="1:35" ht="30" x14ac:dyDescent="0.25">
      <c r="A11" s="53">
        <v>43937</v>
      </c>
      <c r="B11" s="41">
        <v>10</v>
      </c>
      <c r="C11" s="41">
        <v>4</v>
      </c>
      <c r="D11" s="41" t="s">
        <v>11</v>
      </c>
      <c r="E11" s="6" t="s">
        <v>7</v>
      </c>
      <c r="F11" s="6" t="s">
        <v>15</v>
      </c>
      <c r="G11" s="4">
        <v>7</v>
      </c>
      <c r="M11" s="6">
        <f>138000+57500</f>
        <v>195500</v>
      </c>
      <c r="R11" s="45">
        <f t="shared" si="0"/>
        <v>195500</v>
      </c>
      <c r="S11" s="6">
        <v>10000</v>
      </c>
      <c r="T11" s="6">
        <v>12000</v>
      </c>
      <c r="U11" s="6"/>
      <c r="V11" s="6"/>
      <c r="W11" s="6"/>
      <c r="X11" s="6"/>
      <c r="Y11" s="45">
        <f t="shared" si="1"/>
        <v>22000</v>
      </c>
      <c r="Z11" s="6">
        <f t="shared" si="2"/>
        <v>217500</v>
      </c>
      <c r="AA11" s="6">
        <v>22500</v>
      </c>
      <c r="AB11" s="6"/>
      <c r="AC11" s="6">
        <f t="shared" si="3"/>
        <v>9600</v>
      </c>
      <c r="AD11" s="45">
        <f t="shared" si="5"/>
        <v>2000</v>
      </c>
      <c r="AE11" s="54">
        <f t="shared" si="7"/>
        <v>2400</v>
      </c>
      <c r="AF11" s="41" t="s">
        <v>41</v>
      </c>
      <c r="AG11" s="31">
        <f>4800</f>
        <v>4800</v>
      </c>
      <c r="AH11" s="51">
        <f t="shared" si="6"/>
        <v>10600</v>
      </c>
      <c r="AI11" s="5" t="s">
        <v>119</v>
      </c>
    </row>
    <row r="12" spans="1:35" x14ac:dyDescent="0.25">
      <c r="A12" s="53">
        <v>43937</v>
      </c>
      <c r="B12" s="41">
        <v>11</v>
      </c>
      <c r="C12" s="41">
        <v>5</v>
      </c>
      <c r="D12" s="41" t="s">
        <v>19</v>
      </c>
      <c r="E12" s="6" t="s">
        <v>7</v>
      </c>
      <c r="F12" s="6" t="s">
        <v>14</v>
      </c>
      <c r="G12" s="4">
        <v>3</v>
      </c>
      <c r="M12" s="6">
        <v>175000</v>
      </c>
      <c r="R12" s="45">
        <f t="shared" si="0"/>
        <v>175000</v>
      </c>
      <c r="S12" s="6">
        <v>10000</v>
      </c>
      <c r="T12" s="6">
        <v>4000</v>
      </c>
      <c r="U12" s="6"/>
      <c r="V12" s="6"/>
      <c r="W12" s="6"/>
      <c r="X12" s="6"/>
      <c r="Y12" s="45">
        <f t="shared" si="1"/>
        <v>14000</v>
      </c>
      <c r="Z12" s="6">
        <f t="shared" si="2"/>
        <v>189000</v>
      </c>
      <c r="AA12" s="6">
        <v>11000</v>
      </c>
      <c r="AB12" s="6"/>
      <c r="AC12" s="6">
        <f t="shared" si="3"/>
        <v>3200</v>
      </c>
      <c r="AD12" s="45">
        <f t="shared" si="5"/>
        <v>2000</v>
      </c>
      <c r="AE12" s="54">
        <f t="shared" si="7"/>
        <v>800</v>
      </c>
      <c r="AF12" s="41" t="s">
        <v>8</v>
      </c>
      <c r="AG12" s="31">
        <f>-AE12</f>
        <v>-800</v>
      </c>
      <c r="AH12" s="51">
        <f t="shared" si="6"/>
        <v>9800</v>
      </c>
    </row>
    <row r="13" spans="1:35" x14ac:dyDescent="0.25">
      <c r="A13" s="53">
        <v>43937</v>
      </c>
      <c r="B13" s="41">
        <v>12</v>
      </c>
      <c r="C13" s="41">
        <v>6</v>
      </c>
      <c r="D13" s="41" t="s">
        <v>21</v>
      </c>
      <c r="E13" s="6" t="s">
        <v>8</v>
      </c>
      <c r="F13" s="6" t="s">
        <v>14</v>
      </c>
      <c r="G13" s="4">
        <v>2</v>
      </c>
      <c r="M13" s="6">
        <v>60000</v>
      </c>
      <c r="R13" s="45">
        <f t="shared" si="0"/>
        <v>60000</v>
      </c>
      <c r="S13" s="6">
        <v>10000</v>
      </c>
      <c r="T13" s="6">
        <v>2000</v>
      </c>
      <c r="U13" s="6"/>
      <c r="V13" s="6"/>
      <c r="W13" s="6"/>
      <c r="X13" s="6"/>
      <c r="Y13" s="45">
        <f t="shared" si="1"/>
        <v>12000</v>
      </c>
      <c r="Z13" s="6">
        <f t="shared" si="2"/>
        <v>72000</v>
      </c>
      <c r="AA13" s="6">
        <v>10000</v>
      </c>
      <c r="AB13" s="6">
        <f>(S13+U13+V13+W13+X13)*80%</f>
        <v>8000</v>
      </c>
      <c r="AC13" s="6">
        <f t="shared" si="3"/>
        <v>1600</v>
      </c>
      <c r="AD13" s="45">
        <f t="shared" si="5"/>
        <v>2000</v>
      </c>
      <c r="AE13" s="54">
        <f t="shared" si="7"/>
        <v>400</v>
      </c>
      <c r="AF13" s="41" t="s">
        <v>8</v>
      </c>
      <c r="AG13" s="51">
        <f>-AD13-AE13</f>
        <v>-2400</v>
      </c>
      <c r="AH13" s="51">
        <f t="shared" si="6"/>
        <v>7400</v>
      </c>
    </row>
    <row r="14" spans="1:35" x14ac:dyDescent="0.25">
      <c r="A14" s="53">
        <v>43938</v>
      </c>
      <c r="B14" s="41">
        <v>14</v>
      </c>
      <c r="C14" s="41">
        <v>1</v>
      </c>
      <c r="D14" s="41" t="s">
        <v>44</v>
      </c>
      <c r="E14" s="6" t="s">
        <v>7</v>
      </c>
      <c r="F14" s="6" t="s">
        <v>15</v>
      </c>
      <c r="G14" s="4">
        <v>9</v>
      </c>
      <c r="M14" s="6">
        <v>344000</v>
      </c>
      <c r="R14" s="45">
        <f t="shared" si="0"/>
        <v>344000</v>
      </c>
      <c r="S14" s="6">
        <v>10000</v>
      </c>
      <c r="T14" s="6">
        <v>16000</v>
      </c>
      <c r="U14" s="6"/>
      <c r="V14" s="6"/>
      <c r="W14" s="6"/>
      <c r="X14" s="6"/>
      <c r="Y14" s="45">
        <f t="shared" si="1"/>
        <v>26000</v>
      </c>
      <c r="Z14" s="6">
        <f t="shared" si="2"/>
        <v>370000</v>
      </c>
      <c r="AA14" s="6">
        <v>20000</v>
      </c>
      <c r="AB14" s="6"/>
      <c r="AC14" s="6">
        <f t="shared" si="3"/>
        <v>12800</v>
      </c>
      <c r="AD14" s="45">
        <f t="shared" si="5"/>
        <v>2000</v>
      </c>
      <c r="AE14" s="54">
        <f t="shared" si="7"/>
        <v>3200</v>
      </c>
      <c r="AF14" s="41" t="s">
        <v>41</v>
      </c>
      <c r="AG14" s="51">
        <f>M14+AC14</f>
        <v>356800</v>
      </c>
      <c r="AH14" s="51">
        <f t="shared" si="6"/>
        <v>364200</v>
      </c>
      <c r="AI14" t="s">
        <v>124</v>
      </c>
    </row>
    <row r="15" spans="1:35" x14ac:dyDescent="0.25">
      <c r="A15" s="53">
        <v>43938</v>
      </c>
      <c r="B15" s="41">
        <v>15</v>
      </c>
      <c r="C15" s="41">
        <v>2</v>
      </c>
      <c r="D15" s="41" t="s">
        <v>49</v>
      </c>
      <c r="E15" s="6" t="s">
        <v>45</v>
      </c>
      <c r="F15" s="6" t="s">
        <v>14</v>
      </c>
      <c r="G15" s="4">
        <v>3</v>
      </c>
      <c r="M15" s="6">
        <v>86500</v>
      </c>
      <c r="R15" s="45">
        <f t="shared" si="0"/>
        <v>86500</v>
      </c>
      <c r="S15" s="6">
        <v>10000</v>
      </c>
      <c r="T15" s="6">
        <v>4000</v>
      </c>
      <c r="U15" s="6"/>
      <c r="V15" s="6"/>
      <c r="W15" s="6"/>
      <c r="X15" s="6"/>
      <c r="Y15" s="45">
        <f t="shared" si="1"/>
        <v>14000</v>
      </c>
      <c r="Z15" s="6">
        <f t="shared" si="2"/>
        <v>100500</v>
      </c>
      <c r="AA15" s="6">
        <v>0</v>
      </c>
      <c r="AB15" s="6"/>
      <c r="AC15" s="6">
        <f t="shared" si="3"/>
        <v>3200</v>
      </c>
      <c r="AD15" s="45">
        <f t="shared" si="5"/>
        <v>2000</v>
      </c>
      <c r="AE15" s="54">
        <f t="shared" si="7"/>
        <v>800</v>
      </c>
      <c r="AF15" s="41" t="s">
        <v>8</v>
      </c>
      <c r="AG15" s="51">
        <f>-AE15</f>
        <v>-800</v>
      </c>
      <c r="AH15" s="51">
        <f t="shared" si="6"/>
        <v>363400</v>
      </c>
    </row>
    <row r="16" spans="1:35" x14ac:dyDescent="0.25">
      <c r="A16" s="53">
        <v>43938</v>
      </c>
      <c r="B16" s="41">
        <v>17</v>
      </c>
      <c r="C16" s="41">
        <v>4</v>
      </c>
      <c r="D16" s="41" t="s">
        <v>48</v>
      </c>
      <c r="E16" s="6" t="s">
        <v>17</v>
      </c>
      <c r="F16" s="6" t="s">
        <v>15</v>
      </c>
      <c r="G16" s="4">
        <v>4</v>
      </c>
      <c r="M16" s="6">
        <v>304000</v>
      </c>
      <c r="R16" s="45">
        <f t="shared" si="0"/>
        <v>304000</v>
      </c>
      <c r="S16" s="6">
        <v>10000</v>
      </c>
      <c r="T16" s="6">
        <v>6000</v>
      </c>
      <c r="U16" s="6"/>
      <c r="V16" s="6"/>
      <c r="W16" s="6"/>
      <c r="X16" s="6"/>
      <c r="Y16" s="45">
        <f t="shared" si="1"/>
        <v>16000</v>
      </c>
      <c r="Z16" s="6">
        <f t="shared" si="2"/>
        <v>320000</v>
      </c>
      <c r="AA16" s="6">
        <v>4000</v>
      </c>
      <c r="AB16" s="6"/>
      <c r="AC16" s="6">
        <f t="shared" si="3"/>
        <v>4800</v>
      </c>
      <c r="AD16" s="45">
        <f t="shared" si="5"/>
        <v>2000</v>
      </c>
      <c r="AE16" s="54">
        <f t="shared" si="7"/>
        <v>1200</v>
      </c>
      <c r="AF16" s="41" t="s">
        <v>41</v>
      </c>
      <c r="AG16" s="51">
        <f>M16+AC16</f>
        <v>308800</v>
      </c>
      <c r="AH16" s="51">
        <f t="shared" si="6"/>
        <v>672200</v>
      </c>
      <c r="AI16" t="s">
        <v>124</v>
      </c>
    </row>
    <row r="17" spans="1:35" x14ac:dyDescent="0.25">
      <c r="A17" s="53">
        <v>43938</v>
      </c>
      <c r="B17" s="41">
        <v>18</v>
      </c>
      <c r="C17" s="41">
        <v>5</v>
      </c>
      <c r="D17" s="41" t="s">
        <v>84</v>
      </c>
      <c r="E17" s="6" t="s">
        <v>8</v>
      </c>
      <c r="F17" s="6" t="s">
        <v>14</v>
      </c>
      <c r="J17" s="4">
        <v>1</v>
      </c>
      <c r="M17" s="6"/>
      <c r="P17" s="6">
        <v>20000</v>
      </c>
      <c r="R17" s="45">
        <f t="shared" si="0"/>
        <v>20000</v>
      </c>
      <c r="S17" s="6">
        <v>10000</v>
      </c>
      <c r="T17" s="6">
        <v>0</v>
      </c>
      <c r="U17" s="6"/>
      <c r="V17" s="6"/>
      <c r="W17" s="6"/>
      <c r="X17" s="6"/>
      <c r="Y17" s="45">
        <f t="shared" si="1"/>
        <v>10000</v>
      </c>
      <c r="Z17" s="6">
        <f t="shared" si="2"/>
        <v>30000</v>
      </c>
      <c r="AA17" s="6">
        <v>7000</v>
      </c>
      <c r="AB17" s="6">
        <f>(S17+U17+V17+W17+X17)*80%</f>
        <v>8000</v>
      </c>
      <c r="AC17" s="6">
        <f t="shared" si="3"/>
        <v>0</v>
      </c>
      <c r="AD17" s="45">
        <f t="shared" si="5"/>
        <v>2000</v>
      </c>
      <c r="AE17" s="54">
        <f t="shared" si="7"/>
        <v>0</v>
      </c>
      <c r="AF17" s="41" t="s">
        <v>8</v>
      </c>
      <c r="AG17" s="51">
        <f>-AD17</f>
        <v>-2000</v>
      </c>
      <c r="AH17" s="51">
        <f t="shared" si="6"/>
        <v>670200</v>
      </c>
    </row>
    <row r="18" spans="1:35" x14ac:dyDescent="0.25">
      <c r="A18" s="53">
        <v>43938</v>
      </c>
      <c r="D18" s="41" t="s">
        <v>54</v>
      </c>
      <c r="E18" s="6"/>
      <c r="F18" s="6"/>
      <c r="M18" s="6"/>
      <c r="P18" s="6"/>
      <c r="R18" s="45"/>
      <c r="S18" s="6"/>
      <c r="T18" s="6"/>
      <c r="U18" s="6"/>
      <c r="V18" s="6"/>
      <c r="W18" s="6"/>
      <c r="X18" s="6"/>
      <c r="Y18" s="45"/>
      <c r="Z18" s="6"/>
      <c r="AA18" s="6"/>
      <c r="AB18" s="6"/>
      <c r="AC18" s="6"/>
      <c r="AD18" s="45">
        <f t="shared" si="5"/>
        <v>0</v>
      </c>
      <c r="AE18" s="54"/>
      <c r="AF18" s="41" t="s">
        <v>8</v>
      </c>
      <c r="AG18" s="31">
        <f>-680000</f>
        <v>-680000</v>
      </c>
      <c r="AH18" s="51">
        <f t="shared" si="6"/>
        <v>-9800</v>
      </c>
    </row>
    <row r="19" spans="1:35" x14ac:dyDescent="0.25">
      <c r="A19" s="53">
        <v>43938</v>
      </c>
      <c r="D19" s="41" t="s">
        <v>122</v>
      </c>
      <c r="E19" s="6"/>
      <c r="F19" s="6"/>
      <c r="M19" s="6"/>
      <c r="P19" s="6"/>
      <c r="R19" s="45"/>
      <c r="S19" s="6"/>
      <c r="T19" s="6"/>
      <c r="U19" s="6"/>
      <c r="V19" s="6"/>
      <c r="W19" s="6"/>
      <c r="X19" s="6"/>
      <c r="Y19" s="45"/>
      <c r="Z19" s="6"/>
      <c r="AA19" s="6">
        <v>60000</v>
      </c>
      <c r="AB19" s="6"/>
      <c r="AC19" s="6"/>
      <c r="AD19" s="45">
        <f t="shared" si="5"/>
        <v>0</v>
      </c>
      <c r="AE19" s="54"/>
      <c r="AF19" s="41" t="s">
        <v>8</v>
      </c>
      <c r="AG19" s="31">
        <f>0</f>
        <v>0</v>
      </c>
      <c r="AH19" s="51">
        <f t="shared" si="6"/>
        <v>-9800</v>
      </c>
      <c r="AI19" s="52" t="s">
        <v>123</v>
      </c>
    </row>
    <row r="20" spans="1:35" x14ac:dyDescent="0.25">
      <c r="A20" s="53">
        <v>43939</v>
      </c>
      <c r="B20" s="41">
        <v>19</v>
      </c>
      <c r="C20" s="41">
        <v>1</v>
      </c>
      <c r="D20" s="41" t="s">
        <v>22</v>
      </c>
      <c r="E20" s="6" t="s">
        <v>7</v>
      </c>
      <c r="F20" s="6" t="s">
        <v>14</v>
      </c>
      <c r="G20" s="4">
        <v>1</v>
      </c>
      <c r="H20" s="4">
        <v>1</v>
      </c>
      <c r="M20" s="6">
        <v>185000</v>
      </c>
      <c r="N20" s="6">
        <v>149700</v>
      </c>
      <c r="O20" s="6"/>
      <c r="P20" s="6"/>
      <c r="Q20" s="6"/>
      <c r="R20" s="45">
        <f t="shared" si="0"/>
        <v>334700</v>
      </c>
      <c r="S20" s="6">
        <v>20000</v>
      </c>
      <c r="T20" s="6">
        <v>6000</v>
      </c>
      <c r="U20" s="6">
        <v>5000</v>
      </c>
      <c r="V20" s="6"/>
      <c r="W20" s="6"/>
      <c r="X20" s="6"/>
      <c r="Y20" s="45">
        <f t="shared" si="1"/>
        <v>31000</v>
      </c>
      <c r="Z20" s="6">
        <f t="shared" si="2"/>
        <v>365700</v>
      </c>
      <c r="AA20" s="6">
        <v>1300</v>
      </c>
      <c r="AB20" s="6"/>
      <c r="AC20" s="6">
        <f t="shared" si="3"/>
        <v>4800</v>
      </c>
      <c r="AD20" s="45">
        <f t="shared" si="5"/>
        <v>5000</v>
      </c>
      <c r="AE20" s="54">
        <f t="shared" si="7"/>
        <v>1200</v>
      </c>
      <c r="AF20" s="41" t="s">
        <v>8</v>
      </c>
      <c r="AG20" s="31">
        <f>-AE20</f>
        <v>-1200</v>
      </c>
      <c r="AH20" s="51">
        <f t="shared" si="6"/>
        <v>-11000</v>
      </c>
    </row>
    <row r="21" spans="1:35" customFormat="1" x14ac:dyDescent="0.25">
      <c r="A21" s="11">
        <v>43939</v>
      </c>
      <c r="B21" s="1">
        <v>21</v>
      </c>
      <c r="C21" s="1">
        <v>3</v>
      </c>
      <c r="D21" s="1" t="s">
        <v>20</v>
      </c>
      <c r="E21" s="6" t="s">
        <v>45</v>
      </c>
      <c r="F21" s="6" t="s">
        <v>15</v>
      </c>
      <c r="G21" s="2">
        <v>1</v>
      </c>
      <c r="H21" s="2"/>
      <c r="I21" s="2"/>
      <c r="J21" s="2"/>
      <c r="K21" s="2"/>
      <c r="L21" s="2"/>
      <c r="M21" s="6">
        <v>215500</v>
      </c>
      <c r="N21" s="6"/>
      <c r="O21" s="6">
        <v>84000</v>
      </c>
      <c r="P21" s="6"/>
      <c r="Q21" s="6"/>
      <c r="R21" s="45">
        <f t="shared" si="0"/>
        <v>299500</v>
      </c>
      <c r="S21" s="6">
        <v>20000</v>
      </c>
      <c r="T21" s="6">
        <v>6000</v>
      </c>
      <c r="U21" s="6">
        <v>5000</v>
      </c>
      <c r="V21" s="6"/>
      <c r="W21" s="6"/>
      <c r="X21" s="6"/>
      <c r="Y21" s="45">
        <f t="shared" si="1"/>
        <v>31000</v>
      </c>
      <c r="Z21" s="6">
        <f t="shared" si="2"/>
        <v>330500</v>
      </c>
      <c r="AA21" s="6">
        <v>5000</v>
      </c>
      <c r="AB21" s="6"/>
      <c r="AC21" s="6">
        <f t="shared" si="3"/>
        <v>4800</v>
      </c>
      <c r="AD21" s="45">
        <f t="shared" si="5"/>
        <v>5000</v>
      </c>
      <c r="AE21" s="48">
        <f t="shared" si="7"/>
        <v>1200</v>
      </c>
      <c r="AF21" s="41" t="s">
        <v>41</v>
      </c>
      <c r="AG21" s="31">
        <f>M21+AC21</f>
        <v>220300</v>
      </c>
      <c r="AH21" s="51">
        <f t="shared" si="6"/>
        <v>209300</v>
      </c>
      <c r="AI21" t="s">
        <v>124</v>
      </c>
    </row>
    <row r="22" spans="1:35" x14ac:dyDescent="0.25">
      <c r="A22" s="53">
        <v>43939</v>
      </c>
      <c r="B22" s="41">
        <v>22</v>
      </c>
      <c r="C22" s="41">
        <v>4</v>
      </c>
      <c r="D22" s="41" t="s">
        <v>47</v>
      </c>
      <c r="E22" s="6" t="s">
        <v>7</v>
      </c>
      <c r="F22" s="6" t="s">
        <v>14</v>
      </c>
      <c r="G22" s="4">
        <v>1</v>
      </c>
      <c r="J22" s="4">
        <v>1</v>
      </c>
      <c r="M22" s="6">
        <v>331000</v>
      </c>
      <c r="N22" s="6"/>
      <c r="O22" s="6"/>
      <c r="P22" s="6">
        <v>35000</v>
      </c>
      <c r="Q22" s="6"/>
      <c r="R22" s="45">
        <f t="shared" si="0"/>
        <v>366000</v>
      </c>
      <c r="S22" s="6">
        <v>20000</v>
      </c>
      <c r="T22" s="6">
        <v>8000</v>
      </c>
      <c r="U22" s="6">
        <v>5000</v>
      </c>
      <c r="V22" s="6"/>
      <c r="W22" s="6"/>
      <c r="X22" s="6"/>
      <c r="Y22" s="45">
        <f t="shared" si="1"/>
        <v>33000</v>
      </c>
      <c r="Z22" s="6">
        <f t="shared" si="2"/>
        <v>399000</v>
      </c>
      <c r="AA22" s="6">
        <v>1000</v>
      </c>
      <c r="AB22" s="6"/>
      <c r="AC22" s="6">
        <f t="shared" si="3"/>
        <v>6400</v>
      </c>
      <c r="AD22" s="45">
        <f t="shared" si="5"/>
        <v>5000</v>
      </c>
      <c r="AE22" s="54">
        <f t="shared" si="7"/>
        <v>1600</v>
      </c>
      <c r="AF22" s="41" t="s">
        <v>8</v>
      </c>
      <c r="AG22" s="31">
        <f>-AE22</f>
        <v>-1600</v>
      </c>
      <c r="AH22" s="51">
        <f t="shared" si="6"/>
        <v>207700</v>
      </c>
    </row>
    <row r="23" spans="1:35" x14ac:dyDescent="0.25">
      <c r="A23" s="53">
        <v>43939</v>
      </c>
      <c r="B23" s="41">
        <v>23</v>
      </c>
      <c r="C23" s="41">
        <v>5</v>
      </c>
      <c r="D23" s="41" t="s">
        <v>9</v>
      </c>
      <c r="E23" s="6" t="s">
        <v>45</v>
      </c>
      <c r="F23" s="6" t="s">
        <v>15</v>
      </c>
      <c r="G23" s="4">
        <v>1</v>
      </c>
      <c r="M23" s="6">
        <v>235000</v>
      </c>
      <c r="N23" s="6">
        <v>0</v>
      </c>
      <c r="O23" s="6"/>
      <c r="P23" s="6"/>
      <c r="Q23" s="6"/>
      <c r="R23" s="45">
        <f t="shared" si="0"/>
        <v>235000</v>
      </c>
      <c r="S23" s="6">
        <v>10000</v>
      </c>
      <c r="T23" s="6">
        <v>8000</v>
      </c>
      <c r="U23" s="6"/>
      <c r="V23" s="6"/>
      <c r="W23" s="6"/>
      <c r="X23" s="6"/>
      <c r="Y23" s="45">
        <f t="shared" si="1"/>
        <v>18000</v>
      </c>
      <c r="Z23" s="6">
        <f t="shared" si="2"/>
        <v>253000</v>
      </c>
      <c r="AA23" s="6">
        <v>12000</v>
      </c>
      <c r="AB23" s="6"/>
      <c r="AC23" s="6">
        <f t="shared" si="3"/>
        <v>6400</v>
      </c>
      <c r="AD23" s="45">
        <f t="shared" si="5"/>
        <v>2000</v>
      </c>
      <c r="AE23" s="54">
        <f t="shared" si="7"/>
        <v>1600</v>
      </c>
      <c r="AF23" s="41" t="s">
        <v>41</v>
      </c>
      <c r="AG23" s="31">
        <f>R23+AC23</f>
        <v>241400</v>
      </c>
      <c r="AH23" s="51">
        <f t="shared" si="6"/>
        <v>449100</v>
      </c>
      <c r="AI23" t="s">
        <v>124</v>
      </c>
    </row>
    <row r="24" spans="1:35" x14ac:dyDescent="0.25">
      <c r="A24" s="53">
        <v>43939</v>
      </c>
      <c r="B24" s="41">
        <v>24</v>
      </c>
      <c r="C24" s="41">
        <v>6</v>
      </c>
      <c r="D24" s="41" t="s">
        <v>71</v>
      </c>
      <c r="E24" s="6" t="s">
        <v>7</v>
      </c>
      <c r="F24" s="6" t="s">
        <v>15</v>
      </c>
      <c r="G24" s="4">
        <v>1</v>
      </c>
      <c r="M24" s="6">
        <v>161000</v>
      </c>
      <c r="N24" s="6"/>
      <c r="O24" s="6"/>
      <c r="P24" s="6"/>
      <c r="Q24" s="6"/>
      <c r="R24" s="45">
        <f t="shared" si="0"/>
        <v>161000</v>
      </c>
      <c r="S24" s="6">
        <v>10000</v>
      </c>
      <c r="T24" s="6">
        <v>8000</v>
      </c>
      <c r="U24" s="6"/>
      <c r="V24" s="6"/>
      <c r="W24" s="6"/>
      <c r="X24" s="6"/>
      <c r="Y24" s="45">
        <f t="shared" si="1"/>
        <v>18000</v>
      </c>
      <c r="Z24" s="6">
        <f t="shared" si="2"/>
        <v>179000</v>
      </c>
      <c r="AA24" s="6">
        <v>10000</v>
      </c>
      <c r="AB24" s="6"/>
      <c r="AC24" s="6">
        <f t="shared" si="3"/>
        <v>6400</v>
      </c>
      <c r="AD24" s="45">
        <f t="shared" si="5"/>
        <v>2000</v>
      </c>
      <c r="AE24" s="54">
        <f t="shared" si="7"/>
        <v>1600</v>
      </c>
      <c r="AF24" s="41" t="s">
        <v>41</v>
      </c>
      <c r="AG24" s="31">
        <f>R24+AC24</f>
        <v>167400</v>
      </c>
      <c r="AH24" s="51">
        <f t="shared" si="6"/>
        <v>616500</v>
      </c>
      <c r="AI24" t="s">
        <v>124</v>
      </c>
    </row>
    <row r="25" spans="1:35" x14ac:dyDescent="0.25">
      <c r="A25" s="53">
        <v>43939</v>
      </c>
      <c r="D25" s="41" t="s">
        <v>54</v>
      </c>
      <c r="E25" s="6"/>
      <c r="F25" s="6"/>
      <c r="M25" s="6"/>
      <c r="N25" s="6"/>
      <c r="O25" s="6"/>
      <c r="P25" s="6"/>
      <c r="Q25" s="6"/>
      <c r="R25" s="45"/>
      <c r="S25" s="6"/>
      <c r="T25" s="6"/>
      <c r="U25" s="6"/>
      <c r="V25" s="6"/>
      <c r="W25" s="6"/>
      <c r="X25" s="6"/>
      <c r="Y25" s="45"/>
      <c r="Z25" s="6"/>
      <c r="AA25" s="6"/>
      <c r="AB25" s="6"/>
      <c r="AC25" s="6"/>
      <c r="AD25" s="45">
        <f t="shared" si="5"/>
        <v>0</v>
      </c>
      <c r="AE25" s="54"/>
      <c r="AF25" s="41" t="s">
        <v>8</v>
      </c>
      <c r="AG25" s="6">
        <f>-626300</f>
        <v>-626300</v>
      </c>
      <c r="AH25" s="51">
        <f t="shared" si="6"/>
        <v>-9800</v>
      </c>
    </row>
    <row r="26" spans="1:35" x14ac:dyDescent="0.25">
      <c r="A26" s="53">
        <v>43939</v>
      </c>
      <c r="B26" s="41">
        <v>27</v>
      </c>
      <c r="C26" s="41">
        <v>9</v>
      </c>
      <c r="D26" s="41" t="s">
        <v>74</v>
      </c>
      <c r="E26" s="6" t="s">
        <v>8</v>
      </c>
      <c r="F26" s="6" t="s">
        <v>14</v>
      </c>
      <c r="K26" s="4">
        <v>1</v>
      </c>
      <c r="M26" s="6"/>
      <c r="N26" s="6"/>
      <c r="O26" s="6"/>
      <c r="P26" s="6"/>
      <c r="Q26" s="6">
        <v>60000</v>
      </c>
      <c r="R26" s="45">
        <f t="shared" si="0"/>
        <v>60000</v>
      </c>
      <c r="T26" s="6"/>
      <c r="U26" s="6"/>
      <c r="V26" s="6">
        <v>15000</v>
      </c>
      <c r="W26" s="6"/>
      <c r="X26" s="6"/>
      <c r="Y26" s="45">
        <f>SUM(T26:X26)</f>
        <v>15000</v>
      </c>
      <c r="Z26" s="6">
        <f t="shared" si="2"/>
        <v>75000</v>
      </c>
      <c r="AA26" s="6"/>
      <c r="AB26" s="6">
        <f>(S26+U26+V26+W26+X26)*80%</f>
        <v>12000</v>
      </c>
      <c r="AC26" s="6">
        <f t="shared" si="3"/>
        <v>0</v>
      </c>
      <c r="AD26" s="45">
        <f t="shared" si="5"/>
        <v>3000</v>
      </c>
      <c r="AE26" s="54">
        <f t="shared" si="7"/>
        <v>0</v>
      </c>
      <c r="AF26" s="41" t="s">
        <v>8</v>
      </c>
      <c r="AG26" s="51">
        <f>-AD26</f>
        <v>-3000</v>
      </c>
      <c r="AH26" s="51">
        <f t="shared" si="6"/>
        <v>-12800</v>
      </c>
    </row>
    <row r="27" spans="1:35" x14ac:dyDescent="0.25">
      <c r="A27" s="53">
        <v>43940</v>
      </c>
      <c r="B27" s="41">
        <v>29</v>
      </c>
      <c r="C27" s="41">
        <v>1</v>
      </c>
      <c r="D27" s="41" t="s">
        <v>85</v>
      </c>
      <c r="E27" s="6" t="s">
        <v>7</v>
      </c>
      <c r="F27" s="6" t="s">
        <v>14</v>
      </c>
      <c r="G27" s="4">
        <v>3</v>
      </c>
      <c r="J27" s="4">
        <v>1</v>
      </c>
      <c r="M27" s="6">
        <v>88000</v>
      </c>
      <c r="N27" s="6"/>
      <c r="O27" s="6"/>
      <c r="P27" s="6">
        <v>65000</v>
      </c>
      <c r="Q27" s="6"/>
      <c r="R27" s="45">
        <f t="shared" si="0"/>
        <v>153000</v>
      </c>
      <c r="S27" s="6">
        <v>10000</v>
      </c>
      <c r="T27" s="6">
        <v>4000</v>
      </c>
      <c r="U27" s="6">
        <v>5000</v>
      </c>
      <c r="V27" s="6"/>
      <c r="W27" s="6"/>
      <c r="X27" s="6"/>
      <c r="Y27" s="45">
        <f t="shared" si="1"/>
        <v>19000</v>
      </c>
      <c r="Z27" s="6">
        <f t="shared" si="2"/>
        <v>172000</v>
      </c>
      <c r="AA27" s="6"/>
      <c r="AB27" s="6"/>
      <c r="AC27" s="6">
        <f t="shared" si="3"/>
        <v>3200</v>
      </c>
      <c r="AD27" s="45">
        <f t="shared" si="5"/>
        <v>3000</v>
      </c>
      <c r="AE27" s="54">
        <f t="shared" si="7"/>
        <v>800</v>
      </c>
      <c r="AF27" s="41" t="s">
        <v>8</v>
      </c>
      <c r="AG27" s="51">
        <f>-AE27</f>
        <v>-800</v>
      </c>
      <c r="AH27" s="51">
        <f t="shared" si="6"/>
        <v>-13600</v>
      </c>
    </row>
    <row r="28" spans="1:35" x14ac:dyDescent="0.25">
      <c r="A28" s="53">
        <v>43940</v>
      </c>
      <c r="B28" s="41">
        <v>30</v>
      </c>
      <c r="C28" s="41">
        <v>2</v>
      </c>
      <c r="D28" s="41" t="s">
        <v>84</v>
      </c>
      <c r="E28" s="6" t="s">
        <v>45</v>
      </c>
      <c r="F28" s="6" t="s">
        <v>14</v>
      </c>
      <c r="G28" s="4">
        <v>5</v>
      </c>
      <c r="M28" s="6">
        <v>204000</v>
      </c>
      <c r="N28" s="6"/>
      <c r="O28" s="6"/>
      <c r="P28" s="6"/>
      <c r="Q28" s="6"/>
      <c r="R28" s="45">
        <f t="shared" si="0"/>
        <v>204000</v>
      </c>
      <c r="S28" s="6">
        <v>10000</v>
      </c>
      <c r="T28" s="6">
        <v>8000</v>
      </c>
      <c r="U28" s="6"/>
      <c r="V28" s="6"/>
      <c r="W28" s="6"/>
      <c r="X28" s="6"/>
      <c r="Y28" s="45">
        <f t="shared" si="1"/>
        <v>18000</v>
      </c>
      <c r="Z28" s="6">
        <f t="shared" si="2"/>
        <v>222000</v>
      </c>
      <c r="AA28" s="6">
        <v>8000</v>
      </c>
      <c r="AB28" s="6"/>
      <c r="AC28" s="6">
        <f t="shared" si="3"/>
        <v>6400</v>
      </c>
      <c r="AD28" s="45">
        <f t="shared" si="5"/>
        <v>2000</v>
      </c>
      <c r="AE28" s="54">
        <f t="shared" si="7"/>
        <v>1600</v>
      </c>
      <c r="AF28" s="41" t="s">
        <v>8</v>
      </c>
      <c r="AG28" s="51">
        <f>-AE28</f>
        <v>-1600</v>
      </c>
      <c r="AH28" s="51">
        <f t="shared" si="6"/>
        <v>-15200</v>
      </c>
    </row>
    <row r="29" spans="1:35" x14ac:dyDescent="0.25">
      <c r="A29" s="53">
        <v>43940</v>
      </c>
      <c r="B29" s="41">
        <v>31</v>
      </c>
      <c r="C29" s="41">
        <v>3</v>
      </c>
      <c r="D29" s="41" t="s">
        <v>83</v>
      </c>
      <c r="E29" s="6" t="s">
        <v>7</v>
      </c>
      <c r="F29" s="6" t="s">
        <v>15</v>
      </c>
      <c r="G29" s="4">
        <v>5</v>
      </c>
      <c r="H29" s="4">
        <v>1</v>
      </c>
      <c r="M29" s="6">
        <v>128000</v>
      </c>
      <c r="N29" s="6">
        <v>132300</v>
      </c>
      <c r="O29" s="6"/>
      <c r="P29" s="6"/>
      <c r="Q29" s="6"/>
      <c r="R29" s="45">
        <f t="shared" si="0"/>
        <v>260300</v>
      </c>
      <c r="S29" s="6">
        <v>10000</v>
      </c>
      <c r="T29" s="6">
        <v>8000</v>
      </c>
      <c r="U29" s="6">
        <v>5000</v>
      </c>
      <c r="V29" s="6"/>
      <c r="W29" s="6"/>
      <c r="X29" s="6"/>
      <c r="Y29" s="45">
        <f t="shared" si="1"/>
        <v>23000</v>
      </c>
      <c r="Z29" s="6">
        <f t="shared" si="2"/>
        <v>283300</v>
      </c>
      <c r="AA29" s="6"/>
      <c r="AB29" s="6"/>
      <c r="AC29" s="6">
        <f t="shared" si="3"/>
        <v>6400</v>
      </c>
      <c r="AD29" s="45">
        <f t="shared" si="5"/>
        <v>3000</v>
      </c>
      <c r="AE29" s="54">
        <f t="shared" si="7"/>
        <v>1600</v>
      </c>
      <c r="AF29" s="41" t="s">
        <v>41</v>
      </c>
      <c r="AG29" s="51">
        <f>M29+AC29</f>
        <v>134400</v>
      </c>
      <c r="AH29" s="51">
        <f t="shared" si="6"/>
        <v>119200</v>
      </c>
    </row>
    <row r="30" spans="1:35" x14ac:dyDescent="0.25">
      <c r="A30" s="53">
        <v>43940</v>
      </c>
      <c r="B30" s="41">
        <v>32</v>
      </c>
      <c r="C30" s="41">
        <v>4</v>
      </c>
      <c r="D30" s="41" t="s">
        <v>82</v>
      </c>
      <c r="E30" s="6" t="s">
        <v>45</v>
      </c>
      <c r="F30" s="6" t="s">
        <v>14</v>
      </c>
      <c r="G30" s="4">
        <v>3</v>
      </c>
      <c r="H30" s="4">
        <v>1</v>
      </c>
      <c r="M30" s="6">
        <v>92000</v>
      </c>
      <c r="N30" s="6">
        <v>88300</v>
      </c>
      <c r="O30" s="6"/>
      <c r="P30" s="6"/>
      <c r="Q30" s="6"/>
      <c r="R30" s="45">
        <f t="shared" si="0"/>
        <v>180300</v>
      </c>
      <c r="S30" s="6">
        <v>20000</v>
      </c>
      <c r="T30" s="6">
        <v>4000</v>
      </c>
      <c r="U30" s="6">
        <v>5000</v>
      </c>
      <c r="V30" s="6"/>
      <c r="W30" s="6"/>
      <c r="X30" s="6"/>
      <c r="Y30" s="45">
        <f t="shared" si="1"/>
        <v>29000</v>
      </c>
      <c r="Z30" s="6">
        <f t="shared" si="2"/>
        <v>209300</v>
      </c>
      <c r="AA30" s="6">
        <v>700</v>
      </c>
      <c r="AB30" s="6"/>
      <c r="AC30" s="6">
        <f t="shared" si="3"/>
        <v>3200</v>
      </c>
      <c r="AD30" s="45">
        <f t="shared" si="5"/>
        <v>5000</v>
      </c>
      <c r="AE30" s="54">
        <f t="shared" si="7"/>
        <v>800</v>
      </c>
      <c r="AF30" s="41" t="s">
        <v>8</v>
      </c>
      <c r="AG30" s="51">
        <f>-AE30</f>
        <v>-800</v>
      </c>
      <c r="AH30" s="51">
        <f t="shared" si="6"/>
        <v>118400</v>
      </c>
    </row>
    <row r="31" spans="1:35" customFormat="1" x14ac:dyDescent="0.25">
      <c r="A31" s="11">
        <v>43940</v>
      </c>
      <c r="B31" s="1">
        <v>33</v>
      </c>
      <c r="C31" s="1">
        <v>5</v>
      </c>
      <c r="D31" s="1" t="s">
        <v>81</v>
      </c>
      <c r="E31" s="6" t="s">
        <v>7</v>
      </c>
      <c r="F31" s="6" t="s">
        <v>15</v>
      </c>
      <c r="G31" s="2">
        <v>1</v>
      </c>
      <c r="H31" s="2"/>
      <c r="I31" s="2"/>
      <c r="J31" s="2"/>
      <c r="K31" s="2"/>
      <c r="L31" s="2"/>
      <c r="M31" s="6">
        <v>128000</v>
      </c>
      <c r="N31" s="6"/>
      <c r="O31" s="6"/>
      <c r="P31" s="6"/>
      <c r="Q31" s="6"/>
      <c r="R31" s="45">
        <f t="shared" si="0"/>
        <v>128000</v>
      </c>
      <c r="S31" s="6">
        <v>10000</v>
      </c>
      <c r="T31" s="6"/>
      <c r="U31" s="6"/>
      <c r="V31" s="6"/>
      <c r="W31" s="6"/>
      <c r="X31" s="6"/>
      <c r="Y31" s="45">
        <f t="shared" si="1"/>
        <v>10000</v>
      </c>
      <c r="Z31" s="6">
        <f t="shared" si="2"/>
        <v>138000</v>
      </c>
      <c r="AA31" s="6"/>
      <c r="AB31" s="6"/>
      <c r="AC31" s="6">
        <f t="shared" si="3"/>
        <v>0</v>
      </c>
      <c r="AD31" s="45">
        <f t="shared" si="5"/>
        <v>2000</v>
      </c>
      <c r="AE31" s="48">
        <f t="shared" si="7"/>
        <v>0</v>
      </c>
      <c r="AF31" s="41" t="s">
        <v>41</v>
      </c>
      <c r="AG31" s="51">
        <f>M31+AC31</f>
        <v>128000</v>
      </c>
      <c r="AH31" s="51">
        <f t="shared" si="6"/>
        <v>246400</v>
      </c>
      <c r="AI31" t="s">
        <v>124</v>
      </c>
    </row>
    <row r="32" spans="1:35" x14ac:dyDescent="0.25">
      <c r="A32" s="53">
        <v>43940</v>
      </c>
      <c r="B32" s="41">
        <v>34</v>
      </c>
      <c r="C32" s="41">
        <v>6</v>
      </c>
      <c r="D32" s="41" t="s">
        <v>80</v>
      </c>
      <c r="E32" s="6" t="s">
        <v>8</v>
      </c>
      <c r="F32" s="6" t="s">
        <v>14</v>
      </c>
      <c r="H32" s="4">
        <v>1</v>
      </c>
      <c r="M32" s="6"/>
      <c r="N32" s="6">
        <v>650000</v>
      </c>
      <c r="O32" s="6"/>
      <c r="P32" s="6"/>
      <c r="Q32" s="6"/>
      <c r="R32" s="45">
        <f t="shared" si="0"/>
        <v>650000</v>
      </c>
      <c r="S32" s="6">
        <v>40000</v>
      </c>
      <c r="T32" s="6"/>
      <c r="U32" s="6"/>
      <c r="V32" s="6"/>
      <c r="W32" s="6"/>
      <c r="X32" s="6"/>
      <c r="Y32" s="45">
        <f t="shared" si="1"/>
        <v>40000</v>
      </c>
      <c r="Z32" s="6">
        <f t="shared" si="2"/>
        <v>690000</v>
      </c>
      <c r="AA32" s="6">
        <v>9000</v>
      </c>
      <c r="AB32" s="6">
        <f>(S32+U32+V32+W32+X32)*80%</f>
        <v>32000</v>
      </c>
      <c r="AC32" s="6">
        <f t="shared" si="3"/>
        <v>0</v>
      </c>
      <c r="AD32" s="45">
        <f t="shared" si="5"/>
        <v>8000</v>
      </c>
      <c r="AE32" s="54">
        <f t="shared" si="7"/>
        <v>0</v>
      </c>
      <c r="AF32" s="41" t="s">
        <v>8</v>
      </c>
      <c r="AG32" s="51">
        <f>-AD32</f>
        <v>-8000</v>
      </c>
      <c r="AH32" s="51">
        <f t="shared" si="6"/>
        <v>238400</v>
      </c>
    </row>
    <row r="33" spans="1:34" x14ac:dyDescent="0.25">
      <c r="A33" s="53">
        <v>43940</v>
      </c>
      <c r="B33" s="41">
        <v>36</v>
      </c>
      <c r="C33" s="41">
        <v>8</v>
      </c>
      <c r="D33" s="41" t="s">
        <v>77</v>
      </c>
      <c r="E33" s="6" t="s">
        <v>8</v>
      </c>
      <c r="F33" s="6" t="s">
        <v>14</v>
      </c>
      <c r="K33" s="4">
        <v>1</v>
      </c>
      <c r="M33" s="6"/>
      <c r="N33" s="6"/>
      <c r="O33" s="6"/>
      <c r="P33" s="6"/>
      <c r="Q33" s="6">
        <v>94000</v>
      </c>
      <c r="R33" s="45">
        <f t="shared" si="0"/>
        <v>94000</v>
      </c>
      <c r="T33" s="6"/>
      <c r="U33" s="6"/>
      <c r="V33" s="6">
        <v>15000</v>
      </c>
      <c r="W33" s="6"/>
      <c r="X33" s="6"/>
      <c r="Y33" s="45">
        <f>SUM(T33:X33)</f>
        <v>15000</v>
      </c>
      <c r="Z33" s="6">
        <f t="shared" si="2"/>
        <v>109000</v>
      </c>
      <c r="AA33" s="6">
        <v>6000</v>
      </c>
      <c r="AB33" s="6">
        <f>(S33+U33+V33+W33+X33)*80%</f>
        <v>12000</v>
      </c>
      <c r="AC33" s="6">
        <f t="shared" si="3"/>
        <v>0</v>
      </c>
      <c r="AD33" s="45">
        <f t="shared" si="5"/>
        <v>3000</v>
      </c>
      <c r="AE33" s="54">
        <f t="shared" si="7"/>
        <v>0</v>
      </c>
      <c r="AF33" s="41" t="s">
        <v>8</v>
      </c>
      <c r="AG33" s="51">
        <f>-AD33</f>
        <v>-3000</v>
      </c>
      <c r="AH33" s="51">
        <f t="shared" si="6"/>
        <v>235400</v>
      </c>
    </row>
    <row r="34" spans="1:34" ht="30" x14ac:dyDescent="0.25">
      <c r="A34" s="53">
        <v>43940</v>
      </c>
      <c r="D34" s="4" t="s">
        <v>125</v>
      </c>
      <c r="E34" s="6"/>
      <c r="F34" s="6"/>
      <c r="M34" s="6"/>
      <c r="N34" s="6"/>
      <c r="O34" s="6"/>
      <c r="P34" s="6"/>
      <c r="Q34" s="6"/>
      <c r="R34" s="45"/>
      <c r="T34" s="6"/>
      <c r="U34" s="6"/>
      <c r="V34" s="6"/>
      <c r="W34" s="6"/>
      <c r="X34" s="6"/>
      <c r="Y34" s="45"/>
      <c r="Z34" s="6"/>
      <c r="AA34" s="6"/>
      <c r="AB34" s="6"/>
      <c r="AC34" s="6"/>
      <c r="AD34" s="45">
        <f t="shared" si="5"/>
        <v>0</v>
      </c>
      <c r="AE34" s="54"/>
      <c r="AF34" s="41" t="s">
        <v>8</v>
      </c>
      <c r="AG34" s="51">
        <f>-47000</f>
        <v>-47000</v>
      </c>
      <c r="AH34" s="51">
        <f t="shared" si="6"/>
        <v>188400</v>
      </c>
    </row>
    <row r="35" spans="1:34" x14ac:dyDescent="0.25">
      <c r="A35" s="53">
        <v>43940</v>
      </c>
      <c r="D35" s="4" t="s">
        <v>54</v>
      </c>
      <c r="E35" s="6"/>
      <c r="F35" s="6"/>
      <c r="M35" s="6"/>
      <c r="N35" s="6"/>
      <c r="O35" s="6"/>
      <c r="P35" s="6"/>
      <c r="Q35" s="6"/>
      <c r="R35" s="45"/>
      <c r="T35" s="6"/>
      <c r="U35" s="6"/>
      <c r="V35" s="6"/>
      <c r="W35" s="6"/>
      <c r="X35" s="6"/>
      <c r="Y35" s="45"/>
      <c r="Z35" s="6"/>
      <c r="AA35" s="6"/>
      <c r="AB35" s="6"/>
      <c r="AC35" s="6"/>
      <c r="AD35" s="45">
        <f t="shared" si="5"/>
        <v>0</v>
      </c>
      <c r="AE35" s="54"/>
      <c r="AF35" s="41" t="s">
        <v>8</v>
      </c>
      <c r="AG35" s="51">
        <f>-190200</f>
        <v>-190200</v>
      </c>
      <c r="AH35" s="51">
        <f t="shared" si="6"/>
        <v>-1800</v>
      </c>
    </row>
    <row r="36" spans="1:34" x14ac:dyDescent="0.25">
      <c r="A36" s="53">
        <v>43941</v>
      </c>
      <c r="B36" s="41">
        <v>38</v>
      </c>
      <c r="C36" s="41">
        <v>1</v>
      </c>
      <c r="D36" s="41" t="s">
        <v>89</v>
      </c>
      <c r="E36" s="6" t="s">
        <v>45</v>
      </c>
      <c r="F36" s="6" t="s">
        <v>14</v>
      </c>
      <c r="G36" s="4">
        <v>3</v>
      </c>
      <c r="M36" s="6">
        <v>138000</v>
      </c>
      <c r="N36" s="6"/>
      <c r="O36" s="6"/>
      <c r="P36" s="6"/>
      <c r="Q36" s="6"/>
      <c r="R36" s="45">
        <f t="shared" si="0"/>
        <v>138000</v>
      </c>
      <c r="S36" s="6">
        <v>10000</v>
      </c>
      <c r="T36" s="6">
        <v>4000</v>
      </c>
      <c r="U36" s="6"/>
      <c r="V36" s="6"/>
      <c r="W36" s="6"/>
      <c r="X36" s="6"/>
      <c r="Y36" s="45">
        <f t="shared" si="1"/>
        <v>14000</v>
      </c>
      <c r="Z36" s="6">
        <f t="shared" si="2"/>
        <v>152000</v>
      </c>
      <c r="AA36" s="6">
        <v>1000</v>
      </c>
      <c r="AB36" s="6"/>
      <c r="AC36" s="6">
        <f t="shared" si="3"/>
        <v>3200</v>
      </c>
      <c r="AD36" s="45">
        <f t="shared" si="5"/>
        <v>2000</v>
      </c>
      <c r="AE36" s="54">
        <f t="shared" si="7"/>
        <v>800</v>
      </c>
      <c r="AF36" s="41" t="s">
        <v>8</v>
      </c>
      <c r="AG36" s="51">
        <f>-AE36</f>
        <v>-800</v>
      </c>
      <c r="AH36" s="51">
        <f t="shared" si="6"/>
        <v>-2600</v>
      </c>
    </row>
    <row r="37" spans="1:34" x14ac:dyDescent="0.25">
      <c r="A37" s="53">
        <v>43941</v>
      </c>
      <c r="B37" s="41">
        <v>39</v>
      </c>
      <c r="C37" s="41">
        <v>2</v>
      </c>
      <c r="D37" s="41" t="s">
        <v>90</v>
      </c>
      <c r="E37" s="6" t="s">
        <v>7</v>
      </c>
      <c r="F37" s="6" t="s">
        <v>14</v>
      </c>
      <c r="G37" s="4">
        <v>3</v>
      </c>
      <c r="M37" s="6">
        <v>91000</v>
      </c>
      <c r="N37" s="6"/>
      <c r="O37" s="6"/>
      <c r="P37" s="6"/>
      <c r="Q37" s="6"/>
      <c r="R37" s="45">
        <f t="shared" si="0"/>
        <v>91000</v>
      </c>
      <c r="S37" s="6">
        <v>20000</v>
      </c>
      <c r="T37" s="6">
        <v>4000</v>
      </c>
      <c r="U37" s="6"/>
      <c r="V37" s="6"/>
      <c r="W37" s="6"/>
      <c r="X37" s="6"/>
      <c r="Y37" s="45">
        <f t="shared" si="1"/>
        <v>24000</v>
      </c>
      <c r="Z37" s="6">
        <f t="shared" si="2"/>
        <v>115000</v>
      </c>
      <c r="AA37" s="6">
        <v>5000</v>
      </c>
      <c r="AB37" s="6"/>
      <c r="AC37" s="6">
        <f t="shared" si="3"/>
        <v>3200</v>
      </c>
      <c r="AD37" s="45">
        <f t="shared" si="5"/>
        <v>4000</v>
      </c>
      <c r="AE37" s="54">
        <f t="shared" si="7"/>
        <v>800</v>
      </c>
      <c r="AF37" s="41" t="s">
        <v>8</v>
      </c>
      <c r="AG37" s="51">
        <f>-AE37</f>
        <v>-800</v>
      </c>
      <c r="AH37" s="51">
        <f t="shared" si="6"/>
        <v>-3400</v>
      </c>
    </row>
    <row r="38" spans="1:34" x14ac:dyDescent="0.25">
      <c r="A38" s="53">
        <v>43941</v>
      </c>
      <c r="B38" s="41">
        <v>40</v>
      </c>
      <c r="C38" s="41">
        <v>3</v>
      </c>
      <c r="D38" s="41" t="s">
        <v>91</v>
      </c>
      <c r="E38" s="6" t="s">
        <v>45</v>
      </c>
      <c r="F38" s="6" t="s">
        <v>14</v>
      </c>
      <c r="G38" s="4">
        <v>6</v>
      </c>
      <c r="H38" s="4">
        <v>1</v>
      </c>
      <c r="M38" s="6">
        <v>287000</v>
      </c>
      <c r="N38" s="6">
        <v>36700</v>
      </c>
      <c r="O38" s="6"/>
      <c r="P38" s="6"/>
      <c r="Q38" s="6"/>
      <c r="R38" s="45">
        <f t="shared" si="0"/>
        <v>323700</v>
      </c>
      <c r="S38" s="6">
        <v>10000</v>
      </c>
      <c r="T38" s="6">
        <v>10000</v>
      </c>
      <c r="U38" s="6">
        <v>5000</v>
      </c>
      <c r="V38" s="6"/>
      <c r="W38" s="6"/>
      <c r="X38" s="6"/>
      <c r="Y38" s="45">
        <f t="shared" si="1"/>
        <v>25000</v>
      </c>
      <c r="Z38" s="6">
        <f t="shared" si="2"/>
        <v>348700</v>
      </c>
      <c r="AA38" s="6">
        <f>355000-Z38</f>
        <v>6300</v>
      </c>
      <c r="AB38" s="6"/>
      <c r="AC38" s="6">
        <f t="shared" si="3"/>
        <v>8000</v>
      </c>
      <c r="AD38" s="45">
        <f t="shared" si="5"/>
        <v>3000</v>
      </c>
      <c r="AE38" s="54">
        <f t="shared" si="7"/>
        <v>2000</v>
      </c>
      <c r="AF38" s="41" t="s">
        <v>8</v>
      </c>
      <c r="AG38" s="51">
        <f>-AE38</f>
        <v>-2000</v>
      </c>
      <c r="AH38" s="51">
        <f t="shared" si="6"/>
        <v>-5400</v>
      </c>
    </row>
    <row r="39" spans="1:34" x14ac:dyDescent="0.25">
      <c r="A39" s="53">
        <v>43941</v>
      </c>
      <c r="D39" s="41" t="s">
        <v>88</v>
      </c>
      <c r="E39" s="6"/>
      <c r="F39" s="6"/>
      <c r="M39" s="6"/>
      <c r="N39" s="6"/>
      <c r="O39" s="6"/>
      <c r="P39" s="6"/>
      <c r="Q39" s="6"/>
      <c r="R39" s="45"/>
      <c r="S39" s="6"/>
      <c r="T39" s="6"/>
      <c r="U39" s="6"/>
      <c r="V39" s="6"/>
      <c r="W39" s="6"/>
      <c r="X39" s="6"/>
      <c r="Y39" s="45"/>
      <c r="Z39" s="6"/>
      <c r="AA39" s="6"/>
      <c r="AB39" s="6"/>
      <c r="AC39" s="6"/>
      <c r="AD39" s="45">
        <f t="shared" si="5"/>
        <v>0</v>
      </c>
      <c r="AE39" s="54"/>
      <c r="AF39" s="41" t="s">
        <v>8</v>
      </c>
      <c r="AG39" s="51">
        <v>-16000</v>
      </c>
      <c r="AH39" s="51">
        <f t="shared" si="6"/>
        <v>-21400</v>
      </c>
    </row>
    <row r="40" spans="1:34" x14ac:dyDescent="0.25">
      <c r="A40" s="53">
        <v>43941</v>
      </c>
      <c r="B40" s="41">
        <v>42</v>
      </c>
      <c r="C40" s="41">
        <v>5</v>
      </c>
      <c r="D40" s="41" t="s">
        <v>96</v>
      </c>
      <c r="E40" s="6" t="s">
        <v>8</v>
      </c>
      <c r="F40" s="6" t="s">
        <v>15</v>
      </c>
      <c r="I40" s="4">
        <v>1</v>
      </c>
      <c r="M40" s="6"/>
      <c r="N40" s="6"/>
      <c r="O40" s="6">
        <v>485000</v>
      </c>
      <c r="P40" s="6"/>
      <c r="Q40" s="6"/>
      <c r="R40" s="45">
        <f t="shared" si="0"/>
        <v>485000</v>
      </c>
      <c r="S40" s="6">
        <v>20000</v>
      </c>
      <c r="T40" s="6"/>
      <c r="U40" s="6"/>
      <c r="V40" s="6"/>
      <c r="W40" s="6"/>
      <c r="X40" s="6"/>
      <c r="Y40" s="45">
        <f t="shared" si="1"/>
        <v>20000</v>
      </c>
      <c r="Z40" s="6">
        <f t="shared" si="2"/>
        <v>505000</v>
      </c>
      <c r="AA40" s="6"/>
      <c r="AB40" s="6">
        <f>(S40+U40+V40+W40+X40)*80%</f>
        <v>16000</v>
      </c>
      <c r="AC40" s="6">
        <f t="shared" si="3"/>
        <v>0</v>
      </c>
      <c r="AD40" s="45">
        <f t="shared" si="5"/>
        <v>4000</v>
      </c>
      <c r="AE40" s="54">
        <f t="shared" si="7"/>
        <v>0</v>
      </c>
      <c r="AF40" s="41" t="s">
        <v>41</v>
      </c>
      <c r="AG40" s="51">
        <f>AB40</f>
        <v>16000</v>
      </c>
      <c r="AH40" s="51">
        <f t="shared" si="6"/>
        <v>-5400</v>
      </c>
    </row>
    <row r="41" spans="1:34" ht="30" x14ac:dyDescent="0.25">
      <c r="A41" s="53">
        <v>43942</v>
      </c>
      <c r="B41" s="41">
        <v>43</v>
      </c>
      <c r="C41" s="41">
        <v>1</v>
      </c>
      <c r="D41" s="4" t="s">
        <v>131</v>
      </c>
      <c r="E41" s="6" t="s">
        <v>45</v>
      </c>
      <c r="F41" s="6" t="s">
        <v>14</v>
      </c>
      <c r="G41" s="4">
        <v>5</v>
      </c>
      <c r="M41" s="6">
        <v>278000</v>
      </c>
      <c r="N41" s="6"/>
      <c r="O41" s="6"/>
      <c r="P41" s="6"/>
      <c r="Q41" s="6"/>
      <c r="R41" s="45">
        <f t="shared" si="0"/>
        <v>278000</v>
      </c>
      <c r="S41" s="6">
        <v>20000</v>
      </c>
      <c r="T41" s="6">
        <v>8000</v>
      </c>
      <c r="U41" s="6"/>
      <c r="V41" s="6"/>
      <c r="W41" s="6"/>
      <c r="X41" s="6"/>
      <c r="Y41" s="45">
        <f t="shared" si="1"/>
        <v>28000</v>
      </c>
      <c r="Z41" s="6">
        <f t="shared" si="2"/>
        <v>306000</v>
      </c>
      <c r="AA41" s="6"/>
      <c r="AB41" s="6"/>
      <c r="AC41" s="6">
        <f t="shared" si="3"/>
        <v>6400</v>
      </c>
      <c r="AD41" s="45">
        <f t="shared" si="5"/>
        <v>4000</v>
      </c>
      <c r="AE41" s="54">
        <f t="shared" si="7"/>
        <v>1600</v>
      </c>
      <c r="AF41" s="41" t="s">
        <v>8</v>
      </c>
      <c r="AG41" s="51">
        <f>-AE41</f>
        <v>-1600</v>
      </c>
      <c r="AH41" s="51">
        <f t="shared" si="6"/>
        <v>-7000</v>
      </c>
    </row>
    <row r="42" spans="1:34" x14ac:dyDescent="0.25">
      <c r="A42" s="53">
        <v>43942</v>
      </c>
      <c r="B42" s="41">
        <v>44</v>
      </c>
      <c r="C42" s="41">
        <v>2</v>
      </c>
      <c r="D42" s="4" t="s">
        <v>132</v>
      </c>
      <c r="E42" s="6" t="s">
        <v>7</v>
      </c>
      <c r="F42" s="6" t="s">
        <v>15</v>
      </c>
      <c r="G42" s="4">
        <v>6</v>
      </c>
      <c r="H42" s="4">
        <v>1</v>
      </c>
      <c r="M42" s="6">
        <v>156000</v>
      </c>
      <c r="N42" s="6">
        <v>45100</v>
      </c>
      <c r="O42" s="6"/>
      <c r="P42" s="6"/>
      <c r="Q42" s="6"/>
      <c r="R42" s="45">
        <f t="shared" si="0"/>
        <v>201100</v>
      </c>
      <c r="S42" s="6">
        <v>20000</v>
      </c>
      <c r="T42" s="6">
        <v>10000</v>
      </c>
      <c r="U42" s="6">
        <v>5000</v>
      </c>
      <c r="V42" s="6"/>
      <c r="W42" s="6"/>
      <c r="X42" s="6"/>
      <c r="Y42" s="45">
        <f t="shared" si="1"/>
        <v>35000</v>
      </c>
      <c r="Z42" s="6">
        <f t="shared" si="2"/>
        <v>236100</v>
      </c>
      <c r="AA42" s="6"/>
      <c r="AB42" s="6"/>
      <c r="AC42" s="6">
        <f t="shared" si="3"/>
        <v>8000</v>
      </c>
      <c r="AD42" s="45">
        <f t="shared" si="5"/>
        <v>5000</v>
      </c>
      <c r="AE42" s="54">
        <f t="shared" si="7"/>
        <v>2000</v>
      </c>
      <c r="AF42" s="41" t="s">
        <v>41</v>
      </c>
      <c r="AG42" s="51">
        <f>AC42+M42</f>
        <v>164000</v>
      </c>
      <c r="AH42" s="51">
        <f t="shared" si="6"/>
        <v>157000</v>
      </c>
    </row>
    <row r="43" spans="1:34" ht="30" x14ac:dyDescent="0.25">
      <c r="A43" s="53">
        <v>43942</v>
      </c>
      <c r="B43" s="41">
        <v>45</v>
      </c>
      <c r="C43" s="41">
        <v>3</v>
      </c>
      <c r="D43" s="4" t="s">
        <v>82</v>
      </c>
      <c r="E43" s="6" t="s">
        <v>45</v>
      </c>
      <c r="F43" s="6" t="s">
        <v>14</v>
      </c>
      <c r="G43" s="4">
        <v>5</v>
      </c>
      <c r="M43" s="6">
        <v>393000</v>
      </c>
      <c r="N43" s="6"/>
      <c r="O43" s="6"/>
      <c r="P43" s="6">
        <v>50000</v>
      </c>
      <c r="Q43" s="6"/>
      <c r="R43" s="45">
        <f t="shared" si="0"/>
        <v>443000</v>
      </c>
      <c r="S43" s="6">
        <v>20000</v>
      </c>
      <c r="T43" s="6">
        <v>8000</v>
      </c>
      <c r="U43" s="6">
        <v>5000</v>
      </c>
      <c r="V43" s="6"/>
      <c r="W43" s="6"/>
      <c r="X43" s="6"/>
      <c r="Y43" s="45">
        <f t="shared" si="1"/>
        <v>33000</v>
      </c>
      <c r="Z43" s="6">
        <f t="shared" si="2"/>
        <v>476000</v>
      </c>
      <c r="AA43" s="6"/>
      <c r="AB43" s="6"/>
      <c r="AC43" s="6">
        <f t="shared" si="3"/>
        <v>6400</v>
      </c>
      <c r="AD43" s="45">
        <f t="shared" si="5"/>
        <v>5000</v>
      </c>
      <c r="AE43" s="54">
        <f t="shared" si="7"/>
        <v>1600</v>
      </c>
      <c r="AF43" s="41" t="s">
        <v>8</v>
      </c>
      <c r="AG43" s="51">
        <f>-AE43</f>
        <v>-1600</v>
      </c>
      <c r="AH43" s="51">
        <f t="shared" si="6"/>
        <v>155400</v>
      </c>
    </row>
    <row r="44" spans="1:34" x14ac:dyDescent="0.25">
      <c r="A44" s="53">
        <v>43942</v>
      </c>
      <c r="B44" s="41">
        <v>46</v>
      </c>
      <c r="C44" s="41">
        <v>4</v>
      </c>
      <c r="D44" s="4" t="s">
        <v>133</v>
      </c>
      <c r="E44" s="6" t="s">
        <v>7</v>
      </c>
      <c r="F44" s="6" t="s">
        <v>15</v>
      </c>
      <c r="G44" s="4">
        <v>7</v>
      </c>
      <c r="M44" s="6">
        <v>289000</v>
      </c>
      <c r="N44" s="6"/>
      <c r="O44" s="6"/>
      <c r="P44" s="6"/>
      <c r="Q44" s="6"/>
      <c r="R44" s="45">
        <f t="shared" si="0"/>
        <v>289000</v>
      </c>
      <c r="S44" s="6">
        <v>20000</v>
      </c>
      <c r="T44" s="6">
        <v>12000</v>
      </c>
      <c r="U44" s="6"/>
      <c r="V44" s="6"/>
      <c r="W44" s="6"/>
      <c r="X44" s="6"/>
      <c r="Y44" s="45">
        <f t="shared" si="1"/>
        <v>32000</v>
      </c>
      <c r="Z44" s="6">
        <f t="shared" si="2"/>
        <v>321000</v>
      </c>
      <c r="AA44" s="6"/>
      <c r="AB44" s="6"/>
      <c r="AC44" s="6">
        <f t="shared" si="3"/>
        <v>9600</v>
      </c>
      <c r="AD44" s="45">
        <f t="shared" si="5"/>
        <v>4000</v>
      </c>
      <c r="AE44" s="54">
        <f t="shared" si="7"/>
        <v>2400</v>
      </c>
      <c r="AF44" s="41" t="s">
        <v>41</v>
      </c>
      <c r="AG44" s="51">
        <f>AC44+M44</f>
        <v>298600</v>
      </c>
      <c r="AH44" s="51">
        <f t="shared" si="6"/>
        <v>454000</v>
      </c>
    </row>
    <row r="45" spans="1:34" x14ac:dyDescent="0.25">
      <c r="A45" s="53">
        <v>43942</v>
      </c>
      <c r="B45" s="41">
        <v>47</v>
      </c>
      <c r="C45" s="41">
        <v>5</v>
      </c>
      <c r="D45" s="4" t="s">
        <v>134</v>
      </c>
      <c r="E45" s="6" t="s">
        <v>45</v>
      </c>
      <c r="F45" s="6" t="s">
        <v>14</v>
      </c>
      <c r="G45" s="4">
        <v>6</v>
      </c>
      <c r="M45" s="6">
        <v>215500</v>
      </c>
      <c r="N45" s="6"/>
      <c r="O45" s="6"/>
      <c r="P45" s="6"/>
      <c r="Q45" s="6"/>
      <c r="R45" s="45">
        <f t="shared" si="0"/>
        <v>215500</v>
      </c>
      <c r="S45" s="6">
        <v>10000</v>
      </c>
      <c r="T45" s="6">
        <v>10000</v>
      </c>
      <c r="U45" s="6"/>
      <c r="V45" s="6"/>
      <c r="W45" s="6"/>
      <c r="X45" s="6"/>
      <c r="Y45" s="45">
        <f t="shared" si="1"/>
        <v>20000</v>
      </c>
      <c r="Z45" s="6">
        <f t="shared" si="2"/>
        <v>235500</v>
      </c>
      <c r="AA45" s="6"/>
      <c r="AB45" s="6"/>
      <c r="AC45" s="6">
        <f t="shared" si="3"/>
        <v>8000</v>
      </c>
      <c r="AD45" s="45">
        <f t="shared" si="5"/>
        <v>2000</v>
      </c>
      <c r="AE45" s="54">
        <f t="shared" si="7"/>
        <v>2000</v>
      </c>
      <c r="AF45" s="41" t="s">
        <v>8</v>
      </c>
      <c r="AG45" s="51">
        <f>-AE45</f>
        <v>-2000</v>
      </c>
      <c r="AH45" s="51">
        <f t="shared" si="6"/>
        <v>452000</v>
      </c>
    </row>
    <row r="46" spans="1:34" x14ac:dyDescent="0.25">
      <c r="A46" s="53">
        <v>43942</v>
      </c>
      <c r="B46" s="41">
        <v>49</v>
      </c>
      <c r="C46" s="41">
        <v>7</v>
      </c>
      <c r="D46" s="4" t="s">
        <v>135</v>
      </c>
      <c r="E46" s="6" t="s">
        <v>8</v>
      </c>
      <c r="F46" s="6"/>
      <c r="M46" s="6"/>
      <c r="N46" s="6"/>
      <c r="O46" s="6"/>
      <c r="P46" s="6"/>
      <c r="Q46" s="6"/>
      <c r="R46" s="45">
        <f t="shared" si="0"/>
        <v>0</v>
      </c>
      <c r="S46" s="6"/>
      <c r="T46" s="6"/>
      <c r="U46" s="6"/>
      <c r="V46" s="6"/>
      <c r="W46" s="6"/>
      <c r="X46" s="6"/>
      <c r="Y46" s="45">
        <f t="shared" si="1"/>
        <v>0</v>
      </c>
      <c r="Z46" s="6">
        <f t="shared" si="2"/>
        <v>0</v>
      </c>
      <c r="AA46" s="6"/>
      <c r="AB46" s="6">
        <f>(S46+U46+V46+W46+X46)*80%</f>
        <v>0</v>
      </c>
      <c r="AC46" s="6">
        <f t="shared" si="3"/>
        <v>0</v>
      </c>
      <c r="AD46" s="45">
        <f t="shared" si="5"/>
        <v>0</v>
      </c>
      <c r="AE46" s="54">
        <f t="shared" si="7"/>
        <v>0</v>
      </c>
      <c r="AF46" s="41" t="s">
        <v>8</v>
      </c>
      <c r="AG46" s="51">
        <f>-AE46</f>
        <v>0</v>
      </c>
      <c r="AH46" s="51">
        <f t="shared" si="6"/>
        <v>452000</v>
      </c>
    </row>
    <row r="47" spans="1:34" x14ac:dyDescent="0.25">
      <c r="A47" s="53">
        <v>43942</v>
      </c>
      <c r="B47" s="41">
        <v>50</v>
      </c>
      <c r="C47" s="41">
        <v>8</v>
      </c>
      <c r="D47" s="4" t="s">
        <v>85</v>
      </c>
      <c r="E47" s="6" t="s">
        <v>45</v>
      </c>
      <c r="F47" s="6" t="s">
        <v>14</v>
      </c>
      <c r="G47" s="4">
        <v>3</v>
      </c>
      <c r="M47" s="6">
        <v>93000</v>
      </c>
      <c r="N47" s="6"/>
      <c r="O47" s="6"/>
      <c r="P47" s="6"/>
      <c r="Q47" s="6"/>
      <c r="R47" s="45">
        <f t="shared" si="0"/>
        <v>93000</v>
      </c>
      <c r="S47" s="6">
        <v>10000</v>
      </c>
      <c r="T47" s="6">
        <v>4000</v>
      </c>
      <c r="U47" s="6"/>
      <c r="V47" s="6"/>
      <c r="W47" s="6"/>
      <c r="X47" s="6"/>
      <c r="Y47" s="45">
        <f t="shared" si="1"/>
        <v>14000</v>
      </c>
      <c r="Z47" s="6">
        <f t="shared" si="2"/>
        <v>107000</v>
      </c>
      <c r="AA47" s="6"/>
      <c r="AB47" s="6"/>
      <c r="AC47" s="6">
        <f t="shared" si="3"/>
        <v>3200</v>
      </c>
      <c r="AD47" s="45">
        <f t="shared" si="5"/>
        <v>2000</v>
      </c>
      <c r="AE47" s="54">
        <f t="shared" si="7"/>
        <v>800</v>
      </c>
      <c r="AF47" s="41" t="s">
        <v>8</v>
      </c>
      <c r="AG47" s="51">
        <f>-AE47</f>
        <v>-800</v>
      </c>
      <c r="AH47" s="51">
        <f t="shared" si="6"/>
        <v>451200</v>
      </c>
    </row>
    <row r="48" spans="1:34" x14ac:dyDescent="0.25">
      <c r="A48" s="53">
        <v>43942</v>
      </c>
      <c r="B48" s="41">
        <v>52</v>
      </c>
      <c r="C48" s="41">
        <v>10</v>
      </c>
      <c r="D48" s="4" t="s">
        <v>137</v>
      </c>
      <c r="E48" s="6" t="s">
        <v>8</v>
      </c>
      <c r="F48" s="6" t="s">
        <v>15</v>
      </c>
      <c r="H48" s="4">
        <v>1</v>
      </c>
      <c r="M48" s="6"/>
      <c r="N48" s="6">
        <v>497500</v>
      </c>
      <c r="O48" s="6"/>
      <c r="P48" s="6"/>
      <c r="Q48" s="6"/>
      <c r="R48" s="45">
        <f t="shared" si="0"/>
        <v>497500</v>
      </c>
      <c r="S48" s="6">
        <v>15000</v>
      </c>
      <c r="T48" s="6"/>
      <c r="U48" s="6"/>
      <c r="V48" s="6"/>
      <c r="W48" s="6"/>
      <c r="X48" s="6"/>
      <c r="Y48" s="45">
        <f t="shared" si="1"/>
        <v>15000</v>
      </c>
      <c r="Z48" s="6">
        <f t="shared" si="2"/>
        <v>512500</v>
      </c>
      <c r="AA48" s="6">
        <v>5000</v>
      </c>
      <c r="AB48" s="6">
        <f>(S48+U48+V48+W48+X48)*80%</f>
        <v>12000</v>
      </c>
      <c r="AC48" s="6">
        <f t="shared" si="3"/>
        <v>0</v>
      </c>
      <c r="AD48" s="45">
        <f t="shared" si="5"/>
        <v>3000</v>
      </c>
      <c r="AE48" s="54">
        <f t="shared" si="7"/>
        <v>0</v>
      </c>
      <c r="AF48" s="41" t="s">
        <v>41</v>
      </c>
      <c r="AG48" s="51">
        <f>AB48</f>
        <v>12000</v>
      </c>
      <c r="AH48" s="51">
        <f t="shared" si="6"/>
        <v>463200</v>
      </c>
    </row>
    <row r="49" spans="1:34" x14ac:dyDescent="0.25">
      <c r="A49" s="53">
        <v>43942</v>
      </c>
      <c r="B49" s="41">
        <v>53</v>
      </c>
      <c r="C49" s="41">
        <v>11</v>
      </c>
      <c r="D49" s="4" t="s">
        <v>138</v>
      </c>
      <c r="E49" s="6" t="s">
        <v>8</v>
      </c>
      <c r="F49" s="6" t="s">
        <v>15</v>
      </c>
      <c r="I49" s="4">
        <v>1</v>
      </c>
      <c r="M49" s="6"/>
      <c r="N49" s="6"/>
      <c r="O49" s="6"/>
      <c r="P49" s="6">
        <v>220000</v>
      </c>
      <c r="Q49" s="6"/>
      <c r="R49" s="45">
        <f t="shared" si="0"/>
        <v>220000</v>
      </c>
      <c r="S49" s="6">
        <v>30000</v>
      </c>
      <c r="T49" s="6"/>
      <c r="U49" s="6"/>
      <c r="V49" s="6"/>
      <c r="W49" s="6"/>
      <c r="X49" s="6"/>
      <c r="Y49" s="45">
        <f t="shared" si="1"/>
        <v>30000</v>
      </c>
      <c r="Z49" s="6">
        <f t="shared" si="2"/>
        <v>250000</v>
      </c>
      <c r="AA49" s="6">
        <v>5000</v>
      </c>
      <c r="AB49" s="6">
        <f>(S49+U49+V49+W49+X49)*80%</f>
        <v>24000</v>
      </c>
      <c r="AC49" s="6">
        <f t="shared" si="3"/>
        <v>0</v>
      </c>
      <c r="AD49" s="45">
        <f t="shared" si="5"/>
        <v>6000</v>
      </c>
      <c r="AE49" s="54">
        <f t="shared" si="7"/>
        <v>0</v>
      </c>
      <c r="AF49" s="41" t="s">
        <v>41</v>
      </c>
      <c r="AG49" s="51">
        <f>AB49</f>
        <v>24000</v>
      </c>
      <c r="AH49" s="51">
        <f t="shared" si="6"/>
        <v>487200</v>
      </c>
    </row>
    <row r="50" spans="1:34" ht="30" x14ac:dyDescent="0.25">
      <c r="A50" s="53">
        <v>43942</v>
      </c>
      <c r="B50" s="41">
        <v>54</v>
      </c>
      <c r="C50" s="41">
        <v>12</v>
      </c>
      <c r="D50" s="4" t="s">
        <v>133</v>
      </c>
      <c r="E50" s="6" t="s">
        <v>8</v>
      </c>
      <c r="F50" s="6" t="s">
        <v>15</v>
      </c>
      <c r="K50" s="4">
        <v>1</v>
      </c>
      <c r="M50" s="6"/>
      <c r="N50" s="6"/>
      <c r="O50" s="6"/>
      <c r="P50" s="6"/>
      <c r="Q50" s="6">
        <v>130000</v>
      </c>
      <c r="R50" s="45">
        <f t="shared" si="0"/>
        <v>130000</v>
      </c>
      <c r="S50" s="6"/>
      <c r="T50" s="6"/>
      <c r="U50" s="6"/>
      <c r="V50" s="6">
        <v>25000</v>
      </c>
      <c r="W50" s="6"/>
      <c r="X50" s="6"/>
      <c r="Y50" s="45">
        <f t="shared" si="1"/>
        <v>25000</v>
      </c>
      <c r="Z50" s="6">
        <f t="shared" si="2"/>
        <v>155000</v>
      </c>
      <c r="AA50" s="6">
        <v>0</v>
      </c>
      <c r="AB50" s="6">
        <f>(S50+U50+V50+W50+X50)*80%</f>
        <v>20000</v>
      </c>
      <c r="AC50" s="6">
        <f t="shared" si="3"/>
        <v>0</v>
      </c>
      <c r="AD50" s="45">
        <f t="shared" si="5"/>
        <v>5000</v>
      </c>
      <c r="AE50" s="54">
        <f t="shared" si="7"/>
        <v>0</v>
      </c>
      <c r="AF50" s="41" t="s">
        <v>41</v>
      </c>
      <c r="AG50" s="51">
        <f>AB50+Q50</f>
        <v>150000</v>
      </c>
      <c r="AH50" s="51">
        <f t="shared" si="6"/>
        <v>637200</v>
      </c>
    </row>
    <row r="51" spans="1:34" x14ac:dyDescent="0.25">
      <c r="A51" s="53">
        <v>43942</v>
      </c>
      <c r="D51" s="41" t="s">
        <v>88</v>
      </c>
      <c r="E51" s="6"/>
      <c r="F51" s="6"/>
      <c r="M51" s="6"/>
      <c r="N51" s="6"/>
      <c r="O51" s="6"/>
      <c r="P51" s="6"/>
      <c r="Q51" s="6"/>
      <c r="R51" s="45"/>
      <c r="S51" s="6"/>
      <c r="T51" s="6"/>
      <c r="U51" s="6"/>
      <c r="V51" s="6"/>
      <c r="W51" s="6"/>
      <c r="X51" s="6"/>
      <c r="Y51" s="45"/>
      <c r="Z51" s="6"/>
      <c r="AA51" s="6"/>
      <c r="AB51" s="6"/>
      <c r="AC51" s="6"/>
      <c r="AD51" s="45"/>
      <c r="AE51" s="55"/>
      <c r="AF51" s="41" t="s">
        <v>8</v>
      </c>
      <c r="AG51" s="51">
        <f>-45000</f>
        <v>-45000</v>
      </c>
      <c r="AH51" s="51">
        <f t="shared" si="6"/>
        <v>592200</v>
      </c>
    </row>
    <row r="52" spans="1:34" x14ac:dyDescent="0.25">
      <c r="A52" s="53">
        <v>43942</v>
      </c>
      <c r="D52" s="41" t="s">
        <v>54</v>
      </c>
      <c r="E52" s="6"/>
      <c r="F52" s="6"/>
      <c r="M52" s="6"/>
      <c r="N52" s="6"/>
      <c r="O52" s="6"/>
      <c r="P52" s="6"/>
      <c r="Q52" s="6"/>
      <c r="R52" s="45"/>
      <c r="S52" s="6"/>
      <c r="T52" s="6"/>
      <c r="U52" s="6"/>
      <c r="V52" s="6"/>
      <c r="W52" s="6"/>
      <c r="X52" s="6"/>
      <c r="Y52" s="45"/>
      <c r="Z52" s="6"/>
      <c r="AA52" s="6"/>
      <c r="AB52" s="6"/>
      <c r="AC52" s="6"/>
      <c r="AD52" s="45"/>
      <c r="AE52" s="55"/>
      <c r="AF52" s="43" t="s">
        <v>8</v>
      </c>
      <c r="AG52" s="51">
        <f>-592200</f>
        <v>-592200</v>
      </c>
      <c r="AH52" s="51">
        <f t="shared" si="6"/>
        <v>0</v>
      </c>
    </row>
    <row r="53" spans="1:34" ht="30" x14ac:dyDescent="0.25">
      <c r="A53" s="53">
        <v>43943</v>
      </c>
      <c r="B53" s="43">
        <v>55</v>
      </c>
      <c r="C53" s="43">
        <v>1</v>
      </c>
      <c r="D53" s="4" t="s">
        <v>82</v>
      </c>
      <c r="E53" s="6" t="s">
        <v>7</v>
      </c>
      <c r="F53" s="6" t="s">
        <v>14</v>
      </c>
      <c r="G53" s="4">
        <v>5</v>
      </c>
      <c r="H53" s="4">
        <v>1</v>
      </c>
      <c r="M53" s="6">
        <v>57000</v>
      </c>
      <c r="N53" s="6">
        <v>71300</v>
      </c>
      <c r="O53" s="6"/>
      <c r="P53" s="6"/>
      <c r="Q53" s="6"/>
      <c r="R53" s="45">
        <f t="shared" ref="R53:R58" si="8">M53+N53+O53+P53+Q53</f>
        <v>128300</v>
      </c>
      <c r="S53" s="6">
        <v>20000</v>
      </c>
      <c r="T53" s="6">
        <v>8000</v>
      </c>
      <c r="U53" s="6">
        <v>5000</v>
      </c>
      <c r="V53" s="6"/>
      <c r="W53" s="6"/>
      <c r="X53" s="6"/>
      <c r="Y53" s="45">
        <f t="shared" ref="Y53:Y58" si="9">SUM(S53:X53)</f>
        <v>33000</v>
      </c>
      <c r="Z53" s="6">
        <f t="shared" ref="Z53:Z58" si="10">R53+Y53</f>
        <v>161300</v>
      </c>
      <c r="AA53" s="6">
        <v>8700</v>
      </c>
      <c r="AB53" s="6"/>
      <c r="AC53" s="6">
        <f t="shared" ref="AC53:AC58" si="11">T53*80%</f>
        <v>6400</v>
      </c>
      <c r="AD53" s="45">
        <f>(S53+U53+V53+W53+X53)*20%</f>
        <v>5000</v>
      </c>
      <c r="AE53" s="54">
        <f t="shared" ref="AE53:AE58" si="12">T53*20%</f>
        <v>1600</v>
      </c>
      <c r="AF53" s="43" t="s">
        <v>8</v>
      </c>
      <c r="AG53" s="51">
        <f>-AE53</f>
        <v>-1600</v>
      </c>
      <c r="AH53" s="51">
        <f t="shared" si="6"/>
        <v>-1600</v>
      </c>
    </row>
    <row r="54" spans="1:34" ht="30" x14ac:dyDescent="0.25">
      <c r="A54" s="53">
        <v>43943</v>
      </c>
      <c r="B54" s="43">
        <v>56</v>
      </c>
      <c r="C54" s="43">
        <v>2</v>
      </c>
      <c r="D54" s="4" t="s">
        <v>141</v>
      </c>
      <c r="E54" s="6" t="s">
        <v>7</v>
      </c>
      <c r="F54" s="6" t="s">
        <v>15</v>
      </c>
      <c r="G54" s="4">
        <v>4</v>
      </c>
      <c r="H54" s="4">
        <v>1</v>
      </c>
      <c r="M54" s="6">
        <v>203000</v>
      </c>
      <c r="N54" s="6">
        <v>189200</v>
      </c>
      <c r="O54" s="6"/>
      <c r="P54" s="6"/>
      <c r="Q54" s="6"/>
      <c r="R54" s="45">
        <f t="shared" si="8"/>
        <v>392200</v>
      </c>
      <c r="S54" s="6">
        <v>20000</v>
      </c>
      <c r="T54" s="6">
        <v>6000</v>
      </c>
      <c r="U54" s="6">
        <v>5000</v>
      </c>
      <c r="V54" s="6"/>
      <c r="W54" s="6"/>
      <c r="X54" s="6"/>
      <c r="Y54" s="45">
        <f t="shared" si="9"/>
        <v>31000</v>
      </c>
      <c r="Z54" s="6">
        <f t="shared" si="10"/>
        <v>423200</v>
      </c>
      <c r="AA54" s="6"/>
      <c r="AB54" s="6"/>
      <c r="AC54" s="6">
        <f t="shared" si="11"/>
        <v>4800</v>
      </c>
      <c r="AD54" s="45">
        <f>(S54+U54+V54+W54+X54)*20%</f>
        <v>5000</v>
      </c>
      <c r="AE54" s="54">
        <f t="shared" si="12"/>
        <v>1200</v>
      </c>
      <c r="AF54" s="43" t="s">
        <v>41</v>
      </c>
      <c r="AG54" s="51">
        <f>AC54+M54</f>
        <v>207800</v>
      </c>
      <c r="AH54" s="51">
        <f t="shared" si="6"/>
        <v>206200</v>
      </c>
    </row>
    <row r="55" spans="1:34" ht="30" x14ac:dyDescent="0.25">
      <c r="A55" s="53">
        <v>43943</v>
      </c>
      <c r="B55" s="43">
        <v>57</v>
      </c>
      <c r="C55" s="43">
        <v>3</v>
      </c>
      <c r="D55" s="4" t="s">
        <v>142</v>
      </c>
      <c r="E55" s="6" t="s">
        <v>45</v>
      </c>
      <c r="F55" s="6" t="s">
        <v>15</v>
      </c>
      <c r="G55" s="4">
        <v>4</v>
      </c>
      <c r="M55" s="6">
        <v>203000</v>
      </c>
      <c r="N55" s="6"/>
      <c r="O55" s="6"/>
      <c r="P55" s="6"/>
      <c r="Q55" s="6"/>
      <c r="R55" s="45">
        <f t="shared" si="8"/>
        <v>203000</v>
      </c>
      <c r="S55" s="6">
        <v>10000</v>
      </c>
      <c r="T55" s="6">
        <v>6000</v>
      </c>
      <c r="U55" s="6"/>
      <c r="V55" s="6"/>
      <c r="W55" s="6"/>
      <c r="X55" s="6"/>
      <c r="Y55" s="45">
        <f t="shared" si="9"/>
        <v>16000</v>
      </c>
      <c r="Z55" s="6">
        <f t="shared" si="10"/>
        <v>219000</v>
      </c>
      <c r="AA55" s="6">
        <v>3000</v>
      </c>
      <c r="AB55" s="6"/>
      <c r="AC55" s="6">
        <f t="shared" si="11"/>
        <v>4800</v>
      </c>
      <c r="AD55" s="45">
        <f>(S55+U55+V55+W55+X55)*20%</f>
        <v>2000</v>
      </c>
      <c r="AE55" s="54">
        <f t="shared" si="12"/>
        <v>1200</v>
      </c>
      <c r="AF55" s="43" t="s">
        <v>41</v>
      </c>
      <c r="AG55" s="51">
        <f>AC55+M55</f>
        <v>207800</v>
      </c>
      <c r="AH55" s="51">
        <f t="shared" ref="AH55:AH59" si="13">AH54+AG55</f>
        <v>414000</v>
      </c>
    </row>
    <row r="56" spans="1:34" ht="30" x14ac:dyDescent="0.25">
      <c r="A56" s="53">
        <v>43943</v>
      </c>
      <c r="B56" s="43">
        <v>58</v>
      </c>
      <c r="C56" s="43">
        <v>4</v>
      </c>
      <c r="D56" s="4" t="s">
        <v>143</v>
      </c>
      <c r="E56" s="6" t="s">
        <v>45</v>
      </c>
      <c r="F56" s="6" t="s">
        <v>15</v>
      </c>
      <c r="G56" s="4">
        <v>4</v>
      </c>
      <c r="M56" s="6">
        <v>130000</v>
      </c>
      <c r="N56" s="6"/>
      <c r="O56" s="6"/>
      <c r="P56" s="6"/>
      <c r="Q56" s="6"/>
      <c r="R56" s="45">
        <f t="shared" si="8"/>
        <v>130000</v>
      </c>
      <c r="S56" s="6">
        <v>10000</v>
      </c>
      <c r="T56" s="6">
        <v>6000</v>
      </c>
      <c r="U56" s="6"/>
      <c r="V56" s="6"/>
      <c r="W56" s="6"/>
      <c r="X56" s="6"/>
      <c r="Y56" s="45">
        <f t="shared" si="9"/>
        <v>16000</v>
      </c>
      <c r="Z56" s="6">
        <f t="shared" si="10"/>
        <v>146000</v>
      </c>
      <c r="AA56" s="6"/>
      <c r="AB56" s="6"/>
      <c r="AC56" s="6">
        <f t="shared" si="11"/>
        <v>4800</v>
      </c>
      <c r="AD56" s="45">
        <f>(S56+U56+V56+W56+X56)*20%</f>
        <v>2000</v>
      </c>
      <c r="AE56" s="54">
        <f t="shared" si="12"/>
        <v>1200</v>
      </c>
      <c r="AF56" s="43" t="s">
        <v>41</v>
      </c>
      <c r="AG56" s="51">
        <f>AC56+M56</f>
        <v>134800</v>
      </c>
      <c r="AH56" s="51">
        <f t="shared" si="13"/>
        <v>548800</v>
      </c>
    </row>
    <row r="57" spans="1:34" ht="30" x14ac:dyDescent="0.25">
      <c r="A57" s="53">
        <v>43943</v>
      </c>
      <c r="B57" s="43">
        <v>61</v>
      </c>
      <c r="C57" s="43">
        <v>7</v>
      </c>
      <c r="D57" s="4" t="s">
        <v>146</v>
      </c>
      <c r="E57" s="6" t="s">
        <v>8</v>
      </c>
      <c r="F57" s="6" t="s">
        <v>14</v>
      </c>
      <c r="H57" s="4">
        <v>1</v>
      </c>
      <c r="M57" s="6"/>
      <c r="N57" s="6">
        <v>26300</v>
      </c>
      <c r="O57" s="6"/>
      <c r="P57" s="6"/>
      <c r="Q57" s="6"/>
      <c r="R57" s="45">
        <f t="shared" si="8"/>
        <v>26300</v>
      </c>
      <c r="S57" s="6">
        <v>10000</v>
      </c>
      <c r="T57" s="6"/>
      <c r="U57" s="6"/>
      <c r="V57" s="6"/>
      <c r="W57" s="6"/>
      <c r="X57" s="6"/>
      <c r="Y57" s="45">
        <f t="shared" si="9"/>
        <v>10000</v>
      </c>
      <c r="Z57" s="6">
        <f t="shared" si="10"/>
        <v>36300</v>
      </c>
      <c r="AA57" s="6">
        <v>200</v>
      </c>
      <c r="AB57" s="6">
        <f>(S57+U57+V57+W57+X57)*80%</f>
        <v>8000</v>
      </c>
      <c r="AC57" s="6">
        <f t="shared" si="11"/>
        <v>0</v>
      </c>
      <c r="AD57" s="45">
        <f t="shared" ref="AD57" si="14">(S57+U57)*20%</f>
        <v>2000</v>
      </c>
      <c r="AE57" s="54">
        <f t="shared" si="12"/>
        <v>0</v>
      </c>
      <c r="AF57" s="43" t="s">
        <v>8</v>
      </c>
      <c r="AG57" s="51">
        <f>-AD57</f>
        <v>-2000</v>
      </c>
      <c r="AH57" s="51">
        <f t="shared" si="13"/>
        <v>546800</v>
      </c>
    </row>
    <row r="58" spans="1:34" ht="30" x14ac:dyDescent="0.25">
      <c r="A58" s="53">
        <v>43943</v>
      </c>
      <c r="B58" s="43">
        <v>62</v>
      </c>
      <c r="C58" s="43">
        <v>8</v>
      </c>
      <c r="D58" s="4" t="s">
        <v>142</v>
      </c>
      <c r="E58" s="6" t="s">
        <v>8</v>
      </c>
      <c r="F58" s="6" t="s">
        <v>15</v>
      </c>
      <c r="G58" s="4">
        <v>1</v>
      </c>
      <c r="H58" s="4">
        <v>1</v>
      </c>
      <c r="K58" s="4">
        <v>1</v>
      </c>
      <c r="M58" s="6">
        <v>36000</v>
      </c>
      <c r="N58" s="6">
        <v>56700</v>
      </c>
      <c r="O58" s="6"/>
      <c r="P58" s="6"/>
      <c r="Q58" s="6">
        <v>250000</v>
      </c>
      <c r="R58" s="45">
        <f t="shared" si="8"/>
        <v>342700</v>
      </c>
      <c r="S58" s="6"/>
      <c r="T58" s="6"/>
      <c r="U58" s="6">
        <v>5000</v>
      </c>
      <c r="V58" s="6">
        <v>15000</v>
      </c>
      <c r="W58" s="6"/>
      <c r="X58" s="6"/>
      <c r="Y58" s="45">
        <f t="shared" si="9"/>
        <v>20000</v>
      </c>
      <c r="Z58" s="6">
        <f t="shared" si="10"/>
        <v>362700</v>
      </c>
      <c r="AA58" s="6">
        <v>5300</v>
      </c>
      <c r="AB58" s="6">
        <f>(S58+U58+V58+W58+X58)*80%</f>
        <v>16000</v>
      </c>
      <c r="AC58" s="6">
        <f t="shared" si="11"/>
        <v>0</v>
      </c>
      <c r="AD58" s="45">
        <f>(S58+U58+V58+W58+X58)*20%</f>
        <v>4000</v>
      </c>
      <c r="AE58" s="54">
        <f t="shared" si="12"/>
        <v>0</v>
      </c>
      <c r="AF58" s="43" t="s">
        <v>41</v>
      </c>
      <c r="AG58" s="51">
        <f>AD58+Q58+N58+M58</f>
        <v>346700</v>
      </c>
      <c r="AH58" s="51">
        <f t="shared" si="13"/>
        <v>893500</v>
      </c>
    </row>
    <row r="59" spans="1:34" x14ac:dyDescent="0.25">
      <c r="A59" s="53">
        <v>43943</v>
      </c>
      <c r="B59" s="43"/>
      <c r="C59" s="43"/>
      <c r="D59" s="43" t="s">
        <v>88</v>
      </c>
      <c r="E59" s="6"/>
      <c r="F59" s="6"/>
      <c r="M59" s="6"/>
      <c r="N59" s="6"/>
      <c r="O59" s="6"/>
      <c r="P59" s="6"/>
      <c r="Q59" s="6"/>
      <c r="R59" s="45"/>
      <c r="S59" s="6"/>
      <c r="T59" s="6"/>
      <c r="U59" s="6"/>
      <c r="V59" s="6"/>
      <c r="W59" s="6"/>
      <c r="X59" s="6"/>
      <c r="Y59" s="45"/>
      <c r="Z59" s="6"/>
      <c r="AA59" s="6"/>
      <c r="AB59" s="6"/>
      <c r="AC59" s="6"/>
      <c r="AD59" s="45"/>
      <c r="AE59" s="55"/>
      <c r="AF59" s="43" t="s">
        <v>8</v>
      </c>
      <c r="AG59" s="51">
        <f>-26000</f>
        <v>-26000</v>
      </c>
      <c r="AH59" s="51">
        <f t="shared" si="13"/>
        <v>867500</v>
      </c>
    </row>
    <row r="60" spans="1:34" x14ac:dyDescent="0.25">
      <c r="A60" s="53"/>
      <c r="D60" s="31"/>
      <c r="E60" s="6"/>
      <c r="F60" s="6"/>
      <c r="M60" s="6"/>
      <c r="N60" s="6"/>
      <c r="O60" s="6"/>
      <c r="P60" s="6"/>
      <c r="Q60" s="6"/>
      <c r="R60" s="45"/>
      <c r="S60" s="6"/>
      <c r="T60" s="6"/>
      <c r="U60" s="6"/>
      <c r="V60" s="6"/>
      <c r="W60" s="6"/>
      <c r="X60" s="6"/>
      <c r="Y60" s="45"/>
      <c r="Z60" s="6"/>
      <c r="AA60" s="6"/>
      <c r="AB60" s="6"/>
      <c r="AC60" s="6"/>
      <c r="AD60" s="45"/>
      <c r="AE60" s="55"/>
      <c r="AG60" s="31"/>
      <c r="AH60" s="31"/>
    </row>
    <row r="61" spans="1:34" x14ac:dyDescent="0.25">
      <c r="A61" s="53"/>
      <c r="E61" s="6"/>
      <c r="F61" s="6"/>
      <c r="M61" s="6"/>
      <c r="N61" s="6"/>
      <c r="O61" s="6"/>
      <c r="P61" s="6"/>
      <c r="Q61" s="6"/>
      <c r="R61" s="45"/>
      <c r="S61" s="6"/>
      <c r="T61" s="6"/>
      <c r="U61" s="6"/>
      <c r="V61" s="6"/>
      <c r="W61" s="6"/>
      <c r="X61" s="6"/>
      <c r="Y61" s="45"/>
      <c r="Z61" s="6"/>
      <c r="AA61" s="6"/>
      <c r="AB61" s="6"/>
      <c r="AC61" s="6"/>
      <c r="AD61" s="45"/>
      <c r="AE61" s="55"/>
      <c r="AH61" s="31"/>
    </row>
    <row r="62" spans="1:34" x14ac:dyDescent="0.25">
      <c r="A62" s="53"/>
      <c r="E62" s="6"/>
      <c r="F62" s="6"/>
      <c r="M62" s="6"/>
      <c r="N62" s="6"/>
      <c r="O62" s="6"/>
      <c r="P62" s="6"/>
      <c r="Q62" s="6"/>
      <c r="R62" s="45"/>
      <c r="S62" s="6"/>
      <c r="T62" s="6"/>
      <c r="U62" s="6"/>
      <c r="V62" s="6"/>
      <c r="W62" s="6"/>
      <c r="X62" s="6"/>
      <c r="Y62" s="45"/>
      <c r="Z62" s="6"/>
      <c r="AA62" s="6"/>
      <c r="AB62" s="6"/>
      <c r="AC62" s="6"/>
      <c r="AD62" s="45"/>
      <c r="AE62" s="55"/>
    </row>
    <row r="63" spans="1:34" ht="15.75" x14ac:dyDescent="0.25">
      <c r="E63" s="10" t="s">
        <v>35</v>
      </c>
      <c r="F63" s="6"/>
      <c r="G63" s="10">
        <f>SUM(G3:G62)</f>
        <v>135</v>
      </c>
      <c r="H63" s="10">
        <f>SUM(H3:H62)</f>
        <v>13</v>
      </c>
      <c r="I63" s="10">
        <f>SUM(I3:I62)</f>
        <v>2</v>
      </c>
      <c r="J63" s="10">
        <f>SUM(J3:J62)</f>
        <v>3</v>
      </c>
      <c r="K63" s="10">
        <f>SUM(K3:K62)</f>
        <v>4</v>
      </c>
      <c r="L63" s="10">
        <f>SUM(L3:L62)</f>
        <v>0</v>
      </c>
      <c r="M63" s="21">
        <f>SUM(M3:M62)</f>
        <v>6421000</v>
      </c>
      <c r="N63" s="21">
        <f>SUM(N3:N62)</f>
        <v>2636900</v>
      </c>
      <c r="O63" s="21">
        <f>SUM(O3:O62)</f>
        <v>569000</v>
      </c>
      <c r="P63" s="21">
        <f>SUM(P3:P62)</f>
        <v>390000</v>
      </c>
      <c r="Q63" s="21">
        <f>SUM(Q3:Q62)</f>
        <v>534000</v>
      </c>
      <c r="R63" s="46">
        <f>SUM(R3:R62)</f>
        <v>10550900</v>
      </c>
      <c r="S63" s="21">
        <f>SUM(S3:S62)</f>
        <v>605000</v>
      </c>
      <c r="T63" s="21">
        <f>SUM(T3:T62)</f>
        <v>236000</v>
      </c>
      <c r="U63" s="21">
        <f>SUM(U3:U62)</f>
        <v>60000</v>
      </c>
      <c r="V63" s="21">
        <f>SUM(V3:V62)</f>
        <v>70000</v>
      </c>
      <c r="W63" s="21">
        <f>SUM(W3:W62)</f>
        <v>0</v>
      </c>
      <c r="X63" s="21">
        <f>SUM(X3:X62)</f>
        <v>0</v>
      </c>
      <c r="Y63" s="46">
        <f>SUM(Y3:Y62)</f>
        <v>971000</v>
      </c>
      <c r="Z63" s="10">
        <f>SUM(Z3:Z62)</f>
        <v>11521900</v>
      </c>
      <c r="AA63" s="10">
        <f>SUM(AA3:AA62)</f>
        <v>261800</v>
      </c>
      <c r="AB63" s="10">
        <f>SUM(AB3:AB62)</f>
        <v>208000</v>
      </c>
      <c r="AC63" s="10">
        <f>SUM(AC3:AC62)</f>
        <v>184000</v>
      </c>
      <c r="AD63" s="50">
        <f>SUM(AD3:AD62)</f>
        <v>147000</v>
      </c>
      <c r="AE63" s="50">
        <f>SUM(AE3:AE62)</f>
        <v>46000</v>
      </c>
    </row>
    <row r="64" spans="1:34" x14ac:dyDescent="0.25">
      <c r="E64" s="6"/>
      <c r="F64" s="6"/>
      <c r="M64" s="38">
        <f>M63/$R$63</f>
        <v>0.60857367617928326</v>
      </c>
      <c r="N64" s="38">
        <f t="shared" ref="N64:Q64" si="15">N63/$R$63</f>
        <v>0.24992180761830746</v>
      </c>
      <c r="O64" s="38">
        <f t="shared" si="15"/>
        <v>5.3929048706745399E-2</v>
      </c>
      <c r="P64" s="38">
        <f t="shared" si="15"/>
        <v>3.6963671345572414E-2</v>
      </c>
      <c r="Q64" s="38">
        <f t="shared" si="15"/>
        <v>5.0611796150091461E-2</v>
      </c>
      <c r="R64" s="45"/>
      <c r="S64" s="39" t="s">
        <v>115</v>
      </c>
      <c r="T64" s="40">
        <f>S63+T63+U63</f>
        <v>901000</v>
      </c>
      <c r="U64" s="39">
        <f>T64/$Y$63</f>
        <v>0.92790937178166844</v>
      </c>
      <c r="V64" s="39">
        <f t="shared" ref="V64:X64" si="16">V63/$Y$63</f>
        <v>7.209062821833162E-2</v>
      </c>
      <c r="W64" s="39">
        <f t="shared" si="16"/>
        <v>0</v>
      </c>
      <c r="X64" s="39">
        <f t="shared" si="16"/>
        <v>0</v>
      </c>
      <c r="Y64" s="45"/>
      <c r="Z64" s="30"/>
      <c r="AA64" s="9"/>
      <c r="AB64" s="6"/>
      <c r="AC64" s="6"/>
      <c r="AD64" s="45"/>
      <c r="AE64" s="55"/>
    </row>
    <row r="65" spans="4:31" ht="45" x14ac:dyDescent="0.25">
      <c r="D65" s="6"/>
      <c r="E65" s="6"/>
      <c r="F65" s="6"/>
      <c r="M65" s="6"/>
      <c r="N65" s="6"/>
      <c r="O65" s="6"/>
      <c r="P65" s="6"/>
      <c r="Q65" s="6"/>
      <c r="R65" s="6"/>
      <c r="S65" s="13"/>
      <c r="T65" s="18"/>
      <c r="U65" s="18"/>
      <c r="V65" s="18"/>
      <c r="W65" s="18"/>
      <c r="X65" s="18"/>
      <c r="Y65" s="18"/>
      <c r="Z65" s="13" t="s">
        <v>32</v>
      </c>
      <c r="AA65" s="18">
        <f>AB63+AA63</f>
        <v>469800</v>
      </c>
      <c r="AB65" s="13" t="s">
        <v>33</v>
      </c>
      <c r="AC65" s="18">
        <f>AC63</f>
        <v>184000</v>
      </c>
      <c r="AD65" s="13" t="s">
        <v>53</v>
      </c>
      <c r="AE65" s="14">
        <f>AD63+AE63</f>
        <v>193000</v>
      </c>
    </row>
    <row r="66" spans="4:31" ht="18.75" x14ac:dyDescent="0.25">
      <c r="E66" s="6"/>
      <c r="F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9" t="s">
        <v>56</v>
      </c>
      <c r="AE66" s="14">
        <f>'Donasi Pasar'!B13</f>
        <v>154000</v>
      </c>
    </row>
    <row r="67" spans="4:31" ht="21" x14ac:dyDescent="0.25">
      <c r="E67" s="6"/>
      <c r="F67" s="6"/>
      <c r="M67" s="6"/>
      <c r="N67" s="6"/>
      <c r="O67" s="6"/>
      <c r="P67" s="6"/>
      <c r="Q67" s="6"/>
      <c r="R67" s="58" t="s">
        <v>76</v>
      </c>
      <c r="S67" s="58"/>
      <c r="T67" s="24">
        <f>Z63+AA63+AA64</f>
        <v>11783700</v>
      </c>
      <c r="U67" s="32">
        <f>T67/$T$67</f>
        <v>1</v>
      </c>
      <c r="V67" s="6"/>
      <c r="W67" s="6"/>
      <c r="X67" s="6"/>
      <c r="Y67" s="6"/>
      <c r="Z67" s="6"/>
      <c r="AA67" s="6"/>
      <c r="AB67" s="60">
        <f>AA65+AC65</f>
        <v>653800</v>
      </c>
      <c r="AC67" s="6"/>
      <c r="AD67" s="6"/>
    </row>
    <row r="68" spans="4:31" ht="18.75" customHeight="1" x14ac:dyDescent="0.25">
      <c r="E68" s="6"/>
      <c r="F68" s="6"/>
      <c r="M68" s="34"/>
      <c r="N68" s="34"/>
      <c r="O68" s="34"/>
      <c r="P68" s="34"/>
      <c r="Q68" s="34"/>
      <c r="R68" s="58" t="s">
        <v>5</v>
      </c>
      <c r="S68" s="58"/>
      <c r="T68" s="24">
        <f>R63</f>
        <v>10550900</v>
      </c>
      <c r="U68" s="27">
        <f>T68/$T$67</f>
        <v>0.89538090752480126</v>
      </c>
      <c r="V68" s="36"/>
      <c r="W68" s="36"/>
      <c r="X68" s="36"/>
      <c r="Y68" s="20"/>
      <c r="AA68" s="18"/>
      <c r="AB68" s="22"/>
      <c r="AC68" s="19"/>
      <c r="AD68" s="52"/>
    </row>
    <row r="69" spans="4:31" ht="18.75" customHeight="1" x14ac:dyDescent="0.25">
      <c r="E69" s="6"/>
      <c r="F69" s="6"/>
      <c r="M69" s="34"/>
      <c r="N69" s="34"/>
      <c r="O69" s="34"/>
      <c r="P69" s="34"/>
      <c r="Q69" s="34"/>
      <c r="R69" s="58" t="s">
        <v>59</v>
      </c>
      <c r="S69" s="58"/>
      <c r="T69" s="26">
        <f>Y63+AA63+AA64+AE66</f>
        <v>1386800</v>
      </c>
      <c r="U69" s="27">
        <f>T69/$T$67</f>
        <v>0.11768799273572816</v>
      </c>
      <c r="V69" s="37"/>
      <c r="W69" s="37"/>
      <c r="X69" s="37"/>
      <c r="Y69" s="6"/>
      <c r="Z69" s="6"/>
      <c r="AA69" s="6"/>
      <c r="AB69" s="6"/>
      <c r="AC69" s="52"/>
      <c r="AD69" s="52"/>
    </row>
    <row r="70" spans="4:31" ht="18.75" customHeight="1" x14ac:dyDescent="0.25">
      <c r="E70" s="6"/>
      <c r="F70" s="6"/>
      <c r="M70" s="34"/>
      <c r="N70" s="34"/>
      <c r="O70" s="34"/>
      <c r="P70" s="34"/>
      <c r="Q70" s="34"/>
      <c r="R70" s="58" t="s">
        <v>57</v>
      </c>
      <c r="S70" s="58"/>
      <c r="T70" s="26">
        <f>AA63+AA64+AB63+AC63</f>
        <v>653800</v>
      </c>
      <c r="U70" s="27">
        <f>T70/$T$67</f>
        <v>5.5483422015156526E-2</v>
      </c>
      <c r="V70" s="37"/>
      <c r="W70" s="37"/>
      <c r="X70" s="37"/>
      <c r="Y70" s="6"/>
      <c r="Z70" s="6"/>
      <c r="AA70" s="6"/>
      <c r="AB70" s="6"/>
      <c r="AC70" s="52"/>
      <c r="AD70" s="52"/>
    </row>
    <row r="71" spans="4:31" ht="33.75" customHeight="1" x14ac:dyDescent="0.25">
      <c r="E71" s="6"/>
      <c r="F71" s="6"/>
      <c r="M71" s="34"/>
      <c r="N71" s="34"/>
      <c r="O71" s="34"/>
      <c r="P71" s="34"/>
      <c r="Q71" s="34"/>
      <c r="R71" s="58" t="s">
        <v>58</v>
      </c>
      <c r="S71" s="58"/>
      <c r="T71" s="26">
        <f>AE65+AE66</f>
        <v>347000</v>
      </c>
      <c r="U71" s="27">
        <f>T71/$T$67</f>
        <v>2.9447457080543464E-2</v>
      </c>
      <c r="V71" s="37"/>
      <c r="W71" s="37"/>
      <c r="X71" s="37"/>
      <c r="Y71" s="6"/>
      <c r="Z71" s="6"/>
      <c r="AA71" s="6"/>
      <c r="AB71" s="6"/>
      <c r="AC71" s="52"/>
      <c r="AD71" s="52"/>
    </row>
    <row r="72" spans="4:31" x14ac:dyDescent="0.25">
      <c r="E72" s="6"/>
      <c r="F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</row>
    <row r="73" spans="4:31" x14ac:dyDescent="0.25">
      <c r="S73" s="41" t="s">
        <v>75</v>
      </c>
      <c r="U73" s="41" t="s">
        <v>94</v>
      </c>
      <c r="V73" s="41" t="s">
        <v>92</v>
      </c>
      <c r="W73" s="41" t="s">
        <v>93</v>
      </c>
      <c r="AB73" s="52"/>
      <c r="AC73" s="52"/>
      <c r="AD73" s="52"/>
    </row>
    <row r="74" spans="4:31" x14ac:dyDescent="0.25">
      <c r="S74" s="41" t="s">
        <v>8</v>
      </c>
      <c r="T74" s="31">
        <f>Indri!S47+Indri!T47+Indri!U47+Indri!S48</f>
        <v>414500</v>
      </c>
      <c r="U74" s="41">
        <v>6</v>
      </c>
      <c r="V74" s="31">
        <f>T74/U74</f>
        <v>69083.333333333328</v>
      </c>
      <c r="W74" s="31">
        <f>V74*25</f>
        <v>1727083.3333333333</v>
      </c>
      <c r="AB74" s="52"/>
      <c r="AC74" s="52"/>
      <c r="AD74" s="52"/>
    </row>
    <row r="75" spans="4:31" x14ac:dyDescent="0.25">
      <c r="S75" s="41" t="s">
        <v>7</v>
      </c>
      <c r="T75" s="31">
        <f>Samin!S25+Samin!T25+Samin!S26</f>
        <v>332800</v>
      </c>
      <c r="U75" s="41">
        <v>6</v>
      </c>
      <c r="V75" s="31">
        <f>T75/U75</f>
        <v>55466.666666666664</v>
      </c>
      <c r="W75" s="31">
        <f>V75*25</f>
        <v>1386666.6666666665</v>
      </c>
      <c r="AB75" s="52"/>
      <c r="AC75" s="52"/>
      <c r="AD75" s="52"/>
    </row>
    <row r="76" spans="4:31" x14ac:dyDescent="0.25">
      <c r="S76" s="41" t="s">
        <v>17</v>
      </c>
      <c r="T76" s="31">
        <f>Yudi!S15+Yudi!T15+Yudi!S16</f>
        <v>243700</v>
      </c>
      <c r="U76" s="41">
        <v>6</v>
      </c>
      <c r="V76" s="31">
        <f>T76/U76</f>
        <v>40616.666666666664</v>
      </c>
      <c r="W76" s="31">
        <f>V76*25</f>
        <v>1015416.6666666666</v>
      </c>
      <c r="AB76" s="52"/>
      <c r="AC76" s="52"/>
      <c r="AD76" s="52"/>
    </row>
    <row r="77" spans="4:31" x14ac:dyDescent="0.25">
      <c r="S77" s="41" t="s">
        <v>45</v>
      </c>
      <c r="T77" s="31">
        <f>Andri!S16+Andri!T16+Andri!S17</f>
        <v>200300</v>
      </c>
      <c r="U77" s="41">
        <v>4</v>
      </c>
      <c r="V77" s="31">
        <f>T77/U77</f>
        <v>50075</v>
      </c>
      <c r="W77" s="31">
        <f>V77*25</f>
        <v>1251875</v>
      </c>
      <c r="AB77" s="52"/>
      <c r="AC77" s="52"/>
      <c r="AD77" s="52"/>
    </row>
  </sheetData>
  <autoFilter ref="A2:AI2"/>
  <mergeCells count="5">
    <mergeCell ref="R67:S67"/>
    <mergeCell ref="R68:S68"/>
    <mergeCell ref="R69:S69"/>
    <mergeCell ref="R70:S70"/>
    <mergeCell ref="R71:S7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49"/>
  <sheetViews>
    <sheetView zoomScale="80" zoomScaleNormal="80" workbookViewId="0">
      <pane xSplit="6" ySplit="2" topLeftCell="Z24" activePane="bottomRight" state="frozen"/>
      <selection pane="topRight" activeCell="G1" sqref="G1"/>
      <selection pane="bottomLeft" activeCell="A3" sqref="A3"/>
      <selection pane="bottomRight" activeCell="AG29" sqref="AG29"/>
    </sheetView>
  </sheetViews>
  <sheetFormatPr defaultRowHeight="15" x14ac:dyDescent="0.25"/>
  <cols>
    <col min="1" max="1" width="10.7109375" style="52" customWidth="1"/>
    <col min="2" max="3" width="6.140625" style="41" customWidth="1"/>
    <col min="4" max="4" width="19" style="41" customWidth="1"/>
    <col min="5" max="5" width="14.7109375" style="41" customWidth="1"/>
    <col min="6" max="6" width="9.42578125" style="41" customWidth="1"/>
    <col min="7" max="12" width="7.28515625" style="4" customWidth="1"/>
    <col min="13" max="27" width="17.42578125" style="41" customWidth="1"/>
    <col min="28" max="28" width="19.140625" style="41" customWidth="1"/>
    <col min="29" max="30" width="17.42578125" style="41" customWidth="1"/>
    <col min="31" max="31" width="19.85546875" style="52" customWidth="1"/>
    <col min="32" max="32" width="15.42578125" style="41" customWidth="1"/>
    <col min="33" max="34" width="18.28515625" style="41" customWidth="1"/>
    <col min="35" max="35" width="27" style="52" customWidth="1"/>
    <col min="36" max="16384" width="9.140625" style="52"/>
  </cols>
  <sheetData>
    <row r="2" spans="1:35" s="5" customFormat="1" ht="48" x14ac:dyDescent="0.25">
      <c r="A2" s="5" t="s">
        <v>29</v>
      </c>
      <c r="B2" s="4" t="s">
        <v>0</v>
      </c>
      <c r="C2" s="4" t="s">
        <v>46</v>
      </c>
      <c r="D2" s="4" t="s">
        <v>1</v>
      </c>
      <c r="E2" s="4" t="s">
        <v>34</v>
      </c>
      <c r="F2" s="4" t="s">
        <v>13</v>
      </c>
      <c r="G2" s="7" t="s">
        <v>98</v>
      </c>
      <c r="H2" s="7" t="s">
        <v>99</v>
      </c>
      <c r="I2" s="7" t="s">
        <v>101</v>
      </c>
      <c r="J2" s="7" t="s">
        <v>102</v>
      </c>
      <c r="K2" s="7" t="s">
        <v>100</v>
      </c>
      <c r="L2" s="7" t="s">
        <v>97</v>
      </c>
      <c r="M2" s="7" t="s">
        <v>103</v>
      </c>
      <c r="N2" s="7" t="s">
        <v>104</v>
      </c>
      <c r="O2" s="7" t="s">
        <v>105</v>
      </c>
      <c r="P2" s="7" t="s">
        <v>106</v>
      </c>
      <c r="Q2" s="7" t="s">
        <v>107</v>
      </c>
      <c r="R2" s="44" t="s">
        <v>67</v>
      </c>
      <c r="S2" s="35" t="s">
        <v>108</v>
      </c>
      <c r="T2" s="35" t="s">
        <v>109</v>
      </c>
      <c r="U2" s="35" t="s">
        <v>110</v>
      </c>
      <c r="V2" s="35" t="s">
        <v>111</v>
      </c>
      <c r="W2" s="35" t="s">
        <v>112</v>
      </c>
      <c r="X2" s="35" t="s">
        <v>113</v>
      </c>
      <c r="Y2" s="44" t="s">
        <v>69</v>
      </c>
      <c r="Z2" s="29" t="s">
        <v>23</v>
      </c>
      <c r="AA2" s="4" t="s">
        <v>114</v>
      </c>
      <c r="AB2" s="4" t="s">
        <v>25</v>
      </c>
      <c r="AC2" s="4" t="s">
        <v>26</v>
      </c>
      <c r="AD2" s="47" t="s">
        <v>27</v>
      </c>
      <c r="AE2" s="47" t="s">
        <v>28</v>
      </c>
      <c r="AF2" s="4" t="s">
        <v>36</v>
      </c>
      <c r="AG2" s="4" t="s">
        <v>38</v>
      </c>
      <c r="AH2" s="4" t="s">
        <v>37</v>
      </c>
      <c r="AI2" s="4" t="s">
        <v>118</v>
      </c>
    </row>
    <row r="3" spans="1:35" x14ac:dyDescent="0.25">
      <c r="A3" s="53">
        <v>43936</v>
      </c>
      <c r="D3" s="41" t="s">
        <v>127</v>
      </c>
      <c r="E3" s="6"/>
      <c r="F3" s="6"/>
      <c r="M3" s="6"/>
      <c r="N3" s="6"/>
      <c r="O3" s="6"/>
      <c r="P3" s="6"/>
      <c r="Q3" s="6"/>
      <c r="R3" s="45">
        <f>M3+N3+O3+P3+Q3</f>
        <v>0</v>
      </c>
      <c r="S3" s="6"/>
      <c r="T3" s="6"/>
      <c r="U3" s="6"/>
      <c r="V3" s="6"/>
      <c r="W3" s="6"/>
      <c r="X3" s="6"/>
      <c r="Y3" s="45">
        <f>SUM(S3:X3)</f>
        <v>0</v>
      </c>
      <c r="Z3" s="6">
        <f>R3+Y3</f>
        <v>0</v>
      </c>
      <c r="AA3" s="6">
        <v>0</v>
      </c>
      <c r="AB3" s="6">
        <f>(S3+U3)*80%</f>
        <v>0</v>
      </c>
      <c r="AC3" s="6">
        <f>T3*80%</f>
        <v>0</v>
      </c>
      <c r="AD3" s="45">
        <f>(S3+U3)*20%</f>
        <v>0</v>
      </c>
      <c r="AE3" s="54">
        <f>T3*20%</f>
        <v>0</v>
      </c>
      <c r="AF3" s="4" t="s">
        <v>7</v>
      </c>
      <c r="AG3" s="51">
        <v>-200000</v>
      </c>
      <c r="AH3" s="15">
        <f>AG3</f>
        <v>-200000</v>
      </c>
      <c r="AI3" s="5"/>
    </row>
    <row r="4" spans="1:35" x14ac:dyDescent="0.25">
      <c r="A4" s="53">
        <v>43936</v>
      </c>
      <c r="B4" s="41">
        <v>1</v>
      </c>
      <c r="C4" s="41">
        <v>1</v>
      </c>
      <c r="D4" s="41" t="s">
        <v>4</v>
      </c>
      <c r="E4" s="6" t="s">
        <v>7</v>
      </c>
      <c r="F4" s="6" t="s">
        <v>14</v>
      </c>
      <c r="G4" s="4">
        <v>2</v>
      </c>
      <c r="M4" s="6">
        <v>210000</v>
      </c>
      <c r="N4" s="6"/>
      <c r="O4" s="6"/>
      <c r="P4" s="6"/>
      <c r="Q4" s="6"/>
      <c r="R4" s="45">
        <f>M4+N4+O4+P4+Q4</f>
        <v>210000</v>
      </c>
      <c r="S4" s="6">
        <v>10000</v>
      </c>
      <c r="T4" s="6">
        <v>2000</v>
      </c>
      <c r="U4" s="6"/>
      <c r="V4" s="6"/>
      <c r="W4" s="6"/>
      <c r="X4" s="6"/>
      <c r="Y4" s="45">
        <f>SUM(S4:X4)</f>
        <v>12000</v>
      </c>
      <c r="Z4" s="6">
        <f>R4+Y4</f>
        <v>222000</v>
      </c>
      <c r="AA4" s="6">
        <v>0</v>
      </c>
      <c r="AB4" s="6">
        <f>(S4+U4+V4+W4+X4)*80%</f>
        <v>8000</v>
      </c>
      <c r="AC4" s="6">
        <f>T4*80%</f>
        <v>1600</v>
      </c>
      <c r="AD4" s="45">
        <f>(S4+U4)*20%</f>
        <v>2000</v>
      </c>
      <c r="AE4" s="54">
        <f>T4*20%</f>
        <v>400</v>
      </c>
      <c r="AF4" s="41" t="s">
        <v>7</v>
      </c>
      <c r="AG4" s="51">
        <v>-2400</v>
      </c>
      <c r="AH4" s="51">
        <f>AH3+AG4</f>
        <v>-202400</v>
      </c>
      <c r="AI4" s="5"/>
    </row>
    <row r="5" spans="1:35" x14ac:dyDescent="0.25">
      <c r="A5" s="53">
        <v>43937</v>
      </c>
      <c r="B5" s="41">
        <v>8</v>
      </c>
      <c r="C5" s="41">
        <v>2</v>
      </c>
      <c r="D5" s="41" t="s">
        <v>22</v>
      </c>
      <c r="E5" s="6" t="s">
        <v>7</v>
      </c>
      <c r="F5" s="6" t="s">
        <v>14</v>
      </c>
      <c r="G5" s="4">
        <v>4</v>
      </c>
      <c r="M5" s="6">
        <v>189000</v>
      </c>
      <c r="R5" s="45">
        <f>M5+N5+O5+P5+Q5</f>
        <v>189000</v>
      </c>
      <c r="S5" s="6">
        <v>20000</v>
      </c>
      <c r="T5" s="6">
        <v>6000</v>
      </c>
      <c r="U5" s="6"/>
      <c r="V5" s="6"/>
      <c r="W5" s="6"/>
      <c r="X5" s="6"/>
      <c r="Y5" s="45">
        <f>SUM(S5:X5)</f>
        <v>26000</v>
      </c>
      <c r="Z5" s="6">
        <f>R5+Y5</f>
        <v>215000</v>
      </c>
      <c r="AA5" s="6">
        <v>0</v>
      </c>
      <c r="AB5" s="6">
        <f>(S5+U5+V5+W5+X5)*80%</f>
        <v>16000</v>
      </c>
      <c r="AC5" s="6">
        <f>T5*80%</f>
        <v>4800</v>
      </c>
      <c r="AD5" s="45">
        <f>(S5+U5)*20%</f>
        <v>4000</v>
      </c>
      <c r="AE5" s="54">
        <f>T5*20%</f>
        <v>1200</v>
      </c>
      <c r="AF5" s="41" t="s">
        <v>7</v>
      </c>
      <c r="AG5" s="51">
        <v>-4000</v>
      </c>
      <c r="AH5" s="51">
        <f t="shared" ref="AH5:AH29" si="0">AH4+AG5</f>
        <v>-206400</v>
      </c>
      <c r="AI5" s="5"/>
    </row>
    <row r="6" spans="1:35" x14ac:dyDescent="0.25">
      <c r="A6" s="53">
        <v>43937</v>
      </c>
      <c r="D6" s="41" t="s">
        <v>128</v>
      </c>
      <c r="E6" s="6"/>
      <c r="F6" s="6"/>
      <c r="M6" s="6"/>
      <c r="R6" s="45"/>
      <c r="S6" s="6"/>
      <c r="T6" s="6"/>
      <c r="U6" s="6"/>
      <c r="V6" s="6"/>
      <c r="W6" s="6"/>
      <c r="X6" s="6"/>
      <c r="Y6" s="45"/>
      <c r="Z6" s="6"/>
      <c r="AA6" s="6"/>
      <c r="AB6" s="6"/>
      <c r="AC6" s="6"/>
      <c r="AD6" s="45"/>
      <c r="AE6" s="54"/>
      <c r="AF6" s="41" t="s">
        <v>41</v>
      </c>
      <c r="AG6" s="51">
        <v>140000</v>
      </c>
      <c r="AH6" s="51">
        <f t="shared" si="0"/>
        <v>-66400</v>
      </c>
      <c r="AI6" s="5"/>
    </row>
    <row r="7" spans="1:35" x14ac:dyDescent="0.25">
      <c r="A7" s="53">
        <v>43937</v>
      </c>
      <c r="B7" s="41">
        <v>10</v>
      </c>
      <c r="C7" s="41">
        <v>4</v>
      </c>
      <c r="D7" s="41" t="s">
        <v>11</v>
      </c>
      <c r="E7" s="6" t="s">
        <v>7</v>
      </c>
      <c r="F7" s="6" t="s">
        <v>15</v>
      </c>
      <c r="G7" s="4">
        <v>7</v>
      </c>
      <c r="M7" s="6">
        <f>138000+57500</f>
        <v>195500</v>
      </c>
      <c r="R7" s="45">
        <f>M7+N7+O7+P7+Q7</f>
        <v>195500</v>
      </c>
      <c r="S7" s="6">
        <v>10000</v>
      </c>
      <c r="T7" s="6">
        <v>12000</v>
      </c>
      <c r="U7" s="6"/>
      <c r="V7" s="6"/>
      <c r="W7" s="6"/>
      <c r="X7" s="6"/>
      <c r="Y7" s="45">
        <f>SUM(S7:X7)</f>
        <v>22000</v>
      </c>
      <c r="Z7" s="6">
        <f>R7+Y7</f>
        <v>217500</v>
      </c>
      <c r="AA7" s="6">
        <v>20000</v>
      </c>
      <c r="AB7" s="6">
        <f>(S7+U7+V7+W7+X7)*80%</f>
        <v>8000</v>
      </c>
      <c r="AC7" s="6">
        <f>T7*80%</f>
        <v>9600</v>
      </c>
      <c r="AD7" s="45">
        <f>(S7+U7)*20%</f>
        <v>2000</v>
      </c>
      <c r="AE7" s="54">
        <f>T7*20%</f>
        <v>2400</v>
      </c>
      <c r="AF7" s="41" t="s">
        <v>41</v>
      </c>
      <c r="AG7" s="51">
        <f>AA7+AB7</f>
        <v>28000</v>
      </c>
      <c r="AH7" s="51">
        <f t="shared" si="0"/>
        <v>-38400</v>
      </c>
      <c r="AI7" s="5"/>
    </row>
    <row r="8" spans="1:35" x14ac:dyDescent="0.25">
      <c r="A8" s="53">
        <v>43937</v>
      </c>
      <c r="B8" s="41">
        <v>11</v>
      </c>
      <c r="C8" s="41">
        <v>5</v>
      </c>
      <c r="D8" s="41" t="s">
        <v>19</v>
      </c>
      <c r="E8" s="6" t="s">
        <v>7</v>
      </c>
      <c r="F8" s="6" t="s">
        <v>14</v>
      </c>
      <c r="G8" s="4">
        <v>3</v>
      </c>
      <c r="M8" s="6">
        <v>175000</v>
      </c>
      <c r="R8" s="45">
        <f>M8+N8+O8+P8+Q8</f>
        <v>175000</v>
      </c>
      <c r="S8" s="6">
        <v>10000</v>
      </c>
      <c r="T8" s="6">
        <v>4000</v>
      </c>
      <c r="U8" s="6"/>
      <c r="V8" s="6"/>
      <c r="W8" s="6"/>
      <c r="X8" s="6"/>
      <c r="Y8" s="45">
        <f>SUM(S8:X8)</f>
        <v>14000</v>
      </c>
      <c r="Z8" s="6">
        <f>R8+Y8</f>
        <v>189000</v>
      </c>
      <c r="AA8" s="6">
        <v>11000</v>
      </c>
      <c r="AB8" s="6">
        <f>(S8+U8+V8+W8+X8)*80%</f>
        <v>8000</v>
      </c>
      <c r="AC8" s="6">
        <f>T8*80%</f>
        <v>3200</v>
      </c>
      <c r="AD8" s="45">
        <f>(S8+U8)*20%</f>
        <v>2000</v>
      </c>
      <c r="AE8" s="54">
        <f>T8*20%</f>
        <v>800</v>
      </c>
      <c r="AF8" s="41" t="s">
        <v>7</v>
      </c>
      <c r="AG8" s="51">
        <f>-AD8</f>
        <v>-2000</v>
      </c>
      <c r="AH8" s="51">
        <f t="shared" si="0"/>
        <v>-40400</v>
      </c>
    </row>
    <row r="9" spans="1:35" x14ac:dyDescent="0.25">
      <c r="A9" s="53">
        <v>43938</v>
      </c>
      <c r="B9" s="41">
        <v>14</v>
      </c>
      <c r="C9" s="41">
        <v>1</v>
      </c>
      <c r="D9" s="41" t="s">
        <v>44</v>
      </c>
      <c r="E9" s="6" t="s">
        <v>7</v>
      </c>
      <c r="F9" s="6" t="s">
        <v>15</v>
      </c>
      <c r="G9" s="4">
        <v>9</v>
      </c>
      <c r="M9" s="6">
        <v>344000</v>
      </c>
      <c r="R9" s="45">
        <f>M9+N9+O9+P9+Q9</f>
        <v>344000</v>
      </c>
      <c r="S9" s="6">
        <v>10000</v>
      </c>
      <c r="T9" s="6">
        <v>16000</v>
      </c>
      <c r="U9" s="6"/>
      <c r="V9" s="6"/>
      <c r="W9" s="6"/>
      <c r="X9" s="6"/>
      <c r="Y9" s="45">
        <f>SUM(S9:X9)</f>
        <v>26000</v>
      </c>
      <c r="Z9" s="6">
        <f>R9+Y9</f>
        <v>370000</v>
      </c>
      <c r="AA9" s="6">
        <v>20000</v>
      </c>
      <c r="AB9" s="6">
        <f>(S9+U9+V9+W9+X9)*80%</f>
        <v>8000</v>
      </c>
      <c r="AC9" s="6">
        <f>T9*80%</f>
        <v>12800</v>
      </c>
      <c r="AD9" s="45">
        <f>(S9+U9)*20%</f>
        <v>2000</v>
      </c>
      <c r="AE9" s="54">
        <f>T9*20%</f>
        <v>3200</v>
      </c>
      <c r="AF9" s="41" t="s">
        <v>41</v>
      </c>
      <c r="AG9" s="51">
        <f>20000+AB9</f>
        <v>28000</v>
      </c>
      <c r="AH9" s="51">
        <f t="shared" si="0"/>
        <v>-12400</v>
      </c>
      <c r="AI9" s="5"/>
    </row>
    <row r="10" spans="1:35" x14ac:dyDescent="0.25">
      <c r="A10" s="53">
        <v>43938</v>
      </c>
      <c r="B10" s="41">
        <v>16</v>
      </c>
      <c r="C10" s="41">
        <v>3</v>
      </c>
      <c r="D10" s="41" t="s">
        <v>47</v>
      </c>
      <c r="E10" s="6" t="s">
        <v>7</v>
      </c>
      <c r="F10" s="6" t="s">
        <v>14</v>
      </c>
      <c r="H10" s="4">
        <v>1</v>
      </c>
      <c r="M10" s="6"/>
      <c r="N10" s="6">
        <v>669000</v>
      </c>
      <c r="O10" s="6"/>
      <c r="P10" s="6"/>
      <c r="Q10" s="6"/>
      <c r="R10" s="45">
        <f>M10+N10+O10+P10+Q10</f>
        <v>669000</v>
      </c>
      <c r="S10" s="6">
        <v>15000</v>
      </c>
      <c r="T10" s="6">
        <v>0</v>
      </c>
      <c r="U10" s="6"/>
      <c r="V10" s="6"/>
      <c r="W10" s="6"/>
      <c r="X10" s="6"/>
      <c r="Y10" s="45">
        <f>SUM(S10:X10)</f>
        <v>15000</v>
      </c>
      <c r="Z10" s="6">
        <f>R10+Y10</f>
        <v>684000</v>
      </c>
      <c r="AA10" s="6">
        <v>5000</v>
      </c>
      <c r="AB10" s="6">
        <f>(S10+U10+V10+W10+X10)*80%</f>
        <v>12000</v>
      </c>
      <c r="AC10" s="6">
        <f>T10*80%</f>
        <v>0</v>
      </c>
      <c r="AD10" s="45">
        <f>(S10+U10)*20%</f>
        <v>3000</v>
      </c>
      <c r="AE10" s="54">
        <f>T10*20%</f>
        <v>0</v>
      </c>
      <c r="AF10" s="41" t="s">
        <v>7</v>
      </c>
      <c r="AG10" s="51">
        <f>-AD10</f>
        <v>-3000</v>
      </c>
      <c r="AH10" s="51">
        <f t="shared" si="0"/>
        <v>-15400</v>
      </c>
    </row>
    <row r="11" spans="1:35" x14ac:dyDescent="0.25">
      <c r="A11" s="53">
        <v>43938</v>
      </c>
      <c r="B11" s="41">
        <v>16</v>
      </c>
      <c r="C11" s="41">
        <v>3</v>
      </c>
      <c r="D11" s="41" t="s">
        <v>47</v>
      </c>
      <c r="E11" s="6" t="s">
        <v>7</v>
      </c>
      <c r="F11" s="6" t="s">
        <v>14</v>
      </c>
      <c r="H11" s="4">
        <v>1</v>
      </c>
      <c r="M11" s="6"/>
      <c r="N11" s="6">
        <v>669000</v>
      </c>
      <c r="O11" s="6"/>
      <c r="P11" s="6"/>
      <c r="Q11" s="6"/>
      <c r="R11" s="45">
        <f>M11+N11+O11+P11+Q11</f>
        <v>669000</v>
      </c>
      <c r="S11" s="6">
        <v>15000</v>
      </c>
      <c r="T11" s="6">
        <v>0</v>
      </c>
      <c r="U11" s="6"/>
      <c r="V11" s="6"/>
      <c r="W11" s="6"/>
      <c r="X11" s="6"/>
      <c r="Y11" s="45">
        <f>SUM(S11:X11)</f>
        <v>15000</v>
      </c>
      <c r="Z11" s="6">
        <f>R11+Y11</f>
        <v>684000</v>
      </c>
      <c r="AA11" s="6">
        <v>0</v>
      </c>
      <c r="AB11" s="6">
        <f>(S11+U11+V11+W11+X11)*80%</f>
        <v>12000</v>
      </c>
      <c r="AC11" s="6">
        <f>T11*80%</f>
        <v>0</v>
      </c>
      <c r="AD11" s="45">
        <f>(S11+U11)*20%</f>
        <v>3000</v>
      </c>
      <c r="AE11" s="54">
        <f>T11*20%</f>
        <v>0</v>
      </c>
      <c r="AF11" s="41" t="s">
        <v>7</v>
      </c>
      <c r="AG11" s="51">
        <f>-AD11</f>
        <v>-3000</v>
      </c>
      <c r="AH11" s="51">
        <f t="shared" si="0"/>
        <v>-18400</v>
      </c>
      <c r="AI11" s="5"/>
    </row>
    <row r="12" spans="1:35" x14ac:dyDescent="0.25">
      <c r="A12" s="53">
        <v>43938</v>
      </c>
      <c r="D12" s="41" t="s">
        <v>122</v>
      </c>
      <c r="E12" s="6"/>
      <c r="F12" s="6"/>
      <c r="M12" s="6"/>
      <c r="P12" s="6"/>
      <c r="R12" s="45"/>
      <c r="S12" s="6"/>
      <c r="T12" s="6"/>
      <c r="U12" s="6"/>
      <c r="V12" s="6"/>
      <c r="W12" s="6"/>
      <c r="X12" s="6"/>
      <c r="Y12" s="45"/>
      <c r="Z12" s="6"/>
      <c r="AA12" s="6">
        <v>60000</v>
      </c>
      <c r="AB12" s="6"/>
      <c r="AC12" s="6"/>
      <c r="AD12" s="45"/>
      <c r="AE12" s="54"/>
      <c r="AF12" s="41" t="s">
        <v>7</v>
      </c>
      <c r="AG12" s="31">
        <f>0</f>
        <v>0</v>
      </c>
      <c r="AH12" s="51">
        <f t="shared" si="0"/>
        <v>-18400</v>
      </c>
      <c r="AI12" s="52" t="s">
        <v>123</v>
      </c>
    </row>
    <row r="13" spans="1:35" x14ac:dyDescent="0.25">
      <c r="A13" s="53">
        <v>43939</v>
      </c>
      <c r="B13" s="41">
        <v>19</v>
      </c>
      <c r="C13" s="41">
        <v>1</v>
      </c>
      <c r="D13" s="41" t="s">
        <v>22</v>
      </c>
      <c r="E13" s="6" t="s">
        <v>7</v>
      </c>
      <c r="F13" s="6" t="s">
        <v>14</v>
      </c>
      <c r="G13" s="4">
        <v>1</v>
      </c>
      <c r="H13" s="4">
        <v>1</v>
      </c>
      <c r="M13" s="6">
        <v>185000</v>
      </c>
      <c r="N13" s="6">
        <v>149700</v>
      </c>
      <c r="O13" s="6"/>
      <c r="P13" s="6"/>
      <c r="Q13" s="6"/>
      <c r="R13" s="45">
        <f t="shared" ref="R13:R22" si="1">M13+N13+O13+P13+Q13</f>
        <v>334700</v>
      </c>
      <c r="S13" s="6">
        <v>20000</v>
      </c>
      <c r="T13" s="6">
        <v>6000</v>
      </c>
      <c r="U13" s="6">
        <v>5000</v>
      </c>
      <c r="V13" s="6"/>
      <c r="W13" s="6"/>
      <c r="X13" s="6"/>
      <c r="Y13" s="45">
        <f t="shared" ref="Y13:Y19" si="2">SUM(S13:X13)</f>
        <v>31000</v>
      </c>
      <c r="Z13" s="6">
        <f t="shared" ref="Z13:Z22" si="3">R13+Y13</f>
        <v>365700</v>
      </c>
      <c r="AA13" s="6">
        <v>1300</v>
      </c>
      <c r="AB13" s="6">
        <f>(S13+U13+V13+W13+X13)*80%</f>
        <v>20000</v>
      </c>
      <c r="AC13" s="6">
        <f t="shared" ref="AC13:AC22" si="4">T13*80%</f>
        <v>4800</v>
      </c>
      <c r="AD13" s="45">
        <f t="shared" ref="AD13:AD19" si="5">(S13+U13)*20%</f>
        <v>5000</v>
      </c>
      <c r="AE13" s="54">
        <f t="shared" ref="AE13:AE22" si="6">T13*20%</f>
        <v>1200</v>
      </c>
      <c r="AF13" s="41" t="s">
        <v>7</v>
      </c>
      <c r="AG13" s="31">
        <f>-AD13</f>
        <v>-5000</v>
      </c>
      <c r="AH13" s="51">
        <f>AH11+AG13</f>
        <v>-23400</v>
      </c>
    </row>
    <row r="14" spans="1:35" x14ac:dyDescent="0.25">
      <c r="A14" s="53">
        <v>43939</v>
      </c>
      <c r="B14" s="41">
        <v>22</v>
      </c>
      <c r="C14" s="41">
        <v>4</v>
      </c>
      <c r="D14" s="41" t="s">
        <v>47</v>
      </c>
      <c r="E14" s="6" t="s">
        <v>7</v>
      </c>
      <c r="F14" s="6" t="s">
        <v>14</v>
      </c>
      <c r="G14" s="4">
        <v>1</v>
      </c>
      <c r="J14" s="4">
        <v>1</v>
      </c>
      <c r="M14" s="6">
        <v>331000</v>
      </c>
      <c r="N14" s="6"/>
      <c r="O14" s="6"/>
      <c r="P14" s="6">
        <v>35000</v>
      </c>
      <c r="Q14" s="6"/>
      <c r="R14" s="45">
        <f t="shared" si="1"/>
        <v>366000</v>
      </c>
      <c r="S14" s="6">
        <v>20000</v>
      </c>
      <c r="T14" s="6">
        <v>8000</v>
      </c>
      <c r="U14" s="6">
        <v>5000</v>
      </c>
      <c r="V14" s="6"/>
      <c r="W14" s="6"/>
      <c r="X14" s="6"/>
      <c r="Y14" s="45">
        <f t="shared" si="2"/>
        <v>33000</v>
      </c>
      <c r="Z14" s="6">
        <f t="shared" si="3"/>
        <v>399000</v>
      </c>
      <c r="AA14" s="6">
        <v>1000</v>
      </c>
      <c r="AB14" s="6">
        <f>(S14+U14+V14+W14+X14)*80%</f>
        <v>20000</v>
      </c>
      <c r="AC14" s="6">
        <f t="shared" si="4"/>
        <v>6400</v>
      </c>
      <c r="AD14" s="45">
        <f t="shared" si="5"/>
        <v>5000</v>
      </c>
      <c r="AE14" s="54">
        <f t="shared" si="6"/>
        <v>1600</v>
      </c>
      <c r="AF14" s="41" t="s">
        <v>7</v>
      </c>
      <c r="AG14" s="31">
        <f>-AD14</f>
        <v>-5000</v>
      </c>
      <c r="AH14" s="51">
        <f t="shared" si="0"/>
        <v>-28400</v>
      </c>
    </row>
    <row r="15" spans="1:35" x14ac:dyDescent="0.25">
      <c r="A15" s="53">
        <v>43939</v>
      </c>
      <c r="B15" s="41">
        <v>24</v>
      </c>
      <c r="C15" s="41">
        <v>6</v>
      </c>
      <c r="D15" s="41" t="s">
        <v>71</v>
      </c>
      <c r="E15" s="6" t="s">
        <v>7</v>
      </c>
      <c r="F15" s="6" t="s">
        <v>15</v>
      </c>
      <c r="G15" s="4">
        <v>1</v>
      </c>
      <c r="M15" s="6">
        <v>161000</v>
      </c>
      <c r="N15" s="6"/>
      <c r="O15" s="6"/>
      <c r="P15" s="6"/>
      <c r="Q15" s="6"/>
      <c r="R15" s="45">
        <f t="shared" si="1"/>
        <v>161000</v>
      </c>
      <c r="S15" s="6">
        <v>10000</v>
      </c>
      <c r="T15" s="6">
        <v>8000</v>
      </c>
      <c r="U15" s="6"/>
      <c r="V15" s="6"/>
      <c r="W15" s="6"/>
      <c r="X15" s="6"/>
      <c r="Y15" s="45">
        <f t="shared" si="2"/>
        <v>18000</v>
      </c>
      <c r="Z15" s="6">
        <f t="shared" si="3"/>
        <v>179000</v>
      </c>
      <c r="AA15" s="6">
        <v>10000</v>
      </c>
      <c r="AB15" s="6">
        <f>(S15+U15+V15+W15+X15)*80%</f>
        <v>8000</v>
      </c>
      <c r="AC15" s="6">
        <f t="shared" si="4"/>
        <v>6400</v>
      </c>
      <c r="AD15" s="45">
        <f t="shared" si="5"/>
        <v>2000</v>
      </c>
      <c r="AE15" s="54">
        <f t="shared" si="6"/>
        <v>1600</v>
      </c>
      <c r="AF15" s="41" t="s">
        <v>41</v>
      </c>
      <c r="AG15" s="31">
        <f>AB15</f>
        <v>8000</v>
      </c>
      <c r="AH15" s="51">
        <f t="shared" si="0"/>
        <v>-20400</v>
      </c>
    </row>
    <row r="16" spans="1:35" x14ac:dyDescent="0.25">
      <c r="A16" s="53">
        <v>43939</v>
      </c>
      <c r="B16" s="41">
        <v>28</v>
      </c>
      <c r="C16" s="41">
        <v>10</v>
      </c>
      <c r="D16" s="41" t="s">
        <v>19</v>
      </c>
      <c r="E16" s="6" t="s">
        <v>7</v>
      </c>
      <c r="F16" s="6" t="s">
        <v>14</v>
      </c>
      <c r="J16" s="4">
        <v>1</v>
      </c>
      <c r="M16" s="6"/>
      <c r="N16" s="6"/>
      <c r="O16" s="6"/>
      <c r="P16" s="6">
        <v>150000</v>
      </c>
      <c r="Q16" s="6"/>
      <c r="R16" s="45">
        <f t="shared" si="1"/>
        <v>150000</v>
      </c>
      <c r="S16" s="6">
        <v>15000</v>
      </c>
      <c r="T16" s="6"/>
      <c r="U16" s="6"/>
      <c r="V16" s="6"/>
      <c r="W16" s="6"/>
      <c r="X16" s="6"/>
      <c r="Y16" s="45">
        <f t="shared" si="2"/>
        <v>15000</v>
      </c>
      <c r="Z16" s="6">
        <f t="shared" si="3"/>
        <v>165000</v>
      </c>
      <c r="AA16" s="6"/>
      <c r="AB16" s="6">
        <f>(S16+U16+V16+W16+X16)*80%</f>
        <v>12000</v>
      </c>
      <c r="AC16" s="6">
        <f t="shared" si="4"/>
        <v>0</v>
      </c>
      <c r="AD16" s="45">
        <f t="shared" si="5"/>
        <v>3000</v>
      </c>
      <c r="AE16" s="54">
        <f t="shared" si="6"/>
        <v>0</v>
      </c>
      <c r="AF16" s="41" t="s">
        <v>7</v>
      </c>
      <c r="AG16" s="31">
        <f>-AD16</f>
        <v>-3000</v>
      </c>
      <c r="AH16" s="51">
        <f t="shared" si="0"/>
        <v>-23400</v>
      </c>
    </row>
    <row r="17" spans="1:35" x14ac:dyDescent="0.25">
      <c r="A17" s="53">
        <v>43940</v>
      </c>
      <c r="B17" s="41">
        <v>29</v>
      </c>
      <c r="C17" s="41">
        <v>1</v>
      </c>
      <c r="D17" s="41" t="s">
        <v>85</v>
      </c>
      <c r="E17" s="6" t="s">
        <v>7</v>
      </c>
      <c r="F17" s="6" t="s">
        <v>14</v>
      </c>
      <c r="G17" s="4">
        <v>3</v>
      </c>
      <c r="J17" s="4">
        <v>1</v>
      </c>
      <c r="M17" s="6">
        <v>88000</v>
      </c>
      <c r="N17" s="6"/>
      <c r="O17" s="6"/>
      <c r="P17" s="6">
        <v>65000</v>
      </c>
      <c r="Q17" s="6"/>
      <c r="R17" s="45">
        <f t="shared" si="1"/>
        <v>153000</v>
      </c>
      <c r="S17" s="6">
        <v>10000</v>
      </c>
      <c r="T17" s="6">
        <v>4000</v>
      </c>
      <c r="U17" s="6">
        <v>5000</v>
      </c>
      <c r="V17" s="6"/>
      <c r="W17" s="6"/>
      <c r="X17" s="6"/>
      <c r="Y17" s="45">
        <f t="shared" si="2"/>
        <v>19000</v>
      </c>
      <c r="Z17" s="6">
        <f t="shared" si="3"/>
        <v>172000</v>
      </c>
      <c r="AA17" s="6"/>
      <c r="AB17" s="6">
        <f>(S17+U17+V17+W17+X17)*80%</f>
        <v>12000</v>
      </c>
      <c r="AC17" s="6">
        <f t="shared" si="4"/>
        <v>3200</v>
      </c>
      <c r="AD17" s="45">
        <f t="shared" si="5"/>
        <v>3000</v>
      </c>
      <c r="AE17" s="54">
        <f t="shared" si="6"/>
        <v>800</v>
      </c>
      <c r="AF17" s="41" t="s">
        <v>41</v>
      </c>
      <c r="AG17" s="31">
        <v>7000</v>
      </c>
      <c r="AH17" s="51">
        <f t="shared" si="0"/>
        <v>-16400</v>
      </c>
      <c r="AI17" s="52" t="s">
        <v>129</v>
      </c>
    </row>
    <row r="18" spans="1:35" x14ac:dyDescent="0.25">
      <c r="A18" s="53">
        <v>43940</v>
      </c>
      <c r="B18" s="41">
        <v>31</v>
      </c>
      <c r="C18" s="41">
        <v>3</v>
      </c>
      <c r="D18" s="41" t="s">
        <v>83</v>
      </c>
      <c r="E18" s="6" t="s">
        <v>7</v>
      </c>
      <c r="F18" s="6" t="s">
        <v>15</v>
      </c>
      <c r="G18" s="4">
        <v>5</v>
      </c>
      <c r="H18" s="4">
        <v>1</v>
      </c>
      <c r="M18" s="6">
        <v>128000</v>
      </c>
      <c r="N18" s="6">
        <v>132300</v>
      </c>
      <c r="O18" s="6"/>
      <c r="P18" s="6"/>
      <c r="Q18" s="6"/>
      <c r="R18" s="45">
        <f t="shared" si="1"/>
        <v>260300</v>
      </c>
      <c r="S18" s="6">
        <v>10000</v>
      </c>
      <c r="T18" s="6">
        <v>8000</v>
      </c>
      <c r="U18" s="6">
        <v>5000</v>
      </c>
      <c r="V18" s="6"/>
      <c r="W18" s="6"/>
      <c r="X18" s="6"/>
      <c r="Y18" s="45">
        <f t="shared" si="2"/>
        <v>23000</v>
      </c>
      <c r="Z18" s="6">
        <f t="shared" si="3"/>
        <v>283300</v>
      </c>
      <c r="AA18" s="6"/>
      <c r="AB18" s="6">
        <f>(S18+U18+V18+W18+X18)*80%</f>
        <v>12000</v>
      </c>
      <c r="AC18" s="6">
        <f t="shared" si="4"/>
        <v>6400</v>
      </c>
      <c r="AD18" s="45">
        <f t="shared" si="5"/>
        <v>3000</v>
      </c>
      <c r="AE18" s="54">
        <f t="shared" si="6"/>
        <v>1600</v>
      </c>
      <c r="AF18" s="41" t="s">
        <v>41</v>
      </c>
      <c r="AG18" s="51">
        <f>AB18</f>
        <v>12000</v>
      </c>
      <c r="AH18" s="51">
        <f t="shared" si="0"/>
        <v>-4400</v>
      </c>
    </row>
    <row r="19" spans="1:35" x14ac:dyDescent="0.25">
      <c r="A19" s="53">
        <v>43940</v>
      </c>
      <c r="B19" s="41">
        <v>33</v>
      </c>
      <c r="C19" s="41">
        <v>5</v>
      </c>
      <c r="D19" s="41" t="s">
        <v>81</v>
      </c>
      <c r="E19" s="6" t="s">
        <v>7</v>
      </c>
      <c r="F19" s="6" t="s">
        <v>15</v>
      </c>
      <c r="G19" s="4">
        <v>1</v>
      </c>
      <c r="M19" s="6">
        <v>128000</v>
      </c>
      <c r="N19" s="6"/>
      <c r="O19" s="6"/>
      <c r="P19" s="6"/>
      <c r="Q19" s="6"/>
      <c r="R19" s="45">
        <f t="shared" si="1"/>
        <v>128000</v>
      </c>
      <c r="S19" s="6">
        <v>10000</v>
      </c>
      <c r="T19" s="6"/>
      <c r="U19" s="6"/>
      <c r="V19" s="6"/>
      <c r="W19" s="6"/>
      <c r="X19" s="6"/>
      <c r="Y19" s="45">
        <f t="shared" si="2"/>
        <v>10000</v>
      </c>
      <c r="Z19" s="6">
        <f t="shared" si="3"/>
        <v>138000</v>
      </c>
      <c r="AA19" s="6"/>
      <c r="AB19" s="6">
        <f>(S19+U19+V19+W19+X19)*80%</f>
        <v>8000</v>
      </c>
      <c r="AC19" s="6">
        <f t="shared" si="4"/>
        <v>0</v>
      </c>
      <c r="AD19" s="45">
        <f t="shared" si="5"/>
        <v>2000</v>
      </c>
      <c r="AE19" s="54">
        <f t="shared" si="6"/>
        <v>0</v>
      </c>
      <c r="AF19" s="41" t="s">
        <v>41</v>
      </c>
      <c r="AG19" s="51">
        <f>AB19</f>
        <v>8000</v>
      </c>
      <c r="AH19" s="51">
        <f t="shared" si="0"/>
        <v>3600</v>
      </c>
    </row>
    <row r="20" spans="1:35" x14ac:dyDescent="0.25">
      <c r="A20" s="53">
        <v>43940</v>
      </c>
      <c r="B20" s="41">
        <v>37</v>
      </c>
      <c r="C20" s="41">
        <v>9</v>
      </c>
      <c r="D20" s="41" t="s">
        <v>78</v>
      </c>
      <c r="E20" s="6" t="s">
        <v>7</v>
      </c>
      <c r="F20" s="6" t="s">
        <v>14</v>
      </c>
      <c r="L20" s="4">
        <v>1</v>
      </c>
      <c r="M20" s="6"/>
      <c r="N20" s="6"/>
      <c r="O20" s="6"/>
      <c r="P20" s="6"/>
      <c r="Q20" s="6"/>
      <c r="R20" s="45">
        <f t="shared" si="1"/>
        <v>0</v>
      </c>
      <c r="T20" s="6"/>
      <c r="U20" s="6"/>
      <c r="V20" s="6"/>
      <c r="W20" s="6"/>
      <c r="X20" s="6">
        <v>15000</v>
      </c>
      <c r="Y20" s="45">
        <f>SUM(T20:X20)</f>
        <v>15000</v>
      </c>
      <c r="Z20" s="6">
        <f t="shared" si="3"/>
        <v>15000</v>
      </c>
      <c r="AA20" s="6"/>
      <c r="AB20" s="6">
        <f>(S20+U20+V20+W20+X20)*80%</f>
        <v>12000</v>
      </c>
      <c r="AC20" s="6">
        <f t="shared" si="4"/>
        <v>0</v>
      </c>
      <c r="AD20" s="45">
        <f>(X20+U20)*20%</f>
        <v>3000</v>
      </c>
      <c r="AE20" s="54">
        <f t="shared" si="6"/>
        <v>0</v>
      </c>
      <c r="AF20" s="41" t="s">
        <v>7</v>
      </c>
      <c r="AG20" s="51">
        <f>-AD20</f>
        <v>-3000</v>
      </c>
      <c r="AH20" s="51">
        <f t="shared" si="0"/>
        <v>600</v>
      </c>
    </row>
    <row r="21" spans="1:35" x14ac:dyDescent="0.25">
      <c r="A21" s="53">
        <v>43941</v>
      </c>
      <c r="B21" s="41">
        <v>39</v>
      </c>
      <c r="C21" s="41">
        <v>2</v>
      </c>
      <c r="D21" s="41" t="s">
        <v>90</v>
      </c>
      <c r="E21" s="6" t="s">
        <v>7</v>
      </c>
      <c r="F21" s="6" t="s">
        <v>14</v>
      </c>
      <c r="G21" s="4">
        <v>3</v>
      </c>
      <c r="M21" s="6">
        <v>91000</v>
      </c>
      <c r="N21" s="6"/>
      <c r="O21" s="6"/>
      <c r="P21" s="6"/>
      <c r="Q21" s="6"/>
      <c r="R21" s="45">
        <f t="shared" si="1"/>
        <v>91000</v>
      </c>
      <c r="S21" s="6">
        <v>20000</v>
      </c>
      <c r="T21" s="6">
        <v>4000</v>
      </c>
      <c r="U21" s="6"/>
      <c r="V21" s="6"/>
      <c r="W21" s="6"/>
      <c r="X21" s="6"/>
      <c r="Y21" s="45">
        <f>SUM(S21:X21)</f>
        <v>24000</v>
      </c>
      <c r="Z21" s="6">
        <f t="shared" si="3"/>
        <v>115000</v>
      </c>
      <c r="AA21" s="6">
        <v>5000</v>
      </c>
      <c r="AB21" s="6">
        <f>(S21+U21+V21+W21+X21)*80%</f>
        <v>16000</v>
      </c>
      <c r="AC21" s="6">
        <f t="shared" si="4"/>
        <v>3200</v>
      </c>
      <c r="AD21" s="45">
        <f>(S21+U21)*20%</f>
        <v>4000</v>
      </c>
      <c r="AE21" s="54">
        <f t="shared" si="6"/>
        <v>800</v>
      </c>
      <c r="AF21" s="41" t="s">
        <v>7</v>
      </c>
      <c r="AG21" s="51">
        <f>-AD21</f>
        <v>-4000</v>
      </c>
      <c r="AH21" s="51">
        <f t="shared" si="0"/>
        <v>-3400</v>
      </c>
    </row>
    <row r="22" spans="1:35" x14ac:dyDescent="0.25">
      <c r="A22" s="53">
        <v>43941</v>
      </c>
      <c r="B22" s="41">
        <v>41</v>
      </c>
      <c r="C22" s="41">
        <v>4</v>
      </c>
      <c r="D22" s="41" t="s">
        <v>95</v>
      </c>
      <c r="E22" s="6" t="s">
        <v>7</v>
      </c>
      <c r="F22" s="6" t="s">
        <v>15</v>
      </c>
      <c r="H22" s="4">
        <v>1</v>
      </c>
      <c r="I22" s="4">
        <v>1</v>
      </c>
      <c r="M22" s="6"/>
      <c r="N22" s="6">
        <v>10800</v>
      </c>
      <c r="O22" s="6">
        <v>165000</v>
      </c>
      <c r="P22" s="6"/>
      <c r="Q22" s="6"/>
      <c r="R22" s="45">
        <f t="shared" si="1"/>
        <v>175800</v>
      </c>
      <c r="S22" s="6">
        <v>10000</v>
      </c>
      <c r="T22" s="6"/>
      <c r="U22" s="6">
        <v>5000</v>
      </c>
      <c r="V22" s="6"/>
      <c r="W22" s="6"/>
      <c r="X22" s="6"/>
      <c r="Y22" s="45">
        <f>SUM(S22:X22)</f>
        <v>15000</v>
      </c>
      <c r="Z22" s="6">
        <f t="shared" si="3"/>
        <v>190800</v>
      </c>
      <c r="AA22" s="6">
        <v>10000</v>
      </c>
      <c r="AB22" s="6">
        <f>(S22+U22+V22+W22+X22)*80%</f>
        <v>12000</v>
      </c>
      <c r="AC22" s="6">
        <f t="shared" si="4"/>
        <v>0</v>
      </c>
      <c r="AD22" s="45">
        <f>(S22+U22)*20%</f>
        <v>3000</v>
      </c>
      <c r="AE22" s="54">
        <f t="shared" si="6"/>
        <v>0</v>
      </c>
      <c r="AF22" s="41" t="s">
        <v>41</v>
      </c>
      <c r="AG22" s="51">
        <f>AB22</f>
        <v>12000</v>
      </c>
      <c r="AH22" s="51">
        <f t="shared" si="0"/>
        <v>8600</v>
      </c>
    </row>
    <row r="23" spans="1:35" ht="30" x14ac:dyDescent="0.25">
      <c r="A23" s="53">
        <v>43942</v>
      </c>
      <c r="B23" s="41">
        <v>44</v>
      </c>
      <c r="C23" s="41">
        <v>2</v>
      </c>
      <c r="D23" s="4" t="s">
        <v>132</v>
      </c>
      <c r="E23" s="6" t="s">
        <v>7</v>
      </c>
      <c r="F23" s="6" t="s">
        <v>15</v>
      </c>
      <c r="G23" s="4">
        <v>6</v>
      </c>
      <c r="H23" s="4">
        <v>1</v>
      </c>
      <c r="M23" s="6">
        <v>156000</v>
      </c>
      <c r="N23" s="6">
        <v>45100</v>
      </c>
      <c r="O23" s="6"/>
      <c r="P23" s="6"/>
      <c r="Q23" s="6"/>
      <c r="R23" s="45">
        <f t="shared" ref="R23:R29" si="7">M23+N23+O23+P23+Q23</f>
        <v>201100</v>
      </c>
      <c r="S23" s="6">
        <v>20000</v>
      </c>
      <c r="T23" s="6">
        <v>10000</v>
      </c>
      <c r="U23" s="6">
        <v>5000</v>
      </c>
      <c r="V23" s="6"/>
      <c r="W23" s="6"/>
      <c r="X23" s="6"/>
      <c r="Y23" s="45">
        <f t="shared" ref="Y23:Y26" si="8">SUM(S23:X23)</f>
        <v>35000</v>
      </c>
      <c r="Z23" s="6">
        <f t="shared" ref="Z23:Z29" si="9">R23+Y23</f>
        <v>236100</v>
      </c>
      <c r="AA23" s="6">
        <v>0</v>
      </c>
      <c r="AB23" s="6">
        <f>(S23+U23+V23+W23+X23)*80%</f>
        <v>20000</v>
      </c>
      <c r="AC23" s="6">
        <f t="shared" ref="AC23:AC29" si="10">T23*80%</f>
        <v>8000</v>
      </c>
      <c r="AD23" s="45">
        <f t="shared" ref="AD23:AD26" si="11">(S23+U23)*20%</f>
        <v>5000</v>
      </c>
      <c r="AE23" s="54">
        <f t="shared" ref="AE23:AE29" si="12">T23*20%</f>
        <v>2000</v>
      </c>
      <c r="AF23" s="41" t="s">
        <v>41</v>
      </c>
      <c r="AG23" s="51">
        <f>AB23</f>
        <v>20000</v>
      </c>
      <c r="AH23" s="51">
        <f t="shared" si="0"/>
        <v>28600</v>
      </c>
    </row>
    <row r="24" spans="1:35" ht="30" x14ac:dyDescent="0.25">
      <c r="A24" s="53">
        <v>43942</v>
      </c>
      <c r="B24" s="41">
        <v>46</v>
      </c>
      <c r="C24" s="41">
        <v>4</v>
      </c>
      <c r="D24" s="4" t="s">
        <v>133</v>
      </c>
      <c r="E24" s="6" t="s">
        <v>7</v>
      </c>
      <c r="F24" s="6" t="s">
        <v>15</v>
      </c>
      <c r="G24" s="4">
        <v>7</v>
      </c>
      <c r="M24" s="6">
        <v>289000</v>
      </c>
      <c r="N24" s="6"/>
      <c r="O24" s="6"/>
      <c r="P24" s="6"/>
      <c r="Q24" s="6"/>
      <c r="R24" s="45">
        <f t="shared" si="7"/>
        <v>289000</v>
      </c>
      <c r="S24" s="6">
        <v>20000</v>
      </c>
      <c r="T24" s="6">
        <v>12000</v>
      </c>
      <c r="U24" s="6"/>
      <c r="V24" s="6"/>
      <c r="W24" s="6"/>
      <c r="X24" s="6"/>
      <c r="Y24" s="45">
        <f t="shared" si="8"/>
        <v>32000</v>
      </c>
      <c r="Z24" s="6">
        <f t="shared" si="9"/>
        <v>321000</v>
      </c>
      <c r="AA24" s="6">
        <v>0</v>
      </c>
      <c r="AB24" s="6">
        <f>(S24+U24+V24+W24+X24)*80%</f>
        <v>16000</v>
      </c>
      <c r="AC24" s="6">
        <f t="shared" si="10"/>
        <v>9600</v>
      </c>
      <c r="AD24" s="45">
        <f t="shared" si="11"/>
        <v>4000</v>
      </c>
      <c r="AE24" s="54">
        <f t="shared" si="12"/>
        <v>2400</v>
      </c>
      <c r="AF24" s="41" t="s">
        <v>41</v>
      </c>
      <c r="AG24" s="51">
        <f>AB24</f>
        <v>16000</v>
      </c>
      <c r="AH24" s="51">
        <f t="shared" si="0"/>
        <v>44600</v>
      </c>
    </row>
    <row r="25" spans="1:35" x14ac:dyDescent="0.25">
      <c r="A25" s="53">
        <v>43942</v>
      </c>
      <c r="B25" s="41">
        <v>48</v>
      </c>
      <c r="C25" s="41">
        <v>6</v>
      </c>
      <c r="D25" s="4" t="s">
        <v>89</v>
      </c>
      <c r="E25" s="6" t="s">
        <v>7</v>
      </c>
      <c r="F25" s="6" t="s">
        <v>14</v>
      </c>
      <c r="G25" s="4">
        <v>1</v>
      </c>
      <c r="M25" s="6">
        <v>70000</v>
      </c>
      <c r="N25" s="6"/>
      <c r="O25" s="6"/>
      <c r="P25" s="6"/>
      <c r="Q25" s="6"/>
      <c r="R25" s="45">
        <f t="shared" si="7"/>
        <v>70000</v>
      </c>
      <c r="S25" s="6">
        <v>10000</v>
      </c>
      <c r="T25" s="6"/>
      <c r="U25" s="6"/>
      <c r="V25" s="6"/>
      <c r="W25" s="6"/>
      <c r="X25" s="6"/>
      <c r="Y25" s="45">
        <f t="shared" si="8"/>
        <v>10000</v>
      </c>
      <c r="Z25" s="6">
        <f t="shared" si="9"/>
        <v>80000</v>
      </c>
      <c r="AA25" s="6">
        <v>5000</v>
      </c>
      <c r="AB25" s="6">
        <f>(S25+U25+V25+W25+X25)*80%</f>
        <v>8000</v>
      </c>
      <c r="AC25" s="6">
        <f t="shared" si="10"/>
        <v>0</v>
      </c>
      <c r="AD25" s="45">
        <f t="shared" si="11"/>
        <v>2000</v>
      </c>
      <c r="AE25" s="54">
        <f t="shared" si="12"/>
        <v>0</v>
      </c>
      <c r="AF25" s="41" t="s">
        <v>7</v>
      </c>
      <c r="AG25" s="51">
        <f>-AD25</f>
        <v>-2000</v>
      </c>
      <c r="AH25" s="51">
        <f t="shared" si="0"/>
        <v>42600</v>
      </c>
    </row>
    <row r="26" spans="1:35" x14ac:dyDescent="0.25">
      <c r="A26" s="53">
        <v>43942</v>
      </c>
      <c r="B26" s="41">
        <v>51</v>
      </c>
      <c r="C26" s="41">
        <v>9</v>
      </c>
      <c r="D26" s="4" t="s">
        <v>136</v>
      </c>
      <c r="E26" s="6" t="s">
        <v>7</v>
      </c>
      <c r="F26" s="6" t="s">
        <v>14</v>
      </c>
      <c r="H26" s="4">
        <v>1</v>
      </c>
      <c r="M26" s="6"/>
      <c r="N26" s="6">
        <v>197000</v>
      </c>
      <c r="O26" s="6"/>
      <c r="P26" s="6"/>
      <c r="Q26" s="6"/>
      <c r="R26" s="45">
        <f t="shared" si="7"/>
        <v>197000</v>
      </c>
      <c r="S26" s="6">
        <v>30000</v>
      </c>
      <c r="T26" s="6"/>
      <c r="U26" s="6"/>
      <c r="V26" s="6"/>
      <c r="W26" s="6"/>
      <c r="X26" s="6"/>
      <c r="Y26" s="45">
        <f t="shared" si="8"/>
        <v>30000</v>
      </c>
      <c r="Z26" s="6">
        <f t="shared" si="9"/>
        <v>227000</v>
      </c>
      <c r="AA26" s="6">
        <v>0</v>
      </c>
      <c r="AB26" s="6">
        <f>(S26+U26+V26+W26+X26)*80%</f>
        <v>24000</v>
      </c>
      <c r="AC26" s="6">
        <f t="shared" si="10"/>
        <v>0</v>
      </c>
      <c r="AD26" s="45">
        <f t="shared" si="11"/>
        <v>6000</v>
      </c>
      <c r="AE26" s="54">
        <f t="shared" si="12"/>
        <v>0</v>
      </c>
      <c r="AF26" s="41" t="s">
        <v>7</v>
      </c>
      <c r="AG26" s="51">
        <f>-AD26</f>
        <v>-6000</v>
      </c>
      <c r="AH26" s="51">
        <f t="shared" si="0"/>
        <v>36600</v>
      </c>
    </row>
    <row r="27" spans="1:35" ht="30" x14ac:dyDescent="0.25">
      <c r="A27" s="53">
        <v>43943</v>
      </c>
      <c r="B27" s="43">
        <v>55</v>
      </c>
      <c r="C27" s="43">
        <v>1</v>
      </c>
      <c r="D27" s="4" t="s">
        <v>82</v>
      </c>
      <c r="E27" s="6" t="s">
        <v>7</v>
      </c>
      <c r="F27" s="6" t="s">
        <v>14</v>
      </c>
      <c r="G27" s="4">
        <v>5</v>
      </c>
      <c r="H27" s="4">
        <v>1</v>
      </c>
      <c r="M27" s="6">
        <v>57000</v>
      </c>
      <c r="N27" s="6">
        <v>71300</v>
      </c>
      <c r="O27" s="6"/>
      <c r="P27" s="6"/>
      <c r="Q27" s="6"/>
      <c r="R27" s="45">
        <f t="shared" si="7"/>
        <v>128300</v>
      </c>
      <c r="S27" s="6">
        <v>20000</v>
      </c>
      <c r="T27" s="6">
        <v>8000</v>
      </c>
      <c r="U27" s="6">
        <v>5000</v>
      </c>
      <c r="V27" s="6"/>
      <c r="W27" s="6"/>
      <c r="X27" s="6"/>
      <c r="Y27" s="45">
        <f t="shared" ref="Y27:Y29" si="13">SUM(S27:X27)</f>
        <v>33000</v>
      </c>
      <c r="Z27" s="6">
        <f t="shared" si="9"/>
        <v>161300</v>
      </c>
      <c r="AA27" s="6">
        <v>8700</v>
      </c>
      <c r="AB27" s="6">
        <f>(S27+U27+V27+W27+X27)*80%</f>
        <v>20000</v>
      </c>
      <c r="AC27" s="6">
        <f t="shared" si="10"/>
        <v>6400</v>
      </c>
      <c r="AD27" s="45">
        <f>(S27+U27+V27+W27+X27)*20%</f>
        <v>5000</v>
      </c>
      <c r="AE27" s="54">
        <f t="shared" si="12"/>
        <v>1600</v>
      </c>
      <c r="AF27" s="43" t="s">
        <v>7</v>
      </c>
      <c r="AG27" s="51">
        <f>-AD27</f>
        <v>-5000</v>
      </c>
      <c r="AH27" s="51">
        <f t="shared" si="0"/>
        <v>31600</v>
      </c>
    </row>
    <row r="28" spans="1:35" x14ac:dyDescent="0.25">
      <c r="A28" s="53">
        <v>43943</v>
      </c>
      <c r="B28" s="43">
        <v>56</v>
      </c>
      <c r="C28" s="43">
        <v>2</v>
      </c>
      <c r="D28" s="4" t="s">
        <v>141</v>
      </c>
      <c r="E28" s="6" t="s">
        <v>7</v>
      </c>
      <c r="F28" s="6" t="s">
        <v>15</v>
      </c>
      <c r="G28" s="4">
        <v>4</v>
      </c>
      <c r="H28" s="4">
        <v>1</v>
      </c>
      <c r="M28" s="6">
        <v>203000</v>
      </c>
      <c r="N28" s="6">
        <v>189200</v>
      </c>
      <c r="O28" s="6"/>
      <c r="P28" s="6"/>
      <c r="Q28" s="6"/>
      <c r="R28" s="45">
        <f t="shared" si="7"/>
        <v>392200</v>
      </c>
      <c r="S28" s="6">
        <v>20000</v>
      </c>
      <c r="T28" s="6">
        <v>6000</v>
      </c>
      <c r="U28" s="6">
        <v>5000</v>
      </c>
      <c r="V28" s="6"/>
      <c r="W28" s="6"/>
      <c r="X28" s="6"/>
      <c r="Y28" s="45">
        <f t="shared" si="13"/>
        <v>31000</v>
      </c>
      <c r="Z28" s="6">
        <f t="shared" si="9"/>
        <v>423200</v>
      </c>
      <c r="AA28" s="6"/>
      <c r="AB28" s="6">
        <f>(S28+U28+V28+W28+X28)*80%</f>
        <v>20000</v>
      </c>
      <c r="AC28" s="6">
        <f t="shared" si="10"/>
        <v>4800</v>
      </c>
      <c r="AD28" s="45">
        <f>(S28+U28+V28+W28+X28)*20%</f>
        <v>5000</v>
      </c>
      <c r="AE28" s="54">
        <f t="shared" si="12"/>
        <v>1200</v>
      </c>
      <c r="AF28" s="43" t="s">
        <v>41</v>
      </c>
      <c r="AG28" s="51">
        <f>AB28</f>
        <v>20000</v>
      </c>
      <c r="AH28" s="51">
        <f t="shared" si="0"/>
        <v>51600</v>
      </c>
    </row>
    <row r="29" spans="1:35" x14ac:dyDescent="0.25">
      <c r="A29" s="53">
        <v>43943</v>
      </c>
      <c r="B29" s="43">
        <v>63</v>
      </c>
      <c r="C29" s="43">
        <v>9</v>
      </c>
      <c r="D29" s="4" t="s">
        <v>147</v>
      </c>
      <c r="E29" s="6" t="s">
        <v>7</v>
      </c>
      <c r="F29" s="6" t="s">
        <v>15</v>
      </c>
      <c r="H29" s="4">
        <v>1</v>
      </c>
      <c r="M29" s="6"/>
      <c r="N29" s="6">
        <v>347900</v>
      </c>
      <c r="O29" s="6"/>
      <c r="P29" s="6"/>
      <c r="Q29" s="6"/>
      <c r="R29" s="45">
        <f t="shared" si="7"/>
        <v>347900</v>
      </c>
      <c r="S29" s="6">
        <v>10000</v>
      </c>
      <c r="T29" s="6"/>
      <c r="U29" s="6"/>
      <c r="V29" s="6"/>
      <c r="W29" s="6"/>
      <c r="X29" s="6"/>
      <c r="Y29" s="45">
        <f t="shared" si="13"/>
        <v>10000</v>
      </c>
      <c r="Z29" s="6">
        <f t="shared" si="9"/>
        <v>357900</v>
      </c>
      <c r="AA29" s="6"/>
      <c r="AB29" s="6">
        <f>(S29+U29+V29+W29+X29)*80%</f>
        <v>8000</v>
      </c>
      <c r="AC29" s="6">
        <f t="shared" si="10"/>
        <v>0</v>
      </c>
      <c r="AD29" s="45">
        <f>(S29+U29+V29+W29+X29)*20%</f>
        <v>2000</v>
      </c>
      <c r="AE29" s="54">
        <f t="shared" si="12"/>
        <v>0</v>
      </c>
      <c r="AF29" s="43" t="s">
        <v>41</v>
      </c>
      <c r="AG29" s="51">
        <f>AB29</f>
        <v>8000</v>
      </c>
      <c r="AH29" s="51">
        <f t="shared" si="0"/>
        <v>59600</v>
      </c>
    </row>
    <row r="30" spans="1:35" x14ac:dyDescent="0.25">
      <c r="A30" s="53"/>
      <c r="E30" s="6"/>
      <c r="F30" s="6"/>
      <c r="M30" s="6"/>
      <c r="N30" s="6"/>
      <c r="O30" s="6"/>
      <c r="P30" s="6"/>
      <c r="Q30" s="6"/>
      <c r="R30" s="45"/>
      <c r="S30" s="6"/>
      <c r="T30" s="6"/>
      <c r="U30" s="6"/>
      <c r="V30" s="6"/>
      <c r="W30" s="6"/>
      <c r="X30" s="6"/>
      <c r="Y30" s="45"/>
      <c r="Z30" s="6"/>
      <c r="AA30" s="6"/>
      <c r="AB30" s="6"/>
      <c r="AC30" s="6"/>
      <c r="AD30" s="45"/>
      <c r="AE30" s="55"/>
    </row>
    <row r="31" spans="1:35" x14ac:dyDescent="0.25">
      <c r="A31" s="53"/>
      <c r="E31" s="6"/>
      <c r="F31" s="6"/>
      <c r="M31" s="6"/>
      <c r="N31" s="6"/>
      <c r="O31" s="6"/>
      <c r="P31" s="6"/>
      <c r="Q31" s="6"/>
      <c r="R31" s="45"/>
      <c r="S31" s="6"/>
      <c r="T31" s="6"/>
      <c r="U31" s="6"/>
      <c r="V31" s="6"/>
      <c r="W31" s="6"/>
      <c r="X31" s="6"/>
      <c r="Y31" s="45"/>
      <c r="Z31" s="6"/>
      <c r="AA31" s="6"/>
      <c r="AB31" s="6"/>
      <c r="AC31" s="6"/>
      <c r="AD31" s="45"/>
      <c r="AE31" s="55"/>
    </row>
    <row r="32" spans="1:35" x14ac:dyDescent="0.25">
      <c r="A32" s="53"/>
      <c r="D32" s="31"/>
      <c r="E32" s="6"/>
      <c r="F32" s="6"/>
      <c r="M32" s="6"/>
      <c r="N32" s="6"/>
      <c r="O32" s="6"/>
      <c r="P32" s="6"/>
      <c r="Q32" s="6"/>
      <c r="R32" s="45"/>
      <c r="S32" s="6"/>
      <c r="T32" s="6"/>
      <c r="U32" s="6"/>
      <c r="V32" s="6"/>
      <c r="W32" s="6"/>
      <c r="X32" s="6"/>
      <c r="Y32" s="45"/>
      <c r="Z32" s="6"/>
      <c r="AA32" s="6"/>
      <c r="AB32" s="6"/>
      <c r="AC32" s="6"/>
      <c r="AD32" s="45"/>
      <c r="AE32" s="55"/>
    </row>
    <row r="33" spans="1:31" x14ac:dyDescent="0.25">
      <c r="A33" s="53"/>
      <c r="E33" s="6"/>
      <c r="F33" s="6"/>
      <c r="M33" s="6"/>
      <c r="N33" s="6"/>
      <c r="O33" s="6"/>
      <c r="P33" s="6"/>
      <c r="Q33" s="6"/>
      <c r="R33" s="45"/>
      <c r="S33" s="6"/>
      <c r="T33" s="6"/>
      <c r="U33" s="6"/>
      <c r="V33" s="6"/>
      <c r="W33" s="6"/>
      <c r="X33" s="6"/>
      <c r="Y33" s="45"/>
      <c r="Z33" s="6"/>
      <c r="AA33" s="6"/>
      <c r="AB33" s="6"/>
      <c r="AC33" s="6"/>
      <c r="AD33" s="45"/>
      <c r="AE33" s="55"/>
    </row>
    <row r="34" spans="1:31" x14ac:dyDescent="0.25">
      <c r="A34" s="53"/>
      <c r="E34" s="6"/>
      <c r="F34" s="6"/>
      <c r="M34" s="6"/>
      <c r="N34" s="6"/>
      <c r="O34" s="6"/>
      <c r="P34" s="6"/>
      <c r="Q34" s="6"/>
      <c r="R34" s="45"/>
      <c r="S34" s="6"/>
      <c r="T34" s="6"/>
      <c r="U34" s="6"/>
      <c r="V34" s="6"/>
      <c r="W34" s="6"/>
      <c r="X34" s="6"/>
      <c r="Y34" s="45"/>
      <c r="Z34" s="6"/>
      <c r="AA34" s="6"/>
      <c r="AB34" s="6"/>
      <c r="AC34" s="6"/>
      <c r="AD34" s="45"/>
      <c r="AE34" s="55"/>
    </row>
    <row r="35" spans="1:31" ht="15.75" x14ac:dyDescent="0.25">
      <c r="E35" s="10" t="s">
        <v>35</v>
      </c>
      <c r="F35" s="6"/>
      <c r="G35" s="10">
        <f>SUM(G3:G34)</f>
        <v>63</v>
      </c>
      <c r="H35" s="10">
        <f>SUM(H3:H34)</f>
        <v>10</v>
      </c>
      <c r="I35" s="10">
        <f>SUM(I3:I34)</f>
        <v>1</v>
      </c>
      <c r="J35" s="10">
        <f>SUM(J3:J34)</f>
        <v>3</v>
      </c>
      <c r="K35" s="10">
        <f>SUM(K3:K34)</f>
        <v>0</v>
      </c>
      <c r="L35" s="10">
        <f>SUM(L3:L34)</f>
        <v>1</v>
      </c>
      <c r="M35" s="21">
        <f>SUM(M3:M34)</f>
        <v>3000500</v>
      </c>
      <c r="N35" s="21">
        <f>SUM(N3:N34)</f>
        <v>2481300</v>
      </c>
      <c r="O35" s="21">
        <f>SUM(O3:O34)</f>
        <v>165000</v>
      </c>
      <c r="P35" s="21">
        <f>SUM(P3:P34)</f>
        <v>250000</v>
      </c>
      <c r="Q35" s="21">
        <f>SUM(Q3:Q34)</f>
        <v>0</v>
      </c>
      <c r="R35" s="46">
        <f>SUM(R3:R34)</f>
        <v>5896800</v>
      </c>
      <c r="S35" s="21">
        <f>SUM(S3:S34)</f>
        <v>345000</v>
      </c>
      <c r="T35" s="21">
        <f>SUM(T3:T34)</f>
        <v>114000</v>
      </c>
      <c r="U35" s="21">
        <f>SUM(U3:U34)</f>
        <v>40000</v>
      </c>
      <c r="V35" s="21">
        <f>SUM(V3:V34)</f>
        <v>0</v>
      </c>
      <c r="W35" s="21">
        <f>SUM(W3:W34)</f>
        <v>0</v>
      </c>
      <c r="X35" s="21">
        <f>SUM(X3:X34)</f>
        <v>15000</v>
      </c>
      <c r="Y35" s="46">
        <f>SUM(Y3:Y34)</f>
        <v>514000</v>
      </c>
      <c r="Z35" s="10">
        <f>SUM(Z3:Z34)</f>
        <v>6410800</v>
      </c>
      <c r="AA35" s="10">
        <f>SUM(AA3:AA34)</f>
        <v>157000</v>
      </c>
      <c r="AB35" s="10">
        <f>SUM(AB3:AB34)</f>
        <v>320000</v>
      </c>
      <c r="AC35" s="10">
        <f>SUM(AC3:AC34)</f>
        <v>91200</v>
      </c>
      <c r="AD35" s="50">
        <f>SUM(AD3:AD34)</f>
        <v>80000</v>
      </c>
      <c r="AE35" s="50">
        <f>SUM(AE3:AE34)</f>
        <v>22800</v>
      </c>
    </row>
    <row r="36" spans="1:31" x14ac:dyDescent="0.25">
      <c r="E36" s="6"/>
      <c r="F36" s="6"/>
      <c r="M36" s="38">
        <f>M35/$R$35</f>
        <v>0.50883530050196712</v>
      </c>
      <c r="N36" s="38">
        <f t="shared" ref="N36:Q36" si="14">N35/$R$35</f>
        <v>0.42078754578754579</v>
      </c>
      <c r="O36" s="38">
        <f t="shared" si="14"/>
        <v>2.7981277981277981E-2</v>
      </c>
      <c r="P36" s="38">
        <f t="shared" si="14"/>
        <v>4.2395875729209061E-2</v>
      </c>
      <c r="Q36" s="38">
        <f t="shared" si="14"/>
        <v>0</v>
      </c>
      <c r="R36" s="45"/>
      <c r="S36" s="39" t="s">
        <v>115</v>
      </c>
      <c r="T36" s="40">
        <f>S35+T35+U35</f>
        <v>499000</v>
      </c>
      <c r="U36" s="39">
        <f>T36/$Y$35</f>
        <v>0.97081712062256809</v>
      </c>
      <c r="V36" s="39">
        <f t="shared" ref="V36:X36" si="15">V35/$Y$35</f>
        <v>0</v>
      </c>
      <c r="W36" s="39">
        <f t="shared" si="15"/>
        <v>0</v>
      </c>
      <c r="X36" s="39">
        <f t="shared" si="15"/>
        <v>2.9182879377431907E-2</v>
      </c>
      <c r="Y36" s="45"/>
      <c r="Z36" s="30"/>
      <c r="AA36" s="9"/>
      <c r="AB36" s="6"/>
      <c r="AC36" s="6"/>
      <c r="AD36" s="45"/>
      <c r="AE36" s="55"/>
    </row>
    <row r="37" spans="1:31" ht="45" x14ac:dyDescent="0.25">
      <c r="D37" s="6"/>
      <c r="E37" s="6"/>
      <c r="F37" s="6"/>
      <c r="M37" s="6"/>
      <c r="N37" s="6"/>
      <c r="O37" s="6"/>
      <c r="P37" s="6"/>
      <c r="Q37" s="6"/>
      <c r="R37" s="6"/>
      <c r="S37" s="13"/>
      <c r="T37" s="18"/>
      <c r="U37" s="18"/>
      <c r="V37" s="18"/>
      <c r="W37" s="18"/>
      <c r="X37" s="18"/>
      <c r="Y37" s="18"/>
      <c r="Z37" s="13" t="s">
        <v>32</v>
      </c>
      <c r="AA37" s="18">
        <f>AB35+AA35+AA36</f>
        <v>477000</v>
      </c>
      <c r="AB37" s="13"/>
      <c r="AC37" s="18"/>
      <c r="AD37" s="13" t="s">
        <v>53</v>
      </c>
      <c r="AE37" s="14">
        <f>AD35+AE35</f>
        <v>102800</v>
      </c>
    </row>
    <row r="38" spans="1:31" ht="18.75" x14ac:dyDescent="0.25">
      <c r="E38" s="6"/>
      <c r="F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9" t="s">
        <v>56</v>
      </c>
      <c r="AE38" s="14">
        <f>'Donasi Pasar'!B13</f>
        <v>154000</v>
      </c>
    </row>
    <row r="39" spans="1:31" ht="18.75" x14ac:dyDescent="0.25">
      <c r="E39" s="6"/>
      <c r="F39" s="6"/>
      <c r="M39" s="6"/>
      <c r="N39" s="6"/>
      <c r="O39" s="6"/>
      <c r="P39" s="6"/>
      <c r="Q39" s="6"/>
      <c r="R39" s="58" t="s">
        <v>76</v>
      </c>
      <c r="S39" s="58"/>
      <c r="T39" s="24">
        <f>Z35+AA35+AA36</f>
        <v>6567800</v>
      </c>
      <c r="U39" s="42">
        <f>T39/$T$39</f>
        <v>1</v>
      </c>
      <c r="V39" s="6"/>
      <c r="W39" s="6"/>
      <c r="X39" s="6"/>
      <c r="Y39" s="6"/>
      <c r="Z39" s="6"/>
      <c r="AA39" s="6"/>
      <c r="AB39" s="6"/>
      <c r="AC39" s="6"/>
      <c r="AD39" s="6"/>
    </row>
    <row r="40" spans="1:31" ht="18.75" customHeight="1" x14ac:dyDescent="0.25">
      <c r="E40" s="6"/>
      <c r="F40" s="6"/>
      <c r="M40" s="34"/>
      <c r="N40" s="34"/>
      <c r="O40" s="34"/>
      <c r="P40" s="34"/>
      <c r="Q40" s="34"/>
      <c r="R40" s="58" t="s">
        <v>5</v>
      </c>
      <c r="S40" s="58"/>
      <c r="T40" s="24">
        <f>R35</f>
        <v>5896800</v>
      </c>
      <c r="U40" s="42">
        <f>T40/$T$39</f>
        <v>0.89783489144005602</v>
      </c>
      <c r="V40" s="36"/>
      <c r="W40" s="36"/>
      <c r="X40" s="36"/>
      <c r="Y40" s="20"/>
      <c r="AA40" s="18"/>
      <c r="AB40" s="22"/>
      <c r="AC40" s="19"/>
      <c r="AD40" s="52"/>
    </row>
    <row r="41" spans="1:31" ht="18.75" customHeight="1" x14ac:dyDescent="0.25">
      <c r="E41" s="6"/>
      <c r="F41" s="6"/>
      <c r="M41" s="34"/>
      <c r="N41" s="34"/>
      <c r="O41" s="34"/>
      <c r="P41" s="34"/>
      <c r="Q41" s="34"/>
      <c r="R41" s="58" t="s">
        <v>59</v>
      </c>
      <c r="S41" s="58"/>
      <c r="T41" s="26">
        <f>Y35+AA35+AA36+AE38</f>
        <v>825000</v>
      </c>
      <c r="U41" s="42">
        <f>T41/$T$39</f>
        <v>0.12561283839337373</v>
      </c>
      <c r="V41" s="37"/>
      <c r="W41" s="37"/>
      <c r="X41" s="37"/>
      <c r="Y41" s="6"/>
      <c r="Z41" s="6"/>
      <c r="AA41" s="6"/>
      <c r="AB41" s="6"/>
      <c r="AC41" s="52"/>
      <c r="AD41" s="52"/>
    </row>
    <row r="42" spans="1:31" ht="18.75" customHeight="1" x14ac:dyDescent="0.25">
      <c r="E42" s="6"/>
      <c r="F42" s="6"/>
      <c r="M42" s="34"/>
      <c r="N42" s="34"/>
      <c r="O42" s="34"/>
      <c r="P42" s="34"/>
      <c r="Q42" s="34"/>
      <c r="R42" s="58" t="s">
        <v>57</v>
      </c>
      <c r="S42" s="58"/>
      <c r="T42" s="26">
        <f>AA35+AA36+AB35+AC35</f>
        <v>568200</v>
      </c>
      <c r="U42" s="42">
        <f>T42/$T$39</f>
        <v>8.6512987606199951E-2</v>
      </c>
      <c r="V42" s="37"/>
      <c r="W42" s="37"/>
      <c r="X42" s="37"/>
      <c r="Y42" s="6"/>
      <c r="Z42" s="6"/>
      <c r="AA42" s="6"/>
      <c r="AB42" s="6"/>
      <c r="AC42" s="52"/>
      <c r="AD42" s="52"/>
    </row>
    <row r="43" spans="1:31" ht="33.75" customHeight="1" x14ac:dyDescent="0.25">
      <c r="E43" s="6"/>
      <c r="F43" s="6"/>
      <c r="M43" s="34"/>
      <c r="N43" s="34"/>
      <c r="O43" s="34"/>
      <c r="P43" s="34"/>
      <c r="Q43" s="34"/>
      <c r="R43" s="58" t="s">
        <v>58</v>
      </c>
      <c r="S43" s="58"/>
      <c r="T43" s="26">
        <f>AE37+AE38</f>
        <v>256800</v>
      </c>
      <c r="U43" s="42">
        <f>T43/$T$39</f>
        <v>3.909985078717379E-2</v>
      </c>
      <c r="V43" s="37"/>
      <c r="W43" s="37"/>
      <c r="X43" s="37"/>
      <c r="Y43" s="6"/>
      <c r="Z43" s="6"/>
      <c r="AA43" s="6"/>
      <c r="AB43" s="6"/>
      <c r="AC43" s="52"/>
      <c r="AD43" s="52"/>
    </row>
    <row r="44" spans="1:31" x14ac:dyDescent="0.25">
      <c r="E44" s="6"/>
      <c r="F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</row>
    <row r="45" spans="1:31" x14ac:dyDescent="0.25">
      <c r="R45" s="57" t="s">
        <v>75</v>
      </c>
      <c r="S45" s="57"/>
      <c r="T45" s="41" t="s">
        <v>94</v>
      </c>
      <c r="U45" s="41" t="s">
        <v>92</v>
      </c>
      <c r="AB45" s="52"/>
      <c r="AC45" s="52"/>
      <c r="AD45" s="52"/>
    </row>
    <row r="46" spans="1:31" x14ac:dyDescent="0.25">
      <c r="R46" s="41" t="s">
        <v>8</v>
      </c>
      <c r="S46" s="31">
        <f>'Saldo Indri'!AA65+'Saldo Indri'!AC65</f>
        <v>653800</v>
      </c>
      <c r="T46" s="41">
        <v>6</v>
      </c>
      <c r="U46" s="31">
        <f>S46/T46</f>
        <v>108966.66666666667</v>
      </c>
      <c r="V46" s="31"/>
      <c r="AB46" s="52"/>
      <c r="AC46" s="52"/>
      <c r="AD46" s="52"/>
    </row>
    <row r="47" spans="1:31" x14ac:dyDescent="0.25">
      <c r="R47" s="41" t="s">
        <v>7</v>
      </c>
      <c r="S47" s="31">
        <f>Samin!S25+Samin!T25+Samin!S26</f>
        <v>332800</v>
      </c>
      <c r="T47" s="41">
        <v>6</v>
      </c>
      <c r="U47" s="31">
        <f>S47/T47</f>
        <v>55466.666666666664</v>
      </c>
      <c r="V47" s="31"/>
      <c r="AB47" s="52"/>
      <c r="AC47" s="52"/>
      <c r="AD47" s="52"/>
    </row>
    <row r="48" spans="1:31" x14ac:dyDescent="0.25">
      <c r="R48" s="41" t="s">
        <v>17</v>
      </c>
      <c r="S48" s="31">
        <f>Yudi!S15+Yudi!T15+Yudi!S16</f>
        <v>243700</v>
      </c>
      <c r="T48" s="41">
        <v>6</v>
      </c>
      <c r="U48" s="31">
        <f>S48/T48</f>
        <v>40616.666666666664</v>
      </c>
      <c r="V48" s="31"/>
      <c r="AB48" s="52"/>
      <c r="AC48" s="52"/>
      <c r="AD48" s="52"/>
    </row>
    <row r="49" spans="18:30" x14ac:dyDescent="0.25">
      <c r="R49" s="41" t="s">
        <v>45</v>
      </c>
      <c r="S49" s="31">
        <f>Andri!S16+Andri!T16+Andri!S17</f>
        <v>200300</v>
      </c>
      <c r="T49" s="41">
        <v>4</v>
      </c>
      <c r="U49" s="31">
        <f>S49/T49</f>
        <v>50075</v>
      </c>
      <c r="V49" s="31"/>
      <c r="AB49" s="52"/>
      <c r="AC49" s="52"/>
      <c r="AD49" s="52"/>
    </row>
  </sheetData>
  <autoFilter ref="A2:AI2"/>
  <mergeCells count="6">
    <mergeCell ref="R45:S45"/>
    <mergeCell ref="R39:S39"/>
    <mergeCell ref="R40:S40"/>
    <mergeCell ref="R41:S41"/>
    <mergeCell ref="R42:S42"/>
    <mergeCell ref="R43:S4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35"/>
  <sheetViews>
    <sheetView zoomScale="80" zoomScaleNormal="80" workbookViewId="0">
      <pane xSplit="6" ySplit="2" topLeftCell="AA3" activePane="bottomRight" state="frozen"/>
      <selection pane="topRight" activeCell="G1" sqref="G1"/>
      <selection pane="bottomLeft" activeCell="A3" sqref="A3"/>
      <selection pane="bottomRight" activeCell="AH17" sqref="AH17"/>
    </sheetView>
  </sheetViews>
  <sheetFormatPr defaultRowHeight="15" x14ac:dyDescent="0.25"/>
  <cols>
    <col min="1" max="1" width="10.7109375" style="52" customWidth="1"/>
    <col min="2" max="3" width="6.140625" style="41" customWidth="1"/>
    <col min="4" max="4" width="19" style="41" customWidth="1"/>
    <col min="5" max="5" width="14.7109375" style="41" customWidth="1"/>
    <col min="6" max="6" width="9.42578125" style="41" customWidth="1"/>
    <col min="7" max="12" width="7.28515625" style="4" customWidth="1"/>
    <col min="13" max="27" width="17.42578125" style="41" customWidth="1"/>
    <col min="28" max="28" width="19.140625" style="41" customWidth="1"/>
    <col min="29" max="30" width="17.42578125" style="41" customWidth="1"/>
    <col min="31" max="31" width="19.85546875" style="52" customWidth="1"/>
    <col min="32" max="32" width="15.42578125" style="41" customWidth="1"/>
    <col min="33" max="34" width="16.140625" style="41" customWidth="1"/>
    <col min="35" max="35" width="27.140625" style="5" customWidth="1"/>
    <col min="36" max="16384" width="9.140625" style="52"/>
  </cols>
  <sheetData>
    <row r="2" spans="1:35" s="5" customFormat="1" ht="48" x14ac:dyDescent="0.25">
      <c r="A2" s="5" t="s">
        <v>29</v>
      </c>
      <c r="B2" s="4" t="s">
        <v>0</v>
      </c>
      <c r="C2" s="4" t="s">
        <v>46</v>
      </c>
      <c r="D2" s="4" t="s">
        <v>1</v>
      </c>
      <c r="E2" s="4" t="s">
        <v>34</v>
      </c>
      <c r="F2" s="4" t="s">
        <v>13</v>
      </c>
      <c r="G2" s="7" t="s">
        <v>98</v>
      </c>
      <c r="H2" s="7" t="s">
        <v>99</v>
      </c>
      <c r="I2" s="7" t="s">
        <v>101</v>
      </c>
      <c r="J2" s="7" t="s">
        <v>102</v>
      </c>
      <c r="K2" s="7" t="s">
        <v>100</v>
      </c>
      <c r="L2" s="7" t="s">
        <v>97</v>
      </c>
      <c r="M2" s="7" t="s">
        <v>103</v>
      </c>
      <c r="N2" s="7" t="s">
        <v>104</v>
      </c>
      <c r="O2" s="7" t="s">
        <v>105</v>
      </c>
      <c r="P2" s="7" t="s">
        <v>106</v>
      </c>
      <c r="Q2" s="7" t="s">
        <v>107</v>
      </c>
      <c r="R2" s="44" t="s">
        <v>67</v>
      </c>
      <c r="S2" s="35" t="s">
        <v>108</v>
      </c>
      <c r="T2" s="35" t="s">
        <v>109</v>
      </c>
      <c r="U2" s="35" t="s">
        <v>110</v>
      </c>
      <c r="V2" s="35" t="s">
        <v>111</v>
      </c>
      <c r="W2" s="35" t="s">
        <v>112</v>
      </c>
      <c r="X2" s="35" t="s">
        <v>113</v>
      </c>
      <c r="Y2" s="44" t="s">
        <v>69</v>
      </c>
      <c r="Z2" s="29" t="s">
        <v>23</v>
      </c>
      <c r="AA2" s="4" t="s">
        <v>114</v>
      </c>
      <c r="AB2" s="4" t="s">
        <v>25</v>
      </c>
      <c r="AC2" s="4" t="s">
        <v>26</v>
      </c>
      <c r="AD2" s="47" t="s">
        <v>27</v>
      </c>
      <c r="AE2" s="47" t="s">
        <v>28</v>
      </c>
      <c r="AF2" s="4" t="s">
        <v>36</v>
      </c>
      <c r="AG2" s="4" t="s">
        <v>38</v>
      </c>
      <c r="AH2" s="4" t="s">
        <v>63</v>
      </c>
      <c r="AI2" s="4" t="s">
        <v>118</v>
      </c>
    </row>
    <row r="3" spans="1:35" x14ac:dyDescent="0.25">
      <c r="A3" s="53">
        <v>43937</v>
      </c>
      <c r="B3" s="41">
        <v>7</v>
      </c>
      <c r="C3" s="41">
        <v>1</v>
      </c>
      <c r="D3" s="41" t="s">
        <v>16</v>
      </c>
      <c r="E3" s="6" t="s">
        <v>17</v>
      </c>
      <c r="F3" s="6" t="s">
        <v>14</v>
      </c>
      <c r="G3" s="4">
        <v>1</v>
      </c>
      <c r="M3" s="6">
        <v>46000</v>
      </c>
      <c r="R3" s="45">
        <f>M3+N3+O3+P3+Q3</f>
        <v>46000</v>
      </c>
      <c r="S3" s="6">
        <v>10000</v>
      </c>
      <c r="T3" s="6">
        <v>0</v>
      </c>
      <c r="U3" s="6"/>
      <c r="V3" s="6"/>
      <c r="W3" s="6"/>
      <c r="X3" s="6"/>
      <c r="Y3" s="45">
        <f>SUM(S3:X3)</f>
        <v>10000</v>
      </c>
      <c r="Z3" s="6">
        <f>R3+Y3</f>
        <v>56000</v>
      </c>
      <c r="AA3" s="6">
        <v>1000</v>
      </c>
      <c r="AB3" s="6">
        <f>(S3+U3+V3+W3+X3)*80%</f>
        <v>8000</v>
      </c>
      <c r="AC3" s="6">
        <f>T3*80%</f>
        <v>0</v>
      </c>
      <c r="AD3" s="45">
        <f>(S3+U3)*20%</f>
        <v>2000</v>
      </c>
      <c r="AE3" s="54">
        <f>T3*20%</f>
        <v>0</v>
      </c>
      <c r="AF3" s="41" t="s">
        <v>17</v>
      </c>
      <c r="AG3" s="31">
        <f>-AD3</f>
        <v>-2000</v>
      </c>
      <c r="AH3" s="51">
        <f>AG3</f>
        <v>-2000</v>
      </c>
    </row>
    <row r="4" spans="1:35" ht="45" customHeight="1" x14ac:dyDescent="0.25">
      <c r="A4" s="53">
        <v>43937</v>
      </c>
      <c r="B4" s="41">
        <v>9</v>
      </c>
      <c r="C4" s="41">
        <v>3</v>
      </c>
      <c r="D4" s="41" t="s">
        <v>18</v>
      </c>
      <c r="E4" s="6" t="s">
        <v>17</v>
      </c>
      <c r="F4" s="6" t="s">
        <v>14</v>
      </c>
      <c r="G4" s="4">
        <v>7</v>
      </c>
      <c r="M4" s="6">
        <v>156000</v>
      </c>
      <c r="R4" s="45">
        <f>M4+N4+O4+P4+Q4</f>
        <v>156000</v>
      </c>
      <c r="S4" s="6">
        <v>10000</v>
      </c>
      <c r="T4" s="6">
        <v>12000</v>
      </c>
      <c r="U4" s="6"/>
      <c r="V4" s="6"/>
      <c r="W4" s="6"/>
      <c r="X4" s="6"/>
      <c r="Y4" s="45">
        <f>SUM(S4:X4)</f>
        <v>22000</v>
      </c>
      <c r="Z4" s="6">
        <f>R4+Y4</f>
        <v>178000</v>
      </c>
      <c r="AA4" s="6">
        <v>2000</v>
      </c>
      <c r="AB4" s="6">
        <f>(S4+U4+V4+W4+X4)*80%</f>
        <v>8000</v>
      </c>
      <c r="AC4" s="6">
        <f>T4/2*80%</f>
        <v>4800</v>
      </c>
      <c r="AD4" s="45">
        <f>(S4+U4)*20%</f>
        <v>2000</v>
      </c>
      <c r="AE4" s="54">
        <f>T4/2*20%</f>
        <v>1200</v>
      </c>
      <c r="AF4" s="41" t="s">
        <v>17</v>
      </c>
      <c r="AG4" s="31">
        <f>-AD4-AE4</f>
        <v>-3200</v>
      </c>
      <c r="AH4" s="51">
        <f t="shared" ref="AH4:AH12" si="0">AH3+AG4</f>
        <v>-5200</v>
      </c>
      <c r="AI4" s="5" t="s">
        <v>121</v>
      </c>
    </row>
    <row r="5" spans="1:35" x14ac:dyDescent="0.25">
      <c r="A5" s="53">
        <v>43937</v>
      </c>
      <c r="B5" s="41">
        <v>13</v>
      </c>
      <c r="C5" s="41">
        <v>7</v>
      </c>
      <c r="D5" s="41" t="s">
        <v>20</v>
      </c>
      <c r="E5" s="6" t="s">
        <v>17</v>
      </c>
      <c r="F5" s="6" t="s">
        <v>14</v>
      </c>
      <c r="H5" s="4">
        <v>1</v>
      </c>
      <c r="M5" s="6"/>
      <c r="N5" s="6">
        <v>165300</v>
      </c>
      <c r="O5" s="6"/>
      <c r="P5" s="6"/>
      <c r="Q5" s="6"/>
      <c r="R5" s="45">
        <f>M5+N5+O5+P5+Q5</f>
        <v>165300</v>
      </c>
      <c r="S5" s="6">
        <v>20000</v>
      </c>
      <c r="T5" s="6">
        <v>0</v>
      </c>
      <c r="U5" s="6"/>
      <c r="V5" s="6"/>
      <c r="W5" s="6"/>
      <c r="X5" s="6"/>
      <c r="Y5" s="45">
        <f>SUM(S5:X5)</f>
        <v>20000</v>
      </c>
      <c r="Z5" s="6">
        <f>R5+Y5</f>
        <v>185300</v>
      </c>
      <c r="AA5" s="6">
        <v>4700</v>
      </c>
      <c r="AB5" s="6">
        <f>(S5+U5+V5+W5+X5)*80%</f>
        <v>16000</v>
      </c>
      <c r="AC5" s="6">
        <f>T5*80%</f>
        <v>0</v>
      </c>
      <c r="AD5" s="45">
        <f>(S5+U5)*20%</f>
        <v>4000</v>
      </c>
      <c r="AE5" s="54">
        <f>T5*20%</f>
        <v>0</v>
      </c>
      <c r="AF5" s="41" t="s">
        <v>17</v>
      </c>
      <c r="AG5" s="51">
        <f>-AD5</f>
        <v>-4000</v>
      </c>
      <c r="AH5" s="51">
        <f t="shared" si="0"/>
        <v>-9200</v>
      </c>
    </row>
    <row r="6" spans="1:35" x14ac:dyDescent="0.25">
      <c r="A6" s="53">
        <v>43938</v>
      </c>
      <c r="B6" s="41">
        <v>16</v>
      </c>
      <c r="C6" s="41">
        <v>3</v>
      </c>
      <c r="D6" s="41" t="s">
        <v>47</v>
      </c>
      <c r="E6" s="6" t="s">
        <v>17</v>
      </c>
      <c r="F6" s="6" t="s">
        <v>14</v>
      </c>
      <c r="H6" s="4">
        <v>1</v>
      </c>
      <c r="M6" s="6"/>
      <c r="N6" s="6">
        <v>669000</v>
      </c>
      <c r="O6" s="6"/>
      <c r="P6" s="6"/>
      <c r="Q6" s="6"/>
      <c r="R6" s="45">
        <f>M6+N6+O6+P6+Q6</f>
        <v>669000</v>
      </c>
      <c r="S6" s="6">
        <v>15000</v>
      </c>
      <c r="T6" s="6">
        <v>0</v>
      </c>
      <c r="U6" s="6"/>
      <c r="V6" s="6"/>
      <c r="W6" s="6"/>
      <c r="X6" s="6"/>
      <c r="Y6" s="45">
        <f>SUM(S6:X6)</f>
        <v>15000</v>
      </c>
      <c r="Z6" s="6">
        <f>R6+Y6</f>
        <v>684000</v>
      </c>
      <c r="AA6" s="6">
        <v>0</v>
      </c>
      <c r="AB6" s="6">
        <f>(S6+U6+V6+W6+X6)*80%</f>
        <v>12000</v>
      </c>
      <c r="AC6" s="6">
        <f>T6*80%</f>
        <v>0</v>
      </c>
      <c r="AD6" s="45">
        <f>(S6+U6)*20%</f>
        <v>3000</v>
      </c>
      <c r="AE6" s="54">
        <f>T6*20%</f>
        <v>0</v>
      </c>
      <c r="AF6" s="41" t="s">
        <v>17</v>
      </c>
      <c r="AG6" s="51">
        <f>-AD6</f>
        <v>-3000</v>
      </c>
      <c r="AH6" s="51">
        <f t="shared" si="0"/>
        <v>-12200</v>
      </c>
    </row>
    <row r="7" spans="1:35" x14ac:dyDescent="0.25">
      <c r="A7" s="53">
        <v>43938</v>
      </c>
      <c r="B7" s="41">
        <v>17</v>
      </c>
      <c r="C7" s="41">
        <v>4</v>
      </c>
      <c r="D7" s="41" t="s">
        <v>48</v>
      </c>
      <c r="E7" s="6" t="s">
        <v>17</v>
      </c>
      <c r="F7" s="6" t="s">
        <v>15</v>
      </c>
      <c r="G7" s="4">
        <v>4</v>
      </c>
      <c r="M7" s="6">
        <v>304000</v>
      </c>
      <c r="R7" s="45">
        <f>M7+N7+O7+P7+Q7</f>
        <v>304000</v>
      </c>
      <c r="S7" s="6">
        <v>10000</v>
      </c>
      <c r="T7" s="6">
        <v>6000</v>
      </c>
      <c r="U7" s="6"/>
      <c r="V7" s="6"/>
      <c r="W7" s="6"/>
      <c r="X7" s="6"/>
      <c r="Y7" s="45">
        <f>SUM(S7:X7)</f>
        <v>16000</v>
      </c>
      <c r="Z7" s="6">
        <f>R7+Y7</f>
        <v>320000</v>
      </c>
      <c r="AA7" s="6">
        <v>4000</v>
      </c>
      <c r="AB7" s="6">
        <f>(S7+U7+V7+W7+X7)*80%</f>
        <v>8000</v>
      </c>
      <c r="AC7" s="6"/>
      <c r="AD7" s="45">
        <f>(S7+U7)*20%</f>
        <v>2000</v>
      </c>
      <c r="AE7" s="54">
        <f>T7*20%</f>
        <v>1200</v>
      </c>
      <c r="AF7" s="41" t="s">
        <v>17</v>
      </c>
      <c r="AG7" s="51">
        <f>-AD7</f>
        <v>-2000</v>
      </c>
      <c r="AH7" s="51">
        <f t="shared" si="0"/>
        <v>-14200</v>
      </c>
    </row>
    <row r="8" spans="1:35" x14ac:dyDescent="0.25">
      <c r="A8" s="53">
        <v>43938</v>
      </c>
      <c r="D8" s="41" t="s">
        <v>122</v>
      </c>
      <c r="E8" s="6"/>
      <c r="F8" s="6"/>
      <c r="M8" s="6"/>
      <c r="P8" s="6"/>
      <c r="R8" s="45"/>
      <c r="S8" s="6"/>
      <c r="T8" s="6"/>
      <c r="U8" s="6"/>
      <c r="V8" s="6"/>
      <c r="W8" s="6"/>
      <c r="X8" s="6"/>
      <c r="Y8" s="45"/>
      <c r="Z8" s="6"/>
      <c r="AA8" s="6">
        <v>60000</v>
      </c>
      <c r="AB8" s="6"/>
      <c r="AC8" s="6"/>
      <c r="AD8" s="45"/>
      <c r="AE8" s="54"/>
      <c r="AF8" s="41" t="s">
        <v>17</v>
      </c>
      <c r="AG8" s="31">
        <f>0</f>
        <v>0</v>
      </c>
      <c r="AH8" s="51">
        <f t="shared" si="0"/>
        <v>-14200</v>
      </c>
      <c r="AI8" s="5" t="s">
        <v>123</v>
      </c>
    </row>
    <row r="9" spans="1:35" ht="30" x14ac:dyDescent="0.25">
      <c r="A9" s="53">
        <v>43939</v>
      </c>
      <c r="B9" s="41">
        <v>20</v>
      </c>
      <c r="C9" s="41">
        <v>2</v>
      </c>
      <c r="D9" s="41" t="s">
        <v>72</v>
      </c>
      <c r="E9" s="6" t="s">
        <v>17</v>
      </c>
      <c r="F9" s="6" t="s">
        <v>15</v>
      </c>
      <c r="H9" s="4">
        <v>1</v>
      </c>
      <c r="M9" s="6"/>
      <c r="N9" s="6">
        <v>836000</v>
      </c>
      <c r="O9" s="6"/>
      <c r="P9" s="6"/>
      <c r="Q9" s="6"/>
      <c r="R9" s="45">
        <f>M9+N9+O9+P9+Q9</f>
        <v>836000</v>
      </c>
      <c r="S9" s="6">
        <v>10000</v>
      </c>
      <c r="T9" s="6"/>
      <c r="U9" s="6"/>
      <c r="V9" s="6"/>
      <c r="W9" s="6"/>
      <c r="X9" s="6"/>
      <c r="Y9" s="45">
        <f>SUM(S9:X9)</f>
        <v>10000</v>
      </c>
      <c r="Z9" s="6">
        <f>R9+Y9</f>
        <v>846000</v>
      </c>
      <c r="AA9" s="6">
        <v>10000</v>
      </c>
      <c r="AB9" s="6">
        <f>(S9+U9+V9+W9+X9)*80%</f>
        <v>8000</v>
      </c>
      <c r="AC9" s="6">
        <f>T9*80%</f>
        <v>0</v>
      </c>
      <c r="AD9" s="45">
        <f>(S9+U9)*20%</f>
        <v>2000</v>
      </c>
      <c r="AE9" s="54">
        <f>T9*20%</f>
        <v>0</v>
      </c>
      <c r="AF9" s="41" t="s">
        <v>41</v>
      </c>
      <c r="AG9" s="31">
        <f>AB9</f>
        <v>8000</v>
      </c>
      <c r="AH9" s="51">
        <f>AH7+AG9</f>
        <v>-6200</v>
      </c>
      <c r="AI9" s="5" t="s">
        <v>130</v>
      </c>
    </row>
    <row r="10" spans="1:35" x14ac:dyDescent="0.25">
      <c r="A10" s="53">
        <v>43939</v>
      </c>
      <c r="B10" s="41">
        <v>25</v>
      </c>
      <c r="C10" s="41">
        <v>7</v>
      </c>
      <c r="D10" s="41" t="s">
        <v>6</v>
      </c>
      <c r="E10" s="6" t="s">
        <v>17</v>
      </c>
      <c r="F10" s="6" t="s">
        <v>14</v>
      </c>
      <c r="H10" s="4">
        <v>1</v>
      </c>
      <c r="M10" s="6"/>
      <c r="N10" s="6">
        <v>519100</v>
      </c>
      <c r="O10" s="6"/>
      <c r="P10" s="6"/>
      <c r="Q10" s="6"/>
      <c r="R10" s="45">
        <f>M10+N10+O10+P10+Q10</f>
        <v>519100</v>
      </c>
      <c r="S10" s="6">
        <v>10000</v>
      </c>
      <c r="T10" s="6"/>
      <c r="U10" s="6"/>
      <c r="V10" s="6"/>
      <c r="W10" s="6"/>
      <c r="X10" s="6"/>
      <c r="Y10" s="45">
        <f>SUM(S10:X10)</f>
        <v>10000</v>
      </c>
      <c r="Z10" s="6">
        <f>R10+Y10</f>
        <v>529100</v>
      </c>
      <c r="AA10" s="6">
        <v>2000</v>
      </c>
      <c r="AB10" s="6">
        <f>(S10+U10+V10+W10+X10)*80%</f>
        <v>8000</v>
      </c>
      <c r="AC10" s="6">
        <f>T10*80%</f>
        <v>0</v>
      </c>
      <c r="AD10" s="45">
        <f>(S10+U10)*20%</f>
        <v>2000</v>
      </c>
      <c r="AE10" s="54">
        <f>T10*20%</f>
        <v>0</v>
      </c>
      <c r="AF10" s="41" t="s">
        <v>17</v>
      </c>
      <c r="AG10" s="51">
        <f>-AD10</f>
        <v>-2000</v>
      </c>
      <c r="AH10" s="51">
        <f t="shared" si="0"/>
        <v>-8200</v>
      </c>
    </row>
    <row r="11" spans="1:35" x14ac:dyDescent="0.25">
      <c r="A11" s="53">
        <v>43939</v>
      </c>
      <c r="B11" s="41">
        <v>26</v>
      </c>
      <c r="C11" s="41">
        <v>8</v>
      </c>
      <c r="D11" s="41" t="s">
        <v>70</v>
      </c>
      <c r="E11" s="6" t="s">
        <v>17</v>
      </c>
      <c r="F11" s="6" t="s">
        <v>14</v>
      </c>
      <c r="H11" s="4">
        <v>1</v>
      </c>
      <c r="M11" s="6"/>
      <c r="N11" s="6">
        <v>638000</v>
      </c>
      <c r="O11" s="6"/>
      <c r="P11" s="6"/>
      <c r="Q11" s="6"/>
      <c r="R11" s="45">
        <f>M11+N11+O11+P11+Q11</f>
        <v>638000</v>
      </c>
      <c r="S11" s="6">
        <v>10000</v>
      </c>
      <c r="T11" s="6"/>
      <c r="U11" s="6"/>
      <c r="V11" s="6"/>
      <c r="W11" s="6"/>
      <c r="X11" s="6"/>
      <c r="Y11" s="45">
        <f>SUM(S11:X11)</f>
        <v>10000</v>
      </c>
      <c r="Z11" s="6">
        <f>R11+Y11</f>
        <v>648000</v>
      </c>
      <c r="AA11" s="6">
        <v>2000</v>
      </c>
      <c r="AB11" s="6">
        <f>(S11+U11+V11+W11+X11)*80%</f>
        <v>8000</v>
      </c>
      <c r="AC11" s="6">
        <f>T11*80%</f>
        <v>0</v>
      </c>
      <c r="AD11" s="45">
        <f>(S11+U11)*20%</f>
        <v>2000</v>
      </c>
      <c r="AE11" s="54">
        <f>T11*20%</f>
        <v>0</v>
      </c>
      <c r="AF11" s="41" t="s">
        <v>17</v>
      </c>
      <c r="AG11" s="51">
        <f>-AD11</f>
        <v>-2000</v>
      </c>
      <c r="AH11" s="51">
        <f t="shared" si="0"/>
        <v>-10200</v>
      </c>
    </row>
    <row r="12" spans="1:35" x14ac:dyDescent="0.25">
      <c r="A12" s="53">
        <v>43940</v>
      </c>
      <c r="B12" s="41">
        <v>35</v>
      </c>
      <c r="C12" s="41">
        <v>7</v>
      </c>
      <c r="D12" s="41" t="s">
        <v>79</v>
      </c>
      <c r="E12" s="6" t="s">
        <v>17</v>
      </c>
      <c r="F12" s="6" t="s">
        <v>14</v>
      </c>
      <c r="L12" s="4">
        <v>1</v>
      </c>
      <c r="M12" s="6"/>
      <c r="N12" s="6"/>
      <c r="O12" s="6"/>
      <c r="P12" s="6"/>
      <c r="Q12" s="6"/>
      <c r="R12" s="45">
        <f>M12+N12+O12+P12+Q12</f>
        <v>0</v>
      </c>
      <c r="T12" s="6"/>
      <c r="U12" s="6"/>
      <c r="V12" s="6"/>
      <c r="W12" s="6"/>
      <c r="X12" s="6">
        <v>90000</v>
      </c>
      <c r="Y12" s="45">
        <f>SUM(T12:X12)</f>
        <v>90000</v>
      </c>
      <c r="Z12" s="6">
        <f>R12+Y12</f>
        <v>90000</v>
      </c>
      <c r="AA12" s="6">
        <v>10000</v>
      </c>
      <c r="AB12" s="6">
        <f>(S12+U12+V12+W12+X12)*80%</f>
        <v>72000</v>
      </c>
      <c r="AC12" s="6">
        <f>T12*80%</f>
        <v>0</v>
      </c>
      <c r="AD12" s="45">
        <f>(X12+U12)*20%</f>
        <v>18000</v>
      </c>
      <c r="AE12" s="54">
        <f>T12*20%</f>
        <v>0</v>
      </c>
      <c r="AF12" s="41" t="s">
        <v>17</v>
      </c>
      <c r="AG12" s="51">
        <f>-AD12</f>
        <v>-18000</v>
      </c>
      <c r="AH12" s="51">
        <f t="shared" si="0"/>
        <v>-28200</v>
      </c>
    </row>
    <row r="13" spans="1:35" x14ac:dyDescent="0.25">
      <c r="A13" s="53">
        <v>43943</v>
      </c>
      <c r="B13" s="43">
        <v>59</v>
      </c>
      <c r="C13" s="43">
        <v>5</v>
      </c>
      <c r="D13" s="4" t="s">
        <v>144</v>
      </c>
      <c r="E13" s="6" t="s">
        <v>17</v>
      </c>
      <c r="F13" s="6" t="s">
        <v>14</v>
      </c>
      <c r="H13" s="4">
        <v>1</v>
      </c>
      <c r="M13" s="6">
        <v>0</v>
      </c>
      <c r="N13" s="6">
        <v>66700</v>
      </c>
      <c r="O13" s="6"/>
      <c r="P13" s="6"/>
      <c r="Q13" s="6"/>
      <c r="R13" s="45">
        <f t="shared" ref="R13:R15" si="1">M13+N13+O13+P13+Q13</f>
        <v>66700</v>
      </c>
      <c r="S13" s="6">
        <v>10000</v>
      </c>
      <c r="T13" s="6"/>
      <c r="U13" s="6"/>
      <c r="V13" s="6"/>
      <c r="W13" s="6"/>
      <c r="X13" s="6"/>
      <c r="Y13" s="45">
        <f t="shared" ref="Y13:Y15" si="2">SUM(S13:X13)</f>
        <v>10000</v>
      </c>
      <c r="Z13" s="6">
        <f t="shared" ref="Z13:Z15" si="3">R13+Y13</f>
        <v>76700</v>
      </c>
      <c r="AA13" s="6">
        <v>3700</v>
      </c>
      <c r="AB13" s="6">
        <f>(S13+U13+V13+W13+X13)*80%</f>
        <v>8000</v>
      </c>
      <c r="AC13" s="6">
        <f t="shared" ref="AC13:AC15" si="4">T13*80%</f>
        <v>0</v>
      </c>
      <c r="AD13" s="45">
        <f t="shared" ref="AD13:AD14" si="5">(S13+U13)*20%</f>
        <v>2000</v>
      </c>
      <c r="AE13" s="54">
        <f t="shared" ref="AE13:AE15" si="6">T13*20%</f>
        <v>0</v>
      </c>
      <c r="AF13" s="43" t="s">
        <v>17</v>
      </c>
      <c r="AG13" s="51">
        <f>-AD13</f>
        <v>-2000</v>
      </c>
      <c r="AH13" s="51">
        <f t="shared" ref="AH13:AH15" si="7">AH12+AG13</f>
        <v>-30200</v>
      </c>
      <c r="AI13" s="52"/>
    </row>
    <row r="14" spans="1:35" x14ac:dyDescent="0.25">
      <c r="A14" s="53">
        <v>43943</v>
      </c>
      <c r="B14" s="43">
        <v>60</v>
      </c>
      <c r="C14" s="43">
        <v>6</v>
      </c>
      <c r="D14" s="4" t="s">
        <v>145</v>
      </c>
      <c r="E14" s="6" t="s">
        <v>17</v>
      </c>
      <c r="F14" s="6" t="s">
        <v>15</v>
      </c>
      <c r="H14" s="4">
        <v>1</v>
      </c>
      <c r="M14" s="6">
        <v>0</v>
      </c>
      <c r="N14" s="6">
        <v>69400</v>
      </c>
      <c r="O14" s="6"/>
      <c r="P14" s="6"/>
      <c r="Q14" s="6"/>
      <c r="R14" s="45">
        <f t="shared" si="1"/>
        <v>69400</v>
      </c>
      <c r="S14" s="6">
        <v>10000</v>
      </c>
      <c r="T14" s="6"/>
      <c r="U14" s="6"/>
      <c r="V14" s="6"/>
      <c r="W14" s="6"/>
      <c r="X14" s="6"/>
      <c r="Y14" s="45">
        <f t="shared" si="2"/>
        <v>10000</v>
      </c>
      <c r="Z14" s="6">
        <f t="shared" si="3"/>
        <v>79400</v>
      </c>
      <c r="AA14" s="6">
        <f>83500-Z14</f>
        <v>4100</v>
      </c>
      <c r="AB14" s="6">
        <f>(S14+U14+V14+W14+X14)*80%</f>
        <v>8000</v>
      </c>
      <c r="AC14" s="6">
        <f t="shared" si="4"/>
        <v>0</v>
      </c>
      <c r="AD14" s="45">
        <f t="shared" si="5"/>
        <v>2000</v>
      </c>
      <c r="AE14" s="54">
        <f t="shared" si="6"/>
        <v>0</v>
      </c>
      <c r="AF14" s="43" t="s">
        <v>41</v>
      </c>
      <c r="AG14" s="31">
        <f>AB14+AA14</f>
        <v>12100</v>
      </c>
      <c r="AH14" s="51">
        <f t="shared" si="7"/>
        <v>-18100</v>
      </c>
      <c r="AI14" s="52"/>
    </row>
    <row r="15" spans="1:35" x14ac:dyDescent="0.25">
      <c r="A15" s="53">
        <v>43943</v>
      </c>
      <c r="B15" s="43">
        <v>64</v>
      </c>
      <c r="C15" s="43">
        <v>10</v>
      </c>
      <c r="D15" s="4" t="s">
        <v>146</v>
      </c>
      <c r="E15" s="6" t="s">
        <v>17</v>
      </c>
      <c r="F15" s="6" t="s">
        <v>14</v>
      </c>
      <c r="L15" s="4">
        <v>1</v>
      </c>
      <c r="M15" s="6"/>
      <c r="N15" s="6"/>
      <c r="O15" s="6"/>
      <c r="P15" s="6">
        <v>40000</v>
      </c>
      <c r="Q15" s="6"/>
      <c r="R15" s="45">
        <f t="shared" si="1"/>
        <v>40000</v>
      </c>
      <c r="S15" s="6"/>
      <c r="T15" s="6"/>
      <c r="U15" s="6"/>
      <c r="V15" s="6"/>
      <c r="W15" s="6"/>
      <c r="X15" s="6">
        <v>25000</v>
      </c>
      <c r="Y15" s="45">
        <f t="shared" si="2"/>
        <v>25000</v>
      </c>
      <c r="Z15" s="6">
        <f t="shared" si="3"/>
        <v>65000</v>
      </c>
      <c r="AA15" s="6"/>
      <c r="AB15" s="6">
        <f>(S15+U15+V15+W15+X15)*80%</f>
        <v>20000</v>
      </c>
      <c r="AC15" s="6">
        <f t="shared" si="4"/>
        <v>0</v>
      </c>
      <c r="AD15" s="45">
        <f>(S15+U15+V15+W15+X15)*20%</f>
        <v>5000</v>
      </c>
      <c r="AE15" s="54">
        <f t="shared" si="6"/>
        <v>0</v>
      </c>
      <c r="AF15" s="43" t="s">
        <v>17</v>
      </c>
      <c r="AG15" s="52">
        <f>0</f>
        <v>0</v>
      </c>
      <c r="AH15" s="51">
        <f t="shared" si="7"/>
        <v>-18100</v>
      </c>
      <c r="AI15" s="52"/>
    </row>
    <row r="16" spans="1:35" x14ac:dyDescent="0.25">
      <c r="A16" s="53"/>
      <c r="E16" s="6"/>
      <c r="F16" s="6"/>
      <c r="M16" s="6"/>
      <c r="N16" s="6"/>
      <c r="O16" s="6"/>
      <c r="P16" s="6"/>
      <c r="Q16" s="6"/>
      <c r="R16" s="45"/>
      <c r="S16" s="6"/>
      <c r="T16" s="6"/>
      <c r="U16" s="6"/>
      <c r="V16" s="6"/>
      <c r="W16" s="6"/>
      <c r="X16" s="6"/>
      <c r="Y16" s="45"/>
      <c r="Z16" s="6"/>
      <c r="AA16" s="6"/>
      <c r="AB16" s="6"/>
      <c r="AC16" s="6"/>
      <c r="AD16" s="45"/>
      <c r="AE16" s="55"/>
      <c r="AG16" s="51"/>
      <c r="AH16" s="51"/>
    </row>
    <row r="17" spans="1:31" x14ac:dyDescent="0.25">
      <c r="A17" s="53"/>
      <c r="E17" s="6"/>
      <c r="F17" s="6"/>
      <c r="M17" s="6"/>
      <c r="N17" s="6"/>
      <c r="O17" s="6"/>
      <c r="P17" s="6"/>
      <c r="Q17" s="6"/>
      <c r="R17" s="45"/>
      <c r="S17" s="6"/>
      <c r="T17" s="6"/>
      <c r="U17" s="6"/>
      <c r="V17" s="6"/>
      <c r="W17" s="6"/>
      <c r="X17" s="6"/>
      <c r="Y17" s="45"/>
      <c r="Z17" s="6"/>
      <c r="AA17" s="6"/>
      <c r="AB17" s="6"/>
      <c r="AC17" s="6"/>
      <c r="AD17" s="45"/>
      <c r="AE17" s="55"/>
    </row>
    <row r="18" spans="1:31" x14ac:dyDescent="0.25">
      <c r="A18" s="53"/>
      <c r="D18" s="31"/>
      <c r="E18" s="6"/>
      <c r="F18" s="6"/>
      <c r="M18" s="6"/>
      <c r="N18" s="6"/>
      <c r="O18" s="6"/>
      <c r="P18" s="6"/>
      <c r="Q18" s="6"/>
      <c r="R18" s="45"/>
      <c r="S18" s="6"/>
      <c r="T18" s="6"/>
      <c r="U18" s="6"/>
      <c r="V18" s="6"/>
      <c r="W18" s="6"/>
      <c r="X18" s="6"/>
      <c r="Y18" s="45"/>
      <c r="Z18" s="6"/>
      <c r="AA18" s="6"/>
      <c r="AB18" s="6"/>
      <c r="AC18" s="6"/>
      <c r="AD18" s="45"/>
      <c r="AE18" s="55"/>
    </row>
    <row r="19" spans="1:31" x14ac:dyDescent="0.25">
      <c r="A19" s="53"/>
      <c r="E19" s="6"/>
      <c r="F19" s="6"/>
      <c r="M19" s="6"/>
      <c r="N19" s="6"/>
      <c r="O19" s="6"/>
      <c r="P19" s="6"/>
      <c r="Q19" s="6"/>
      <c r="R19" s="45"/>
      <c r="S19" s="6"/>
      <c r="T19" s="6"/>
      <c r="U19" s="6"/>
      <c r="V19" s="6"/>
      <c r="W19" s="6"/>
      <c r="X19" s="6"/>
      <c r="Y19" s="45"/>
      <c r="Z19" s="6"/>
      <c r="AA19" s="6"/>
      <c r="AB19" s="6"/>
      <c r="AC19" s="6"/>
      <c r="AD19" s="45"/>
      <c r="AE19" s="55"/>
    </row>
    <row r="20" spans="1:31" x14ac:dyDescent="0.25">
      <c r="A20" s="53"/>
      <c r="E20" s="6"/>
      <c r="F20" s="6"/>
      <c r="M20" s="6"/>
      <c r="N20" s="6"/>
      <c r="O20" s="6"/>
      <c r="P20" s="6"/>
      <c r="Q20" s="6"/>
      <c r="R20" s="45"/>
      <c r="S20" s="6"/>
      <c r="T20" s="6"/>
      <c r="U20" s="6"/>
      <c r="V20" s="6"/>
      <c r="W20" s="6"/>
      <c r="X20" s="6"/>
      <c r="Y20" s="45"/>
      <c r="Z20" s="6"/>
      <c r="AA20" s="6"/>
      <c r="AB20" s="6"/>
      <c r="AC20" s="6"/>
      <c r="AD20" s="45"/>
      <c r="AE20" s="55"/>
    </row>
    <row r="21" spans="1:31" ht="15.75" x14ac:dyDescent="0.25">
      <c r="E21" s="10" t="s">
        <v>35</v>
      </c>
      <c r="F21" s="6"/>
      <c r="G21" s="10">
        <f>SUM(G3:G20)</f>
        <v>12</v>
      </c>
      <c r="H21" s="10">
        <f>SUM(H3:H20)</f>
        <v>7</v>
      </c>
      <c r="I21" s="10">
        <f>SUM(I3:I20)</f>
        <v>0</v>
      </c>
      <c r="J21" s="10">
        <f>SUM(J3:J20)</f>
        <v>0</v>
      </c>
      <c r="K21" s="10">
        <f>SUM(K3:K20)</f>
        <v>0</v>
      </c>
      <c r="L21" s="10">
        <f>SUM(L3:L20)</f>
        <v>2</v>
      </c>
      <c r="M21" s="21">
        <f>SUM(M3:M20)</f>
        <v>506000</v>
      </c>
      <c r="N21" s="21">
        <f>SUM(N3:N20)</f>
        <v>2963500</v>
      </c>
      <c r="O21" s="21">
        <f>SUM(O3:O20)</f>
        <v>0</v>
      </c>
      <c r="P21" s="21">
        <f>SUM(P3:P20)</f>
        <v>40000</v>
      </c>
      <c r="Q21" s="21">
        <f>SUM(Q3:Q20)</f>
        <v>0</v>
      </c>
      <c r="R21" s="46">
        <f>SUM(R3:R20)</f>
        <v>3509500</v>
      </c>
      <c r="S21" s="21">
        <f>SUM(S3:S20)</f>
        <v>115000</v>
      </c>
      <c r="T21" s="21">
        <f>SUM(T3:T20)</f>
        <v>18000</v>
      </c>
      <c r="U21" s="21">
        <f>SUM(U3:U20)</f>
        <v>0</v>
      </c>
      <c r="V21" s="21">
        <f>SUM(V3:V20)</f>
        <v>0</v>
      </c>
      <c r="W21" s="21">
        <f>SUM(W3:W20)</f>
        <v>0</v>
      </c>
      <c r="X21" s="21">
        <f>SUM(X3:X20)</f>
        <v>115000</v>
      </c>
      <c r="Y21" s="46">
        <f>SUM(Y3:Y20)</f>
        <v>248000</v>
      </c>
      <c r="Z21" s="10">
        <f>SUM(Z3:Z20)</f>
        <v>3757500</v>
      </c>
      <c r="AA21" s="10">
        <f>SUM(AA3:AA20)</f>
        <v>103500</v>
      </c>
      <c r="AB21" s="10">
        <f>SUM(AB3:AB20)</f>
        <v>184000</v>
      </c>
      <c r="AC21" s="10">
        <f>SUM(AC3:AC20)</f>
        <v>4800</v>
      </c>
      <c r="AD21" s="50">
        <f>SUM(AD3:AD20)</f>
        <v>46000</v>
      </c>
      <c r="AE21" s="50">
        <f>SUM(AE3:AE20)</f>
        <v>2400</v>
      </c>
    </row>
    <row r="22" spans="1:31" x14ac:dyDescent="0.25">
      <c r="E22" s="6"/>
      <c r="F22" s="6"/>
      <c r="M22" s="38">
        <f>M21/$R$21</f>
        <v>0.14418008263285367</v>
      </c>
      <c r="N22" s="38">
        <f t="shared" ref="N22:Q22" si="8">N21/$R$21</f>
        <v>0.84442228237640693</v>
      </c>
      <c r="O22" s="38">
        <f t="shared" si="8"/>
        <v>0</v>
      </c>
      <c r="P22" s="38">
        <f t="shared" si="8"/>
        <v>1.1397634990739421E-2</v>
      </c>
      <c r="Q22" s="38">
        <f t="shared" si="8"/>
        <v>0</v>
      </c>
      <c r="R22" s="45"/>
      <c r="S22" s="39" t="s">
        <v>115</v>
      </c>
      <c r="T22" s="40">
        <f>S21+T21+U21</f>
        <v>133000</v>
      </c>
      <c r="U22" s="39">
        <f>T22/$Y$21</f>
        <v>0.53629032258064513</v>
      </c>
      <c r="V22" s="39">
        <f t="shared" ref="V22:X22" si="9">V21/$Y$21</f>
        <v>0</v>
      </c>
      <c r="W22" s="39">
        <f t="shared" si="9"/>
        <v>0</v>
      </c>
      <c r="X22" s="39">
        <f t="shared" si="9"/>
        <v>0.46370967741935482</v>
      </c>
      <c r="Y22" s="45"/>
      <c r="Z22" s="30"/>
      <c r="AA22" s="9"/>
      <c r="AB22" s="6"/>
      <c r="AC22" s="6"/>
      <c r="AD22" s="45"/>
      <c r="AE22" s="55"/>
    </row>
    <row r="23" spans="1:31" ht="45" x14ac:dyDescent="0.25">
      <c r="D23" s="6"/>
      <c r="E23" s="6"/>
      <c r="F23" s="6"/>
      <c r="M23" s="6"/>
      <c r="N23" s="6"/>
      <c r="O23" s="6"/>
      <c r="P23" s="6"/>
      <c r="Q23" s="6"/>
      <c r="R23" s="6"/>
      <c r="S23" s="13"/>
      <c r="T23" s="18"/>
      <c r="U23" s="18"/>
      <c r="V23" s="18"/>
      <c r="W23" s="18"/>
      <c r="X23" s="18"/>
      <c r="Y23" s="18"/>
      <c r="Z23" s="13" t="s">
        <v>32</v>
      </c>
      <c r="AA23" s="18">
        <f>AB21+AA21+AA22</f>
        <v>287500</v>
      </c>
      <c r="AB23" s="13" t="s">
        <v>33</v>
      </c>
      <c r="AC23" s="18">
        <f>AC21</f>
        <v>4800</v>
      </c>
      <c r="AD23" s="13" t="s">
        <v>53</v>
      </c>
      <c r="AE23" s="14">
        <f>AD21+AE21</f>
        <v>48400</v>
      </c>
    </row>
    <row r="24" spans="1:31" ht="18.75" x14ac:dyDescent="0.25">
      <c r="E24" s="6"/>
      <c r="F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9" t="s">
        <v>56</v>
      </c>
      <c r="AE24" s="14">
        <f>'Donasi Pasar'!B13</f>
        <v>154000</v>
      </c>
    </row>
    <row r="25" spans="1:31" ht="18.75" x14ac:dyDescent="0.25">
      <c r="E25" s="6"/>
      <c r="F25" s="6"/>
      <c r="M25" s="6"/>
      <c r="N25" s="6"/>
      <c r="O25" s="6"/>
      <c r="P25" s="6"/>
      <c r="Q25" s="6"/>
      <c r="R25" s="58" t="s">
        <v>76</v>
      </c>
      <c r="S25" s="58"/>
      <c r="T25" s="24">
        <f>Z21+AA21+AA22</f>
        <v>3861000</v>
      </c>
      <c r="U25" s="42">
        <f>T25/$T$25</f>
        <v>1</v>
      </c>
      <c r="V25" s="6"/>
      <c r="W25" s="6"/>
      <c r="X25" s="6"/>
      <c r="Y25" s="6"/>
      <c r="Z25" s="6"/>
      <c r="AA25" s="6"/>
      <c r="AB25" s="6"/>
      <c r="AC25" s="6"/>
      <c r="AD25" s="6"/>
    </row>
    <row r="26" spans="1:31" ht="18.75" customHeight="1" x14ac:dyDescent="0.25">
      <c r="E26" s="6"/>
      <c r="F26" s="6"/>
      <c r="M26" s="34"/>
      <c r="N26" s="34"/>
      <c r="O26" s="34"/>
      <c r="P26" s="34"/>
      <c r="Q26" s="34"/>
      <c r="R26" s="58" t="s">
        <v>5</v>
      </c>
      <c r="S26" s="58"/>
      <c r="T26" s="24">
        <f>R21</f>
        <v>3509500</v>
      </c>
      <c r="U26" s="42">
        <f>T26/$T$25</f>
        <v>0.90896140896140898</v>
      </c>
      <c r="V26" s="36"/>
      <c r="W26" s="36"/>
      <c r="X26" s="36"/>
      <c r="Y26" s="20"/>
      <c r="AA26" s="18"/>
      <c r="AB26" s="22"/>
      <c r="AC26" s="19"/>
      <c r="AD26" s="52"/>
    </row>
    <row r="27" spans="1:31" ht="18.75" customHeight="1" x14ac:dyDescent="0.25">
      <c r="E27" s="6"/>
      <c r="F27" s="6"/>
      <c r="M27" s="34"/>
      <c r="N27" s="34"/>
      <c r="O27" s="34"/>
      <c r="P27" s="34"/>
      <c r="Q27" s="34"/>
      <c r="R27" s="58" t="s">
        <v>59</v>
      </c>
      <c r="S27" s="58"/>
      <c r="T27" s="26">
        <f>Y21+AA21+AA22+AE24</f>
        <v>505500</v>
      </c>
      <c r="U27" s="42">
        <f>T27/$T$25</f>
        <v>0.13092463092463091</v>
      </c>
      <c r="V27" s="37"/>
      <c r="W27" s="37"/>
      <c r="X27" s="37"/>
      <c r="Y27" s="6"/>
      <c r="Z27" s="6"/>
      <c r="AA27" s="6"/>
      <c r="AB27" s="6"/>
      <c r="AC27" s="52"/>
      <c r="AD27" s="52"/>
    </row>
    <row r="28" spans="1:31" ht="18.75" customHeight="1" x14ac:dyDescent="0.25">
      <c r="E28" s="6"/>
      <c r="F28" s="6"/>
      <c r="M28" s="34"/>
      <c r="N28" s="34"/>
      <c r="O28" s="34"/>
      <c r="P28" s="34"/>
      <c r="Q28" s="34"/>
      <c r="R28" s="58" t="s">
        <v>57</v>
      </c>
      <c r="S28" s="58"/>
      <c r="T28" s="26">
        <f>AA21+AA22+AB21+AC21</f>
        <v>292300</v>
      </c>
      <c r="U28" s="42">
        <f>T28/$T$25</f>
        <v>7.5705775705775705E-2</v>
      </c>
      <c r="V28" s="37"/>
      <c r="W28" s="37"/>
      <c r="X28" s="37"/>
      <c r="Y28" s="6"/>
      <c r="Z28" s="6"/>
      <c r="AA28" s="6"/>
      <c r="AB28" s="6"/>
      <c r="AC28" s="52"/>
      <c r="AD28" s="52"/>
    </row>
    <row r="29" spans="1:31" ht="33.75" customHeight="1" x14ac:dyDescent="0.25">
      <c r="E29" s="6"/>
      <c r="F29" s="6"/>
      <c r="M29" s="34"/>
      <c r="N29" s="34"/>
      <c r="O29" s="34"/>
      <c r="P29" s="34"/>
      <c r="Q29" s="34"/>
      <c r="R29" s="58" t="s">
        <v>58</v>
      </c>
      <c r="S29" s="58"/>
      <c r="T29" s="26">
        <f>AE23+AE24</f>
        <v>202400</v>
      </c>
      <c r="U29" s="42">
        <f>T29/$T$25</f>
        <v>5.242165242165242E-2</v>
      </c>
      <c r="V29" s="37"/>
      <c r="W29" s="37"/>
      <c r="X29" s="37"/>
      <c r="Y29" s="6"/>
      <c r="Z29" s="6"/>
      <c r="AA29" s="6"/>
      <c r="AB29" s="6"/>
      <c r="AC29" s="52"/>
      <c r="AD29" s="52"/>
    </row>
    <row r="30" spans="1:31" x14ac:dyDescent="0.25">
      <c r="E30" s="6"/>
      <c r="F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 spans="1:31" x14ac:dyDescent="0.25">
      <c r="R31" s="57" t="s">
        <v>75</v>
      </c>
      <c r="S31" s="57"/>
      <c r="T31" s="41" t="s">
        <v>94</v>
      </c>
      <c r="U31" s="41" t="s">
        <v>92</v>
      </c>
      <c r="AB31" s="52"/>
      <c r="AC31" s="52"/>
      <c r="AD31" s="52"/>
    </row>
    <row r="32" spans="1:31" x14ac:dyDescent="0.25">
      <c r="R32" s="41" t="s">
        <v>8</v>
      </c>
      <c r="S32" s="31">
        <f>'Saldo Indri'!AA65+'Saldo Indri'!AC65</f>
        <v>653800</v>
      </c>
      <c r="T32" s="41">
        <v>6</v>
      </c>
      <c r="U32" s="31">
        <f>S32/T32</f>
        <v>108966.66666666667</v>
      </c>
      <c r="V32" s="31"/>
      <c r="AB32" s="52"/>
      <c r="AC32" s="52"/>
      <c r="AD32" s="52"/>
    </row>
    <row r="33" spans="18:30" x14ac:dyDescent="0.25">
      <c r="R33" s="41" t="s">
        <v>7</v>
      </c>
      <c r="S33" s="31">
        <f>'Saldo Samin'!AA37</f>
        <v>477000</v>
      </c>
      <c r="T33" s="41">
        <v>6</v>
      </c>
      <c r="U33" s="31">
        <f>S33/T33</f>
        <v>79500</v>
      </c>
      <c r="V33" s="31"/>
      <c r="AB33" s="52"/>
      <c r="AC33" s="52"/>
      <c r="AD33" s="52"/>
    </row>
    <row r="34" spans="18:30" x14ac:dyDescent="0.25">
      <c r="R34" s="41" t="s">
        <v>17</v>
      </c>
      <c r="S34" s="31">
        <f>Yudi!S15+Yudi!T15+Yudi!S16</f>
        <v>243700</v>
      </c>
      <c r="T34" s="41">
        <v>6</v>
      </c>
      <c r="U34" s="31">
        <f>S34/T34</f>
        <v>40616.666666666664</v>
      </c>
      <c r="V34" s="31"/>
      <c r="AB34" s="52"/>
      <c r="AC34" s="52"/>
      <c r="AD34" s="52"/>
    </row>
    <row r="35" spans="18:30" x14ac:dyDescent="0.25">
      <c r="R35" s="41" t="s">
        <v>45</v>
      </c>
      <c r="S35" s="31">
        <f>Andri!S16+Andri!T16+Andri!S17</f>
        <v>200300</v>
      </c>
      <c r="T35" s="41">
        <v>4</v>
      </c>
      <c r="U35" s="31">
        <f>S35/T35</f>
        <v>50075</v>
      </c>
      <c r="V35" s="31"/>
      <c r="AB35" s="52"/>
      <c r="AC35" s="52"/>
      <c r="AD35" s="52"/>
    </row>
  </sheetData>
  <autoFilter ref="A2:AI2"/>
  <mergeCells count="6">
    <mergeCell ref="R31:S31"/>
    <mergeCell ref="R25:S25"/>
    <mergeCell ref="R26:S26"/>
    <mergeCell ref="R27:S27"/>
    <mergeCell ref="R28:S28"/>
    <mergeCell ref="R29:S2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38"/>
  <sheetViews>
    <sheetView zoomScale="80" zoomScaleNormal="80" workbookViewId="0">
      <pane xSplit="6" ySplit="2" topLeftCell="Z3" activePane="bottomRight" state="frozen"/>
      <selection pane="topRight" activeCell="G1" sqref="G1"/>
      <selection pane="bottomLeft" activeCell="A3" sqref="A3"/>
      <selection pane="bottomRight" activeCell="AB14" sqref="AB14"/>
    </sheetView>
  </sheetViews>
  <sheetFormatPr defaultRowHeight="15" x14ac:dyDescent="0.25"/>
  <cols>
    <col min="1" max="1" width="10.7109375" customWidth="1"/>
    <col min="2" max="3" width="6.140625" style="1" customWidth="1"/>
    <col min="4" max="4" width="19" style="1" customWidth="1"/>
    <col min="5" max="5" width="14.7109375" style="41" customWidth="1"/>
    <col min="6" max="6" width="9.42578125" style="41" customWidth="1"/>
    <col min="7" max="12" width="7.28515625" style="2" customWidth="1"/>
    <col min="13" max="27" width="17.42578125" style="41" customWidth="1"/>
    <col min="28" max="28" width="19.140625" style="41" customWidth="1"/>
    <col min="29" max="30" width="17.42578125" style="41" customWidth="1"/>
    <col min="31" max="31" width="19.85546875" customWidth="1"/>
    <col min="32" max="32" width="15.42578125" style="41" customWidth="1"/>
    <col min="33" max="34" width="16.140625" style="41" customWidth="1"/>
    <col min="35" max="35" width="27.140625" style="5" customWidth="1"/>
  </cols>
  <sheetData>
    <row r="2" spans="1:35" s="5" customFormat="1" ht="48" x14ac:dyDescent="0.25">
      <c r="A2" s="5" t="s">
        <v>29</v>
      </c>
      <c r="B2" s="4" t="s">
        <v>0</v>
      </c>
      <c r="C2" s="4" t="s">
        <v>46</v>
      </c>
      <c r="D2" s="4" t="s">
        <v>1</v>
      </c>
      <c r="E2" s="4" t="s">
        <v>34</v>
      </c>
      <c r="F2" s="4" t="s">
        <v>13</v>
      </c>
      <c r="G2" s="7" t="s">
        <v>98</v>
      </c>
      <c r="H2" s="7" t="s">
        <v>99</v>
      </c>
      <c r="I2" s="7" t="s">
        <v>101</v>
      </c>
      <c r="J2" s="7" t="s">
        <v>102</v>
      </c>
      <c r="K2" s="7" t="s">
        <v>100</v>
      </c>
      <c r="L2" s="7" t="s">
        <v>97</v>
      </c>
      <c r="M2" s="7" t="s">
        <v>103</v>
      </c>
      <c r="N2" s="7" t="s">
        <v>104</v>
      </c>
      <c r="O2" s="7" t="s">
        <v>105</v>
      </c>
      <c r="P2" s="7" t="s">
        <v>106</v>
      </c>
      <c r="Q2" s="7" t="s">
        <v>107</v>
      </c>
      <c r="R2" s="44" t="s">
        <v>67</v>
      </c>
      <c r="S2" s="35" t="s">
        <v>108</v>
      </c>
      <c r="T2" s="35" t="s">
        <v>109</v>
      </c>
      <c r="U2" s="35" t="s">
        <v>110</v>
      </c>
      <c r="V2" s="35" t="s">
        <v>111</v>
      </c>
      <c r="W2" s="35" t="s">
        <v>112</v>
      </c>
      <c r="X2" s="35" t="s">
        <v>113</v>
      </c>
      <c r="Y2" s="44" t="s">
        <v>69</v>
      </c>
      <c r="Z2" s="29" t="s">
        <v>23</v>
      </c>
      <c r="AA2" s="4" t="s">
        <v>114</v>
      </c>
      <c r="AB2" s="4" t="s">
        <v>25</v>
      </c>
      <c r="AC2" s="4" t="s">
        <v>26</v>
      </c>
      <c r="AD2" s="47" t="s">
        <v>27</v>
      </c>
      <c r="AE2" s="47" t="s">
        <v>28</v>
      </c>
      <c r="AF2" s="4" t="s">
        <v>36</v>
      </c>
      <c r="AG2" s="4" t="s">
        <v>38</v>
      </c>
      <c r="AH2" s="4" t="s">
        <v>51</v>
      </c>
      <c r="AI2" s="4" t="s">
        <v>118</v>
      </c>
    </row>
    <row r="3" spans="1:35" s="5" customFormat="1" x14ac:dyDescent="0.25">
      <c r="A3" s="11">
        <v>43938</v>
      </c>
      <c r="B3" s="1">
        <v>15</v>
      </c>
      <c r="C3" s="1">
        <v>2</v>
      </c>
      <c r="D3" s="1" t="s">
        <v>49</v>
      </c>
      <c r="E3" s="6" t="s">
        <v>45</v>
      </c>
      <c r="F3" s="6" t="s">
        <v>14</v>
      </c>
      <c r="G3" s="2">
        <v>3</v>
      </c>
      <c r="H3" s="2"/>
      <c r="I3" s="2"/>
      <c r="J3" s="2"/>
      <c r="K3" s="2"/>
      <c r="L3" s="2"/>
      <c r="M3" s="6">
        <v>86500</v>
      </c>
      <c r="N3" s="41"/>
      <c r="O3" s="41"/>
      <c r="P3" s="41"/>
      <c r="Q3" s="41"/>
      <c r="R3" s="45">
        <f>M3+N3+O3+P3+Q3</f>
        <v>86500</v>
      </c>
      <c r="S3" s="6">
        <v>10000</v>
      </c>
      <c r="T3" s="6">
        <v>4000</v>
      </c>
      <c r="U3" s="6"/>
      <c r="V3" s="6"/>
      <c r="W3" s="6"/>
      <c r="X3" s="6"/>
      <c r="Y3" s="45">
        <f>SUM(S3:X3)</f>
        <v>14000</v>
      </c>
      <c r="Z3" s="6">
        <f>R3+Y3</f>
        <v>100500</v>
      </c>
      <c r="AA3" s="6">
        <v>0</v>
      </c>
      <c r="AB3" s="6">
        <f>(S3+U3+V3+W3+X3)*80%</f>
        <v>8000</v>
      </c>
      <c r="AC3" s="6">
        <f>T3*80%</f>
        <v>3200</v>
      </c>
      <c r="AD3" s="45">
        <f>(S3+U3)*20%</f>
        <v>2000</v>
      </c>
      <c r="AE3" s="48">
        <f>T3*20%</f>
        <v>800</v>
      </c>
      <c r="AF3" s="41" t="s">
        <v>45</v>
      </c>
      <c r="AG3" s="31">
        <f>-AD3</f>
        <v>-2000</v>
      </c>
      <c r="AH3" s="51">
        <f>AG3</f>
        <v>-2000</v>
      </c>
    </row>
    <row r="4" spans="1:35" s="5" customFormat="1" x14ac:dyDescent="0.25">
      <c r="A4" s="11">
        <v>43938</v>
      </c>
      <c r="B4" s="1">
        <v>16</v>
      </c>
      <c r="C4" s="1">
        <v>3</v>
      </c>
      <c r="D4" s="1" t="s">
        <v>47</v>
      </c>
      <c r="E4" s="6" t="s">
        <v>45</v>
      </c>
      <c r="F4" s="6" t="s">
        <v>14</v>
      </c>
      <c r="G4" s="2"/>
      <c r="H4" s="2">
        <v>1</v>
      </c>
      <c r="I4" s="2"/>
      <c r="J4" s="2"/>
      <c r="K4" s="2"/>
      <c r="L4" s="2"/>
      <c r="M4" s="6"/>
      <c r="N4" s="6">
        <v>669000</v>
      </c>
      <c r="O4" s="6"/>
      <c r="P4" s="6"/>
      <c r="Q4" s="6"/>
      <c r="R4" s="45">
        <f>M4+N4+O4+P4+Q4</f>
        <v>669000</v>
      </c>
      <c r="S4" s="6">
        <v>15000</v>
      </c>
      <c r="T4" s="6">
        <v>0</v>
      </c>
      <c r="U4" s="6"/>
      <c r="V4" s="6"/>
      <c r="W4" s="6"/>
      <c r="X4" s="6"/>
      <c r="Y4" s="45">
        <f>SUM(S4:X4)</f>
        <v>15000</v>
      </c>
      <c r="Z4" s="6">
        <f>R4+Y4</f>
        <v>684000</v>
      </c>
      <c r="AA4" s="6">
        <v>0</v>
      </c>
      <c r="AB4" s="6">
        <f>(S4+U4+V4+W4+X4)*80%</f>
        <v>12000</v>
      </c>
      <c r="AC4" s="6">
        <f>T4*80%</f>
        <v>0</v>
      </c>
      <c r="AD4" s="45">
        <f>(S4+U4)*20%</f>
        <v>3000</v>
      </c>
      <c r="AE4" s="48">
        <f>T4*20%</f>
        <v>0</v>
      </c>
      <c r="AF4" s="41" t="s">
        <v>45</v>
      </c>
      <c r="AG4" s="31">
        <f>-AD4</f>
        <v>-3000</v>
      </c>
      <c r="AH4" s="51">
        <f t="shared" ref="AH4:AH18" si="0">AH3+AG4</f>
        <v>-5000</v>
      </c>
    </row>
    <row r="5" spans="1:35" s="5" customFormat="1" x14ac:dyDescent="0.25">
      <c r="A5" s="11">
        <v>43938</v>
      </c>
      <c r="B5" s="1">
        <v>16</v>
      </c>
      <c r="C5" s="1">
        <v>3</v>
      </c>
      <c r="D5" s="1" t="s">
        <v>47</v>
      </c>
      <c r="E5" s="6" t="s">
        <v>45</v>
      </c>
      <c r="F5" s="6" t="s">
        <v>14</v>
      </c>
      <c r="G5" s="2"/>
      <c r="H5" s="2">
        <v>1</v>
      </c>
      <c r="I5" s="2"/>
      <c r="J5" s="2"/>
      <c r="K5" s="2"/>
      <c r="L5" s="2"/>
      <c r="M5" s="6"/>
      <c r="N5" s="6">
        <v>669000</v>
      </c>
      <c r="O5" s="6"/>
      <c r="P5" s="6"/>
      <c r="Q5" s="6"/>
      <c r="R5" s="45">
        <f>M5+N5+O5+P5+Q5</f>
        <v>669000</v>
      </c>
      <c r="S5" s="6">
        <v>15000</v>
      </c>
      <c r="T5" s="6">
        <v>0</v>
      </c>
      <c r="U5" s="6"/>
      <c r="V5" s="6"/>
      <c r="W5" s="6"/>
      <c r="X5" s="6"/>
      <c r="Y5" s="45">
        <f>SUM(S5:X5)</f>
        <v>15000</v>
      </c>
      <c r="Z5" s="6">
        <f>R5+Y5</f>
        <v>684000</v>
      </c>
      <c r="AA5" s="6">
        <v>0</v>
      </c>
      <c r="AB5" s="6">
        <f>(S5+U5+V5+W5+X5)*80%</f>
        <v>12000</v>
      </c>
      <c r="AC5" s="6">
        <f>T5*80%</f>
        <v>0</v>
      </c>
      <c r="AD5" s="45">
        <f>(S5+U5)*20%</f>
        <v>3000</v>
      </c>
      <c r="AE5" s="48">
        <f>T5*20%</f>
        <v>0</v>
      </c>
      <c r="AF5" s="41" t="s">
        <v>45</v>
      </c>
      <c r="AG5" s="51">
        <f>-AD5</f>
        <v>-3000</v>
      </c>
      <c r="AH5" s="51">
        <f t="shared" si="0"/>
        <v>-8000</v>
      </c>
    </row>
    <row r="6" spans="1:35" s="52" customFormat="1" x14ac:dyDescent="0.25">
      <c r="A6" s="53">
        <v>43938</v>
      </c>
      <c r="B6" s="41"/>
      <c r="C6" s="41"/>
      <c r="D6" s="41" t="s">
        <v>122</v>
      </c>
      <c r="E6" s="6"/>
      <c r="F6" s="6"/>
      <c r="G6" s="4"/>
      <c r="H6" s="4"/>
      <c r="I6" s="4"/>
      <c r="J6" s="4"/>
      <c r="K6" s="4"/>
      <c r="L6" s="4"/>
      <c r="M6" s="6"/>
      <c r="N6" s="41"/>
      <c r="O6" s="41"/>
      <c r="P6" s="6"/>
      <c r="Q6" s="41"/>
      <c r="R6" s="45"/>
      <c r="S6" s="6"/>
      <c r="T6" s="6"/>
      <c r="U6" s="6"/>
      <c r="V6" s="6"/>
      <c r="W6" s="6"/>
      <c r="X6" s="6"/>
      <c r="Y6" s="45"/>
      <c r="Z6" s="6"/>
      <c r="AA6" s="6">
        <v>60000</v>
      </c>
      <c r="AB6" s="6">
        <f>(S6+U6+V6+W6+X6)*80%</f>
        <v>0</v>
      </c>
      <c r="AC6" s="6"/>
      <c r="AD6" s="45"/>
      <c r="AE6" s="54"/>
      <c r="AF6" s="41" t="s">
        <v>45</v>
      </c>
      <c r="AG6" s="31">
        <f>0</f>
        <v>0</v>
      </c>
      <c r="AH6" s="51">
        <f t="shared" si="0"/>
        <v>-8000</v>
      </c>
      <c r="AI6" s="5" t="s">
        <v>123</v>
      </c>
    </row>
    <row r="7" spans="1:35" s="5" customFormat="1" x14ac:dyDescent="0.25">
      <c r="A7" s="11">
        <v>43939</v>
      </c>
      <c r="B7" s="1">
        <v>21</v>
      </c>
      <c r="C7" s="1">
        <v>3</v>
      </c>
      <c r="D7" s="1" t="s">
        <v>20</v>
      </c>
      <c r="E7" s="6" t="s">
        <v>45</v>
      </c>
      <c r="F7" s="6" t="s">
        <v>15</v>
      </c>
      <c r="G7" s="2">
        <v>4</v>
      </c>
      <c r="H7" s="2"/>
      <c r="I7" s="2">
        <v>1</v>
      </c>
      <c r="J7" s="2"/>
      <c r="K7" s="2"/>
      <c r="L7" s="2"/>
      <c r="M7" s="6">
        <v>215500</v>
      </c>
      <c r="N7" s="6"/>
      <c r="O7" s="6">
        <v>84000</v>
      </c>
      <c r="P7" s="6"/>
      <c r="Q7" s="6"/>
      <c r="R7" s="45">
        <f t="shared" ref="R7:R12" si="1">M7+N7+O7+P7+Q7</f>
        <v>299500</v>
      </c>
      <c r="S7" s="6">
        <v>20000</v>
      </c>
      <c r="T7" s="41"/>
      <c r="U7" s="6">
        <v>5000</v>
      </c>
      <c r="V7" s="6"/>
      <c r="W7" s="6"/>
      <c r="X7" s="6"/>
      <c r="Y7" s="45">
        <f t="shared" ref="Y7:Y12" si="2">SUM(S7:X7)</f>
        <v>25000</v>
      </c>
      <c r="Z7" s="6">
        <f t="shared" ref="Z7:Z12" si="3">R7+Y7</f>
        <v>324500</v>
      </c>
      <c r="AA7" s="6">
        <v>5000</v>
      </c>
      <c r="AB7" s="6">
        <f>(S7+U7+V7+W7+X7)*80%</f>
        <v>20000</v>
      </c>
      <c r="AC7" s="6">
        <f t="shared" ref="AC7:AC12" si="4">T7*80%</f>
        <v>0</v>
      </c>
      <c r="AD7" s="45">
        <f t="shared" ref="AD7:AD12" si="5">(S7+U7)*20%</f>
        <v>5000</v>
      </c>
      <c r="AE7" s="48">
        <f t="shared" ref="AE7:AE12" si="6">T7*20%</f>
        <v>0</v>
      </c>
      <c r="AF7" s="41" t="s">
        <v>41</v>
      </c>
      <c r="AG7" s="51">
        <f>AB7</f>
        <v>20000</v>
      </c>
      <c r="AH7" s="51">
        <f>AH5+AG7</f>
        <v>12000</v>
      </c>
    </row>
    <row r="8" spans="1:35" s="5" customFormat="1" x14ac:dyDescent="0.25">
      <c r="A8" s="11">
        <v>43939</v>
      </c>
      <c r="B8" s="1">
        <v>23</v>
      </c>
      <c r="C8" s="1">
        <v>5</v>
      </c>
      <c r="D8" s="1" t="s">
        <v>9</v>
      </c>
      <c r="E8" s="6" t="s">
        <v>45</v>
      </c>
      <c r="F8" s="6" t="s">
        <v>15</v>
      </c>
      <c r="G8" s="2">
        <v>1</v>
      </c>
      <c r="H8" s="2"/>
      <c r="I8" s="2"/>
      <c r="J8" s="2"/>
      <c r="K8" s="2"/>
      <c r="L8" s="2"/>
      <c r="M8" s="6">
        <v>235000</v>
      </c>
      <c r="N8" s="6">
        <v>0</v>
      </c>
      <c r="O8" s="6"/>
      <c r="P8" s="6"/>
      <c r="Q8" s="6"/>
      <c r="R8" s="45">
        <f t="shared" si="1"/>
        <v>235000</v>
      </c>
      <c r="S8" s="6">
        <v>10000</v>
      </c>
      <c r="T8" s="6">
        <v>8000</v>
      </c>
      <c r="U8" s="6"/>
      <c r="V8" s="6"/>
      <c r="W8" s="6"/>
      <c r="X8" s="6"/>
      <c r="Y8" s="45">
        <f t="shared" si="2"/>
        <v>18000</v>
      </c>
      <c r="Z8" s="6">
        <f t="shared" si="3"/>
        <v>253000</v>
      </c>
      <c r="AA8" s="6">
        <v>12000</v>
      </c>
      <c r="AB8" s="6">
        <f>(S8+U8+V8+W8+X8)*80%</f>
        <v>8000</v>
      </c>
      <c r="AC8" s="6">
        <f t="shared" si="4"/>
        <v>6400</v>
      </c>
      <c r="AD8" s="45">
        <f t="shared" si="5"/>
        <v>2000</v>
      </c>
      <c r="AE8" s="48">
        <f t="shared" si="6"/>
        <v>1600</v>
      </c>
      <c r="AF8" s="41" t="s">
        <v>41</v>
      </c>
      <c r="AG8" s="51">
        <f>AB8</f>
        <v>8000</v>
      </c>
      <c r="AH8" s="51">
        <f t="shared" si="0"/>
        <v>20000</v>
      </c>
    </row>
    <row r="9" spans="1:35" s="5" customFormat="1" x14ac:dyDescent="0.25">
      <c r="A9" s="11">
        <v>43940</v>
      </c>
      <c r="B9" s="1">
        <v>30</v>
      </c>
      <c r="C9" s="1">
        <v>2</v>
      </c>
      <c r="D9" s="1" t="s">
        <v>84</v>
      </c>
      <c r="E9" s="6" t="s">
        <v>45</v>
      </c>
      <c r="F9" s="6" t="s">
        <v>14</v>
      </c>
      <c r="G9" s="2">
        <v>5</v>
      </c>
      <c r="H9" s="2"/>
      <c r="I9" s="2"/>
      <c r="J9" s="2"/>
      <c r="K9" s="2"/>
      <c r="L9" s="2"/>
      <c r="M9" s="6">
        <v>204000</v>
      </c>
      <c r="N9" s="6"/>
      <c r="O9" s="6"/>
      <c r="P9" s="6"/>
      <c r="Q9" s="6"/>
      <c r="R9" s="45">
        <f t="shared" si="1"/>
        <v>204000</v>
      </c>
      <c r="S9" s="6">
        <v>10000</v>
      </c>
      <c r="T9" s="6">
        <v>8000</v>
      </c>
      <c r="U9" s="6"/>
      <c r="V9" s="6"/>
      <c r="W9" s="6"/>
      <c r="X9" s="6"/>
      <c r="Y9" s="45">
        <f t="shared" si="2"/>
        <v>18000</v>
      </c>
      <c r="Z9" s="6">
        <f t="shared" si="3"/>
        <v>222000</v>
      </c>
      <c r="AA9" s="6">
        <v>8000</v>
      </c>
      <c r="AB9" s="6">
        <f>(S9+U9+V9+W9+X9)*80%</f>
        <v>8000</v>
      </c>
      <c r="AC9" s="6">
        <f t="shared" si="4"/>
        <v>6400</v>
      </c>
      <c r="AD9" s="45">
        <f t="shared" si="5"/>
        <v>2000</v>
      </c>
      <c r="AE9" s="48">
        <f t="shared" si="6"/>
        <v>1600</v>
      </c>
      <c r="AF9" s="41" t="s">
        <v>45</v>
      </c>
      <c r="AG9" s="51">
        <f>-AD9</f>
        <v>-2000</v>
      </c>
      <c r="AH9" s="51">
        <f t="shared" si="0"/>
        <v>18000</v>
      </c>
    </row>
    <row r="10" spans="1:35" x14ac:dyDescent="0.25">
      <c r="A10" s="11">
        <v>43940</v>
      </c>
      <c r="B10" s="1">
        <v>32</v>
      </c>
      <c r="C10" s="1">
        <v>4</v>
      </c>
      <c r="D10" s="1" t="s">
        <v>82</v>
      </c>
      <c r="E10" s="6" t="s">
        <v>45</v>
      </c>
      <c r="F10" s="6" t="s">
        <v>14</v>
      </c>
      <c r="G10" s="2">
        <v>3</v>
      </c>
      <c r="H10" s="2">
        <v>1</v>
      </c>
      <c r="M10" s="6">
        <v>92000</v>
      </c>
      <c r="N10" s="6">
        <v>88300</v>
      </c>
      <c r="O10" s="6"/>
      <c r="P10" s="6"/>
      <c r="Q10" s="6"/>
      <c r="R10" s="45">
        <f t="shared" si="1"/>
        <v>180300</v>
      </c>
      <c r="S10" s="6">
        <v>20000</v>
      </c>
      <c r="T10" s="6">
        <v>4000</v>
      </c>
      <c r="U10" s="6">
        <v>5000</v>
      </c>
      <c r="V10" s="6"/>
      <c r="W10" s="6"/>
      <c r="X10" s="6"/>
      <c r="Y10" s="45">
        <f t="shared" si="2"/>
        <v>29000</v>
      </c>
      <c r="Z10" s="6">
        <f t="shared" si="3"/>
        <v>209300</v>
      </c>
      <c r="AA10" s="6">
        <v>700</v>
      </c>
      <c r="AB10" s="6">
        <f>(S10+U10+V10+W10+X10)*80%</f>
        <v>20000</v>
      </c>
      <c r="AC10" s="6">
        <f t="shared" si="4"/>
        <v>3200</v>
      </c>
      <c r="AD10" s="45">
        <f t="shared" si="5"/>
        <v>5000</v>
      </c>
      <c r="AE10" s="48">
        <f t="shared" si="6"/>
        <v>800</v>
      </c>
      <c r="AF10" s="41" t="s">
        <v>45</v>
      </c>
      <c r="AG10" s="51">
        <f>-AD10</f>
        <v>-5000</v>
      </c>
      <c r="AH10" s="51">
        <f t="shared" si="0"/>
        <v>13000</v>
      </c>
    </row>
    <row r="11" spans="1:35" x14ac:dyDescent="0.25">
      <c r="A11" s="11">
        <v>43941</v>
      </c>
      <c r="B11" s="1">
        <v>38</v>
      </c>
      <c r="C11" s="1">
        <v>1</v>
      </c>
      <c r="D11" s="1" t="s">
        <v>89</v>
      </c>
      <c r="E11" s="6" t="s">
        <v>45</v>
      </c>
      <c r="F11" s="6" t="s">
        <v>14</v>
      </c>
      <c r="G11" s="2">
        <v>3</v>
      </c>
      <c r="M11" s="6">
        <v>138000</v>
      </c>
      <c r="N11" s="6"/>
      <c r="O11" s="6"/>
      <c r="P11" s="6"/>
      <c r="Q11" s="6"/>
      <c r="R11" s="45">
        <f t="shared" si="1"/>
        <v>138000</v>
      </c>
      <c r="S11" s="6">
        <v>10000</v>
      </c>
      <c r="T11" s="6">
        <v>4000</v>
      </c>
      <c r="U11" s="6"/>
      <c r="V11" s="6"/>
      <c r="W11" s="6"/>
      <c r="X11" s="6"/>
      <c r="Y11" s="45">
        <f t="shared" si="2"/>
        <v>14000</v>
      </c>
      <c r="Z11" s="6">
        <f t="shared" si="3"/>
        <v>152000</v>
      </c>
      <c r="AA11" s="6">
        <v>1000</v>
      </c>
      <c r="AB11" s="6">
        <f>(S11+U11+V11+W11+X11)*80%</f>
        <v>8000</v>
      </c>
      <c r="AC11" s="6">
        <f t="shared" si="4"/>
        <v>3200</v>
      </c>
      <c r="AD11" s="45">
        <f t="shared" si="5"/>
        <v>2000</v>
      </c>
      <c r="AE11" s="48">
        <f t="shared" si="6"/>
        <v>800</v>
      </c>
      <c r="AF11" s="41" t="s">
        <v>45</v>
      </c>
      <c r="AG11" s="51">
        <f t="shared" ref="AG11:AG13" si="7">-AD11</f>
        <v>-2000</v>
      </c>
      <c r="AH11" s="51">
        <f t="shared" si="0"/>
        <v>11000</v>
      </c>
    </row>
    <row r="12" spans="1:35" x14ac:dyDescent="0.25">
      <c r="A12" s="11">
        <v>43941</v>
      </c>
      <c r="B12" s="1">
        <v>40</v>
      </c>
      <c r="C12" s="1">
        <v>3</v>
      </c>
      <c r="D12" s="1" t="s">
        <v>91</v>
      </c>
      <c r="E12" s="6" t="s">
        <v>45</v>
      </c>
      <c r="F12" s="6" t="s">
        <v>14</v>
      </c>
      <c r="G12" s="2">
        <v>6</v>
      </c>
      <c r="H12" s="2">
        <v>1</v>
      </c>
      <c r="M12" s="6">
        <v>287000</v>
      </c>
      <c r="N12" s="6">
        <v>36700</v>
      </c>
      <c r="O12" s="6"/>
      <c r="P12" s="6"/>
      <c r="Q12" s="6"/>
      <c r="R12" s="45">
        <f t="shared" si="1"/>
        <v>323700</v>
      </c>
      <c r="S12" s="6">
        <v>10000</v>
      </c>
      <c r="T12" s="6">
        <v>10000</v>
      </c>
      <c r="U12" s="6">
        <v>5000</v>
      </c>
      <c r="V12" s="6"/>
      <c r="W12" s="6"/>
      <c r="X12" s="6"/>
      <c r="Y12" s="45">
        <f t="shared" si="2"/>
        <v>25000</v>
      </c>
      <c r="Z12" s="6">
        <f t="shared" si="3"/>
        <v>348700</v>
      </c>
      <c r="AA12" s="6">
        <f>355000-Z12</f>
        <v>6300</v>
      </c>
      <c r="AB12" s="6">
        <f>(S12+U12+V12+W12+X12)*80%</f>
        <v>12000</v>
      </c>
      <c r="AC12" s="6">
        <f t="shared" si="4"/>
        <v>8000</v>
      </c>
      <c r="AD12" s="45">
        <f t="shared" si="5"/>
        <v>3000</v>
      </c>
      <c r="AE12" s="48">
        <f t="shared" si="6"/>
        <v>2000</v>
      </c>
      <c r="AF12" s="41" t="s">
        <v>45</v>
      </c>
      <c r="AG12" s="51">
        <f t="shared" si="7"/>
        <v>-3000</v>
      </c>
      <c r="AH12" s="51">
        <f t="shared" si="0"/>
        <v>8000</v>
      </c>
    </row>
    <row r="13" spans="1:35" s="52" customFormat="1" ht="45" x14ac:dyDescent="0.25">
      <c r="A13" s="53">
        <v>43942</v>
      </c>
      <c r="B13" s="41">
        <v>43</v>
      </c>
      <c r="C13" s="41">
        <v>1</v>
      </c>
      <c r="D13" s="4" t="s">
        <v>131</v>
      </c>
      <c r="E13" s="6" t="s">
        <v>45</v>
      </c>
      <c r="F13" s="6" t="s">
        <v>14</v>
      </c>
      <c r="G13" s="4">
        <v>5</v>
      </c>
      <c r="H13" s="4"/>
      <c r="I13" s="4"/>
      <c r="J13" s="4"/>
      <c r="K13" s="4"/>
      <c r="L13" s="4"/>
      <c r="M13" s="6">
        <v>278000</v>
      </c>
      <c r="N13" s="6"/>
      <c r="O13" s="6"/>
      <c r="P13" s="6"/>
      <c r="Q13" s="6"/>
      <c r="R13" s="45">
        <f t="shared" ref="R13:R18" si="8">M13+N13+O13+P13+Q13</f>
        <v>278000</v>
      </c>
      <c r="S13" s="6">
        <v>20000</v>
      </c>
      <c r="T13" s="6">
        <v>8000</v>
      </c>
      <c r="U13" s="6"/>
      <c r="V13" s="6"/>
      <c r="W13" s="6"/>
      <c r="X13" s="6"/>
      <c r="Y13" s="45">
        <f t="shared" ref="Y13:Y16" si="9">SUM(S13:X13)</f>
        <v>28000</v>
      </c>
      <c r="Z13" s="6">
        <f t="shared" ref="Z13:Z18" si="10">R13+Y13</f>
        <v>306000</v>
      </c>
      <c r="AA13" s="6">
        <v>4000</v>
      </c>
      <c r="AB13" s="6">
        <f>(S13+U13+V13+W13+X13)*80%</f>
        <v>16000</v>
      </c>
      <c r="AC13" s="6">
        <f t="shared" ref="AC13:AC18" si="11">T13*80%</f>
        <v>6400</v>
      </c>
      <c r="AD13" s="45">
        <f t="shared" ref="AD13:AD16" si="12">(S13+U13)*20%</f>
        <v>4000</v>
      </c>
      <c r="AE13" s="54">
        <f t="shared" ref="AE13:AE18" si="13">T13*20%</f>
        <v>1600</v>
      </c>
      <c r="AF13" s="41" t="s">
        <v>45</v>
      </c>
      <c r="AG13" s="51">
        <f t="shared" si="7"/>
        <v>-4000</v>
      </c>
      <c r="AH13" s="51">
        <f t="shared" si="0"/>
        <v>4000</v>
      </c>
    </row>
    <row r="14" spans="1:35" s="52" customFormat="1" ht="30" x14ac:dyDescent="0.25">
      <c r="A14" s="53">
        <v>43942</v>
      </c>
      <c r="B14" s="41">
        <v>45</v>
      </c>
      <c r="C14" s="41">
        <v>3</v>
      </c>
      <c r="D14" s="4" t="s">
        <v>82</v>
      </c>
      <c r="E14" s="6" t="s">
        <v>45</v>
      </c>
      <c r="F14" s="6" t="s">
        <v>14</v>
      </c>
      <c r="G14" s="4">
        <v>5</v>
      </c>
      <c r="H14" s="4"/>
      <c r="I14" s="4"/>
      <c r="J14" s="4"/>
      <c r="K14" s="4"/>
      <c r="L14" s="4"/>
      <c r="M14" s="6">
        <v>393000</v>
      </c>
      <c r="N14" s="6"/>
      <c r="O14" s="6"/>
      <c r="P14" s="6">
        <v>50000</v>
      </c>
      <c r="Q14" s="6"/>
      <c r="R14" s="45">
        <f t="shared" si="8"/>
        <v>443000</v>
      </c>
      <c r="S14" s="6">
        <v>20000</v>
      </c>
      <c r="T14" s="6">
        <v>8000</v>
      </c>
      <c r="U14" s="6">
        <v>5000</v>
      </c>
      <c r="V14" s="6"/>
      <c r="W14" s="6"/>
      <c r="X14" s="6"/>
      <c r="Y14" s="45">
        <f t="shared" si="9"/>
        <v>33000</v>
      </c>
      <c r="Z14" s="6">
        <f t="shared" si="10"/>
        <v>476000</v>
      </c>
      <c r="AA14" s="6">
        <v>64000</v>
      </c>
      <c r="AB14" s="6">
        <f>(S14+U14+V14+W14+X14)*80%</f>
        <v>20000</v>
      </c>
      <c r="AC14" s="6">
        <f t="shared" si="11"/>
        <v>6400</v>
      </c>
      <c r="AD14" s="45">
        <f t="shared" si="12"/>
        <v>5000</v>
      </c>
      <c r="AE14" s="54">
        <f t="shared" si="13"/>
        <v>1600</v>
      </c>
      <c r="AF14" s="41" t="s">
        <v>45</v>
      </c>
      <c r="AG14" s="51">
        <f t="shared" ref="AG14:AG16" si="14">-AD14</f>
        <v>-5000</v>
      </c>
      <c r="AH14" s="51">
        <f t="shared" si="0"/>
        <v>-1000</v>
      </c>
      <c r="AI14" s="5" t="s">
        <v>139</v>
      </c>
    </row>
    <row r="15" spans="1:35" s="52" customFormat="1" ht="30" x14ac:dyDescent="0.25">
      <c r="A15" s="53">
        <v>43942</v>
      </c>
      <c r="B15" s="41">
        <v>47</v>
      </c>
      <c r="C15" s="41">
        <v>5</v>
      </c>
      <c r="D15" s="4" t="s">
        <v>134</v>
      </c>
      <c r="E15" s="6" t="s">
        <v>45</v>
      </c>
      <c r="F15" s="6" t="s">
        <v>14</v>
      </c>
      <c r="G15" s="4">
        <v>6</v>
      </c>
      <c r="H15" s="4"/>
      <c r="I15" s="4"/>
      <c r="J15" s="4"/>
      <c r="K15" s="4"/>
      <c r="L15" s="4"/>
      <c r="M15" s="6">
        <v>215500</v>
      </c>
      <c r="N15" s="6"/>
      <c r="O15" s="6"/>
      <c r="P15" s="6"/>
      <c r="Q15" s="6"/>
      <c r="R15" s="45">
        <f t="shared" si="8"/>
        <v>215500</v>
      </c>
      <c r="S15" s="6">
        <v>10000</v>
      </c>
      <c r="T15" s="6">
        <v>10000</v>
      </c>
      <c r="U15" s="6"/>
      <c r="V15" s="6"/>
      <c r="W15" s="6"/>
      <c r="X15" s="6"/>
      <c r="Y15" s="45">
        <f t="shared" si="9"/>
        <v>20000</v>
      </c>
      <c r="Z15" s="6">
        <f t="shared" si="10"/>
        <v>235500</v>
      </c>
      <c r="AA15" s="6">
        <v>14500</v>
      </c>
      <c r="AB15" s="6">
        <f>(S15+U15+V15+W15+X15)*80%</f>
        <v>8000</v>
      </c>
      <c r="AC15" s="6">
        <f t="shared" si="11"/>
        <v>8000</v>
      </c>
      <c r="AD15" s="45">
        <f t="shared" si="12"/>
        <v>2000</v>
      </c>
      <c r="AE15" s="54">
        <f t="shared" si="13"/>
        <v>2000</v>
      </c>
      <c r="AF15" s="41" t="s">
        <v>45</v>
      </c>
      <c r="AG15" s="51">
        <f t="shared" si="14"/>
        <v>-2000</v>
      </c>
      <c r="AH15" s="51">
        <f t="shared" si="0"/>
        <v>-3000</v>
      </c>
    </row>
    <row r="16" spans="1:35" s="52" customFormat="1" x14ac:dyDescent="0.25">
      <c r="A16" s="53">
        <v>43942</v>
      </c>
      <c r="B16" s="41">
        <v>50</v>
      </c>
      <c r="C16" s="41">
        <v>8</v>
      </c>
      <c r="D16" s="4" t="s">
        <v>85</v>
      </c>
      <c r="E16" s="6" t="s">
        <v>45</v>
      </c>
      <c r="F16" s="6" t="s">
        <v>14</v>
      </c>
      <c r="G16" s="4">
        <v>3</v>
      </c>
      <c r="H16" s="4"/>
      <c r="I16" s="4"/>
      <c r="J16" s="4"/>
      <c r="K16" s="4"/>
      <c r="L16" s="4"/>
      <c r="M16" s="6">
        <v>93000</v>
      </c>
      <c r="N16" s="6"/>
      <c r="O16" s="6"/>
      <c r="P16" s="6"/>
      <c r="Q16" s="6"/>
      <c r="R16" s="45">
        <f t="shared" si="8"/>
        <v>93000</v>
      </c>
      <c r="S16" s="6">
        <v>10000</v>
      </c>
      <c r="T16" s="6">
        <v>4000</v>
      </c>
      <c r="U16" s="6"/>
      <c r="V16" s="6"/>
      <c r="W16" s="6"/>
      <c r="X16" s="6"/>
      <c r="Y16" s="45">
        <f t="shared" si="9"/>
        <v>14000</v>
      </c>
      <c r="Z16" s="6">
        <f t="shared" si="10"/>
        <v>107000</v>
      </c>
      <c r="AA16" s="6">
        <v>3000</v>
      </c>
      <c r="AB16" s="6">
        <f>(S16+U16+V16+W16+X16)*80%</f>
        <v>8000</v>
      </c>
      <c r="AC16" s="6">
        <f t="shared" si="11"/>
        <v>3200</v>
      </c>
      <c r="AD16" s="45">
        <f t="shared" si="12"/>
        <v>2000</v>
      </c>
      <c r="AE16" s="54">
        <f t="shared" si="13"/>
        <v>800</v>
      </c>
      <c r="AF16" s="41" t="s">
        <v>45</v>
      </c>
      <c r="AG16" s="51">
        <f t="shared" si="14"/>
        <v>-2000</v>
      </c>
      <c r="AH16" s="51">
        <f t="shared" si="0"/>
        <v>-5000</v>
      </c>
    </row>
    <row r="17" spans="1:34" s="52" customFormat="1" ht="30" x14ac:dyDescent="0.25">
      <c r="A17" s="53">
        <v>43943</v>
      </c>
      <c r="B17" s="43">
        <v>57</v>
      </c>
      <c r="C17" s="43">
        <v>3</v>
      </c>
      <c r="D17" s="4" t="s">
        <v>142</v>
      </c>
      <c r="E17" s="6" t="s">
        <v>45</v>
      </c>
      <c r="F17" s="6" t="s">
        <v>15</v>
      </c>
      <c r="G17" s="4">
        <v>4</v>
      </c>
      <c r="H17" s="4"/>
      <c r="I17" s="4"/>
      <c r="J17" s="4"/>
      <c r="K17" s="4"/>
      <c r="L17" s="4"/>
      <c r="M17" s="6">
        <v>203000</v>
      </c>
      <c r="N17" s="6"/>
      <c r="O17" s="6"/>
      <c r="P17" s="6"/>
      <c r="Q17" s="6"/>
      <c r="R17" s="45">
        <f t="shared" si="8"/>
        <v>203000</v>
      </c>
      <c r="S17" s="6">
        <v>10000</v>
      </c>
      <c r="T17" s="6">
        <v>6000</v>
      </c>
      <c r="U17" s="6"/>
      <c r="V17" s="6"/>
      <c r="W17" s="6"/>
      <c r="X17" s="6"/>
      <c r="Y17" s="45">
        <f t="shared" ref="Y17:Y18" si="15">SUM(S17:X17)</f>
        <v>16000</v>
      </c>
      <c r="Z17" s="6">
        <f t="shared" si="10"/>
        <v>219000</v>
      </c>
      <c r="AA17" s="6">
        <v>3000</v>
      </c>
      <c r="AB17" s="6">
        <f>(S17+U17+V17+W17+X17)*80%</f>
        <v>8000</v>
      </c>
      <c r="AC17" s="6">
        <f t="shared" si="11"/>
        <v>4800</v>
      </c>
      <c r="AD17" s="45">
        <f>(S17+U17+V17+W17+X17)*20%</f>
        <v>2000</v>
      </c>
      <c r="AE17" s="54">
        <f t="shared" si="13"/>
        <v>1200</v>
      </c>
      <c r="AF17" s="43" t="s">
        <v>41</v>
      </c>
      <c r="AG17" s="51">
        <f>AA17+AB17</f>
        <v>11000</v>
      </c>
      <c r="AH17" s="51">
        <f t="shared" si="0"/>
        <v>6000</v>
      </c>
    </row>
    <row r="18" spans="1:34" s="52" customFormat="1" x14ac:dyDescent="0.25">
      <c r="A18" s="53">
        <v>43943</v>
      </c>
      <c r="B18" s="43">
        <v>58</v>
      </c>
      <c r="C18" s="43">
        <v>4</v>
      </c>
      <c r="D18" s="4" t="s">
        <v>143</v>
      </c>
      <c r="E18" s="6" t="s">
        <v>45</v>
      </c>
      <c r="F18" s="6" t="s">
        <v>14</v>
      </c>
      <c r="G18" s="4">
        <v>4</v>
      </c>
      <c r="H18" s="4"/>
      <c r="I18" s="4"/>
      <c r="J18" s="4"/>
      <c r="K18" s="4"/>
      <c r="L18" s="4"/>
      <c r="M18" s="6">
        <v>130000</v>
      </c>
      <c r="N18" s="6"/>
      <c r="O18" s="6"/>
      <c r="P18" s="6"/>
      <c r="Q18" s="6"/>
      <c r="R18" s="45">
        <f t="shared" si="8"/>
        <v>130000</v>
      </c>
      <c r="S18" s="6">
        <v>10000</v>
      </c>
      <c r="T18" s="6">
        <v>6000</v>
      </c>
      <c r="U18" s="6"/>
      <c r="V18" s="6"/>
      <c r="W18" s="6"/>
      <c r="X18" s="6"/>
      <c r="Y18" s="45">
        <f t="shared" si="15"/>
        <v>16000</v>
      </c>
      <c r="Z18" s="6">
        <f t="shared" si="10"/>
        <v>146000</v>
      </c>
      <c r="AA18" s="6">
        <v>6000</v>
      </c>
      <c r="AB18" s="6">
        <f>(S18+U18+V18+W18+X18)*80%</f>
        <v>8000</v>
      </c>
      <c r="AC18" s="6">
        <f t="shared" si="11"/>
        <v>4800</v>
      </c>
      <c r="AD18" s="45">
        <f>(S18+U18+V18+W18+X18)*20%</f>
        <v>2000</v>
      </c>
      <c r="AE18" s="54">
        <f t="shared" si="13"/>
        <v>1200</v>
      </c>
      <c r="AF18" s="43" t="s">
        <v>45</v>
      </c>
      <c r="AG18" s="51">
        <f t="shared" ref="AG18" si="16">-AD18</f>
        <v>-2000</v>
      </c>
      <c r="AH18" s="51">
        <f t="shared" si="0"/>
        <v>4000</v>
      </c>
    </row>
    <row r="19" spans="1:34" x14ac:dyDescent="0.25">
      <c r="A19" s="11"/>
      <c r="E19" s="6"/>
      <c r="F19" s="6"/>
      <c r="M19" s="6"/>
      <c r="N19" s="6"/>
      <c r="O19" s="6"/>
      <c r="P19" s="6"/>
      <c r="Q19" s="6"/>
      <c r="R19" s="45"/>
      <c r="S19" s="6"/>
      <c r="T19" s="6"/>
      <c r="U19" s="6"/>
      <c r="V19" s="6"/>
      <c r="W19" s="6"/>
      <c r="X19" s="6"/>
      <c r="Y19" s="45"/>
      <c r="Z19" s="6"/>
      <c r="AA19" s="6"/>
      <c r="AB19" s="6"/>
      <c r="AC19" s="6"/>
      <c r="AD19" s="45"/>
      <c r="AE19" s="49"/>
    </row>
    <row r="20" spans="1:34" x14ac:dyDescent="0.25">
      <c r="A20" s="11"/>
      <c r="E20" s="6"/>
      <c r="F20" s="6"/>
      <c r="M20" s="6"/>
      <c r="N20" s="6"/>
      <c r="O20" s="6"/>
      <c r="P20" s="6"/>
      <c r="Q20" s="6"/>
      <c r="R20" s="45"/>
      <c r="S20" s="6"/>
      <c r="T20" s="6"/>
      <c r="U20" s="6"/>
      <c r="V20" s="6"/>
      <c r="W20" s="6"/>
      <c r="X20" s="6"/>
      <c r="Y20" s="45"/>
      <c r="Z20" s="6"/>
      <c r="AA20" s="6"/>
      <c r="AB20" s="6"/>
      <c r="AC20" s="6"/>
      <c r="AD20" s="45"/>
      <c r="AE20" s="49"/>
    </row>
    <row r="21" spans="1:34" x14ac:dyDescent="0.25">
      <c r="A21" s="11"/>
      <c r="D21" s="16"/>
      <c r="E21" s="6"/>
      <c r="F21" s="6"/>
      <c r="M21" s="6"/>
      <c r="N21" s="6"/>
      <c r="O21" s="6"/>
      <c r="P21" s="6"/>
      <c r="Q21" s="6"/>
      <c r="R21" s="45"/>
      <c r="S21" s="6"/>
      <c r="T21" s="6"/>
      <c r="U21" s="6"/>
      <c r="V21" s="6"/>
      <c r="W21" s="6"/>
      <c r="X21" s="6"/>
      <c r="Y21" s="45"/>
      <c r="Z21" s="6"/>
      <c r="AA21" s="6"/>
      <c r="AB21" s="6"/>
      <c r="AC21" s="6"/>
      <c r="AD21" s="45"/>
      <c r="AE21" s="49"/>
    </row>
    <row r="22" spans="1:34" x14ac:dyDescent="0.25">
      <c r="A22" s="11"/>
      <c r="E22" s="6"/>
      <c r="F22" s="6"/>
      <c r="M22" s="6"/>
      <c r="N22" s="6"/>
      <c r="O22" s="6"/>
      <c r="P22" s="6"/>
      <c r="Q22" s="6"/>
      <c r="R22" s="45"/>
      <c r="S22" s="6"/>
      <c r="T22" s="6"/>
      <c r="U22" s="6"/>
      <c r="V22" s="6"/>
      <c r="W22" s="6"/>
      <c r="X22" s="6"/>
      <c r="Y22" s="45"/>
      <c r="Z22" s="6"/>
      <c r="AA22" s="6"/>
      <c r="AB22" s="6"/>
      <c r="AC22" s="6"/>
      <c r="AD22" s="45"/>
      <c r="AE22" s="49"/>
    </row>
    <row r="23" spans="1:34" x14ac:dyDescent="0.25">
      <c r="A23" s="11"/>
      <c r="E23" s="6"/>
      <c r="F23" s="6"/>
      <c r="M23" s="6"/>
      <c r="N23" s="6"/>
      <c r="O23" s="6"/>
      <c r="P23" s="6"/>
      <c r="Q23" s="6"/>
      <c r="R23" s="45"/>
      <c r="S23" s="6"/>
      <c r="T23" s="6"/>
      <c r="U23" s="6"/>
      <c r="V23" s="6"/>
      <c r="W23" s="6"/>
      <c r="X23" s="6"/>
      <c r="Y23" s="45"/>
      <c r="Z23" s="6"/>
      <c r="AA23" s="6"/>
      <c r="AB23" s="6"/>
      <c r="AC23" s="6"/>
      <c r="AD23" s="45"/>
      <c r="AE23" s="49"/>
    </row>
    <row r="24" spans="1:34" ht="15.75" x14ac:dyDescent="0.25">
      <c r="E24" s="10" t="s">
        <v>35</v>
      </c>
      <c r="F24" s="6"/>
      <c r="G24" s="10">
        <f>SUM(G3:G23)</f>
        <v>52</v>
      </c>
      <c r="H24" s="10">
        <f>SUM(H3:H23)</f>
        <v>4</v>
      </c>
      <c r="I24" s="10">
        <f>SUM(I3:I23)</f>
        <v>1</v>
      </c>
      <c r="J24" s="10">
        <f>SUM(J3:J23)</f>
        <v>0</v>
      </c>
      <c r="K24" s="10">
        <f>SUM(K3:K23)</f>
        <v>0</v>
      </c>
      <c r="L24" s="10">
        <f>SUM(L3:L23)</f>
        <v>0</v>
      </c>
      <c r="M24" s="21">
        <f>SUM(M3:M23)</f>
        <v>2570500</v>
      </c>
      <c r="N24" s="21">
        <f>SUM(N3:N23)</f>
        <v>1463000</v>
      </c>
      <c r="O24" s="21">
        <f>SUM(O3:O23)</f>
        <v>84000</v>
      </c>
      <c r="P24" s="21">
        <f>SUM(P3:P23)</f>
        <v>50000</v>
      </c>
      <c r="Q24" s="21">
        <f>SUM(Q3:Q23)</f>
        <v>0</v>
      </c>
      <c r="R24" s="46">
        <f>SUM(R3:R23)</f>
        <v>4167500</v>
      </c>
      <c r="S24" s="21">
        <f>SUM(S3:S23)</f>
        <v>200000</v>
      </c>
      <c r="T24" s="21">
        <f>SUM(T3:T23)</f>
        <v>80000</v>
      </c>
      <c r="U24" s="21">
        <f>SUM(U3:U23)</f>
        <v>20000</v>
      </c>
      <c r="V24" s="21">
        <f>SUM(V3:V23)</f>
        <v>0</v>
      </c>
      <c r="W24" s="21">
        <f>SUM(W3:W23)</f>
        <v>0</v>
      </c>
      <c r="X24" s="21">
        <f>SUM(X3:X23)</f>
        <v>0</v>
      </c>
      <c r="Y24" s="46">
        <f>SUM(Y3:Y23)</f>
        <v>300000</v>
      </c>
      <c r="Z24" s="10">
        <f>SUM(Z3:Z23)</f>
        <v>4467500</v>
      </c>
      <c r="AA24" s="10">
        <f>SUM(AA3:AA23)</f>
        <v>187500</v>
      </c>
      <c r="AB24" s="10">
        <f>SUM(AB3:AB23)</f>
        <v>176000</v>
      </c>
      <c r="AC24" s="10">
        <f>SUM(AC3:AC23)</f>
        <v>64000</v>
      </c>
      <c r="AD24" s="50">
        <f>SUM(AD3:AD23)</f>
        <v>44000</v>
      </c>
      <c r="AE24" s="50">
        <f>SUM(AE3:AE23)</f>
        <v>16000</v>
      </c>
    </row>
    <row r="25" spans="1:34" x14ac:dyDescent="0.25">
      <c r="E25" s="6"/>
      <c r="F25" s="6"/>
      <c r="M25" s="38">
        <f>M24/$R$24</f>
        <v>0.61679664067186568</v>
      </c>
      <c r="N25" s="38">
        <f t="shared" ref="N25:Q25" si="17">N24/$R$24</f>
        <v>0.35104979004199161</v>
      </c>
      <c r="O25" s="38">
        <f t="shared" si="17"/>
        <v>2.0155968806238753E-2</v>
      </c>
      <c r="P25" s="38">
        <f t="shared" si="17"/>
        <v>1.199760047990402E-2</v>
      </c>
      <c r="Q25" s="38">
        <f t="shared" si="17"/>
        <v>0</v>
      </c>
      <c r="R25" s="45"/>
      <c r="S25" s="39" t="s">
        <v>115</v>
      </c>
      <c r="T25" s="40">
        <f>S24+T24+U24</f>
        <v>300000</v>
      </c>
      <c r="U25" s="39">
        <f>T25/$Y$24</f>
        <v>1</v>
      </c>
      <c r="V25" s="39">
        <f t="shared" ref="V25:X25" si="18">V24/$Y$24</f>
        <v>0</v>
      </c>
      <c r="W25" s="39">
        <f t="shared" si="18"/>
        <v>0</v>
      </c>
      <c r="X25" s="39">
        <f t="shared" si="18"/>
        <v>0</v>
      </c>
      <c r="Y25" s="45"/>
      <c r="Z25" s="30"/>
      <c r="AA25" s="9"/>
      <c r="AB25" s="6"/>
      <c r="AC25" s="6"/>
      <c r="AD25" s="45"/>
      <c r="AE25" s="49"/>
    </row>
    <row r="26" spans="1:34" ht="45" x14ac:dyDescent="0.25">
      <c r="D26" s="12"/>
      <c r="E26" s="6"/>
      <c r="F26" s="6"/>
      <c r="M26" s="6"/>
      <c r="N26" s="6"/>
      <c r="O26" s="6"/>
      <c r="P26" s="6"/>
      <c r="Q26" s="6"/>
      <c r="R26" s="6"/>
      <c r="S26" s="13"/>
      <c r="T26" s="18"/>
      <c r="U26" s="18"/>
      <c r="V26" s="18"/>
      <c r="W26" s="18"/>
      <c r="X26" s="18"/>
      <c r="Y26" s="18"/>
      <c r="Z26" s="13" t="s">
        <v>32</v>
      </c>
      <c r="AA26" s="18">
        <f>AB24+AA24</f>
        <v>363500</v>
      </c>
      <c r="AB26" s="13"/>
      <c r="AC26" s="18"/>
      <c r="AD26" s="13" t="s">
        <v>53</v>
      </c>
      <c r="AE26" s="14">
        <f>AD24+AE24</f>
        <v>60000</v>
      </c>
    </row>
    <row r="27" spans="1:34" ht="18.75" x14ac:dyDescent="0.3">
      <c r="E27" s="6"/>
      <c r="F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9" t="s">
        <v>56</v>
      </c>
      <c r="AE27" s="17">
        <f>'Donasi Pasar'!B13</f>
        <v>154000</v>
      </c>
    </row>
    <row r="28" spans="1:34" ht="18.75" x14ac:dyDescent="0.25">
      <c r="E28" s="6"/>
      <c r="F28" s="6"/>
      <c r="M28" s="6"/>
      <c r="N28" s="6"/>
      <c r="O28" s="6"/>
      <c r="P28" s="6"/>
      <c r="Q28" s="6"/>
      <c r="R28" s="58" t="s">
        <v>76</v>
      </c>
      <c r="S28" s="58"/>
      <c r="T28" s="24">
        <f>Z24+AA24+AA25</f>
        <v>4655000</v>
      </c>
      <c r="U28" s="42">
        <f>T28/$T$28</f>
        <v>1</v>
      </c>
      <c r="V28" s="6"/>
      <c r="W28" s="6"/>
      <c r="X28" s="6"/>
      <c r="Y28" s="6"/>
      <c r="Z28" s="6"/>
      <c r="AA28" s="6"/>
      <c r="AB28" s="6"/>
      <c r="AC28" s="6"/>
      <c r="AD28" s="6"/>
    </row>
    <row r="29" spans="1:34" ht="18.75" x14ac:dyDescent="0.25">
      <c r="E29" s="6"/>
      <c r="F29" s="6"/>
      <c r="M29" s="34"/>
      <c r="N29" s="34"/>
      <c r="O29" s="34"/>
      <c r="P29" s="34"/>
      <c r="Q29" s="34"/>
      <c r="R29" s="58" t="s">
        <v>5</v>
      </c>
      <c r="S29" s="58"/>
      <c r="T29" s="24">
        <f>R24</f>
        <v>4167500</v>
      </c>
      <c r="U29" s="42">
        <f>T29/$T$28</f>
        <v>0.89527389903329757</v>
      </c>
      <c r="V29" s="36"/>
      <c r="W29" s="36"/>
      <c r="X29" s="36"/>
      <c r="Y29" s="20"/>
      <c r="AA29" s="18"/>
      <c r="AB29" s="22"/>
      <c r="AC29" s="19"/>
      <c r="AD29"/>
    </row>
    <row r="30" spans="1:34" ht="18.75" x14ac:dyDescent="0.25">
      <c r="E30" s="6"/>
      <c r="F30" s="6"/>
      <c r="M30" s="34"/>
      <c r="N30" s="34"/>
      <c r="O30" s="34"/>
      <c r="P30" s="34"/>
      <c r="Q30" s="34"/>
      <c r="R30" s="58" t="s">
        <v>59</v>
      </c>
      <c r="S30" s="58"/>
      <c r="T30" s="26">
        <f>Y24+AA24+AA25+AE27</f>
        <v>641500</v>
      </c>
      <c r="U30" s="42">
        <f>T30/$T$28</f>
        <v>0.13780880773361975</v>
      </c>
      <c r="V30" s="37"/>
      <c r="W30" s="37"/>
      <c r="X30" s="37"/>
      <c r="Y30" s="6"/>
      <c r="Z30" s="6"/>
      <c r="AA30" s="6"/>
      <c r="AB30" s="6"/>
      <c r="AC30"/>
      <c r="AD30"/>
    </row>
    <row r="31" spans="1:34" ht="18.75" x14ac:dyDescent="0.25">
      <c r="E31" s="6"/>
      <c r="F31" s="6"/>
      <c r="M31" s="34"/>
      <c r="N31" s="34"/>
      <c r="O31" s="34"/>
      <c r="P31" s="34"/>
      <c r="Q31" s="34"/>
      <c r="R31" s="58" t="s">
        <v>57</v>
      </c>
      <c r="S31" s="58"/>
      <c r="T31" s="26">
        <f>AA24+AA25+AB24+AC24</f>
        <v>427500</v>
      </c>
      <c r="U31" s="42">
        <f>T31/$T$28</f>
        <v>9.1836734693877556E-2</v>
      </c>
      <c r="V31" s="37"/>
      <c r="W31" s="37"/>
      <c r="X31" s="37"/>
      <c r="Y31" s="6"/>
      <c r="Z31" s="6"/>
      <c r="AA31" s="6"/>
      <c r="AB31" s="6"/>
      <c r="AC31"/>
      <c r="AD31"/>
    </row>
    <row r="32" spans="1:34" ht="18.75" x14ac:dyDescent="0.25">
      <c r="E32" s="6"/>
      <c r="F32" s="6"/>
      <c r="M32" s="34"/>
      <c r="N32" s="34"/>
      <c r="O32" s="34"/>
      <c r="P32" s="34"/>
      <c r="Q32" s="34"/>
      <c r="R32" s="58" t="s">
        <v>58</v>
      </c>
      <c r="S32" s="58"/>
      <c r="T32" s="26">
        <f>AE26+AE27</f>
        <v>214000</v>
      </c>
      <c r="U32" s="42">
        <f>T32/$T$28</f>
        <v>4.5972073039742212E-2</v>
      </c>
      <c r="V32" s="37"/>
      <c r="W32" s="37"/>
      <c r="X32" s="37"/>
      <c r="Y32" s="6"/>
      <c r="Z32" s="6"/>
      <c r="AA32" s="6"/>
      <c r="AB32" s="6"/>
      <c r="AC32"/>
      <c r="AD32"/>
    </row>
    <row r="33" spans="5:30" x14ac:dyDescent="0.25">
      <c r="E33" s="6"/>
      <c r="F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</row>
    <row r="34" spans="5:30" x14ac:dyDescent="0.25">
      <c r="R34" s="57" t="s">
        <v>75</v>
      </c>
      <c r="S34" s="57"/>
      <c r="T34" s="41" t="s">
        <v>94</v>
      </c>
      <c r="U34" s="41" t="s">
        <v>92</v>
      </c>
      <c r="AB34"/>
      <c r="AC34"/>
      <c r="AD34"/>
    </row>
    <row r="35" spans="5:30" x14ac:dyDescent="0.25">
      <c r="R35" s="41" t="s">
        <v>8</v>
      </c>
      <c r="S35" s="31">
        <f>'Saldo Indri'!AA65+'Saldo Indri'!AC65</f>
        <v>653800</v>
      </c>
      <c r="T35" s="41">
        <v>6</v>
      </c>
      <c r="U35" s="31">
        <f>S35/T35</f>
        <v>108966.66666666667</v>
      </c>
      <c r="V35" s="31"/>
      <c r="AB35"/>
      <c r="AC35"/>
      <c r="AD35"/>
    </row>
    <row r="36" spans="5:30" x14ac:dyDescent="0.25">
      <c r="R36" s="41" t="s">
        <v>7</v>
      </c>
      <c r="S36" s="31">
        <f>'Saldo Samin'!AA37</f>
        <v>477000</v>
      </c>
      <c r="T36" s="41">
        <v>6</v>
      </c>
      <c r="U36" s="31">
        <f>S36/T36</f>
        <v>79500</v>
      </c>
      <c r="V36" s="31"/>
      <c r="AB36"/>
      <c r="AC36"/>
      <c r="AD36"/>
    </row>
    <row r="37" spans="5:30" x14ac:dyDescent="0.25">
      <c r="R37" s="41" t="s">
        <v>17</v>
      </c>
      <c r="S37" s="31">
        <f>'Saldo Yudi'!AA23+'Saldo Yudi'!AC23</f>
        <v>292300</v>
      </c>
      <c r="T37" s="41">
        <v>6</v>
      </c>
      <c r="U37" s="31">
        <f>S37/T37</f>
        <v>48716.666666666664</v>
      </c>
      <c r="V37" s="31"/>
      <c r="AB37"/>
      <c r="AC37"/>
      <c r="AD37"/>
    </row>
    <row r="38" spans="5:30" x14ac:dyDescent="0.25">
      <c r="R38" s="41" t="s">
        <v>45</v>
      </c>
      <c r="S38" s="31">
        <f>Andri!S16+Andri!T16+Andri!S17</f>
        <v>200300</v>
      </c>
      <c r="T38" s="41">
        <v>4</v>
      </c>
      <c r="U38" s="31">
        <f>S38/T38</f>
        <v>50075</v>
      </c>
      <c r="V38" s="31"/>
      <c r="AB38"/>
      <c r="AC38"/>
      <c r="AD38"/>
    </row>
  </sheetData>
  <autoFilter ref="A2:AI2"/>
  <mergeCells count="6">
    <mergeCell ref="R34:S34"/>
    <mergeCell ref="R28:S28"/>
    <mergeCell ref="R29:S29"/>
    <mergeCell ref="R30:S30"/>
    <mergeCell ref="R31:S31"/>
    <mergeCell ref="R32:S3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6"/>
  <sheetViews>
    <sheetView zoomScale="85" zoomScaleNormal="85" workbookViewId="0">
      <pane xSplit="1" ySplit="2" topLeftCell="B3" activePane="bottomRight" state="frozen"/>
      <selection pane="topRight" activeCell="I1" sqref="I1"/>
      <selection pane="bottomLeft" activeCell="A3" sqref="A3"/>
      <selection pane="bottomRight" activeCell="B9" sqref="B9"/>
    </sheetView>
  </sheetViews>
  <sheetFormatPr defaultRowHeight="15" x14ac:dyDescent="0.25"/>
  <cols>
    <col min="1" max="1" width="9.5703125" bestFit="1" customWidth="1"/>
    <col min="2" max="2" width="17.42578125" style="3" customWidth="1"/>
  </cols>
  <sheetData>
    <row r="2" spans="1:2" s="5" customFormat="1" x14ac:dyDescent="0.25">
      <c r="A2" s="5" t="s">
        <v>29</v>
      </c>
      <c r="B2" s="4" t="s">
        <v>55</v>
      </c>
    </row>
    <row r="3" spans="1:2" s="5" customFormat="1" x14ac:dyDescent="0.25">
      <c r="A3" s="11">
        <v>43938</v>
      </c>
      <c r="B3" s="6">
        <v>20000</v>
      </c>
    </row>
    <row r="4" spans="1:2" s="5" customFormat="1" x14ac:dyDescent="0.25">
      <c r="A4" s="11">
        <v>43939</v>
      </c>
      <c r="B4" s="6">
        <v>25000</v>
      </c>
    </row>
    <row r="5" spans="1:2" x14ac:dyDescent="0.25">
      <c r="A5" s="11">
        <v>43940</v>
      </c>
      <c r="B5" s="6">
        <v>22000</v>
      </c>
    </row>
    <row r="6" spans="1:2" x14ac:dyDescent="0.25">
      <c r="A6" s="11">
        <v>43941</v>
      </c>
      <c r="B6" s="6">
        <v>16000</v>
      </c>
    </row>
    <row r="7" spans="1:2" x14ac:dyDescent="0.25">
      <c r="A7" s="11">
        <v>43942</v>
      </c>
      <c r="B7" s="6">
        <v>45000</v>
      </c>
    </row>
    <row r="8" spans="1:2" x14ac:dyDescent="0.25">
      <c r="A8" s="11">
        <v>43943</v>
      </c>
      <c r="B8" s="6">
        <v>26000</v>
      </c>
    </row>
    <row r="9" spans="1:2" x14ac:dyDescent="0.25">
      <c r="A9" s="11"/>
      <c r="B9" s="6"/>
    </row>
    <row r="10" spans="1:2" x14ac:dyDescent="0.25">
      <c r="B10" s="6"/>
    </row>
    <row r="11" spans="1:2" x14ac:dyDescent="0.25">
      <c r="B11" s="6"/>
    </row>
    <row r="12" spans="1:2" x14ac:dyDescent="0.25">
      <c r="B12" s="6"/>
    </row>
    <row r="13" spans="1:2" ht="15.75" x14ac:dyDescent="0.25">
      <c r="B13" s="10">
        <f>SUM(B3:B12)</f>
        <v>154000</v>
      </c>
    </row>
    <row r="14" spans="1:2" x14ac:dyDescent="0.25">
      <c r="B14" s="6"/>
    </row>
    <row r="15" spans="1:2" x14ac:dyDescent="0.25">
      <c r="B15" s="6"/>
    </row>
    <row r="16" spans="1:2" x14ac:dyDescent="0.25">
      <c r="B16" s="6"/>
    </row>
    <row r="17" spans="2:2" x14ac:dyDescent="0.25">
      <c r="B17" s="6"/>
    </row>
    <row r="18" spans="2:2" x14ac:dyDescent="0.25">
      <c r="B18" s="6"/>
    </row>
    <row r="19" spans="2:2" x14ac:dyDescent="0.25">
      <c r="B19" s="6"/>
    </row>
    <row r="20" spans="2:2" x14ac:dyDescent="0.25">
      <c r="B20" s="6"/>
    </row>
    <row r="21" spans="2:2" x14ac:dyDescent="0.25">
      <c r="B21" s="6"/>
    </row>
    <row r="22" spans="2:2" x14ac:dyDescent="0.25">
      <c r="B22" s="6"/>
    </row>
    <row r="23" spans="2:2" x14ac:dyDescent="0.25">
      <c r="B23" s="6"/>
    </row>
    <row r="24" spans="2:2" x14ac:dyDescent="0.25">
      <c r="B24" s="6"/>
    </row>
    <row r="25" spans="2:2" x14ac:dyDescent="0.25">
      <c r="B25" s="6"/>
    </row>
    <row r="26" spans="2:2" x14ac:dyDescent="0.25">
      <c r="B26" s="6"/>
    </row>
  </sheetData>
  <autoFilter ref="A2:B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9"/>
  <sheetViews>
    <sheetView zoomScale="80" zoomScaleNormal="80" workbookViewId="0">
      <pane xSplit="8" ySplit="2" topLeftCell="U3" activePane="bottomRight" state="frozen"/>
      <selection pane="topRight" activeCell="I1" sqref="I1"/>
      <selection pane="bottomLeft" activeCell="A3" sqref="A3"/>
      <selection pane="bottomRight" activeCell="X1" sqref="X1:Z1048576"/>
    </sheetView>
  </sheetViews>
  <sheetFormatPr defaultRowHeight="15" x14ac:dyDescent="0.25"/>
  <cols>
    <col min="1" max="1" width="10.7109375" customWidth="1"/>
    <col min="2" max="3" width="6.140625" style="1" customWidth="1"/>
    <col min="4" max="4" width="19" style="1" customWidth="1"/>
    <col min="5" max="5" width="14.7109375" style="3" customWidth="1"/>
    <col min="6" max="6" width="9.42578125" style="3" customWidth="1"/>
    <col min="7" max="9" width="7.28515625" style="2" customWidth="1"/>
    <col min="10" max="17" width="17.42578125" style="3" customWidth="1"/>
    <col min="18" max="18" width="15.85546875" style="3" customWidth="1"/>
    <col min="19" max="19" width="17.42578125" style="3" customWidth="1"/>
    <col min="20" max="20" width="19.140625" style="3" customWidth="1"/>
    <col min="21" max="22" width="17.42578125" style="3" customWidth="1"/>
    <col min="23" max="23" width="19.85546875" customWidth="1"/>
    <col min="24" max="24" width="15.42578125" style="1" customWidth="1"/>
    <col min="25" max="26" width="16.140625" style="1" customWidth="1"/>
  </cols>
  <sheetData>
    <row r="2" spans="1:26" s="5" customFormat="1" ht="45" x14ac:dyDescent="0.25">
      <c r="A2" s="5" t="s">
        <v>29</v>
      </c>
      <c r="B2" s="4" t="s">
        <v>0</v>
      </c>
      <c r="C2" s="4" t="s">
        <v>46</v>
      </c>
      <c r="D2" s="4" t="s">
        <v>1</v>
      </c>
      <c r="E2" s="4" t="s">
        <v>34</v>
      </c>
      <c r="F2" s="4" t="s">
        <v>13</v>
      </c>
      <c r="G2" s="7" t="s">
        <v>2</v>
      </c>
      <c r="H2" s="7" t="s">
        <v>30</v>
      </c>
      <c r="I2" s="7" t="s">
        <v>50</v>
      </c>
      <c r="J2" s="4" t="s">
        <v>64</v>
      </c>
      <c r="K2" s="4" t="s">
        <v>65</v>
      </c>
      <c r="L2" s="4" t="s">
        <v>66</v>
      </c>
      <c r="M2" s="29" t="s">
        <v>67</v>
      </c>
      <c r="N2" s="4" t="s">
        <v>3</v>
      </c>
      <c r="O2" s="4" t="s">
        <v>73</v>
      </c>
      <c r="P2" s="4" t="s">
        <v>68</v>
      </c>
      <c r="Q2" s="29" t="s">
        <v>69</v>
      </c>
      <c r="R2" s="29" t="s">
        <v>23</v>
      </c>
      <c r="S2" s="4" t="s">
        <v>24</v>
      </c>
      <c r="T2" s="4" t="s">
        <v>25</v>
      </c>
      <c r="U2" s="4" t="s">
        <v>26</v>
      </c>
      <c r="V2" s="4" t="s">
        <v>27</v>
      </c>
      <c r="W2" s="4" t="s">
        <v>28</v>
      </c>
      <c r="X2" s="4" t="s">
        <v>36</v>
      </c>
      <c r="Y2" s="4" t="s">
        <v>38</v>
      </c>
      <c r="Z2" s="4" t="s">
        <v>51</v>
      </c>
    </row>
    <row r="3" spans="1:26" s="5" customFormat="1" x14ac:dyDescent="0.25">
      <c r="A3" s="11">
        <v>43938</v>
      </c>
      <c r="B3" s="1">
        <v>15</v>
      </c>
      <c r="C3" s="1">
        <v>2</v>
      </c>
      <c r="D3" s="1" t="s">
        <v>49</v>
      </c>
      <c r="E3" s="6" t="s">
        <v>45</v>
      </c>
      <c r="F3" s="6" t="s">
        <v>14</v>
      </c>
      <c r="G3" s="2"/>
      <c r="H3" s="2">
        <v>3</v>
      </c>
      <c r="I3" s="2"/>
      <c r="J3" s="3"/>
      <c r="K3" s="6">
        <v>86500</v>
      </c>
      <c r="L3" s="6"/>
      <c r="M3" s="6">
        <f>J3+K3+L3</f>
        <v>86500</v>
      </c>
      <c r="N3" s="6">
        <v>10000</v>
      </c>
      <c r="O3" s="6">
        <v>4000</v>
      </c>
      <c r="P3" s="6"/>
      <c r="Q3" s="6">
        <f>N3+O3+P3</f>
        <v>14000</v>
      </c>
      <c r="R3" s="6">
        <f>M3+Q3</f>
        <v>100500</v>
      </c>
      <c r="S3" s="6">
        <v>0</v>
      </c>
      <c r="T3" s="6">
        <f>(N3+P3)*80%</f>
        <v>8000</v>
      </c>
      <c r="U3" s="6">
        <f>O3*80%</f>
        <v>3200</v>
      </c>
      <c r="V3" s="6">
        <f>(N3+P3)*20%</f>
        <v>2000</v>
      </c>
      <c r="W3" s="8">
        <f>O3*20%</f>
        <v>800</v>
      </c>
      <c r="X3" s="1" t="s">
        <v>45</v>
      </c>
      <c r="Y3" s="16">
        <f>-V3</f>
        <v>-2000</v>
      </c>
      <c r="Z3" s="8">
        <f>Y3</f>
        <v>-2000</v>
      </c>
    </row>
    <row r="4" spans="1:26" s="5" customFormat="1" x14ac:dyDescent="0.25">
      <c r="A4" s="11">
        <v>43938</v>
      </c>
      <c r="B4" s="1">
        <v>16</v>
      </c>
      <c r="C4" s="1">
        <v>3</v>
      </c>
      <c r="D4" s="1" t="s">
        <v>47</v>
      </c>
      <c r="E4" s="6" t="s">
        <v>45</v>
      </c>
      <c r="F4" s="6" t="s">
        <v>14</v>
      </c>
      <c r="G4" s="2">
        <v>1</v>
      </c>
      <c r="H4" s="2"/>
      <c r="I4" s="2"/>
      <c r="J4" s="6">
        <v>669000</v>
      </c>
      <c r="K4" s="6"/>
      <c r="L4" s="6"/>
      <c r="M4" s="6">
        <f>J4+K4+L4</f>
        <v>669000</v>
      </c>
      <c r="N4" s="6">
        <v>15000</v>
      </c>
      <c r="O4" s="6">
        <v>0</v>
      </c>
      <c r="P4" s="6"/>
      <c r="Q4" s="6">
        <f>N4+O4+P4</f>
        <v>15000</v>
      </c>
      <c r="R4" s="6">
        <f>M4+Q4</f>
        <v>684000</v>
      </c>
      <c r="S4" s="6">
        <v>0</v>
      </c>
      <c r="T4" s="6">
        <f>(N4+P4)*80%</f>
        <v>12000</v>
      </c>
      <c r="U4" s="6">
        <f>O4*80%</f>
        <v>0</v>
      </c>
      <c r="V4" s="6">
        <f>(N4+P4)*20%</f>
        <v>3000</v>
      </c>
      <c r="W4" s="8">
        <f>O4*20%</f>
        <v>0</v>
      </c>
      <c r="X4" s="1" t="s">
        <v>45</v>
      </c>
      <c r="Y4" s="16">
        <f>-V4</f>
        <v>-3000</v>
      </c>
      <c r="Z4" s="8">
        <f t="shared" ref="Z4:Z9" si="0">Z3+Y4</f>
        <v>-5000</v>
      </c>
    </row>
    <row r="5" spans="1:26" s="5" customFormat="1" x14ac:dyDescent="0.25">
      <c r="A5" s="11">
        <v>43938</v>
      </c>
      <c r="B5" s="1">
        <v>16</v>
      </c>
      <c r="C5" s="1">
        <v>3</v>
      </c>
      <c r="D5" s="1" t="s">
        <v>47</v>
      </c>
      <c r="E5" s="6" t="s">
        <v>45</v>
      </c>
      <c r="F5" s="6" t="s">
        <v>14</v>
      </c>
      <c r="G5" s="2">
        <v>1</v>
      </c>
      <c r="H5" s="2"/>
      <c r="I5" s="2"/>
      <c r="J5" s="6">
        <v>669000</v>
      </c>
      <c r="K5" s="6"/>
      <c r="L5" s="6"/>
      <c r="M5" s="6">
        <f>J5+K5+L5</f>
        <v>669000</v>
      </c>
      <c r="N5" s="6">
        <v>15000</v>
      </c>
      <c r="O5" s="6">
        <v>0</v>
      </c>
      <c r="P5" s="6"/>
      <c r="Q5" s="6">
        <f>N5+O5+P5</f>
        <v>15000</v>
      </c>
      <c r="R5" s="6">
        <f>M5+Q5</f>
        <v>684000</v>
      </c>
      <c r="S5" s="6">
        <v>0</v>
      </c>
      <c r="T5" s="6">
        <f>(N5+P5)*80%</f>
        <v>12000</v>
      </c>
      <c r="U5" s="6">
        <f>O5*80%</f>
        <v>0</v>
      </c>
      <c r="V5" s="6">
        <f>(N5+P5)*20%</f>
        <v>3000</v>
      </c>
      <c r="W5" s="8">
        <f>O5*20%</f>
        <v>0</v>
      </c>
      <c r="X5" s="1" t="s">
        <v>45</v>
      </c>
      <c r="Y5" s="8">
        <f>-V5</f>
        <v>-3000</v>
      </c>
      <c r="Z5" s="8">
        <f t="shared" si="0"/>
        <v>-8000</v>
      </c>
    </row>
    <row r="6" spans="1:26" s="5" customFormat="1" x14ac:dyDescent="0.25">
      <c r="A6" s="11">
        <v>43939</v>
      </c>
      <c r="B6" s="1">
        <v>21</v>
      </c>
      <c r="C6" s="1">
        <v>3</v>
      </c>
      <c r="D6" s="1" t="s">
        <v>20</v>
      </c>
      <c r="E6" s="6" t="s">
        <v>45</v>
      </c>
      <c r="F6" s="6" t="s">
        <v>15</v>
      </c>
      <c r="G6" s="2"/>
      <c r="H6" s="2">
        <v>1</v>
      </c>
      <c r="I6" s="2"/>
      <c r="J6" s="6"/>
      <c r="K6" s="6">
        <v>215500</v>
      </c>
      <c r="L6" s="6">
        <v>84000</v>
      </c>
      <c r="M6" s="6">
        <f>J6+K6+L6</f>
        <v>299500</v>
      </c>
      <c r="N6" s="6">
        <v>20000</v>
      </c>
      <c r="O6" s="3"/>
      <c r="P6" s="6">
        <v>5000</v>
      </c>
      <c r="Q6" s="6">
        <f>N6+O6+P6</f>
        <v>25000</v>
      </c>
      <c r="R6" s="6">
        <f>M6+Q6</f>
        <v>324500</v>
      </c>
      <c r="S6" s="6">
        <v>5000</v>
      </c>
      <c r="T6" s="6">
        <f>(N6+P6)*80%</f>
        <v>20000</v>
      </c>
      <c r="U6" s="6">
        <f>O6*80%</f>
        <v>0</v>
      </c>
      <c r="V6" s="6">
        <f>(N6+P6)*20%</f>
        <v>5000</v>
      </c>
      <c r="W6" s="8">
        <f>O6*20%</f>
        <v>0</v>
      </c>
      <c r="X6" s="1" t="s">
        <v>41</v>
      </c>
      <c r="Y6" s="8">
        <f>T6</f>
        <v>20000</v>
      </c>
      <c r="Z6" s="8">
        <f t="shared" si="0"/>
        <v>12000</v>
      </c>
    </row>
    <row r="7" spans="1:26" s="5" customFormat="1" x14ac:dyDescent="0.25">
      <c r="A7" s="11">
        <v>43939</v>
      </c>
      <c r="B7" s="1">
        <v>23</v>
      </c>
      <c r="C7" s="1">
        <v>5</v>
      </c>
      <c r="D7" s="1" t="s">
        <v>9</v>
      </c>
      <c r="E7" s="6" t="s">
        <v>45</v>
      </c>
      <c r="F7" s="6" t="s">
        <v>15</v>
      </c>
      <c r="G7" s="2"/>
      <c r="H7" s="2">
        <v>1</v>
      </c>
      <c r="I7" s="2"/>
      <c r="J7" s="6">
        <v>0</v>
      </c>
      <c r="K7" s="6">
        <v>235000</v>
      </c>
      <c r="L7" s="6">
        <v>0</v>
      </c>
      <c r="M7" s="6">
        <f>J7+K7+L7</f>
        <v>235000</v>
      </c>
      <c r="N7" s="6">
        <v>10000</v>
      </c>
      <c r="O7" s="6">
        <v>8000</v>
      </c>
      <c r="P7" s="6"/>
      <c r="Q7" s="6">
        <f>N7+O7+P7</f>
        <v>18000</v>
      </c>
      <c r="R7" s="6">
        <f>M7+Q7</f>
        <v>253000</v>
      </c>
      <c r="S7" s="6">
        <v>12000</v>
      </c>
      <c r="T7" s="6">
        <f>(N7+P7)*80%</f>
        <v>8000</v>
      </c>
      <c r="U7" s="6">
        <f>O7*80%</f>
        <v>6400</v>
      </c>
      <c r="V7" s="6">
        <f>(N7+P7)*20%</f>
        <v>2000</v>
      </c>
      <c r="W7" s="8">
        <f>O7*20%</f>
        <v>1600</v>
      </c>
      <c r="X7" s="1" t="s">
        <v>41</v>
      </c>
      <c r="Y7" s="8">
        <f>T7</f>
        <v>8000</v>
      </c>
      <c r="Z7" s="8">
        <f t="shared" si="0"/>
        <v>20000</v>
      </c>
    </row>
    <row r="8" spans="1:26" x14ac:dyDescent="0.25">
      <c r="A8" s="11">
        <v>43940</v>
      </c>
      <c r="B8" s="1">
        <v>30</v>
      </c>
      <c r="C8" s="1">
        <v>2</v>
      </c>
      <c r="D8" s="1" t="s">
        <v>84</v>
      </c>
      <c r="E8" s="6" t="s">
        <v>45</v>
      </c>
      <c r="F8" s="6" t="s">
        <v>14</v>
      </c>
      <c r="H8" s="2">
        <v>5</v>
      </c>
      <c r="J8" s="6"/>
      <c r="K8" s="6">
        <v>204000</v>
      </c>
      <c r="L8" s="6"/>
      <c r="M8" s="6">
        <f t="shared" ref="M8:M11" si="1">J8+K8+L8</f>
        <v>204000</v>
      </c>
      <c r="N8" s="6">
        <v>10000</v>
      </c>
      <c r="O8" s="6">
        <v>8000</v>
      </c>
      <c r="P8" s="6"/>
      <c r="Q8" s="6">
        <f t="shared" ref="Q8:Q11" si="2">N8+O8+P8</f>
        <v>18000</v>
      </c>
      <c r="R8" s="6">
        <f t="shared" ref="R8:R11" si="3">M8+Q8</f>
        <v>222000</v>
      </c>
      <c r="S8" s="6">
        <v>8000</v>
      </c>
      <c r="T8" s="6">
        <f t="shared" ref="T8:T11" si="4">(N8+P8)*80%</f>
        <v>8000</v>
      </c>
      <c r="U8" s="6">
        <f t="shared" ref="U8:U9" si="5">O8*80%</f>
        <v>6400</v>
      </c>
      <c r="V8" s="6">
        <f t="shared" ref="V8:V11" si="6">(N8+P8)*20%</f>
        <v>2000</v>
      </c>
      <c r="W8" s="8">
        <f t="shared" ref="W8:W9" si="7">O8*20%</f>
        <v>1600</v>
      </c>
      <c r="X8" s="1" t="s">
        <v>45</v>
      </c>
      <c r="Y8" s="8">
        <f>-V8</f>
        <v>-2000</v>
      </c>
      <c r="Z8" s="8">
        <f t="shared" si="0"/>
        <v>18000</v>
      </c>
    </row>
    <row r="9" spans="1:26" x14ac:dyDescent="0.25">
      <c r="A9" s="11">
        <v>43940</v>
      </c>
      <c r="B9" s="1">
        <v>32</v>
      </c>
      <c r="C9" s="1">
        <v>4</v>
      </c>
      <c r="D9" s="1" t="s">
        <v>82</v>
      </c>
      <c r="E9" s="6" t="s">
        <v>45</v>
      </c>
      <c r="F9" s="6" t="s">
        <v>14</v>
      </c>
      <c r="G9" s="2">
        <v>1</v>
      </c>
      <c r="H9" s="2">
        <v>3</v>
      </c>
      <c r="J9" s="6">
        <v>88300</v>
      </c>
      <c r="K9" s="6">
        <v>92000</v>
      </c>
      <c r="L9" s="6"/>
      <c r="M9" s="6">
        <f t="shared" si="1"/>
        <v>180300</v>
      </c>
      <c r="N9" s="6">
        <v>20000</v>
      </c>
      <c r="O9" s="6">
        <v>4000</v>
      </c>
      <c r="P9" s="6">
        <v>5000</v>
      </c>
      <c r="Q9" s="6">
        <f t="shared" si="2"/>
        <v>29000</v>
      </c>
      <c r="R9" s="6">
        <f t="shared" si="3"/>
        <v>209300</v>
      </c>
      <c r="S9" s="6"/>
      <c r="T9" s="6">
        <f t="shared" si="4"/>
        <v>20000</v>
      </c>
      <c r="U9" s="6">
        <f t="shared" si="5"/>
        <v>3200</v>
      </c>
      <c r="V9" s="6">
        <f t="shared" si="6"/>
        <v>5000</v>
      </c>
      <c r="W9" s="8">
        <f t="shared" si="7"/>
        <v>800</v>
      </c>
      <c r="X9" s="1" t="s">
        <v>45</v>
      </c>
      <c r="Y9" s="8">
        <f>-V9</f>
        <v>-5000</v>
      </c>
      <c r="Z9" s="8">
        <f t="shared" si="0"/>
        <v>13000</v>
      </c>
    </row>
    <row r="10" spans="1:26" x14ac:dyDescent="0.25">
      <c r="A10" s="11">
        <v>43941</v>
      </c>
      <c r="B10" s="1">
        <v>38</v>
      </c>
      <c r="C10" s="1">
        <v>1</v>
      </c>
      <c r="D10" s="1" t="s">
        <v>89</v>
      </c>
      <c r="E10" s="6" t="s">
        <v>45</v>
      </c>
      <c r="F10" s="6" t="s">
        <v>14</v>
      </c>
      <c r="H10" s="2">
        <v>3</v>
      </c>
      <c r="J10" s="6"/>
      <c r="K10" s="6">
        <v>138000</v>
      </c>
      <c r="L10" s="6"/>
      <c r="M10" s="6">
        <f t="shared" si="1"/>
        <v>138000</v>
      </c>
      <c r="N10" s="6">
        <v>10000</v>
      </c>
      <c r="O10" s="6">
        <v>4000</v>
      </c>
      <c r="P10" s="6"/>
      <c r="Q10" s="6">
        <f t="shared" si="2"/>
        <v>14000</v>
      </c>
      <c r="R10" s="6">
        <f t="shared" si="3"/>
        <v>152000</v>
      </c>
      <c r="S10" s="6">
        <v>1000</v>
      </c>
      <c r="T10" s="6">
        <f t="shared" si="4"/>
        <v>8000</v>
      </c>
      <c r="U10" s="6"/>
      <c r="V10" s="6">
        <f t="shared" si="6"/>
        <v>2000</v>
      </c>
      <c r="X10" s="1" t="s">
        <v>45</v>
      </c>
      <c r="Y10" s="8">
        <f t="shared" ref="Y10:Y11" si="8">-V10</f>
        <v>-2000</v>
      </c>
      <c r="Z10" s="8">
        <f t="shared" ref="Z10:Z11" si="9">Z9+Y10</f>
        <v>11000</v>
      </c>
    </row>
    <row r="11" spans="1:26" x14ac:dyDescent="0.25">
      <c r="A11" s="11">
        <v>43941</v>
      </c>
      <c r="B11" s="1">
        <v>40</v>
      </c>
      <c r="C11" s="1">
        <v>3</v>
      </c>
      <c r="D11" s="1" t="s">
        <v>91</v>
      </c>
      <c r="E11" s="6" t="s">
        <v>45</v>
      </c>
      <c r="F11" s="6" t="s">
        <v>14</v>
      </c>
      <c r="G11" s="2">
        <v>1</v>
      </c>
      <c r="H11" s="2">
        <v>6</v>
      </c>
      <c r="J11" s="6">
        <v>36700</v>
      </c>
      <c r="K11" s="6">
        <v>287000</v>
      </c>
      <c r="L11" s="6"/>
      <c r="M11" s="6">
        <f t="shared" si="1"/>
        <v>323700</v>
      </c>
      <c r="N11" s="6">
        <v>10000</v>
      </c>
      <c r="O11" s="6">
        <v>10000</v>
      </c>
      <c r="P11" s="6">
        <v>5000</v>
      </c>
      <c r="Q11" s="6">
        <f t="shared" si="2"/>
        <v>25000</v>
      </c>
      <c r="R11" s="6">
        <f t="shared" si="3"/>
        <v>348700</v>
      </c>
      <c r="S11" s="6">
        <f>355000-R11</f>
        <v>6300</v>
      </c>
      <c r="T11" s="6">
        <f t="shared" si="4"/>
        <v>12000</v>
      </c>
      <c r="U11" s="6"/>
      <c r="V11" s="6">
        <f t="shared" si="6"/>
        <v>3000</v>
      </c>
      <c r="X11" s="1" t="s">
        <v>45</v>
      </c>
      <c r="Y11" s="8">
        <f t="shared" si="8"/>
        <v>-3000</v>
      </c>
      <c r="Z11" s="8">
        <f t="shared" si="9"/>
        <v>8000</v>
      </c>
    </row>
    <row r="12" spans="1:26" x14ac:dyDescent="0.25">
      <c r="A12" s="11"/>
      <c r="E12" s="6"/>
      <c r="F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8"/>
    </row>
    <row r="13" spans="1:26" x14ac:dyDescent="0.25">
      <c r="A13" s="11"/>
      <c r="E13" s="6"/>
      <c r="F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1:26" x14ac:dyDescent="0.25">
      <c r="A14" s="11"/>
      <c r="E14" s="6"/>
      <c r="F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1:26" x14ac:dyDescent="0.25">
      <c r="A15" s="11"/>
      <c r="E15" s="6"/>
      <c r="F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1:26" ht="15.75" x14ac:dyDescent="0.25">
      <c r="E16" s="10" t="s">
        <v>35</v>
      </c>
      <c r="F16" s="6"/>
      <c r="G16" s="10">
        <f t="shared" ref="G16:W16" si="10">SUM(G3:G15)</f>
        <v>4</v>
      </c>
      <c r="H16" s="10">
        <f t="shared" si="10"/>
        <v>22</v>
      </c>
      <c r="I16" s="10">
        <f t="shared" si="10"/>
        <v>0</v>
      </c>
      <c r="J16" s="21">
        <f t="shared" si="10"/>
        <v>1463000</v>
      </c>
      <c r="K16" s="21">
        <f t="shared" si="10"/>
        <v>1258000</v>
      </c>
      <c r="L16" s="21">
        <f t="shared" si="10"/>
        <v>84000</v>
      </c>
      <c r="M16" s="21">
        <f t="shared" si="10"/>
        <v>2805000</v>
      </c>
      <c r="N16" s="10">
        <f t="shared" si="10"/>
        <v>120000</v>
      </c>
      <c r="O16" s="10">
        <f t="shared" si="10"/>
        <v>38000</v>
      </c>
      <c r="P16" s="10">
        <f t="shared" si="10"/>
        <v>15000</v>
      </c>
      <c r="Q16" s="10">
        <f t="shared" si="10"/>
        <v>173000</v>
      </c>
      <c r="R16" s="10">
        <f t="shared" si="10"/>
        <v>2978000</v>
      </c>
      <c r="S16" s="10">
        <f t="shared" si="10"/>
        <v>32300</v>
      </c>
      <c r="T16" s="10">
        <f t="shared" si="10"/>
        <v>108000</v>
      </c>
      <c r="U16" s="10">
        <f t="shared" si="10"/>
        <v>19200</v>
      </c>
      <c r="V16" s="10">
        <f t="shared" si="10"/>
        <v>27000</v>
      </c>
      <c r="W16" s="10">
        <f t="shared" si="10"/>
        <v>4800</v>
      </c>
    </row>
    <row r="17" spans="4:23" ht="30" x14ac:dyDescent="0.25">
      <c r="E17" s="6"/>
      <c r="F17" s="6"/>
      <c r="J17" s="6"/>
      <c r="K17" s="6"/>
      <c r="L17" s="6"/>
      <c r="M17" s="6"/>
      <c r="N17" s="6"/>
      <c r="O17" s="6"/>
      <c r="P17" s="6"/>
      <c r="Q17" s="6"/>
      <c r="R17" s="30" t="s">
        <v>62</v>
      </c>
      <c r="S17" s="9">
        <v>60000</v>
      </c>
      <c r="T17" s="6"/>
      <c r="U17" s="6"/>
      <c r="V17" s="6"/>
    </row>
    <row r="18" spans="4:23" ht="45" x14ac:dyDescent="0.25">
      <c r="D18" s="12"/>
      <c r="E18" s="6"/>
      <c r="F18" s="6"/>
      <c r="J18" s="6"/>
      <c r="K18" s="6"/>
      <c r="L18" s="6"/>
      <c r="M18" s="6"/>
      <c r="N18" s="13" t="s">
        <v>31</v>
      </c>
      <c r="O18" s="18">
        <f>N16+O16+S16</f>
        <v>190300</v>
      </c>
      <c r="P18" s="18"/>
      <c r="Q18" s="18"/>
      <c r="R18" s="13" t="s">
        <v>32</v>
      </c>
      <c r="S18" s="18">
        <f>T16+S16+S17</f>
        <v>200300</v>
      </c>
      <c r="T18" s="13" t="s">
        <v>33</v>
      </c>
      <c r="U18" s="18">
        <f>U16</f>
        <v>19200</v>
      </c>
      <c r="V18" s="13" t="s">
        <v>53</v>
      </c>
      <c r="W18" s="14">
        <f>V16+W16</f>
        <v>31800</v>
      </c>
    </row>
    <row r="19" spans="4:23" ht="18.75" x14ac:dyDescent="0.3">
      <c r="E19" s="6"/>
      <c r="F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9" t="s">
        <v>56</v>
      </c>
      <c r="W19" s="17">
        <f>'Donasi Pasar'!B13</f>
        <v>154000</v>
      </c>
    </row>
    <row r="20" spans="4:23" x14ac:dyDescent="0.25">
      <c r="E20" s="6"/>
      <c r="F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4:23" ht="18.75" x14ac:dyDescent="0.25">
      <c r="E21" s="6"/>
      <c r="F21" s="6"/>
      <c r="J21" s="58" t="s">
        <v>5</v>
      </c>
      <c r="K21" s="58"/>
      <c r="L21" s="58"/>
      <c r="M21" s="58"/>
      <c r="N21" s="58"/>
      <c r="O21" s="24">
        <f>M16</f>
        <v>2805000</v>
      </c>
      <c r="P21" s="25" t="s">
        <v>60</v>
      </c>
      <c r="Q21" s="20"/>
      <c r="S21" s="18"/>
      <c r="T21" s="22"/>
      <c r="U21" s="19"/>
      <c r="V21"/>
    </row>
    <row r="22" spans="4:23" ht="18.75" x14ac:dyDescent="0.25">
      <c r="E22" s="6"/>
      <c r="F22" s="6"/>
      <c r="J22" s="58" t="s">
        <v>59</v>
      </c>
      <c r="K22" s="58"/>
      <c r="L22" s="58"/>
      <c r="M22" s="58"/>
      <c r="N22" s="58"/>
      <c r="O22" s="26">
        <f>Q16+S16+S17+W19</f>
        <v>419300</v>
      </c>
      <c r="P22" s="27">
        <f>O22/$O$21</f>
        <v>0.14948306595365418</v>
      </c>
      <c r="Q22" s="6"/>
      <c r="R22" s="6"/>
      <c r="S22" s="6"/>
      <c r="T22" s="6"/>
      <c r="U22"/>
      <c r="V22"/>
    </row>
    <row r="23" spans="4:23" ht="18.75" x14ac:dyDescent="0.25">
      <c r="E23" s="6"/>
      <c r="F23" s="6"/>
      <c r="J23" s="58" t="s">
        <v>57</v>
      </c>
      <c r="K23" s="58"/>
      <c r="L23" s="58"/>
      <c r="M23" s="58"/>
      <c r="N23" s="58"/>
      <c r="O23" s="26">
        <f>S16+S17+T16+U16</f>
        <v>219500</v>
      </c>
      <c r="P23" s="27">
        <f>O23/$O$21</f>
        <v>7.8253119429590012E-2</v>
      </c>
      <c r="Q23" s="6"/>
      <c r="R23" s="6"/>
      <c r="S23" s="6"/>
      <c r="T23" s="6"/>
      <c r="U23"/>
      <c r="V23"/>
    </row>
    <row r="24" spans="4:23" ht="33.75" customHeight="1" x14ac:dyDescent="0.25">
      <c r="E24" s="6"/>
      <c r="F24" s="6"/>
      <c r="J24" s="58" t="s">
        <v>58</v>
      </c>
      <c r="K24" s="58"/>
      <c r="L24" s="58"/>
      <c r="M24" s="58"/>
      <c r="N24" s="58"/>
      <c r="O24" s="26">
        <f>W18+W19</f>
        <v>185800</v>
      </c>
      <c r="P24" s="27">
        <f>O24/$O$21</f>
        <v>6.623885918003565E-2</v>
      </c>
      <c r="Q24" s="6"/>
      <c r="R24" s="6"/>
      <c r="S24" s="6"/>
      <c r="T24" s="6"/>
      <c r="U24"/>
      <c r="V24"/>
    </row>
    <row r="25" spans="4:23" x14ac:dyDescent="0.25">
      <c r="E25" s="6"/>
      <c r="F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4:23" x14ac:dyDescent="0.25">
      <c r="E26" s="6"/>
      <c r="F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4:23" x14ac:dyDescent="0.25">
      <c r="E27" s="6"/>
      <c r="F27" s="6"/>
      <c r="J27" s="6"/>
      <c r="K27" s="6"/>
      <c r="L27" s="6"/>
      <c r="M27" s="6"/>
      <c r="N27" s="6" t="s">
        <v>2</v>
      </c>
      <c r="O27" s="28">
        <f>J16</f>
        <v>1463000</v>
      </c>
      <c r="P27" s="23">
        <f>O27/$O$21</f>
        <v>0.52156862745098043</v>
      </c>
      <c r="Q27" s="6"/>
      <c r="R27" s="6"/>
      <c r="S27" s="6"/>
      <c r="T27" s="6"/>
      <c r="U27"/>
      <c r="V27"/>
    </row>
    <row r="28" spans="4:23" x14ac:dyDescent="0.25">
      <c r="E28" s="6"/>
      <c r="F28" s="6"/>
      <c r="J28" s="6"/>
      <c r="K28" s="6"/>
      <c r="L28" s="6"/>
      <c r="M28" s="6"/>
      <c r="N28" s="6" t="s">
        <v>61</v>
      </c>
      <c r="O28" s="6">
        <f>K16</f>
        <v>1258000</v>
      </c>
      <c r="P28" s="23">
        <f>O28/$O$21</f>
        <v>0.44848484848484849</v>
      </c>
      <c r="Q28" s="6"/>
      <c r="R28" s="6"/>
      <c r="S28" s="6"/>
      <c r="T28" s="6"/>
      <c r="U28"/>
      <c r="V28"/>
    </row>
    <row r="29" spans="4:23" x14ac:dyDescent="0.25">
      <c r="E29" s="6"/>
      <c r="F29" s="6"/>
      <c r="J29" s="6"/>
      <c r="K29" s="6"/>
      <c r="L29" s="6"/>
      <c r="M29" s="6"/>
      <c r="N29" s="6" t="s">
        <v>50</v>
      </c>
      <c r="O29" s="6">
        <f>L16</f>
        <v>84000</v>
      </c>
      <c r="P29" s="23">
        <f>O29/$O$21</f>
        <v>2.9946524064171122E-2</v>
      </c>
      <c r="Q29" s="6"/>
      <c r="R29" s="6"/>
      <c r="S29" s="6"/>
      <c r="T29" s="6"/>
      <c r="U29"/>
      <c r="V29"/>
    </row>
  </sheetData>
  <autoFilter ref="A2:Z2"/>
  <mergeCells count="4">
    <mergeCell ref="J21:N21"/>
    <mergeCell ref="J22:N22"/>
    <mergeCell ref="J23:N23"/>
    <mergeCell ref="J24:N2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60"/>
  <sheetViews>
    <sheetView zoomScale="80" zoomScaleNormal="80" workbookViewId="0">
      <pane xSplit="8" ySplit="2" topLeftCell="U27" activePane="bottomRight" state="frozen"/>
      <selection pane="topRight" activeCell="I1" sqref="I1"/>
      <selection pane="bottomLeft" activeCell="A3" sqref="A3"/>
      <selection pane="bottomRight" activeCell="Y30" sqref="Y30"/>
    </sheetView>
  </sheetViews>
  <sheetFormatPr defaultRowHeight="15" x14ac:dyDescent="0.25"/>
  <cols>
    <col min="1" max="1" width="10.7109375" customWidth="1"/>
    <col min="2" max="3" width="6.140625" style="1" customWidth="1"/>
    <col min="4" max="4" width="23.7109375" style="2" customWidth="1"/>
    <col min="5" max="5" width="14.7109375" style="3" customWidth="1"/>
    <col min="6" max="6" width="9.42578125" style="3" customWidth="1"/>
    <col min="7" max="9" width="7.28515625" style="2" customWidth="1"/>
    <col min="10" max="19" width="17.42578125" style="3" customWidth="1"/>
    <col min="20" max="20" width="19.140625" style="3" customWidth="1"/>
    <col min="21" max="22" width="17.42578125" style="3" customWidth="1"/>
    <col min="23" max="23" width="19.85546875" customWidth="1"/>
    <col min="24" max="24" width="15.42578125" style="1" customWidth="1"/>
    <col min="25" max="26" width="16.140625" style="1" customWidth="1"/>
  </cols>
  <sheetData>
    <row r="2" spans="1:26" s="5" customFormat="1" ht="45" x14ac:dyDescent="0.25">
      <c r="A2" s="5" t="s">
        <v>29</v>
      </c>
      <c r="B2" s="4" t="s">
        <v>0</v>
      </c>
      <c r="C2" s="4" t="s">
        <v>46</v>
      </c>
      <c r="D2" s="4" t="s">
        <v>1</v>
      </c>
      <c r="E2" s="4" t="s">
        <v>34</v>
      </c>
      <c r="F2" s="4" t="s">
        <v>13</v>
      </c>
      <c r="G2" s="7" t="s">
        <v>2</v>
      </c>
      <c r="H2" s="7" t="s">
        <v>30</v>
      </c>
      <c r="I2" s="7" t="s">
        <v>50</v>
      </c>
      <c r="J2" s="4" t="s">
        <v>64</v>
      </c>
      <c r="K2" s="4" t="s">
        <v>65</v>
      </c>
      <c r="L2" s="4" t="s">
        <v>66</v>
      </c>
      <c r="M2" s="29" t="s">
        <v>67</v>
      </c>
      <c r="N2" s="4" t="s">
        <v>3</v>
      </c>
      <c r="O2" s="4" t="s">
        <v>73</v>
      </c>
      <c r="P2" s="4" t="s">
        <v>68</v>
      </c>
      <c r="Q2" s="29" t="s">
        <v>69</v>
      </c>
      <c r="R2" s="29" t="s">
        <v>23</v>
      </c>
      <c r="S2" s="4" t="s">
        <v>24</v>
      </c>
      <c r="T2" s="4" t="s">
        <v>25</v>
      </c>
      <c r="U2" s="4" t="s">
        <v>26</v>
      </c>
      <c r="V2" s="4" t="s">
        <v>27</v>
      </c>
      <c r="W2" s="4" t="s">
        <v>28</v>
      </c>
      <c r="X2" s="4" t="s">
        <v>36</v>
      </c>
      <c r="Y2" s="4" t="s">
        <v>38</v>
      </c>
      <c r="Z2" s="4" t="s">
        <v>43</v>
      </c>
    </row>
    <row r="3" spans="1:26" s="5" customFormat="1" x14ac:dyDescent="0.25">
      <c r="A3" s="11">
        <v>43936</v>
      </c>
      <c r="B3" s="1">
        <v>2</v>
      </c>
      <c r="C3" s="1">
        <v>2</v>
      </c>
      <c r="D3" s="2" t="s">
        <v>6</v>
      </c>
      <c r="E3" s="6" t="s">
        <v>8</v>
      </c>
      <c r="F3" s="6" t="s">
        <v>15</v>
      </c>
      <c r="G3" s="2"/>
      <c r="H3" s="2">
        <v>6</v>
      </c>
      <c r="I3" s="2"/>
      <c r="J3" s="6"/>
      <c r="K3" s="6">
        <v>325000</v>
      </c>
      <c r="L3" s="6"/>
      <c r="M3" s="6">
        <f t="shared" ref="M3:M25" si="0">J3+K3+L3</f>
        <v>325000</v>
      </c>
      <c r="N3" s="6">
        <v>10000</v>
      </c>
      <c r="O3" s="6">
        <v>10000</v>
      </c>
      <c r="P3" s="6"/>
      <c r="Q3" s="6">
        <f t="shared" ref="Q3:Q25" si="1">N3+O3+P3</f>
        <v>20000</v>
      </c>
      <c r="R3" s="6">
        <f t="shared" ref="R3:R25" si="2">M3+Q3</f>
        <v>345000</v>
      </c>
      <c r="S3" s="6">
        <v>5000</v>
      </c>
      <c r="T3" s="6">
        <f t="shared" ref="T3:U16" si="3">N3*80%</f>
        <v>8000</v>
      </c>
      <c r="U3" s="6">
        <f t="shared" si="3"/>
        <v>8000</v>
      </c>
      <c r="V3" s="6">
        <f t="shared" ref="V3:W7" si="4">N3*20%</f>
        <v>2000</v>
      </c>
      <c r="W3" s="8">
        <f t="shared" si="4"/>
        <v>2000</v>
      </c>
      <c r="X3" s="4" t="s">
        <v>8</v>
      </c>
      <c r="Y3" s="8">
        <f>-V3-W3</f>
        <v>-4000</v>
      </c>
      <c r="Z3" s="15">
        <f>Y3</f>
        <v>-4000</v>
      </c>
    </row>
    <row r="4" spans="1:26" s="5" customFormat="1" x14ac:dyDescent="0.25">
      <c r="A4" s="11">
        <v>43936</v>
      </c>
      <c r="B4" s="1">
        <v>3</v>
      </c>
      <c r="C4" s="1">
        <v>3</v>
      </c>
      <c r="D4" s="2" t="s">
        <v>9</v>
      </c>
      <c r="E4" s="6" t="s">
        <v>8</v>
      </c>
      <c r="F4" s="6" t="s">
        <v>15</v>
      </c>
      <c r="G4" s="2">
        <v>1</v>
      </c>
      <c r="H4" s="2"/>
      <c r="I4" s="2"/>
      <c r="J4" s="6">
        <v>316200</v>
      </c>
      <c r="K4" s="6"/>
      <c r="L4" s="6"/>
      <c r="M4" s="6">
        <f t="shared" si="0"/>
        <v>316200</v>
      </c>
      <c r="N4" s="6">
        <v>10000</v>
      </c>
      <c r="O4" s="6">
        <v>0</v>
      </c>
      <c r="P4" s="6"/>
      <c r="Q4" s="6">
        <f t="shared" si="1"/>
        <v>10000</v>
      </c>
      <c r="R4" s="6">
        <f t="shared" si="2"/>
        <v>326200</v>
      </c>
      <c r="S4" s="6">
        <f>340000-O4-R4</f>
        <v>13800</v>
      </c>
      <c r="T4" s="6">
        <f t="shared" si="3"/>
        <v>8000</v>
      </c>
      <c r="U4" s="6">
        <f t="shared" si="3"/>
        <v>0</v>
      </c>
      <c r="V4" s="6">
        <f t="shared" si="4"/>
        <v>2000</v>
      </c>
      <c r="W4" s="8">
        <f t="shared" si="4"/>
        <v>0</v>
      </c>
      <c r="X4" s="1" t="s">
        <v>41</v>
      </c>
      <c r="Y4" s="8">
        <f>S4+T4</f>
        <v>21800</v>
      </c>
      <c r="Z4" s="8">
        <f>Z3+Y4</f>
        <v>17800</v>
      </c>
    </row>
    <row r="5" spans="1:26" s="5" customFormat="1" x14ac:dyDescent="0.25">
      <c r="A5" s="11">
        <v>43936</v>
      </c>
      <c r="B5" s="1">
        <v>4</v>
      </c>
      <c r="C5" s="1">
        <v>4</v>
      </c>
      <c r="D5" s="2" t="s">
        <v>10</v>
      </c>
      <c r="E5" s="6" t="s">
        <v>8</v>
      </c>
      <c r="F5" s="6" t="s">
        <v>14</v>
      </c>
      <c r="G5" s="2"/>
      <c r="H5" s="2">
        <v>3</v>
      </c>
      <c r="I5" s="2"/>
      <c r="K5" s="6">
        <v>191000</v>
      </c>
      <c r="L5" s="6"/>
      <c r="M5" s="6">
        <f t="shared" si="0"/>
        <v>191000</v>
      </c>
      <c r="N5" s="6">
        <v>10000</v>
      </c>
      <c r="O5" s="6">
        <v>4000</v>
      </c>
      <c r="P5" s="6"/>
      <c r="Q5" s="6">
        <f t="shared" si="1"/>
        <v>14000</v>
      </c>
      <c r="R5" s="6">
        <f t="shared" si="2"/>
        <v>205000</v>
      </c>
      <c r="S5" s="6">
        <v>0</v>
      </c>
      <c r="T5" s="6">
        <f t="shared" si="3"/>
        <v>8000</v>
      </c>
      <c r="U5" s="6">
        <f t="shared" si="3"/>
        <v>3200</v>
      </c>
      <c r="V5" s="6">
        <f t="shared" si="4"/>
        <v>2000</v>
      </c>
      <c r="W5" s="8">
        <f t="shared" si="4"/>
        <v>800</v>
      </c>
      <c r="X5" s="1" t="s">
        <v>8</v>
      </c>
      <c r="Y5" s="8">
        <f>-V5-W5</f>
        <v>-2800</v>
      </c>
      <c r="Z5" s="8">
        <f t="shared" ref="Z5:Z27" si="5">Z4+Y5</f>
        <v>15000</v>
      </c>
    </row>
    <row r="6" spans="1:26" s="5" customFormat="1" x14ac:dyDescent="0.25">
      <c r="A6" s="11">
        <v>43936</v>
      </c>
      <c r="B6" s="1">
        <v>5</v>
      </c>
      <c r="C6" s="1">
        <v>5</v>
      </c>
      <c r="D6" s="2" t="s">
        <v>11</v>
      </c>
      <c r="E6" s="6" t="s">
        <v>8</v>
      </c>
      <c r="F6" s="6" t="s">
        <v>14</v>
      </c>
      <c r="G6" s="2"/>
      <c r="H6" s="2">
        <v>3</v>
      </c>
      <c r="I6" s="2"/>
      <c r="K6" s="6">
        <v>58000</v>
      </c>
      <c r="L6" s="6"/>
      <c r="M6" s="6">
        <f t="shared" si="0"/>
        <v>58000</v>
      </c>
      <c r="N6" s="6">
        <v>10000</v>
      </c>
      <c r="O6" s="6">
        <v>4000</v>
      </c>
      <c r="P6" s="6"/>
      <c r="Q6" s="6">
        <f t="shared" si="1"/>
        <v>14000</v>
      </c>
      <c r="R6" s="6">
        <f t="shared" si="2"/>
        <v>72000</v>
      </c>
      <c r="S6" s="6">
        <v>4000</v>
      </c>
      <c r="T6" s="6">
        <f t="shared" si="3"/>
        <v>8000</v>
      </c>
      <c r="U6" s="6">
        <f t="shared" si="3"/>
        <v>3200</v>
      </c>
      <c r="V6" s="6">
        <f t="shared" si="4"/>
        <v>2000</v>
      </c>
      <c r="W6" s="8">
        <f t="shared" si="4"/>
        <v>800</v>
      </c>
      <c r="X6" s="1" t="s">
        <v>8</v>
      </c>
      <c r="Y6" s="8">
        <f>-V6-W6</f>
        <v>-2800</v>
      </c>
      <c r="Z6" s="8">
        <f t="shared" si="5"/>
        <v>12200</v>
      </c>
    </row>
    <row r="7" spans="1:26" s="5" customFormat="1" x14ac:dyDescent="0.25">
      <c r="A7" s="11">
        <v>43936</v>
      </c>
      <c r="B7" s="3">
        <v>6</v>
      </c>
      <c r="C7" s="3">
        <v>6</v>
      </c>
      <c r="D7" s="2" t="s">
        <v>12</v>
      </c>
      <c r="E7" s="6" t="s">
        <v>8</v>
      </c>
      <c r="F7" s="6" t="s">
        <v>14</v>
      </c>
      <c r="G7" s="2">
        <v>1</v>
      </c>
      <c r="H7" s="2"/>
      <c r="I7" s="2"/>
      <c r="J7" s="6">
        <v>377600</v>
      </c>
      <c r="K7" s="6"/>
      <c r="L7" s="6"/>
      <c r="M7" s="6">
        <f t="shared" si="0"/>
        <v>377600</v>
      </c>
      <c r="N7" s="6">
        <v>10000</v>
      </c>
      <c r="O7" s="6">
        <v>0</v>
      </c>
      <c r="P7" s="6"/>
      <c r="Q7" s="6">
        <f t="shared" si="1"/>
        <v>10000</v>
      </c>
      <c r="R7" s="6">
        <f t="shared" si="2"/>
        <v>387600</v>
      </c>
      <c r="S7" s="6">
        <v>10000</v>
      </c>
      <c r="T7" s="6">
        <f t="shared" si="3"/>
        <v>8000</v>
      </c>
      <c r="U7" s="6">
        <f t="shared" si="3"/>
        <v>0</v>
      </c>
      <c r="V7" s="6">
        <f t="shared" si="4"/>
        <v>2000</v>
      </c>
      <c r="W7" s="8">
        <f t="shared" si="4"/>
        <v>0</v>
      </c>
      <c r="X7" s="1" t="s">
        <v>8</v>
      </c>
      <c r="Y7" s="8">
        <f>-V7-W7</f>
        <v>-2000</v>
      </c>
      <c r="Z7" s="8">
        <f t="shared" si="5"/>
        <v>10200</v>
      </c>
    </row>
    <row r="8" spans="1:26" x14ac:dyDescent="0.25">
      <c r="A8" s="11">
        <v>43937</v>
      </c>
      <c r="B8" s="1">
        <v>8</v>
      </c>
      <c r="C8" s="1">
        <v>2</v>
      </c>
      <c r="D8" s="2" t="s">
        <v>22</v>
      </c>
      <c r="E8" s="6" t="s">
        <v>7</v>
      </c>
      <c r="F8" s="6" t="s">
        <v>14</v>
      </c>
      <c r="H8" s="2">
        <v>4</v>
      </c>
      <c r="K8" s="6">
        <v>189000</v>
      </c>
      <c r="L8" s="6"/>
      <c r="M8" s="6">
        <f t="shared" si="0"/>
        <v>189000</v>
      </c>
      <c r="N8" s="6"/>
      <c r="O8" s="6">
        <v>6000</v>
      </c>
      <c r="P8" s="6"/>
      <c r="Q8" s="6">
        <f t="shared" si="1"/>
        <v>6000</v>
      </c>
      <c r="R8" s="6">
        <f t="shared" si="2"/>
        <v>195000</v>
      </c>
      <c r="S8" s="6">
        <v>0</v>
      </c>
      <c r="T8" s="6"/>
      <c r="U8" s="6">
        <f t="shared" si="3"/>
        <v>4800</v>
      </c>
      <c r="V8" s="6">
        <f t="shared" ref="V8:W21" si="6">N8*20%</f>
        <v>0</v>
      </c>
      <c r="W8" s="8">
        <f t="shared" si="6"/>
        <v>1200</v>
      </c>
      <c r="X8" s="1" t="s">
        <v>8</v>
      </c>
      <c r="Y8" s="16">
        <f>-W8</f>
        <v>-1200</v>
      </c>
      <c r="Z8" s="8">
        <f t="shared" si="5"/>
        <v>9000</v>
      </c>
    </row>
    <row r="9" spans="1:26" x14ac:dyDescent="0.25">
      <c r="A9" s="11">
        <v>43937</v>
      </c>
      <c r="B9" s="1">
        <v>9</v>
      </c>
      <c r="C9" s="1">
        <v>3</v>
      </c>
      <c r="D9" s="2" t="s">
        <v>18</v>
      </c>
      <c r="E9" s="6" t="s">
        <v>17</v>
      </c>
      <c r="F9" s="6" t="s">
        <v>14</v>
      </c>
      <c r="H9" s="2">
        <v>7</v>
      </c>
      <c r="K9" s="6">
        <v>156000</v>
      </c>
      <c r="L9" s="6"/>
      <c r="M9" s="6">
        <f t="shared" si="0"/>
        <v>156000</v>
      </c>
      <c r="N9" s="6"/>
      <c r="O9" s="6">
        <v>12000</v>
      </c>
      <c r="P9" s="6"/>
      <c r="Q9" s="6">
        <f t="shared" si="1"/>
        <v>12000</v>
      </c>
      <c r="R9" s="6">
        <f t="shared" si="2"/>
        <v>168000</v>
      </c>
      <c r="S9" s="6"/>
      <c r="T9" s="6"/>
      <c r="U9" s="6">
        <f t="shared" si="3"/>
        <v>9600</v>
      </c>
      <c r="V9" s="6">
        <f t="shared" si="6"/>
        <v>0</v>
      </c>
      <c r="W9" s="8">
        <f t="shared" si="6"/>
        <v>2400</v>
      </c>
      <c r="X9" s="1" t="s">
        <v>41</v>
      </c>
      <c r="Y9" s="16">
        <f>U9-6000</f>
        <v>3600</v>
      </c>
      <c r="Z9" s="8">
        <f t="shared" si="5"/>
        <v>12600</v>
      </c>
    </row>
    <row r="10" spans="1:26" ht="30" x14ac:dyDescent="0.25">
      <c r="A10" s="11"/>
      <c r="D10" s="2" t="s">
        <v>42</v>
      </c>
      <c r="E10" s="6"/>
      <c r="F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8"/>
      <c r="X10" s="1" t="s">
        <v>8</v>
      </c>
      <c r="Y10" s="16">
        <v>-2000</v>
      </c>
      <c r="Z10" s="8">
        <f t="shared" si="5"/>
        <v>10600</v>
      </c>
    </row>
    <row r="11" spans="1:26" x14ac:dyDescent="0.25">
      <c r="A11" s="11">
        <v>43937</v>
      </c>
      <c r="B11" s="1">
        <v>10</v>
      </c>
      <c r="C11" s="1">
        <v>4</v>
      </c>
      <c r="D11" s="2" t="s">
        <v>11</v>
      </c>
      <c r="E11" s="6" t="s">
        <v>7</v>
      </c>
      <c r="F11" s="6" t="s">
        <v>15</v>
      </c>
      <c r="H11" s="2">
        <v>7</v>
      </c>
      <c r="K11" s="6">
        <f>138000+57500</f>
        <v>195500</v>
      </c>
      <c r="L11" s="6"/>
      <c r="M11" s="6">
        <f t="shared" si="0"/>
        <v>195500</v>
      </c>
      <c r="N11" s="6"/>
      <c r="O11" s="6">
        <v>12000</v>
      </c>
      <c r="P11" s="6"/>
      <c r="Q11" s="6">
        <f t="shared" si="1"/>
        <v>12000</v>
      </c>
      <c r="R11" s="6">
        <f t="shared" si="2"/>
        <v>207500</v>
      </c>
      <c r="S11" s="6"/>
      <c r="T11" s="6"/>
      <c r="U11" s="6">
        <f t="shared" si="3"/>
        <v>9600</v>
      </c>
      <c r="V11" s="6">
        <f t="shared" si="6"/>
        <v>0</v>
      </c>
      <c r="W11" s="8">
        <f t="shared" si="6"/>
        <v>2400</v>
      </c>
      <c r="X11" s="1" t="s">
        <v>41</v>
      </c>
      <c r="Y11" s="16">
        <v>4800</v>
      </c>
      <c r="Z11" s="8">
        <f t="shared" si="5"/>
        <v>15400</v>
      </c>
    </row>
    <row r="12" spans="1:26" x14ac:dyDescent="0.25">
      <c r="A12" s="11">
        <v>43937</v>
      </c>
      <c r="B12" s="3">
        <v>11</v>
      </c>
      <c r="C12" s="3">
        <v>5</v>
      </c>
      <c r="D12" s="2" t="s">
        <v>19</v>
      </c>
      <c r="E12" s="6" t="s">
        <v>7</v>
      </c>
      <c r="F12" s="6" t="s">
        <v>14</v>
      </c>
      <c r="H12" s="2">
        <v>3</v>
      </c>
      <c r="K12" s="6">
        <v>175000</v>
      </c>
      <c r="L12" s="6"/>
      <c r="M12" s="6">
        <f t="shared" si="0"/>
        <v>175000</v>
      </c>
      <c r="N12" s="6"/>
      <c r="O12" s="6">
        <v>4000</v>
      </c>
      <c r="P12" s="6"/>
      <c r="Q12" s="6">
        <f t="shared" si="1"/>
        <v>4000</v>
      </c>
      <c r="R12" s="6">
        <f t="shared" si="2"/>
        <v>179000</v>
      </c>
      <c r="S12" s="6"/>
      <c r="T12" s="6"/>
      <c r="U12" s="6">
        <f t="shared" si="3"/>
        <v>3200</v>
      </c>
      <c r="V12" s="6">
        <f t="shared" si="6"/>
        <v>0</v>
      </c>
      <c r="W12" s="8">
        <f t="shared" si="6"/>
        <v>800</v>
      </c>
      <c r="X12" s="1" t="s">
        <v>8</v>
      </c>
      <c r="Y12" s="16">
        <f>-W12</f>
        <v>-800</v>
      </c>
      <c r="Z12" s="8">
        <f t="shared" si="5"/>
        <v>14600</v>
      </c>
    </row>
    <row r="13" spans="1:26" x14ac:dyDescent="0.25">
      <c r="A13" s="11">
        <v>43937</v>
      </c>
      <c r="B13" s="1">
        <v>12</v>
      </c>
      <c r="C13" s="1">
        <v>6</v>
      </c>
      <c r="D13" s="2" t="s">
        <v>21</v>
      </c>
      <c r="E13" s="6" t="s">
        <v>8</v>
      </c>
      <c r="F13" s="6" t="s">
        <v>14</v>
      </c>
      <c r="H13" s="2">
        <v>2</v>
      </c>
      <c r="K13" s="6">
        <v>60000</v>
      </c>
      <c r="L13" s="6"/>
      <c r="M13" s="6">
        <f t="shared" si="0"/>
        <v>60000</v>
      </c>
      <c r="N13" s="6">
        <v>10000</v>
      </c>
      <c r="O13" s="6">
        <v>2000</v>
      </c>
      <c r="P13" s="6"/>
      <c r="Q13" s="6">
        <f t="shared" si="1"/>
        <v>12000</v>
      </c>
      <c r="R13" s="6">
        <f t="shared" si="2"/>
        <v>72000</v>
      </c>
      <c r="S13" s="6">
        <v>10000</v>
      </c>
      <c r="T13" s="6">
        <f t="shared" si="3"/>
        <v>8000</v>
      </c>
      <c r="U13" s="6">
        <f t="shared" si="3"/>
        <v>1600</v>
      </c>
      <c r="V13" s="6">
        <f t="shared" si="6"/>
        <v>2000</v>
      </c>
      <c r="W13" s="8">
        <f t="shared" si="6"/>
        <v>400</v>
      </c>
      <c r="X13" s="1" t="s">
        <v>8</v>
      </c>
      <c r="Y13" s="8">
        <f>-V13-W13</f>
        <v>-2400</v>
      </c>
      <c r="Z13" s="8">
        <f t="shared" si="5"/>
        <v>12200</v>
      </c>
    </row>
    <row r="14" spans="1:26" x14ac:dyDescent="0.25">
      <c r="A14" s="11">
        <v>43938</v>
      </c>
      <c r="B14" s="1">
        <v>14</v>
      </c>
      <c r="C14" s="1">
        <v>1</v>
      </c>
      <c r="D14" s="2" t="s">
        <v>44</v>
      </c>
      <c r="E14" s="6" t="s">
        <v>7</v>
      </c>
      <c r="F14" s="6" t="s">
        <v>15</v>
      </c>
      <c r="H14" s="2">
        <v>9</v>
      </c>
      <c r="K14" s="6">
        <v>344000</v>
      </c>
      <c r="L14" s="6"/>
      <c r="M14" s="6">
        <f t="shared" si="0"/>
        <v>344000</v>
      </c>
      <c r="N14" s="6"/>
      <c r="O14" s="6">
        <v>16000</v>
      </c>
      <c r="P14" s="6"/>
      <c r="Q14" s="6">
        <f t="shared" si="1"/>
        <v>16000</v>
      </c>
      <c r="R14" s="6">
        <f t="shared" si="2"/>
        <v>360000</v>
      </c>
      <c r="S14" s="6"/>
      <c r="T14" s="6"/>
      <c r="U14" s="6">
        <f t="shared" si="3"/>
        <v>12800</v>
      </c>
      <c r="V14" s="6">
        <f t="shared" si="6"/>
        <v>0</v>
      </c>
      <c r="W14" s="8">
        <f t="shared" si="6"/>
        <v>3200</v>
      </c>
      <c r="X14" s="1" t="s">
        <v>41</v>
      </c>
      <c r="Y14" s="8">
        <f>U14</f>
        <v>12800</v>
      </c>
      <c r="Z14" s="8">
        <f t="shared" si="5"/>
        <v>25000</v>
      </c>
    </row>
    <row r="15" spans="1:26" x14ac:dyDescent="0.25">
      <c r="A15" s="11"/>
      <c r="D15" s="2" t="s">
        <v>117</v>
      </c>
      <c r="E15" s="6"/>
      <c r="F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8"/>
      <c r="X15" s="1" t="s">
        <v>41</v>
      </c>
      <c r="Y15" s="8">
        <f>M14</f>
        <v>344000</v>
      </c>
      <c r="Z15" s="8">
        <f t="shared" si="5"/>
        <v>369000</v>
      </c>
    </row>
    <row r="16" spans="1:26" x14ac:dyDescent="0.25">
      <c r="A16" s="11">
        <v>43938</v>
      </c>
      <c r="B16" s="1">
        <v>15</v>
      </c>
      <c r="C16" s="1">
        <v>2</v>
      </c>
      <c r="D16" s="2" t="s">
        <v>49</v>
      </c>
      <c r="E16" s="6" t="s">
        <v>45</v>
      </c>
      <c r="F16" s="6" t="s">
        <v>14</v>
      </c>
      <c r="H16" s="2">
        <v>3</v>
      </c>
      <c r="K16" s="6">
        <v>86500</v>
      </c>
      <c r="L16" s="6"/>
      <c r="M16" s="6">
        <f t="shared" si="0"/>
        <v>86500</v>
      </c>
      <c r="N16" s="6"/>
      <c r="O16" s="6">
        <v>4000</v>
      </c>
      <c r="P16" s="6"/>
      <c r="Q16" s="6">
        <f t="shared" si="1"/>
        <v>4000</v>
      </c>
      <c r="R16" s="6">
        <f t="shared" si="2"/>
        <v>90500</v>
      </c>
      <c r="S16" s="6"/>
      <c r="T16" s="6"/>
      <c r="U16" s="6">
        <f t="shared" si="3"/>
        <v>3200</v>
      </c>
      <c r="V16" s="6">
        <f t="shared" si="6"/>
        <v>0</v>
      </c>
      <c r="W16" s="8">
        <f t="shared" si="6"/>
        <v>800</v>
      </c>
      <c r="X16" s="1" t="s">
        <v>8</v>
      </c>
      <c r="Y16" s="8">
        <f>-W16</f>
        <v>-800</v>
      </c>
      <c r="Z16" s="8">
        <f t="shared" si="5"/>
        <v>368200</v>
      </c>
    </row>
    <row r="17" spans="1:26" x14ac:dyDescent="0.25">
      <c r="A17" s="11">
        <v>43938</v>
      </c>
      <c r="B17" s="1">
        <v>17</v>
      </c>
      <c r="C17" s="1">
        <v>4</v>
      </c>
      <c r="D17" s="2" t="s">
        <v>48</v>
      </c>
      <c r="E17" s="6" t="s">
        <v>17</v>
      </c>
      <c r="F17" s="6" t="s">
        <v>15</v>
      </c>
      <c r="H17" s="2">
        <v>4</v>
      </c>
      <c r="K17" s="6">
        <v>304000</v>
      </c>
      <c r="L17" s="6"/>
      <c r="M17" s="6">
        <f t="shared" si="0"/>
        <v>304000</v>
      </c>
      <c r="N17" s="6"/>
      <c r="O17" s="6">
        <v>6000</v>
      </c>
      <c r="P17" s="6"/>
      <c r="Q17" s="6">
        <f t="shared" si="1"/>
        <v>6000</v>
      </c>
      <c r="R17" s="6">
        <f t="shared" si="2"/>
        <v>310000</v>
      </c>
      <c r="S17" s="6"/>
      <c r="T17" s="6"/>
      <c r="U17" s="6">
        <f t="shared" ref="T17:U21" si="7">O17*80%</f>
        <v>4800</v>
      </c>
      <c r="V17" s="6">
        <f t="shared" si="6"/>
        <v>0</v>
      </c>
      <c r="W17" s="8">
        <f t="shared" si="6"/>
        <v>1200</v>
      </c>
      <c r="X17" s="1" t="s">
        <v>41</v>
      </c>
      <c r="Y17" s="8">
        <f>U17</f>
        <v>4800</v>
      </c>
      <c r="Z17" s="8">
        <f t="shared" si="5"/>
        <v>373000</v>
      </c>
    </row>
    <row r="18" spans="1:26" x14ac:dyDescent="0.25">
      <c r="A18" s="11"/>
      <c r="D18" s="2" t="s">
        <v>52</v>
      </c>
      <c r="E18" s="6"/>
      <c r="F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8"/>
      <c r="X18" s="1" t="s">
        <v>41</v>
      </c>
      <c r="Y18" s="8">
        <f>K17</f>
        <v>304000</v>
      </c>
      <c r="Z18" s="8">
        <f t="shared" si="5"/>
        <v>677000</v>
      </c>
    </row>
    <row r="19" spans="1:26" x14ac:dyDescent="0.25">
      <c r="A19" s="11">
        <v>43938</v>
      </c>
      <c r="B19" s="1">
        <v>18</v>
      </c>
      <c r="C19" s="1">
        <v>5</v>
      </c>
      <c r="D19" s="2" t="s">
        <v>4</v>
      </c>
      <c r="E19" s="6" t="s">
        <v>8</v>
      </c>
      <c r="F19" s="6" t="s">
        <v>14</v>
      </c>
      <c r="I19" s="2">
        <v>1</v>
      </c>
      <c r="K19" s="6"/>
      <c r="L19" s="6">
        <v>20000</v>
      </c>
      <c r="M19" s="6">
        <f t="shared" si="0"/>
        <v>20000</v>
      </c>
      <c r="N19" s="6">
        <v>10000</v>
      </c>
      <c r="O19" s="6">
        <v>0</v>
      </c>
      <c r="P19" s="6"/>
      <c r="Q19" s="6">
        <f t="shared" si="1"/>
        <v>10000</v>
      </c>
      <c r="R19" s="6">
        <f t="shared" si="2"/>
        <v>30000</v>
      </c>
      <c r="S19" s="6">
        <v>7000</v>
      </c>
      <c r="T19" s="6">
        <f t="shared" si="7"/>
        <v>8000</v>
      </c>
      <c r="U19" s="6">
        <f t="shared" si="7"/>
        <v>0</v>
      </c>
      <c r="V19" s="6">
        <f t="shared" si="6"/>
        <v>2000</v>
      </c>
      <c r="W19" s="8">
        <f t="shared" si="6"/>
        <v>0</v>
      </c>
      <c r="X19" s="1" t="s">
        <v>8</v>
      </c>
      <c r="Y19" s="8">
        <f>-V19</f>
        <v>-2000</v>
      </c>
      <c r="Z19" s="8">
        <f t="shared" si="5"/>
        <v>675000</v>
      </c>
    </row>
    <row r="20" spans="1:26" x14ac:dyDescent="0.25">
      <c r="A20" s="11"/>
      <c r="D20" s="2" t="s">
        <v>54</v>
      </c>
      <c r="E20" s="6"/>
      <c r="F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8"/>
      <c r="X20" s="1" t="s">
        <v>8</v>
      </c>
      <c r="Y20" s="16">
        <f>-680000</f>
        <v>-680000</v>
      </c>
      <c r="Z20" s="8">
        <f t="shared" si="5"/>
        <v>-5000</v>
      </c>
    </row>
    <row r="21" spans="1:26" x14ac:dyDescent="0.25">
      <c r="A21" s="11">
        <v>43939</v>
      </c>
      <c r="B21" s="1">
        <v>19</v>
      </c>
      <c r="C21" s="1">
        <v>1</v>
      </c>
      <c r="D21" s="2" t="s">
        <v>22</v>
      </c>
      <c r="E21" s="6" t="s">
        <v>7</v>
      </c>
      <c r="F21" s="6" t="s">
        <v>14</v>
      </c>
      <c r="G21" s="2">
        <v>1</v>
      </c>
      <c r="H21" s="2">
        <v>1</v>
      </c>
      <c r="J21" s="6">
        <v>149700</v>
      </c>
      <c r="K21" s="6">
        <v>185000</v>
      </c>
      <c r="L21" s="6"/>
      <c r="M21" s="6">
        <f t="shared" si="0"/>
        <v>334700</v>
      </c>
      <c r="N21" s="6"/>
      <c r="O21" s="6">
        <v>6000</v>
      </c>
      <c r="P21" s="6"/>
      <c r="Q21" s="6">
        <f t="shared" si="1"/>
        <v>6000</v>
      </c>
      <c r="R21" s="6">
        <f t="shared" si="2"/>
        <v>340700</v>
      </c>
      <c r="S21" s="6"/>
      <c r="T21" s="6"/>
      <c r="U21" s="6">
        <f t="shared" si="7"/>
        <v>4800</v>
      </c>
      <c r="V21" s="6">
        <f t="shared" si="6"/>
        <v>0</v>
      </c>
      <c r="W21" s="8">
        <f t="shared" si="6"/>
        <v>1200</v>
      </c>
      <c r="X21" s="1" t="s">
        <v>8</v>
      </c>
      <c r="Y21" s="16">
        <f>-W21</f>
        <v>-1200</v>
      </c>
      <c r="Z21" s="8">
        <f t="shared" si="5"/>
        <v>-6200</v>
      </c>
    </row>
    <row r="22" spans="1:26" x14ac:dyDescent="0.25">
      <c r="A22" s="11">
        <v>43939</v>
      </c>
      <c r="B22" s="1">
        <v>21</v>
      </c>
      <c r="C22" s="1">
        <v>3</v>
      </c>
      <c r="D22" s="2" t="s">
        <v>20</v>
      </c>
      <c r="E22" s="6" t="s">
        <v>45</v>
      </c>
      <c r="F22" s="6" t="s">
        <v>15</v>
      </c>
      <c r="H22" s="2">
        <v>4</v>
      </c>
      <c r="J22" s="6"/>
      <c r="K22" s="6">
        <v>215500</v>
      </c>
      <c r="L22" s="6">
        <v>84000</v>
      </c>
      <c r="M22" s="6">
        <f t="shared" si="0"/>
        <v>299500</v>
      </c>
      <c r="N22" s="6"/>
      <c r="O22" s="6">
        <v>6000</v>
      </c>
      <c r="P22" s="6"/>
      <c r="Q22" s="6">
        <f t="shared" si="1"/>
        <v>6000</v>
      </c>
      <c r="R22" s="6">
        <f t="shared" si="2"/>
        <v>305500</v>
      </c>
      <c r="S22" s="6"/>
      <c r="T22" s="6"/>
      <c r="U22" s="6">
        <f t="shared" ref="U22:U25" si="8">O22*80%</f>
        <v>4800</v>
      </c>
      <c r="V22" s="6">
        <f t="shared" ref="V22:V25" si="9">N22*20%</f>
        <v>0</v>
      </c>
      <c r="W22" s="8">
        <f t="shared" ref="W22:W25" si="10">O22*20%</f>
        <v>1200</v>
      </c>
      <c r="X22" s="1" t="s">
        <v>41</v>
      </c>
      <c r="Y22" s="16">
        <f>K22+U22</f>
        <v>220300</v>
      </c>
      <c r="Z22" s="8">
        <f t="shared" si="5"/>
        <v>214100</v>
      </c>
    </row>
    <row r="23" spans="1:26" x14ac:dyDescent="0.25">
      <c r="A23" s="11">
        <v>43939</v>
      </c>
      <c r="B23" s="1">
        <v>22</v>
      </c>
      <c r="C23" s="1">
        <v>4</v>
      </c>
      <c r="D23" s="2" t="s">
        <v>47</v>
      </c>
      <c r="E23" s="6" t="s">
        <v>7</v>
      </c>
      <c r="F23" s="6" t="s">
        <v>14</v>
      </c>
      <c r="H23" s="2">
        <v>1</v>
      </c>
      <c r="I23" s="2">
        <v>1</v>
      </c>
      <c r="J23" s="6"/>
      <c r="K23" s="6">
        <v>331000</v>
      </c>
      <c r="L23" s="6">
        <v>35000</v>
      </c>
      <c r="M23" s="6">
        <f t="shared" si="0"/>
        <v>366000</v>
      </c>
      <c r="N23" s="6"/>
      <c r="O23" s="6">
        <v>8000</v>
      </c>
      <c r="P23" s="6"/>
      <c r="Q23" s="6">
        <f t="shared" si="1"/>
        <v>8000</v>
      </c>
      <c r="R23" s="6">
        <f t="shared" si="2"/>
        <v>374000</v>
      </c>
      <c r="S23" s="6"/>
      <c r="T23" s="6"/>
      <c r="U23" s="6">
        <f t="shared" si="8"/>
        <v>6400</v>
      </c>
      <c r="V23" s="6">
        <f t="shared" si="9"/>
        <v>0</v>
      </c>
      <c r="W23" s="8">
        <f t="shared" si="10"/>
        <v>1600</v>
      </c>
      <c r="X23" s="1" t="s">
        <v>8</v>
      </c>
      <c r="Y23" s="16">
        <f>-W23</f>
        <v>-1600</v>
      </c>
      <c r="Z23" s="8">
        <f t="shared" si="5"/>
        <v>212500</v>
      </c>
    </row>
    <row r="24" spans="1:26" x14ac:dyDescent="0.25">
      <c r="A24" s="11">
        <v>43939</v>
      </c>
      <c r="B24" s="1">
        <v>23</v>
      </c>
      <c r="C24" s="1">
        <v>5</v>
      </c>
      <c r="D24" s="2" t="s">
        <v>9</v>
      </c>
      <c r="E24" s="6" t="s">
        <v>45</v>
      </c>
      <c r="F24" s="6" t="s">
        <v>15</v>
      </c>
      <c r="H24" s="2">
        <v>1</v>
      </c>
      <c r="J24" s="6">
        <v>0</v>
      </c>
      <c r="K24" s="6">
        <v>235000</v>
      </c>
      <c r="L24" s="6">
        <v>0</v>
      </c>
      <c r="M24" s="6">
        <f t="shared" si="0"/>
        <v>235000</v>
      </c>
      <c r="N24" s="6"/>
      <c r="O24" s="6">
        <v>8000</v>
      </c>
      <c r="P24" s="6"/>
      <c r="Q24" s="6">
        <f t="shared" si="1"/>
        <v>8000</v>
      </c>
      <c r="R24" s="6">
        <f t="shared" si="2"/>
        <v>243000</v>
      </c>
      <c r="S24" s="6"/>
      <c r="T24" s="6"/>
      <c r="U24" s="6">
        <f t="shared" si="8"/>
        <v>6400</v>
      </c>
      <c r="V24" s="6">
        <f t="shared" si="9"/>
        <v>0</v>
      </c>
      <c r="W24" s="8">
        <f t="shared" si="10"/>
        <v>1600</v>
      </c>
      <c r="X24" s="1" t="s">
        <v>41</v>
      </c>
      <c r="Y24" s="16">
        <f>K24+U24</f>
        <v>241400</v>
      </c>
      <c r="Z24" s="8">
        <f t="shared" si="5"/>
        <v>453900</v>
      </c>
    </row>
    <row r="25" spans="1:26" x14ac:dyDescent="0.25">
      <c r="A25" s="11">
        <v>43939</v>
      </c>
      <c r="B25" s="1">
        <v>24</v>
      </c>
      <c r="C25" s="1">
        <v>6</v>
      </c>
      <c r="D25" s="2" t="s">
        <v>71</v>
      </c>
      <c r="E25" s="6" t="s">
        <v>7</v>
      </c>
      <c r="F25" s="6" t="s">
        <v>15</v>
      </c>
      <c r="H25" s="2">
        <v>1</v>
      </c>
      <c r="J25" s="6"/>
      <c r="K25" s="6">
        <v>161000</v>
      </c>
      <c r="L25" s="6"/>
      <c r="M25" s="6">
        <f t="shared" si="0"/>
        <v>161000</v>
      </c>
      <c r="N25" s="6"/>
      <c r="O25" s="6">
        <v>8000</v>
      </c>
      <c r="P25" s="6"/>
      <c r="Q25" s="6">
        <f t="shared" si="1"/>
        <v>8000</v>
      </c>
      <c r="R25" s="6">
        <f t="shared" si="2"/>
        <v>169000</v>
      </c>
      <c r="S25" s="6"/>
      <c r="T25" s="6"/>
      <c r="U25" s="6">
        <f t="shared" si="8"/>
        <v>6400</v>
      </c>
      <c r="V25" s="6">
        <f t="shared" si="9"/>
        <v>0</v>
      </c>
      <c r="W25" s="8">
        <f t="shared" si="10"/>
        <v>1600</v>
      </c>
      <c r="X25" s="1" t="s">
        <v>41</v>
      </c>
      <c r="Y25" s="16">
        <f>K25+U25</f>
        <v>167400</v>
      </c>
      <c r="Z25" s="8">
        <f t="shared" si="5"/>
        <v>621300</v>
      </c>
    </row>
    <row r="26" spans="1:26" x14ac:dyDescent="0.25">
      <c r="A26" s="11">
        <v>43939</v>
      </c>
      <c r="D26" s="2" t="s">
        <v>54</v>
      </c>
      <c r="E26" s="6"/>
      <c r="F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8"/>
      <c r="X26" s="1" t="s">
        <v>8</v>
      </c>
      <c r="Y26" s="12">
        <f>-626300</f>
        <v>-626300</v>
      </c>
      <c r="Z26" s="8">
        <f t="shared" si="5"/>
        <v>-5000</v>
      </c>
    </row>
    <row r="27" spans="1:26" x14ac:dyDescent="0.25">
      <c r="A27" s="11">
        <v>43939</v>
      </c>
      <c r="B27" s="1">
        <v>27</v>
      </c>
      <c r="C27" s="1">
        <v>9</v>
      </c>
      <c r="D27" s="2" t="s">
        <v>74</v>
      </c>
      <c r="E27" s="6" t="s">
        <v>8</v>
      </c>
      <c r="F27" s="6" t="s">
        <v>14</v>
      </c>
      <c r="I27" s="2">
        <v>1</v>
      </c>
      <c r="J27" s="6"/>
      <c r="K27" s="6"/>
      <c r="L27" s="6">
        <v>60000</v>
      </c>
      <c r="M27" s="6">
        <f t="shared" ref="M27:M35" si="11">J27+K27+L27</f>
        <v>60000</v>
      </c>
      <c r="N27" s="6">
        <v>15000</v>
      </c>
      <c r="O27" s="6"/>
      <c r="P27" s="6"/>
      <c r="Q27" s="6">
        <f t="shared" ref="Q27:Q35" si="12">N27+O27+P27</f>
        <v>15000</v>
      </c>
      <c r="R27" s="6">
        <f t="shared" ref="R27:R35" si="13">M27+Q27</f>
        <v>75000</v>
      </c>
      <c r="S27" s="6"/>
      <c r="T27" s="6">
        <f t="shared" ref="T27" si="14">N27*80%</f>
        <v>12000</v>
      </c>
      <c r="U27" s="6"/>
      <c r="V27" s="6">
        <f t="shared" ref="V27" si="15">N27*20%</f>
        <v>3000</v>
      </c>
      <c r="W27" s="8"/>
      <c r="X27" s="1" t="s">
        <v>8</v>
      </c>
      <c r="Y27" s="8">
        <f>-V27</f>
        <v>-3000</v>
      </c>
      <c r="Z27" s="8">
        <f t="shared" si="5"/>
        <v>-8000</v>
      </c>
    </row>
    <row r="28" spans="1:26" x14ac:dyDescent="0.25">
      <c r="A28" s="11">
        <v>43940</v>
      </c>
      <c r="B28" s="1">
        <v>29</v>
      </c>
      <c r="C28" s="1">
        <v>1</v>
      </c>
      <c r="D28" s="2" t="s">
        <v>85</v>
      </c>
      <c r="E28" s="6" t="s">
        <v>7</v>
      </c>
      <c r="F28" s="6" t="s">
        <v>14</v>
      </c>
      <c r="H28" s="2">
        <v>3</v>
      </c>
      <c r="I28" s="2">
        <v>1</v>
      </c>
      <c r="J28" s="6"/>
      <c r="K28" s="6">
        <v>88000</v>
      </c>
      <c r="L28" s="6">
        <v>65000</v>
      </c>
      <c r="M28" s="6">
        <f t="shared" si="11"/>
        <v>153000</v>
      </c>
      <c r="N28" s="6"/>
      <c r="O28" s="6">
        <v>4000</v>
      </c>
      <c r="P28" s="6"/>
      <c r="Q28" s="6">
        <f t="shared" si="12"/>
        <v>4000</v>
      </c>
      <c r="R28" s="6">
        <f t="shared" si="13"/>
        <v>157000</v>
      </c>
      <c r="S28" s="6"/>
      <c r="T28" s="6">
        <f t="shared" ref="T28:T35" si="16">(N28+P28)*80%</f>
        <v>0</v>
      </c>
      <c r="U28" s="6">
        <f t="shared" ref="U28:U35" si="17">O28*80%</f>
        <v>3200</v>
      </c>
      <c r="V28" s="6">
        <f t="shared" ref="V28:V35" si="18">(N28+P28)*20%</f>
        <v>0</v>
      </c>
      <c r="W28" s="8">
        <f t="shared" ref="W28:W35" si="19">O28*20%</f>
        <v>800</v>
      </c>
      <c r="X28" s="1" t="s">
        <v>8</v>
      </c>
      <c r="Y28" s="8">
        <f>-W28</f>
        <v>-800</v>
      </c>
      <c r="Z28" s="8">
        <f t="shared" ref="Z28" si="20">Z27+Y28</f>
        <v>-8800</v>
      </c>
    </row>
    <row r="29" spans="1:26" x14ac:dyDescent="0.25">
      <c r="A29" s="11">
        <v>43940</v>
      </c>
      <c r="B29" s="1">
        <v>30</v>
      </c>
      <c r="C29" s="1">
        <v>2</v>
      </c>
      <c r="D29" s="2" t="s">
        <v>84</v>
      </c>
      <c r="E29" s="6" t="s">
        <v>45</v>
      </c>
      <c r="F29" s="6" t="s">
        <v>14</v>
      </c>
      <c r="H29" s="2">
        <v>5</v>
      </c>
      <c r="J29" s="6"/>
      <c r="K29" s="6">
        <v>204000</v>
      </c>
      <c r="L29" s="6"/>
      <c r="M29" s="6">
        <f t="shared" si="11"/>
        <v>204000</v>
      </c>
      <c r="N29" s="6"/>
      <c r="O29" s="6">
        <v>8000</v>
      </c>
      <c r="P29" s="6"/>
      <c r="Q29" s="6">
        <f t="shared" si="12"/>
        <v>8000</v>
      </c>
      <c r="R29" s="6">
        <f t="shared" si="13"/>
        <v>212000</v>
      </c>
      <c r="S29" s="6">
        <v>8000</v>
      </c>
      <c r="T29" s="6">
        <f t="shared" si="16"/>
        <v>0</v>
      </c>
      <c r="U29" s="6">
        <f t="shared" si="17"/>
        <v>6400</v>
      </c>
      <c r="V29" s="6">
        <f t="shared" si="18"/>
        <v>0</v>
      </c>
      <c r="W29" s="8">
        <f t="shared" si="19"/>
        <v>1600</v>
      </c>
      <c r="X29" s="1" t="s">
        <v>8</v>
      </c>
      <c r="Y29" s="8">
        <f>-W29</f>
        <v>-1600</v>
      </c>
      <c r="Z29" s="8">
        <f t="shared" ref="Z29" si="21">Z28+Y29</f>
        <v>-10400</v>
      </c>
    </row>
    <row r="30" spans="1:26" ht="30" x14ac:dyDescent="0.25">
      <c r="A30" s="11">
        <v>43940</v>
      </c>
      <c r="B30" s="1">
        <v>31</v>
      </c>
      <c r="C30" s="1">
        <v>3</v>
      </c>
      <c r="D30" s="2" t="s">
        <v>83</v>
      </c>
      <c r="E30" s="6" t="s">
        <v>7</v>
      </c>
      <c r="F30" s="6" t="s">
        <v>15</v>
      </c>
      <c r="G30" s="2">
        <v>1</v>
      </c>
      <c r="H30" s="2">
        <v>5</v>
      </c>
      <c r="J30" s="6">
        <v>132300</v>
      </c>
      <c r="K30" s="6">
        <v>128000</v>
      </c>
      <c r="L30" s="6"/>
      <c r="M30" s="6">
        <f t="shared" si="11"/>
        <v>260300</v>
      </c>
      <c r="N30" s="6"/>
      <c r="O30" s="6">
        <v>8000</v>
      </c>
      <c r="P30" s="6"/>
      <c r="Q30" s="6">
        <f t="shared" si="12"/>
        <v>8000</v>
      </c>
      <c r="R30" s="6">
        <f t="shared" si="13"/>
        <v>268300</v>
      </c>
      <c r="S30" s="6"/>
      <c r="T30" s="6">
        <f t="shared" si="16"/>
        <v>0</v>
      </c>
      <c r="U30" s="6">
        <f t="shared" si="17"/>
        <v>6400</v>
      </c>
      <c r="V30" s="6">
        <f t="shared" si="18"/>
        <v>0</v>
      </c>
      <c r="W30" s="8">
        <f t="shared" si="19"/>
        <v>1600</v>
      </c>
      <c r="X30" s="1" t="s">
        <v>8</v>
      </c>
      <c r="Y30" s="8">
        <f>-W30</f>
        <v>-1600</v>
      </c>
      <c r="Z30" s="8">
        <f t="shared" ref="Z30:Z36" si="22">Z29+Y30</f>
        <v>-12000</v>
      </c>
    </row>
    <row r="31" spans="1:26" ht="30" x14ac:dyDescent="0.25">
      <c r="A31" s="11">
        <v>43940</v>
      </c>
      <c r="D31" s="2" t="s">
        <v>87</v>
      </c>
      <c r="E31" s="6"/>
      <c r="F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8"/>
      <c r="X31" s="1" t="s">
        <v>41</v>
      </c>
      <c r="Y31" s="8">
        <f>K30</f>
        <v>128000</v>
      </c>
      <c r="Z31" s="8">
        <f t="shared" si="22"/>
        <v>116000</v>
      </c>
    </row>
    <row r="32" spans="1:26" ht="30" x14ac:dyDescent="0.25">
      <c r="A32" s="11">
        <v>43940</v>
      </c>
      <c r="B32" s="1">
        <v>32</v>
      </c>
      <c r="C32" s="1">
        <v>4</v>
      </c>
      <c r="D32" s="2" t="s">
        <v>82</v>
      </c>
      <c r="E32" s="6" t="s">
        <v>45</v>
      </c>
      <c r="F32" s="6" t="s">
        <v>14</v>
      </c>
      <c r="G32" s="2">
        <v>1</v>
      </c>
      <c r="H32" s="2">
        <v>3</v>
      </c>
      <c r="J32" s="6">
        <v>88300</v>
      </c>
      <c r="K32" s="6">
        <v>92000</v>
      </c>
      <c r="L32" s="6"/>
      <c r="M32" s="6">
        <f t="shared" si="11"/>
        <v>180300</v>
      </c>
      <c r="N32" s="6"/>
      <c r="O32" s="6">
        <v>4000</v>
      </c>
      <c r="P32" s="6"/>
      <c r="Q32" s="6">
        <f t="shared" si="12"/>
        <v>4000</v>
      </c>
      <c r="R32" s="6">
        <f t="shared" si="13"/>
        <v>184300</v>
      </c>
      <c r="S32" s="6"/>
      <c r="T32" s="6">
        <f t="shared" si="16"/>
        <v>0</v>
      </c>
      <c r="U32" s="6">
        <f t="shared" si="17"/>
        <v>3200</v>
      </c>
      <c r="V32" s="6">
        <f t="shared" si="18"/>
        <v>0</v>
      </c>
      <c r="W32" s="8">
        <f t="shared" si="19"/>
        <v>800</v>
      </c>
      <c r="X32" s="1" t="s">
        <v>8</v>
      </c>
      <c r="Y32" s="8">
        <f>-W32</f>
        <v>-800</v>
      </c>
      <c r="Z32" s="8">
        <f t="shared" si="22"/>
        <v>115200</v>
      </c>
    </row>
    <row r="33" spans="1:31" ht="30" x14ac:dyDescent="0.25">
      <c r="A33" s="11">
        <v>43940</v>
      </c>
      <c r="D33" s="2" t="s">
        <v>86</v>
      </c>
      <c r="E33" s="6"/>
      <c r="F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8"/>
      <c r="X33" s="1" t="s">
        <v>41</v>
      </c>
      <c r="Y33" s="8">
        <f>128000</f>
        <v>128000</v>
      </c>
      <c r="Z33" s="8">
        <f t="shared" si="22"/>
        <v>243200</v>
      </c>
      <c r="AE33">
        <f>256000-47000</f>
        <v>209000</v>
      </c>
    </row>
    <row r="34" spans="1:31" ht="30" x14ac:dyDescent="0.25">
      <c r="A34" s="11">
        <v>43940</v>
      </c>
      <c r="B34" s="1">
        <v>34</v>
      </c>
      <c r="C34" s="1">
        <v>6</v>
      </c>
      <c r="D34" s="2" t="s">
        <v>80</v>
      </c>
      <c r="E34" s="6" t="s">
        <v>8</v>
      </c>
      <c r="F34" s="6" t="s">
        <v>14</v>
      </c>
      <c r="G34" s="2">
        <v>1</v>
      </c>
      <c r="J34" s="6">
        <v>650000</v>
      </c>
      <c r="K34" s="6"/>
      <c r="L34" s="6"/>
      <c r="M34" s="6">
        <f t="shared" si="11"/>
        <v>650000</v>
      </c>
      <c r="N34" s="6">
        <v>40000</v>
      </c>
      <c r="O34" s="6"/>
      <c r="P34" s="6"/>
      <c r="Q34" s="6">
        <f t="shared" si="12"/>
        <v>40000</v>
      </c>
      <c r="R34" s="6">
        <f t="shared" si="13"/>
        <v>690000</v>
      </c>
      <c r="S34" s="6">
        <v>9000</v>
      </c>
      <c r="T34" s="6">
        <f t="shared" si="16"/>
        <v>32000</v>
      </c>
      <c r="U34" s="6">
        <f t="shared" si="17"/>
        <v>0</v>
      </c>
      <c r="V34" s="6">
        <f t="shared" si="18"/>
        <v>8000</v>
      </c>
      <c r="W34" s="8">
        <f t="shared" si="19"/>
        <v>0</v>
      </c>
      <c r="X34" s="1" t="s">
        <v>8</v>
      </c>
      <c r="Y34" s="8">
        <f>-V34</f>
        <v>-8000</v>
      </c>
      <c r="Z34" s="8">
        <f t="shared" si="22"/>
        <v>235200</v>
      </c>
    </row>
    <row r="35" spans="1:31" x14ac:dyDescent="0.25">
      <c r="A35" s="11">
        <v>43940</v>
      </c>
      <c r="B35" s="1">
        <v>36</v>
      </c>
      <c r="C35" s="1">
        <v>8</v>
      </c>
      <c r="D35" s="2" t="s">
        <v>77</v>
      </c>
      <c r="E35" s="6" t="s">
        <v>8</v>
      </c>
      <c r="F35" s="6" t="s">
        <v>14</v>
      </c>
      <c r="I35" s="2">
        <v>1</v>
      </c>
      <c r="J35" s="6"/>
      <c r="K35" s="6"/>
      <c r="L35" s="6">
        <v>94000</v>
      </c>
      <c r="M35" s="6">
        <f t="shared" si="11"/>
        <v>94000</v>
      </c>
      <c r="N35" s="6">
        <v>15000</v>
      </c>
      <c r="O35" s="6"/>
      <c r="P35" s="6"/>
      <c r="Q35" s="6">
        <f t="shared" si="12"/>
        <v>15000</v>
      </c>
      <c r="R35" s="6">
        <f t="shared" si="13"/>
        <v>109000</v>
      </c>
      <c r="S35" s="6">
        <v>6000</v>
      </c>
      <c r="T35" s="6">
        <f t="shared" si="16"/>
        <v>12000</v>
      </c>
      <c r="U35" s="6">
        <f t="shared" si="17"/>
        <v>0</v>
      </c>
      <c r="V35" s="6">
        <f t="shared" si="18"/>
        <v>3000</v>
      </c>
      <c r="W35" s="8">
        <f t="shared" si="19"/>
        <v>0</v>
      </c>
      <c r="X35" s="1" t="s">
        <v>8</v>
      </c>
      <c r="Y35" s="8">
        <f>-V35</f>
        <v>-3000</v>
      </c>
      <c r="Z35" s="8">
        <f t="shared" si="22"/>
        <v>232200</v>
      </c>
    </row>
    <row r="36" spans="1:31" x14ac:dyDescent="0.25">
      <c r="A36" s="11">
        <v>43940</v>
      </c>
      <c r="D36" s="2" t="s">
        <v>88</v>
      </c>
      <c r="E36" s="6"/>
      <c r="F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8"/>
      <c r="X36" s="1" t="s">
        <v>8</v>
      </c>
      <c r="Y36" s="8">
        <f>-47000</f>
        <v>-47000</v>
      </c>
      <c r="Z36" s="8">
        <f t="shared" si="22"/>
        <v>185200</v>
      </c>
    </row>
    <row r="37" spans="1:31" x14ac:dyDescent="0.25">
      <c r="A37" s="11">
        <v>43940</v>
      </c>
      <c r="D37" s="2" t="s">
        <v>54</v>
      </c>
      <c r="E37" s="6"/>
      <c r="F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X37" s="1" t="s">
        <v>8</v>
      </c>
      <c r="Y37" s="8">
        <f>-190200</f>
        <v>-190200</v>
      </c>
      <c r="Z37" s="8">
        <f>Z36+Y37</f>
        <v>-5000</v>
      </c>
    </row>
    <row r="38" spans="1:31" x14ac:dyDescent="0.25">
      <c r="A38" s="11">
        <v>43941</v>
      </c>
      <c r="B38" s="1">
        <v>38</v>
      </c>
      <c r="C38" s="1">
        <v>1</v>
      </c>
      <c r="D38" s="1" t="s">
        <v>89</v>
      </c>
      <c r="E38" s="6" t="s">
        <v>45</v>
      </c>
      <c r="F38" s="6" t="s">
        <v>14</v>
      </c>
      <c r="H38" s="2">
        <v>3</v>
      </c>
      <c r="J38" s="6"/>
      <c r="K38" s="6">
        <v>138000</v>
      </c>
      <c r="L38" s="6"/>
      <c r="M38" s="6">
        <f t="shared" ref="M38:M40" si="23">J38+K38+L38</f>
        <v>138000</v>
      </c>
      <c r="N38" s="6"/>
      <c r="O38" s="6">
        <v>4000</v>
      </c>
      <c r="P38" s="6"/>
      <c r="Q38" s="6">
        <f t="shared" ref="Q38:Q40" si="24">N38+O38+P38</f>
        <v>4000</v>
      </c>
      <c r="R38" s="6">
        <f t="shared" ref="R38:R40" si="25">M38+Q38</f>
        <v>142000</v>
      </c>
      <c r="S38" s="6">
        <v>1000</v>
      </c>
      <c r="T38" s="6">
        <f t="shared" ref="T38:T40" si="26">(N38+P38)*80%</f>
        <v>0</v>
      </c>
      <c r="U38" s="6">
        <f t="shared" ref="U38:U40" si="27">O38*80%</f>
        <v>3200</v>
      </c>
      <c r="V38" s="6">
        <f t="shared" ref="V38:V40" si="28">(N38+P38)*20%</f>
        <v>0</v>
      </c>
      <c r="W38" s="8">
        <f t="shared" ref="W38:W40" si="29">O38*20%</f>
        <v>800</v>
      </c>
      <c r="X38" s="1" t="s">
        <v>8</v>
      </c>
      <c r="Y38" s="8">
        <f>-W38</f>
        <v>-800</v>
      </c>
      <c r="Z38" s="8">
        <f t="shared" ref="Z38" si="30">Z37+Y38</f>
        <v>-5800</v>
      </c>
    </row>
    <row r="39" spans="1:31" x14ac:dyDescent="0.25">
      <c r="A39" s="11">
        <v>43941</v>
      </c>
      <c r="B39" s="1">
        <v>39</v>
      </c>
      <c r="C39" s="1">
        <v>2</v>
      </c>
      <c r="D39" s="1" t="s">
        <v>90</v>
      </c>
      <c r="E39" s="6" t="s">
        <v>7</v>
      </c>
      <c r="F39" s="6" t="s">
        <v>14</v>
      </c>
      <c r="H39" s="2">
        <v>3</v>
      </c>
      <c r="J39" s="6"/>
      <c r="K39" s="6">
        <v>91000</v>
      </c>
      <c r="L39" s="6"/>
      <c r="M39" s="6">
        <f t="shared" si="23"/>
        <v>91000</v>
      </c>
      <c r="N39" s="6"/>
      <c r="O39" s="6">
        <v>4000</v>
      </c>
      <c r="P39" s="6"/>
      <c r="Q39" s="6">
        <f t="shared" si="24"/>
        <v>4000</v>
      </c>
      <c r="R39" s="6">
        <f t="shared" si="25"/>
        <v>95000</v>
      </c>
      <c r="S39" s="6">
        <v>5000</v>
      </c>
      <c r="T39" s="6">
        <f t="shared" si="26"/>
        <v>0</v>
      </c>
      <c r="U39" s="6">
        <f t="shared" si="27"/>
        <v>3200</v>
      </c>
      <c r="V39" s="6">
        <f t="shared" si="28"/>
        <v>0</v>
      </c>
      <c r="W39" s="8">
        <f t="shared" si="29"/>
        <v>800</v>
      </c>
      <c r="X39" s="1" t="s">
        <v>8</v>
      </c>
      <c r="Y39" s="8">
        <f>-W39</f>
        <v>-800</v>
      </c>
      <c r="Z39" s="8">
        <f t="shared" ref="Z39:Z42" si="31">Z38+Y39</f>
        <v>-6600</v>
      </c>
    </row>
    <row r="40" spans="1:31" x14ac:dyDescent="0.25">
      <c r="A40" s="11">
        <v>43941</v>
      </c>
      <c r="B40" s="1">
        <v>40</v>
      </c>
      <c r="C40" s="1">
        <v>3</v>
      </c>
      <c r="D40" s="1" t="s">
        <v>91</v>
      </c>
      <c r="E40" s="6" t="s">
        <v>45</v>
      </c>
      <c r="F40" s="6" t="s">
        <v>14</v>
      </c>
      <c r="G40" s="2">
        <v>1</v>
      </c>
      <c r="H40" s="2">
        <v>6</v>
      </c>
      <c r="J40" s="6">
        <v>36700</v>
      </c>
      <c r="K40" s="6">
        <v>287000</v>
      </c>
      <c r="L40" s="6"/>
      <c r="M40" s="6">
        <f t="shared" si="23"/>
        <v>323700</v>
      </c>
      <c r="N40" s="6"/>
      <c r="O40" s="6">
        <v>10000</v>
      </c>
      <c r="P40" s="6"/>
      <c r="Q40" s="6">
        <f t="shared" si="24"/>
        <v>10000</v>
      </c>
      <c r="R40" s="6">
        <f t="shared" si="25"/>
        <v>333700</v>
      </c>
      <c r="S40" s="6">
        <f>355000-R40</f>
        <v>21300</v>
      </c>
      <c r="T40" s="6">
        <f t="shared" si="26"/>
        <v>0</v>
      </c>
      <c r="U40" s="6">
        <f t="shared" si="27"/>
        <v>8000</v>
      </c>
      <c r="V40" s="6">
        <f t="shared" si="28"/>
        <v>0</v>
      </c>
      <c r="W40" s="8">
        <f t="shared" si="29"/>
        <v>2000</v>
      </c>
      <c r="X40" s="1" t="s">
        <v>8</v>
      </c>
      <c r="Y40" s="8">
        <f>-W40</f>
        <v>-2000</v>
      </c>
      <c r="Z40" s="8">
        <f t="shared" si="31"/>
        <v>-8600</v>
      </c>
    </row>
    <row r="41" spans="1:31" x14ac:dyDescent="0.25">
      <c r="A41" s="11"/>
      <c r="D41" s="2" t="s">
        <v>88</v>
      </c>
      <c r="E41" s="6"/>
      <c r="F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8"/>
      <c r="X41" s="1" t="s">
        <v>8</v>
      </c>
      <c r="Y41" s="8">
        <v>-16000</v>
      </c>
      <c r="Z41" s="8">
        <f t="shared" si="31"/>
        <v>-24600</v>
      </c>
    </row>
    <row r="42" spans="1:31" x14ac:dyDescent="0.25">
      <c r="A42" s="11">
        <v>43941</v>
      </c>
      <c r="B42" s="1">
        <v>42</v>
      </c>
      <c r="C42" s="1">
        <v>5</v>
      </c>
      <c r="D42" s="1" t="s">
        <v>96</v>
      </c>
      <c r="E42" s="6" t="s">
        <v>8</v>
      </c>
      <c r="F42" s="6" t="s">
        <v>15</v>
      </c>
      <c r="I42" s="2">
        <v>1</v>
      </c>
      <c r="J42" s="6"/>
      <c r="K42" s="6"/>
      <c r="L42" s="6">
        <v>485000</v>
      </c>
      <c r="M42" s="6">
        <f t="shared" ref="M42" si="32">J42+K42+L42</f>
        <v>485000</v>
      </c>
      <c r="N42" s="6">
        <v>20000</v>
      </c>
      <c r="O42" s="6"/>
      <c r="P42" s="6"/>
      <c r="Q42" s="6">
        <f t="shared" ref="Q42" si="33">N42+O42+P42</f>
        <v>20000</v>
      </c>
      <c r="R42" s="6">
        <f t="shared" ref="R42" si="34">M42+Q42</f>
        <v>505000</v>
      </c>
      <c r="S42" s="6"/>
      <c r="T42" s="6">
        <f t="shared" ref="T42" si="35">(N42+P42)*80%</f>
        <v>16000</v>
      </c>
      <c r="U42" s="6">
        <f t="shared" ref="U42" si="36">O42*80%</f>
        <v>0</v>
      </c>
      <c r="V42" s="6">
        <f t="shared" ref="V42" si="37">(N42+P42)*20%</f>
        <v>4000</v>
      </c>
      <c r="W42" s="8">
        <f t="shared" ref="W42" si="38">O42*20%</f>
        <v>0</v>
      </c>
      <c r="X42" s="1" t="s">
        <v>41</v>
      </c>
      <c r="Y42" s="8">
        <f>T42</f>
        <v>16000</v>
      </c>
      <c r="Z42" s="8">
        <f t="shared" si="31"/>
        <v>-8600</v>
      </c>
    </row>
    <row r="43" spans="1:31" x14ac:dyDescent="0.25">
      <c r="A43" s="11"/>
      <c r="D43" s="1"/>
      <c r="E43" s="6"/>
      <c r="F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8"/>
      <c r="Y43" s="8"/>
      <c r="Z43" s="8"/>
    </row>
    <row r="44" spans="1:31" x14ac:dyDescent="0.25">
      <c r="A44" s="11"/>
      <c r="D44" s="1"/>
      <c r="E44" s="6"/>
      <c r="F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8"/>
      <c r="Y44" s="8"/>
      <c r="Z44" s="8"/>
    </row>
    <row r="45" spans="1:31" x14ac:dyDescent="0.25">
      <c r="A45" s="11"/>
      <c r="E45" s="6"/>
      <c r="F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Y45" s="16"/>
      <c r="Z45" s="16"/>
    </row>
    <row r="46" spans="1:31" x14ac:dyDescent="0.25">
      <c r="A46" s="11"/>
      <c r="E46" s="6"/>
      <c r="F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Z46" s="16"/>
    </row>
    <row r="47" spans="1:31" ht="15.75" x14ac:dyDescent="0.25">
      <c r="E47" s="10" t="s">
        <v>35</v>
      </c>
      <c r="F47" s="6"/>
      <c r="G47" s="10">
        <f t="shared" ref="G47:W47" si="39">SUM(G3:G46)</f>
        <v>7</v>
      </c>
      <c r="H47" s="10">
        <f t="shared" si="39"/>
        <v>87</v>
      </c>
      <c r="I47" s="10">
        <f t="shared" si="39"/>
        <v>6</v>
      </c>
      <c r="J47" s="21">
        <f t="shared" si="39"/>
        <v>1750800</v>
      </c>
      <c r="K47" s="21">
        <f t="shared" si="39"/>
        <v>4239500</v>
      </c>
      <c r="L47" s="21">
        <f t="shared" si="39"/>
        <v>843000</v>
      </c>
      <c r="M47" s="21">
        <f t="shared" si="39"/>
        <v>6833300</v>
      </c>
      <c r="N47" s="10">
        <f t="shared" si="39"/>
        <v>160000</v>
      </c>
      <c r="O47" s="10">
        <f t="shared" si="39"/>
        <v>158000</v>
      </c>
      <c r="P47" s="10">
        <f t="shared" si="39"/>
        <v>0</v>
      </c>
      <c r="Q47" s="10">
        <f t="shared" si="39"/>
        <v>318000</v>
      </c>
      <c r="R47" s="10">
        <f t="shared" si="39"/>
        <v>7151300</v>
      </c>
      <c r="S47" s="10">
        <f t="shared" si="39"/>
        <v>100100</v>
      </c>
      <c r="T47" s="10">
        <f t="shared" si="39"/>
        <v>128000</v>
      </c>
      <c r="U47" s="10">
        <f t="shared" si="39"/>
        <v>126400</v>
      </c>
      <c r="V47" s="10">
        <f t="shared" si="39"/>
        <v>32000</v>
      </c>
      <c r="W47" s="10">
        <f t="shared" si="39"/>
        <v>31600</v>
      </c>
    </row>
    <row r="48" spans="1:31" ht="30" x14ac:dyDescent="0.25">
      <c r="E48" s="6"/>
      <c r="F48" s="6"/>
      <c r="J48" s="6"/>
      <c r="K48" s="6"/>
      <c r="L48" s="6"/>
      <c r="M48" s="6"/>
      <c r="N48" s="6"/>
      <c r="O48" s="6"/>
      <c r="P48" s="6"/>
      <c r="Q48" s="6"/>
      <c r="R48" s="30" t="s">
        <v>62</v>
      </c>
      <c r="S48" s="9">
        <v>60000</v>
      </c>
      <c r="T48" s="6"/>
      <c r="U48" s="6"/>
      <c r="V48" s="6"/>
    </row>
    <row r="49" spans="4:23" ht="45" x14ac:dyDescent="0.25">
      <c r="D49" s="33"/>
      <c r="E49" s="6"/>
      <c r="F49" s="6"/>
      <c r="J49" s="6"/>
      <c r="K49" s="6"/>
      <c r="L49" s="6"/>
      <c r="M49" s="6"/>
      <c r="N49" s="13" t="s">
        <v>31</v>
      </c>
      <c r="O49" s="18">
        <f>N47+O47+S47</f>
        <v>418100</v>
      </c>
      <c r="P49" s="18"/>
      <c r="Q49" s="18"/>
      <c r="R49" s="13" t="s">
        <v>32</v>
      </c>
      <c r="S49" s="18">
        <f>S47+T47+S48</f>
        <v>288100</v>
      </c>
      <c r="T49" s="13" t="s">
        <v>33</v>
      </c>
      <c r="U49" s="18">
        <f>U47</f>
        <v>126400</v>
      </c>
      <c r="V49" s="13" t="s">
        <v>53</v>
      </c>
      <c r="W49" s="14">
        <f>V47+W47</f>
        <v>63600</v>
      </c>
    </row>
    <row r="50" spans="4:23" ht="18.75" x14ac:dyDescent="0.3">
      <c r="E50" s="6"/>
      <c r="F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9" t="s">
        <v>56</v>
      </c>
      <c r="W50" s="17">
        <f>'Donasi Pasar'!B13</f>
        <v>154000</v>
      </c>
    </row>
    <row r="51" spans="4:23" x14ac:dyDescent="0.25">
      <c r="E51" s="6"/>
      <c r="F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spans="4:23" ht="18.75" x14ac:dyDescent="0.25">
      <c r="E52" s="6"/>
      <c r="F52" s="6"/>
      <c r="J52" s="58" t="s">
        <v>5</v>
      </c>
      <c r="K52" s="58"/>
      <c r="L52" s="58"/>
      <c r="M52" s="58"/>
      <c r="N52" s="58"/>
      <c r="O52" s="24">
        <f>M47</f>
        <v>6833300</v>
      </c>
      <c r="P52" s="25" t="s">
        <v>60</v>
      </c>
      <c r="Q52" s="20"/>
      <c r="S52" s="18"/>
      <c r="T52" s="22"/>
      <c r="U52" s="19"/>
      <c r="V52"/>
    </row>
    <row r="53" spans="4:23" ht="18.75" x14ac:dyDescent="0.25">
      <c r="E53" s="6"/>
      <c r="F53" s="6"/>
      <c r="J53" s="58" t="s">
        <v>59</v>
      </c>
      <c r="K53" s="58"/>
      <c r="L53" s="58"/>
      <c r="M53" s="58"/>
      <c r="N53" s="58"/>
      <c r="O53" s="26">
        <f>Q47+S47+S48+W50</f>
        <v>632100</v>
      </c>
      <c r="P53" s="27">
        <f>O53/$O$52</f>
        <v>9.2502890258001264E-2</v>
      </c>
      <c r="Q53" s="6"/>
      <c r="R53" s="6"/>
      <c r="S53" s="6"/>
      <c r="T53" s="6"/>
      <c r="U53"/>
      <c r="V53"/>
    </row>
    <row r="54" spans="4:23" ht="18.75" x14ac:dyDescent="0.25">
      <c r="E54" s="6"/>
      <c r="F54" s="6"/>
      <c r="J54" s="58" t="s">
        <v>57</v>
      </c>
      <c r="K54" s="58"/>
      <c r="L54" s="58"/>
      <c r="M54" s="58"/>
      <c r="N54" s="58"/>
      <c r="O54" s="26">
        <f>S47+S48+T47+U47</f>
        <v>414500</v>
      </c>
      <c r="P54" s="27">
        <f>O54/$O$52</f>
        <v>6.0658832482109667E-2</v>
      </c>
      <c r="Q54" s="6"/>
      <c r="R54" s="6"/>
      <c r="S54" s="6"/>
      <c r="T54" s="6"/>
      <c r="U54"/>
      <c r="V54"/>
    </row>
    <row r="55" spans="4:23" ht="33.75" customHeight="1" x14ac:dyDescent="0.25">
      <c r="E55" s="6"/>
      <c r="F55" s="6"/>
      <c r="J55" s="58" t="s">
        <v>58</v>
      </c>
      <c r="K55" s="58"/>
      <c r="L55" s="58"/>
      <c r="M55" s="58"/>
      <c r="N55" s="58"/>
      <c r="O55" s="26">
        <f>W49+W50</f>
        <v>217600</v>
      </c>
      <c r="P55" s="27">
        <f>O55/$O$52</f>
        <v>3.1844057775891589E-2</v>
      </c>
      <c r="Q55" s="6"/>
      <c r="R55" s="6"/>
      <c r="S55" s="6"/>
      <c r="T55" s="6"/>
      <c r="U55"/>
      <c r="V55"/>
    </row>
    <row r="56" spans="4:23" x14ac:dyDescent="0.25">
      <c r="E56" s="6"/>
      <c r="F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</row>
    <row r="57" spans="4:23" x14ac:dyDescent="0.25">
      <c r="E57" s="6"/>
      <c r="F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</row>
    <row r="58" spans="4:23" x14ac:dyDescent="0.25">
      <c r="E58" s="6"/>
      <c r="F58" s="6"/>
      <c r="J58" s="6"/>
      <c r="K58" s="6"/>
      <c r="L58" s="6"/>
      <c r="M58" s="6"/>
      <c r="N58" s="6" t="s">
        <v>2</v>
      </c>
      <c r="O58" s="28">
        <f>J47</f>
        <v>1750800</v>
      </c>
      <c r="P58" s="23">
        <f>O58/$O$52</f>
        <v>0.25621588397992184</v>
      </c>
      <c r="Q58" s="6"/>
      <c r="R58" s="6"/>
      <c r="S58" s="6"/>
      <c r="T58" s="6"/>
      <c r="U58"/>
      <c r="V58"/>
    </row>
    <row r="59" spans="4:23" x14ac:dyDescent="0.25">
      <c r="E59" s="6"/>
      <c r="F59" s="6"/>
      <c r="J59" s="6"/>
      <c r="K59" s="6"/>
      <c r="L59" s="6"/>
      <c r="M59" s="6"/>
      <c r="N59" s="6" t="s">
        <v>61</v>
      </c>
      <c r="O59" s="6">
        <f>K47</f>
        <v>4239500</v>
      </c>
      <c r="P59" s="23">
        <f>O59/$O$52</f>
        <v>0.62041766057395398</v>
      </c>
      <c r="Q59" s="6"/>
      <c r="R59" s="6"/>
      <c r="S59" s="6"/>
      <c r="T59" s="6"/>
      <c r="U59"/>
      <c r="V59"/>
    </row>
    <row r="60" spans="4:23" x14ac:dyDescent="0.25">
      <c r="E60" s="6"/>
      <c r="F60" s="6"/>
      <c r="J60" s="6"/>
      <c r="K60" s="6"/>
      <c r="L60" s="6"/>
      <c r="M60" s="6"/>
      <c r="N60" s="6" t="s">
        <v>50</v>
      </c>
      <c r="O60" s="6">
        <f>L47</f>
        <v>843000</v>
      </c>
      <c r="P60" s="23">
        <f>O60/$O$52</f>
        <v>0.12336645544612412</v>
      </c>
      <c r="Q60" s="6"/>
      <c r="R60" s="6"/>
      <c r="S60" s="6"/>
      <c r="T60" s="6"/>
      <c r="U60"/>
      <c r="V60"/>
    </row>
  </sheetData>
  <autoFilter ref="A2:Z2"/>
  <mergeCells count="4">
    <mergeCell ref="J52:N52"/>
    <mergeCell ref="J53:N53"/>
    <mergeCell ref="J54:N54"/>
    <mergeCell ref="J55:N5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38"/>
  <sheetViews>
    <sheetView zoomScale="80" zoomScaleNormal="80" workbookViewId="0">
      <pane xSplit="8" ySplit="2" topLeftCell="S3" activePane="bottomRight" state="frozen"/>
      <selection pane="topRight" activeCell="I1" sqref="I1"/>
      <selection pane="bottomLeft" activeCell="A3" sqref="A3"/>
      <selection pane="bottomRight" activeCell="A16" sqref="A16:XFD16"/>
    </sheetView>
  </sheetViews>
  <sheetFormatPr defaultRowHeight="15" x14ac:dyDescent="0.25"/>
  <cols>
    <col min="1" max="1" width="10.7109375" customWidth="1"/>
    <col min="2" max="3" width="6.140625" style="1" customWidth="1"/>
    <col min="4" max="4" width="19" style="1" customWidth="1"/>
    <col min="5" max="5" width="14.7109375" style="3" customWidth="1"/>
    <col min="6" max="6" width="9.42578125" style="3" customWidth="1"/>
    <col min="7" max="9" width="7.28515625" style="2" customWidth="1"/>
    <col min="10" max="19" width="17.42578125" style="3" customWidth="1"/>
    <col min="20" max="20" width="19.140625" style="3" customWidth="1"/>
    <col min="21" max="22" width="17.42578125" style="3" customWidth="1"/>
    <col min="23" max="23" width="19.85546875" customWidth="1"/>
    <col min="24" max="24" width="15.42578125" style="1" customWidth="1"/>
    <col min="25" max="26" width="18.28515625" style="1" customWidth="1"/>
  </cols>
  <sheetData>
    <row r="2" spans="1:26" s="5" customFormat="1" ht="45" x14ac:dyDescent="0.25">
      <c r="A2" s="5" t="s">
        <v>29</v>
      </c>
      <c r="B2" s="4" t="s">
        <v>0</v>
      </c>
      <c r="C2" s="4" t="s">
        <v>46</v>
      </c>
      <c r="D2" s="4" t="s">
        <v>1</v>
      </c>
      <c r="E2" s="4" t="s">
        <v>34</v>
      </c>
      <c r="F2" s="4" t="s">
        <v>13</v>
      </c>
      <c r="G2" s="7" t="s">
        <v>2</v>
      </c>
      <c r="H2" s="7" t="s">
        <v>30</v>
      </c>
      <c r="I2" s="7" t="s">
        <v>50</v>
      </c>
      <c r="J2" s="4" t="s">
        <v>64</v>
      </c>
      <c r="K2" s="4" t="s">
        <v>65</v>
      </c>
      <c r="L2" s="4" t="s">
        <v>66</v>
      </c>
      <c r="M2" s="29" t="s">
        <v>67</v>
      </c>
      <c r="N2" s="4" t="s">
        <v>3</v>
      </c>
      <c r="O2" s="4" t="s">
        <v>73</v>
      </c>
      <c r="P2" s="4" t="s">
        <v>68</v>
      </c>
      <c r="Q2" s="29" t="s">
        <v>69</v>
      </c>
      <c r="R2" s="29" t="s">
        <v>23</v>
      </c>
      <c r="S2" s="4" t="s">
        <v>24</v>
      </c>
      <c r="T2" s="4" t="s">
        <v>25</v>
      </c>
      <c r="U2" s="4" t="s">
        <v>26</v>
      </c>
      <c r="V2" s="4" t="s">
        <v>27</v>
      </c>
      <c r="W2" s="4" t="s">
        <v>28</v>
      </c>
      <c r="X2" s="4" t="s">
        <v>36</v>
      </c>
      <c r="Y2" s="4" t="s">
        <v>38</v>
      </c>
      <c r="Z2" s="4" t="s">
        <v>37</v>
      </c>
    </row>
    <row r="3" spans="1:26" s="5" customFormat="1" x14ac:dyDescent="0.25">
      <c r="B3" s="4"/>
      <c r="C3" s="4"/>
      <c r="D3" s="4" t="s">
        <v>39</v>
      </c>
      <c r="E3" s="4"/>
      <c r="F3" s="4"/>
      <c r="G3" s="7"/>
      <c r="H3" s="7"/>
      <c r="I3" s="7"/>
      <c r="J3" s="4"/>
      <c r="K3" s="4"/>
      <c r="L3" s="4"/>
      <c r="M3" s="29"/>
      <c r="N3" s="4"/>
      <c r="O3" s="4"/>
      <c r="P3" s="4"/>
      <c r="Q3" s="29"/>
      <c r="R3" s="29"/>
      <c r="S3" s="4"/>
      <c r="T3" s="6">
        <f>(N3+P3)*80%</f>
        <v>0</v>
      </c>
      <c r="U3" s="4"/>
      <c r="V3" s="6">
        <f>(N3+P3)*20%</f>
        <v>0</v>
      </c>
      <c r="W3" s="4"/>
      <c r="X3" s="4" t="s">
        <v>7</v>
      </c>
      <c r="Y3" s="8">
        <v>-200000</v>
      </c>
      <c r="Z3" s="15">
        <f>Y3</f>
        <v>-200000</v>
      </c>
    </row>
    <row r="4" spans="1:26" x14ac:dyDescent="0.25">
      <c r="A4" s="11">
        <v>43936</v>
      </c>
      <c r="B4" s="3">
        <v>1</v>
      </c>
      <c r="C4" s="3">
        <v>1</v>
      </c>
      <c r="D4" s="1" t="s">
        <v>4</v>
      </c>
      <c r="E4" s="6" t="s">
        <v>7</v>
      </c>
      <c r="F4" s="6" t="s">
        <v>14</v>
      </c>
      <c r="H4" s="2">
        <v>2</v>
      </c>
      <c r="J4" s="6"/>
      <c r="K4" s="6">
        <v>210000</v>
      </c>
      <c r="L4" s="6"/>
      <c r="M4" s="6">
        <f>J4+K4+L4</f>
        <v>210000</v>
      </c>
      <c r="N4" s="6">
        <v>10000</v>
      </c>
      <c r="O4" s="6">
        <v>2000</v>
      </c>
      <c r="P4" s="6"/>
      <c r="Q4" s="6">
        <f>N4+O4+P4</f>
        <v>12000</v>
      </c>
      <c r="R4" s="6">
        <f>M4+Q4</f>
        <v>222000</v>
      </c>
      <c r="S4" s="6">
        <v>0</v>
      </c>
      <c r="T4" s="6">
        <f t="shared" ref="T4:T19" si="0">(N4+P4)*80%</f>
        <v>8000</v>
      </c>
      <c r="U4" s="6">
        <f t="shared" ref="U4:U10" si="1">O4*80%</f>
        <v>1600</v>
      </c>
      <c r="V4" s="6">
        <f t="shared" ref="V4:V19" si="2">(N4+P4)*20%</f>
        <v>2000</v>
      </c>
      <c r="W4" s="8">
        <f t="shared" ref="W4" si="3">O4*20%</f>
        <v>400</v>
      </c>
      <c r="X4" s="1" t="s">
        <v>7</v>
      </c>
      <c r="Y4" s="8">
        <v>-2400</v>
      </c>
      <c r="Z4" s="8">
        <f>Z3+Y4</f>
        <v>-202400</v>
      </c>
    </row>
    <row r="5" spans="1:26" x14ac:dyDescent="0.25">
      <c r="A5" s="11">
        <v>43937</v>
      </c>
      <c r="B5" s="1">
        <v>8</v>
      </c>
      <c r="C5" s="1">
        <v>2</v>
      </c>
      <c r="D5" s="1" t="s">
        <v>22</v>
      </c>
      <c r="E5" s="6" t="s">
        <v>7</v>
      </c>
      <c r="F5" s="6" t="s">
        <v>14</v>
      </c>
      <c r="H5" s="2">
        <v>4</v>
      </c>
      <c r="K5" s="6">
        <v>189000</v>
      </c>
      <c r="L5" s="6"/>
      <c r="M5" s="6">
        <f t="shared" ref="M5:M19" si="4">J5+K5+L5</f>
        <v>189000</v>
      </c>
      <c r="N5" s="6">
        <v>20000</v>
      </c>
      <c r="O5" s="6">
        <v>6000</v>
      </c>
      <c r="P5" s="6"/>
      <c r="Q5" s="6">
        <f t="shared" ref="Q5:Q19" si="5">N5+O5+P5</f>
        <v>26000</v>
      </c>
      <c r="R5" s="6">
        <f t="shared" ref="R5:R19" si="6">M5+Q5</f>
        <v>215000</v>
      </c>
      <c r="S5" s="6">
        <v>0</v>
      </c>
      <c r="T5" s="6">
        <f t="shared" si="0"/>
        <v>16000</v>
      </c>
      <c r="U5" s="6">
        <f t="shared" si="1"/>
        <v>4800</v>
      </c>
      <c r="V5" s="6">
        <f t="shared" si="2"/>
        <v>4000</v>
      </c>
      <c r="W5" s="8">
        <f t="shared" ref="W5:W12" si="7">O5*20%</f>
        <v>1200</v>
      </c>
      <c r="X5" s="1" t="s">
        <v>7</v>
      </c>
      <c r="Y5" s="8">
        <v>-4000</v>
      </c>
      <c r="Z5" s="8">
        <f t="shared" ref="Z5:Z19" si="8">Z4+Y5</f>
        <v>-206400</v>
      </c>
    </row>
    <row r="6" spans="1:26" x14ac:dyDescent="0.25">
      <c r="A6" s="11"/>
      <c r="D6" s="1" t="s">
        <v>40</v>
      </c>
      <c r="E6" s="6"/>
      <c r="F6" s="6"/>
      <c r="K6" s="6"/>
      <c r="L6" s="6"/>
      <c r="M6" s="6"/>
      <c r="N6" s="6"/>
      <c r="O6" s="6"/>
      <c r="P6" s="6"/>
      <c r="Q6" s="6"/>
      <c r="R6" s="6"/>
      <c r="S6" s="6"/>
      <c r="T6" s="6">
        <f t="shared" si="0"/>
        <v>0</v>
      </c>
      <c r="U6" s="6"/>
      <c r="V6" s="6">
        <f t="shared" si="2"/>
        <v>0</v>
      </c>
      <c r="W6" s="8"/>
      <c r="X6" s="1" t="s">
        <v>41</v>
      </c>
      <c r="Y6" s="8">
        <v>140000</v>
      </c>
      <c r="Z6" s="8">
        <f t="shared" si="8"/>
        <v>-66400</v>
      </c>
    </row>
    <row r="7" spans="1:26" x14ac:dyDescent="0.25">
      <c r="A7" s="11">
        <v>43937</v>
      </c>
      <c r="B7" s="1">
        <v>10</v>
      </c>
      <c r="C7" s="1">
        <v>4</v>
      </c>
      <c r="D7" s="1" t="s">
        <v>11</v>
      </c>
      <c r="E7" s="6" t="s">
        <v>7</v>
      </c>
      <c r="F7" s="6" t="s">
        <v>15</v>
      </c>
      <c r="H7" s="2">
        <v>7</v>
      </c>
      <c r="K7" s="6">
        <f>138000+57500</f>
        <v>195500</v>
      </c>
      <c r="L7" s="6"/>
      <c r="M7" s="6">
        <f t="shared" si="4"/>
        <v>195500</v>
      </c>
      <c r="N7" s="6">
        <v>10000</v>
      </c>
      <c r="O7" s="6">
        <v>12000</v>
      </c>
      <c r="P7" s="6"/>
      <c r="Q7" s="6">
        <f t="shared" si="5"/>
        <v>22000</v>
      </c>
      <c r="R7" s="6">
        <f t="shared" si="6"/>
        <v>217500</v>
      </c>
      <c r="S7" s="6">
        <v>22500</v>
      </c>
      <c r="T7" s="6">
        <f t="shared" si="0"/>
        <v>8000</v>
      </c>
      <c r="U7" s="6">
        <f t="shared" si="1"/>
        <v>9600</v>
      </c>
      <c r="V7" s="6">
        <f t="shared" si="2"/>
        <v>2000</v>
      </c>
      <c r="W7" s="8">
        <f t="shared" si="7"/>
        <v>2400</v>
      </c>
      <c r="X7" s="1" t="s">
        <v>41</v>
      </c>
      <c r="Y7" s="8">
        <f>20000+T9</f>
        <v>28000</v>
      </c>
      <c r="Z7" s="8">
        <f t="shared" si="8"/>
        <v>-38400</v>
      </c>
    </row>
    <row r="8" spans="1:26" x14ac:dyDescent="0.25">
      <c r="A8" s="11">
        <v>43937</v>
      </c>
      <c r="B8" s="3">
        <v>11</v>
      </c>
      <c r="C8" s="3">
        <v>5</v>
      </c>
      <c r="D8" s="1" t="s">
        <v>19</v>
      </c>
      <c r="E8" s="6" t="s">
        <v>7</v>
      </c>
      <c r="F8" s="6" t="s">
        <v>14</v>
      </c>
      <c r="H8" s="2">
        <v>3</v>
      </c>
      <c r="K8" s="6">
        <v>175000</v>
      </c>
      <c r="L8" s="6"/>
      <c r="M8" s="6">
        <f t="shared" si="4"/>
        <v>175000</v>
      </c>
      <c r="N8" s="6">
        <v>10000</v>
      </c>
      <c r="O8" s="6">
        <v>4000</v>
      </c>
      <c r="P8" s="6"/>
      <c r="Q8" s="6">
        <f t="shared" si="5"/>
        <v>14000</v>
      </c>
      <c r="R8" s="6">
        <f t="shared" si="6"/>
        <v>189000</v>
      </c>
      <c r="S8" s="6">
        <v>11000</v>
      </c>
      <c r="T8" s="6">
        <f t="shared" si="0"/>
        <v>8000</v>
      </c>
      <c r="U8" s="6">
        <f t="shared" si="1"/>
        <v>3200</v>
      </c>
      <c r="V8" s="6">
        <f t="shared" si="2"/>
        <v>2000</v>
      </c>
      <c r="W8" s="8">
        <f t="shared" si="7"/>
        <v>800</v>
      </c>
      <c r="X8" s="1" t="s">
        <v>7</v>
      </c>
      <c r="Y8" s="8">
        <f>-V8</f>
        <v>-2000</v>
      </c>
      <c r="Z8" s="8">
        <f t="shared" si="8"/>
        <v>-40400</v>
      </c>
    </row>
    <row r="9" spans="1:26" x14ac:dyDescent="0.25">
      <c r="A9" s="11">
        <v>43938</v>
      </c>
      <c r="B9" s="1">
        <v>14</v>
      </c>
      <c r="C9" s="1">
        <v>1</v>
      </c>
      <c r="D9" s="1" t="s">
        <v>44</v>
      </c>
      <c r="E9" s="6" t="s">
        <v>7</v>
      </c>
      <c r="F9" s="6" t="s">
        <v>15</v>
      </c>
      <c r="H9" s="2">
        <v>9</v>
      </c>
      <c r="K9" s="6">
        <v>344000</v>
      </c>
      <c r="L9" s="6"/>
      <c r="M9" s="6">
        <f t="shared" si="4"/>
        <v>344000</v>
      </c>
      <c r="N9" s="6">
        <v>10000</v>
      </c>
      <c r="O9" s="6">
        <v>16000</v>
      </c>
      <c r="P9" s="6"/>
      <c r="Q9" s="6">
        <f t="shared" si="5"/>
        <v>26000</v>
      </c>
      <c r="R9" s="6">
        <f t="shared" si="6"/>
        <v>370000</v>
      </c>
      <c r="S9" s="6">
        <v>20000</v>
      </c>
      <c r="T9" s="6">
        <f t="shared" si="0"/>
        <v>8000</v>
      </c>
      <c r="U9" s="6">
        <f t="shared" si="1"/>
        <v>12800</v>
      </c>
      <c r="V9" s="6">
        <f t="shared" si="2"/>
        <v>2000</v>
      </c>
      <c r="W9" s="8">
        <f t="shared" si="7"/>
        <v>3200</v>
      </c>
      <c r="X9" s="1" t="s">
        <v>41</v>
      </c>
      <c r="Y9" s="8">
        <f>20000+T9</f>
        <v>28000</v>
      </c>
      <c r="Z9" s="8">
        <f t="shared" si="8"/>
        <v>-12400</v>
      </c>
    </row>
    <row r="10" spans="1:26" x14ac:dyDescent="0.25">
      <c r="A10" s="11">
        <v>43938</v>
      </c>
      <c r="B10" s="1">
        <v>16</v>
      </c>
      <c r="C10" s="1">
        <v>3</v>
      </c>
      <c r="D10" s="1" t="s">
        <v>47</v>
      </c>
      <c r="E10" s="6" t="s">
        <v>7</v>
      </c>
      <c r="F10" s="6" t="s">
        <v>14</v>
      </c>
      <c r="G10" s="2">
        <v>1</v>
      </c>
      <c r="J10" s="6">
        <v>669000</v>
      </c>
      <c r="K10" s="6"/>
      <c r="L10" s="6"/>
      <c r="M10" s="6">
        <f t="shared" si="4"/>
        <v>669000</v>
      </c>
      <c r="N10" s="6">
        <v>15000</v>
      </c>
      <c r="O10" s="6">
        <v>0</v>
      </c>
      <c r="P10" s="6"/>
      <c r="Q10" s="6">
        <f t="shared" si="5"/>
        <v>15000</v>
      </c>
      <c r="R10" s="6">
        <f t="shared" si="6"/>
        <v>684000</v>
      </c>
      <c r="S10" s="6">
        <v>5000</v>
      </c>
      <c r="T10" s="6">
        <f t="shared" si="0"/>
        <v>12000</v>
      </c>
      <c r="U10" s="6">
        <f t="shared" si="1"/>
        <v>0</v>
      </c>
      <c r="V10" s="6">
        <f t="shared" si="2"/>
        <v>3000</v>
      </c>
      <c r="W10" s="8">
        <f t="shared" si="7"/>
        <v>0</v>
      </c>
      <c r="X10" s="1" t="s">
        <v>7</v>
      </c>
      <c r="Y10" s="8">
        <f>-V10</f>
        <v>-3000</v>
      </c>
      <c r="Z10" s="8">
        <f t="shared" si="8"/>
        <v>-15400</v>
      </c>
    </row>
    <row r="11" spans="1:26" x14ac:dyDescent="0.25">
      <c r="A11" s="11">
        <v>43938</v>
      </c>
      <c r="B11" s="1">
        <v>16</v>
      </c>
      <c r="C11" s="1">
        <v>3</v>
      </c>
      <c r="D11" s="1" t="s">
        <v>47</v>
      </c>
      <c r="E11" s="6" t="s">
        <v>7</v>
      </c>
      <c r="F11" s="6" t="s">
        <v>14</v>
      </c>
      <c r="G11" s="2">
        <v>1</v>
      </c>
      <c r="J11" s="6">
        <v>669000</v>
      </c>
      <c r="K11" s="6"/>
      <c r="L11" s="6"/>
      <c r="M11" s="6">
        <f t="shared" si="4"/>
        <v>669000</v>
      </c>
      <c r="N11" s="6">
        <v>15000</v>
      </c>
      <c r="O11" s="6">
        <v>0</v>
      </c>
      <c r="P11" s="6"/>
      <c r="Q11" s="6">
        <f t="shared" si="5"/>
        <v>15000</v>
      </c>
      <c r="R11" s="6">
        <f t="shared" si="6"/>
        <v>684000</v>
      </c>
      <c r="S11" s="6">
        <v>0</v>
      </c>
      <c r="T11" s="6">
        <f t="shared" si="0"/>
        <v>12000</v>
      </c>
      <c r="U11" s="6">
        <f t="shared" ref="U11:U14" si="9">O11*80%</f>
        <v>0</v>
      </c>
      <c r="V11" s="6">
        <f t="shared" si="2"/>
        <v>3000</v>
      </c>
      <c r="W11" s="8">
        <f t="shared" si="7"/>
        <v>0</v>
      </c>
      <c r="X11" s="1" t="s">
        <v>7</v>
      </c>
      <c r="Y11" s="8">
        <f>-V11</f>
        <v>-3000</v>
      </c>
      <c r="Z11" s="8">
        <f t="shared" si="8"/>
        <v>-18400</v>
      </c>
    </row>
    <row r="12" spans="1:26" x14ac:dyDescent="0.25">
      <c r="A12" s="11">
        <v>43939</v>
      </c>
      <c r="B12" s="1">
        <v>19</v>
      </c>
      <c r="C12" s="1">
        <v>1</v>
      </c>
      <c r="D12" s="1" t="s">
        <v>22</v>
      </c>
      <c r="E12" s="6" t="s">
        <v>7</v>
      </c>
      <c r="F12" s="6" t="s">
        <v>14</v>
      </c>
      <c r="G12" s="2">
        <v>1</v>
      </c>
      <c r="H12" s="2">
        <v>1</v>
      </c>
      <c r="J12" s="6">
        <v>149700</v>
      </c>
      <c r="K12" s="6">
        <v>185000</v>
      </c>
      <c r="L12" s="6"/>
      <c r="M12" s="6">
        <f t="shared" si="4"/>
        <v>334700</v>
      </c>
      <c r="N12" s="6">
        <v>20000</v>
      </c>
      <c r="O12" s="6">
        <v>6000</v>
      </c>
      <c r="P12" s="6">
        <v>5000</v>
      </c>
      <c r="Q12" s="6">
        <f t="shared" si="5"/>
        <v>31000</v>
      </c>
      <c r="R12" s="6">
        <f t="shared" si="6"/>
        <v>365700</v>
      </c>
      <c r="S12" s="6">
        <v>1300</v>
      </c>
      <c r="T12" s="6">
        <f t="shared" si="0"/>
        <v>20000</v>
      </c>
      <c r="U12" s="6">
        <f t="shared" si="9"/>
        <v>4800</v>
      </c>
      <c r="V12" s="6">
        <f t="shared" si="2"/>
        <v>5000</v>
      </c>
      <c r="W12" s="8">
        <f t="shared" si="7"/>
        <v>1200</v>
      </c>
      <c r="X12" s="1" t="s">
        <v>7</v>
      </c>
      <c r="Y12" s="16">
        <f>-V12</f>
        <v>-5000</v>
      </c>
      <c r="Z12" s="8">
        <f t="shared" si="8"/>
        <v>-23400</v>
      </c>
    </row>
    <row r="13" spans="1:26" x14ac:dyDescent="0.25">
      <c r="A13" s="11">
        <v>43939</v>
      </c>
      <c r="B13" s="1">
        <v>22</v>
      </c>
      <c r="C13" s="1">
        <v>4</v>
      </c>
      <c r="D13" s="1" t="s">
        <v>47</v>
      </c>
      <c r="E13" s="6" t="s">
        <v>7</v>
      </c>
      <c r="F13" s="6" t="s">
        <v>14</v>
      </c>
      <c r="H13" s="2">
        <v>1</v>
      </c>
      <c r="I13" s="2">
        <v>1</v>
      </c>
      <c r="J13" s="6"/>
      <c r="K13" s="6">
        <v>331000</v>
      </c>
      <c r="L13" s="6">
        <v>35000</v>
      </c>
      <c r="M13" s="6">
        <f t="shared" si="4"/>
        <v>366000</v>
      </c>
      <c r="N13" s="6">
        <v>20000</v>
      </c>
      <c r="O13" s="6">
        <v>8000</v>
      </c>
      <c r="P13" s="6">
        <v>5000</v>
      </c>
      <c r="Q13" s="6">
        <f t="shared" si="5"/>
        <v>33000</v>
      </c>
      <c r="R13" s="6">
        <f t="shared" si="6"/>
        <v>399000</v>
      </c>
      <c r="S13" s="6">
        <v>1000</v>
      </c>
      <c r="T13" s="6">
        <f t="shared" si="0"/>
        <v>20000</v>
      </c>
      <c r="U13" s="6">
        <f t="shared" si="9"/>
        <v>6400</v>
      </c>
      <c r="V13" s="6">
        <f t="shared" si="2"/>
        <v>5000</v>
      </c>
      <c r="W13" s="8">
        <f t="shared" ref="W13:W14" si="10">O13*20%</f>
        <v>1600</v>
      </c>
      <c r="X13" s="1" t="s">
        <v>7</v>
      </c>
      <c r="Y13" s="16">
        <f>-V13</f>
        <v>-5000</v>
      </c>
      <c r="Z13" s="8">
        <f t="shared" si="8"/>
        <v>-28400</v>
      </c>
    </row>
    <row r="14" spans="1:26" x14ac:dyDescent="0.25">
      <c r="A14" s="11">
        <v>43939</v>
      </c>
      <c r="B14" s="1">
        <v>24</v>
      </c>
      <c r="C14" s="1">
        <v>6</v>
      </c>
      <c r="D14" s="1" t="s">
        <v>71</v>
      </c>
      <c r="E14" s="6" t="s">
        <v>7</v>
      </c>
      <c r="F14" s="6" t="s">
        <v>15</v>
      </c>
      <c r="H14" s="2">
        <v>1</v>
      </c>
      <c r="J14" s="6"/>
      <c r="K14" s="6">
        <v>161000</v>
      </c>
      <c r="L14" s="6"/>
      <c r="M14" s="6">
        <f t="shared" si="4"/>
        <v>161000</v>
      </c>
      <c r="N14" s="6">
        <v>10000</v>
      </c>
      <c r="O14" s="6">
        <v>8000</v>
      </c>
      <c r="P14" s="6"/>
      <c r="Q14" s="6">
        <f t="shared" si="5"/>
        <v>18000</v>
      </c>
      <c r="R14" s="6">
        <f t="shared" si="6"/>
        <v>179000</v>
      </c>
      <c r="S14" s="6">
        <v>10000</v>
      </c>
      <c r="T14" s="6">
        <f t="shared" si="0"/>
        <v>8000</v>
      </c>
      <c r="U14" s="6">
        <f t="shared" si="9"/>
        <v>6400</v>
      </c>
      <c r="V14" s="6">
        <f t="shared" si="2"/>
        <v>2000</v>
      </c>
      <c r="W14" s="8">
        <f t="shared" si="10"/>
        <v>1600</v>
      </c>
      <c r="X14" s="1" t="s">
        <v>41</v>
      </c>
      <c r="Y14" s="16">
        <f>T14</f>
        <v>8000</v>
      </c>
      <c r="Z14" s="8">
        <f t="shared" si="8"/>
        <v>-20400</v>
      </c>
    </row>
    <row r="15" spans="1:26" x14ac:dyDescent="0.25">
      <c r="A15" s="11">
        <v>43939</v>
      </c>
      <c r="B15" s="1">
        <v>28</v>
      </c>
      <c r="C15" s="1">
        <v>10</v>
      </c>
      <c r="D15" s="1" t="s">
        <v>19</v>
      </c>
      <c r="E15" s="6" t="s">
        <v>7</v>
      </c>
      <c r="F15" s="6" t="s">
        <v>14</v>
      </c>
      <c r="I15" s="2">
        <v>1</v>
      </c>
      <c r="J15" s="6"/>
      <c r="K15" s="6"/>
      <c r="L15" s="6">
        <v>150000</v>
      </c>
      <c r="M15" s="6">
        <f t="shared" si="4"/>
        <v>150000</v>
      </c>
      <c r="N15" s="6">
        <v>15000</v>
      </c>
      <c r="O15" s="6"/>
      <c r="P15" s="6"/>
      <c r="Q15" s="6">
        <f t="shared" si="5"/>
        <v>15000</v>
      </c>
      <c r="R15" s="6">
        <f t="shared" si="6"/>
        <v>165000</v>
      </c>
      <c r="S15" s="6"/>
      <c r="T15" s="6">
        <f t="shared" si="0"/>
        <v>12000</v>
      </c>
      <c r="U15" s="6"/>
      <c r="V15" s="6">
        <f t="shared" si="2"/>
        <v>3000</v>
      </c>
      <c r="W15" s="8"/>
      <c r="X15" s="1" t="s">
        <v>7</v>
      </c>
      <c r="Y15" s="16">
        <f>-V15</f>
        <v>-3000</v>
      </c>
      <c r="Z15" s="8">
        <f t="shared" si="8"/>
        <v>-23400</v>
      </c>
    </row>
    <row r="16" spans="1:26" x14ac:dyDescent="0.25">
      <c r="A16" s="11">
        <v>43940</v>
      </c>
      <c r="B16" s="1">
        <v>29</v>
      </c>
      <c r="C16" s="1">
        <v>1</v>
      </c>
      <c r="D16" s="1" t="s">
        <v>85</v>
      </c>
      <c r="E16" s="6" t="s">
        <v>7</v>
      </c>
      <c r="F16" s="6" t="s">
        <v>14</v>
      </c>
      <c r="H16" s="2">
        <v>3</v>
      </c>
      <c r="I16" s="2">
        <v>1</v>
      </c>
      <c r="J16" s="6"/>
      <c r="K16" s="6">
        <v>88000</v>
      </c>
      <c r="L16" s="6">
        <v>65000</v>
      </c>
      <c r="M16" s="6">
        <f t="shared" si="4"/>
        <v>153000</v>
      </c>
      <c r="N16" s="6">
        <v>10000</v>
      </c>
      <c r="O16" s="6">
        <v>4000</v>
      </c>
      <c r="P16" s="6">
        <v>5000</v>
      </c>
      <c r="Q16" s="6">
        <f t="shared" si="5"/>
        <v>19000</v>
      </c>
      <c r="R16" s="6">
        <f t="shared" si="6"/>
        <v>172000</v>
      </c>
      <c r="S16" s="6"/>
      <c r="T16" s="6">
        <f t="shared" si="0"/>
        <v>12000</v>
      </c>
      <c r="U16" s="6">
        <f t="shared" ref="U16:U20" si="11">O16*80%</f>
        <v>3200</v>
      </c>
      <c r="V16" s="6">
        <f t="shared" si="2"/>
        <v>3000</v>
      </c>
      <c r="W16" s="8">
        <f t="shared" ref="W16:W20" si="12">O16*20%</f>
        <v>800</v>
      </c>
      <c r="X16" s="1" t="s">
        <v>41</v>
      </c>
      <c r="Y16" s="16">
        <v>7000</v>
      </c>
      <c r="Z16" s="8">
        <f t="shared" si="8"/>
        <v>-16400</v>
      </c>
    </row>
    <row r="17" spans="1:26" x14ac:dyDescent="0.25">
      <c r="A17" s="11">
        <v>43940</v>
      </c>
      <c r="B17" s="1">
        <v>31</v>
      </c>
      <c r="C17" s="1">
        <v>3</v>
      </c>
      <c r="D17" s="1" t="s">
        <v>83</v>
      </c>
      <c r="E17" s="6" t="s">
        <v>7</v>
      </c>
      <c r="F17" s="6" t="s">
        <v>15</v>
      </c>
      <c r="G17" s="2">
        <v>1</v>
      </c>
      <c r="H17" s="2">
        <v>5</v>
      </c>
      <c r="J17" s="6">
        <v>132300</v>
      </c>
      <c r="K17" s="6">
        <v>128000</v>
      </c>
      <c r="L17" s="6"/>
      <c r="M17" s="6">
        <f t="shared" si="4"/>
        <v>260300</v>
      </c>
      <c r="N17" s="6">
        <v>10000</v>
      </c>
      <c r="O17" s="6">
        <v>8000</v>
      </c>
      <c r="P17" s="6">
        <v>5000</v>
      </c>
      <c r="Q17" s="6">
        <f t="shared" si="5"/>
        <v>23000</v>
      </c>
      <c r="R17" s="6">
        <f t="shared" si="6"/>
        <v>283300</v>
      </c>
      <c r="S17" s="6"/>
      <c r="T17" s="6">
        <f t="shared" si="0"/>
        <v>12000</v>
      </c>
      <c r="U17" s="6">
        <f t="shared" si="11"/>
        <v>6400</v>
      </c>
      <c r="V17" s="6">
        <f t="shared" si="2"/>
        <v>3000</v>
      </c>
      <c r="W17" s="8">
        <f t="shared" si="12"/>
        <v>1600</v>
      </c>
      <c r="X17" s="1" t="s">
        <v>41</v>
      </c>
      <c r="Y17" s="8">
        <f>T17</f>
        <v>12000</v>
      </c>
      <c r="Z17" s="8">
        <f t="shared" si="8"/>
        <v>-4400</v>
      </c>
    </row>
    <row r="18" spans="1:26" x14ac:dyDescent="0.25">
      <c r="A18" s="11">
        <v>43940</v>
      </c>
      <c r="B18" s="1">
        <v>33</v>
      </c>
      <c r="C18" s="1">
        <v>5</v>
      </c>
      <c r="D18" s="1" t="s">
        <v>81</v>
      </c>
      <c r="E18" s="6" t="s">
        <v>7</v>
      </c>
      <c r="F18" s="6" t="s">
        <v>15</v>
      </c>
      <c r="H18" s="2">
        <v>1</v>
      </c>
      <c r="J18" s="6"/>
      <c r="K18" s="6">
        <v>128000</v>
      </c>
      <c r="L18" s="6"/>
      <c r="M18" s="6">
        <f t="shared" si="4"/>
        <v>128000</v>
      </c>
      <c r="N18" s="6">
        <v>10000</v>
      </c>
      <c r="O18" s="6"/>
      <c r="P18" s="6"/>
      <c r="Q18" s="6">
        <f t="shared" si="5"/>
        <v>10000</v>
      </c>
      <c r="R18" s="6">
        <f t="shared" si="6"/>
        <v>138000</v>
      </c>
      <c r="S18" s="6"/>
      <c r="T18" s="6">
        <f t="shared" si="0"/>
        <v>8000</v>
      </c>
      <c r="U18" s="6">
        <f t="shared" si="11"/>
        <v>0</v>
      </c>
      <c r="V18" s="6">
        <f t="shared" si="2"/>
        <v>2000</v>
      </c>
      <c r="W18" s="8">
        <f t="shared" si="12"/>
        <v>0</v>
      </c>
      <c r="X18" s="1" t="s">
        <v>41</v>
      </c>
      <c r="Y18" s="8">
        <f>T18</f>
        <v>8000</v>
      </c>
      <c r="Z18" s="8">
        <f t="shared" si="8"/>
        <v>3600</v>
      </c>
    </row>
    <row r="19" spans="1:26" x14ac:dyDescent="0.25">
      <c r="A19" s="11">
        <v>43940</v>
      </c>
      <c r="B19" s="1">
        <v>37</v>
      </c>
      <c r="C19" s="1">
        <v>9</v>
      </c>
      <c r="D19" s="1" t="s">
        <v>78</v>
      </c>
      <c r="E19" s="6" t="s">
        <v>7</v>
      </c>
      <c r="F19" s="6" t="s">
        <v>14</v>
      </c>
      <c r="I19" s="2">
        <v>1</v>
      </c>
      <c r="J19" s="6"/>
      <c r="K19" s="6"/>
      <c r="L19" s="6">
        <v>200000</v>
      </c>
      <c r="M19" s="6">
        <f t="shared" si="4"/>
        <v>200000</v>
      </c>
      <c r="N19" s="6">
        <v>15000</v>
      </c>
      <c r="O19" s="6"/>
      <c r="P19" s="6"/>
      <c r="Q19" s="6">
        <f t="shared" si="5"/>
        <v>15000</v>
      </c>
      <c r="R19" s="6">
        <f t="shared" si="6"/>
        <v>215000</v>
      </c>
      <c r="S19" s="6">
        <v>5000</v>
      </c>
      <c r="T19" s="6">
        <f t="shared" si="0"/>
        <v>12000</v>
      </c>
      <c r="U19" s="6">
        <f t="shared" si="11"/>
        <v>0</v>
      </c>
      <c r="V19" s="6">
        <f t="shared" si="2"/>
        <v>3000</v>
      </c>
      <c r="W19" s="8">
        <f t="shared" si="12"/>
        <v>0</v>
      </c>
      <c r="X19" s="1" t="s">
        <v>7</v>
      </c>
      <c r="Y19" s="8">
        <f>-V19</f>
        <v>-3000</v>
      </c>
      <c r="Z19" s="8">
        <f t="shared" si="8"/>
        <v>600</v>
      </c>
    </row>
    <row r="20" spans="1:26" x14ac:dyDescent="0.25">
      <c r="A20" s="11">
        <v>43941</v>
      </c>
      <c r="B20" s="1">
        <v>39</v>
      </c>
      <c r="C20" s="1">
        <v>2</v>
      </c>
      <c r="D20" s="1" t="s">
        <v>90</v>
      </c>
      <c r="E20" s="6" t="s">
        <v>7</v>
      </c>
      <c r="F20" s="6" t="s">
        <v>14</v>
      </c>
      <c r="H20" s="2">
        <v>3</v>
      </c>
      <c r="J20" s="6"/>
      <c r="K20" s="6">
        <v>91000</v>
      </c>
      <c r="L20" s="6"/>
      <c r="M20" s="6">
        <f t="shared" ref="M20" si="13">J20+K20+L20</f>
        <v>91000</v>
      </c>
      <c r="N20" s="6">
        <v>20000</v>
      </c>
      <c r="O20" s="6">
        <v>4000</v>
      </c>
      <c r="P20" s="6"/>
      <c r="Q20" s="6">
        <f t="shared" ref="Q20" si="14">N20+O20+P20</f>
        <v>24000</v>
      </c>
      <c r="R20" s="6">
        <f t="shared" ref="R20" si="15">M20+Q20</f>
        <v>115000</v>
      </c>
      <c r="S20" s="6">
        <v>5000</v>
      </c>
      <c r="T20" s="6">
        <f t="shared" ref="T20" si="16">(N20+P20)*80%</f>
        <v>16000</v>
      </c>
      <c r="U20" s="6">
        <f t="shared" si="11"/>
        <v>3200</v>
      </c>
      <c r="V20" s="6">
        <f t="shared" ref="V20" si="17">(N20+P20)*20%</f>
        <v>4000</v>
      </c>
      <c r="W20" s="8">
        <f t="shared" si="12"/>
        <v>800</v>
      </c>
      <c r="X20" s="1" t="s">
        <v>7</v>
      </c>
      <c r="Y20" s="8">
        <f>-V20</f>
        <v>-4000</v>
      </c>
      <c r="Z20" s="8">
        <f t="shared" ref="Z20" si="18">Z19+Y20</f>
        <v>-3400</v>
      </c>
    </row>
    <row r="21" spans="1:26" x14ac:dyDescent="0.25">
      <c r="A21" s="11"/>
      <c r="E21" s="6"/>
      <c r="F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8"/>
    </row>
    <row r="22" spans="1:26" x14ac:dyDescent="0.25">
      <c r="A22" s="11"/>
      <c r="E22" s="6"/>
      <c r="F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1:26" x14ac:dyDescent="0.25">
      <c r="A23" s="11"/>
      <c r="E23" s="6"/>
      <c r="F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1:26" x14ac:dyDescent="0.25">
      <c r="A24" s="11"/>
      <c r="E24" s="6"/>
      <c r="F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1:26" ht="15.75" x14ac:dyDescent="0.25">
      <c r="E25" s="10" t="s">
        <v>35</v>
      </c>
      <c r="F25" s="6"/>
      <c r="G25" s="10">
        <f t="shared" ref="G25:W25" si="19">SUM(G4:G24)</f>
        <v>4</v>
      </c>
      <c r="H25" s="10">
        <f t="shared" si="19"/>
        <v>40</v>
      </c>
      <c r="I25" s="10">
        <f t="shared" si="19"/>
        <v>4</v>
      </c>
      <c r="J25" s="21">
        <f t="shared" si="19"/>
        <v>1620000</v>
      </c>
      <c r="K25" s="21">
        <f t="shared" si="19"/>
        <v>2225500</v>
      </c>
      <c r="L25" s="21">
        <f t="shared" si="19"/>
        <v>450000</v>
      </c>
      <c r="M25" s="21">
        <f t="shared" si="19"/>
        <v>4295500</v>
      </c>
      <c r="N25" s="10">
        <f t="shared" si="19"/>
        <v>220000</v>
      </c>
      <c r="O25" s="10">
        <f t="shared" si="19"/>
        <v>78000</v>
      </c>
      <c r="P25" s="10">
        <f t="shared" si="19"/>
        <v>20000</v>
      </c>
      <c r="Q25" s="10">
        <f t="shared" si="19"/>
        <v>318000</v>
      </c>
      <c r="R25" s="10">
        <f t="shared" si="19"/>
        <v>4613500</v>
      </c>
      <c r="S25" s="10">
        <f t="shared" si="19"/>
        <v>80800</v>
      </c>
      <c r="T25" s="10">
        <f t="shared" si="19"/>
        <v>192000</v>
      </c>
      <c r="U25" s="10">
        <f t="shared" si="19"/>
        <v>62400</v>
      </c>
      <c r="V25" s="10">
        <f t="shared" si="19"/>
        <v>48000</v>
      </c>
      <c r="W25" s="10">
        <f t="shared" si="19"/>
        <v>15600</v>
      </c>
    </row>
    <row r="26" spans="1:26" ht="30" x14ac:dyDescent="0.25">
      <c r="E26" s="6"/>
      <c r="F26" s="6"/>
      <c r="J26" s="6"/>
      <c r="K26" s="6"/>
      <c r="L26" s="6"/>
      <c r="M26" s="6"/>
      <c r="N26" s="6"/>
      <c r="O26" s="6"/>
      <c r="P26" s="6"/>
      <c r="Q26" s="6"/>
      <c r="R26" s="30" t="s">
        <v>62</v>
      </c>
      <c r="S26" s="9">
        <v>60000</v>
      </c>
      <c r="T26" s="6"/>
      <c r="U26" s="6"/>
      <c r="V26" s="6"/>
    </row>
    <row r="27" spans="1:26" ht="45" x14ac:dyDescent="0.25">
      <c r="D27" s="12"/>
      <c r="E27" s="6"/>
      <c r="F27" s="6"/>
      <c r="J27" s="6"/>
      <c r="K27" s="6"/>
      <c r="L27" s="6"/>
      <c r="M27" s="6"/>
      <c r="N27" s="13" t="s">
        <v>31</v>
      </c>
      <c r="O27" s="18">
        <f>N25+O25+S25</f>
        <v>378800</v>
      </c>
      <c r="P27" s="18"/>
      <c r="Q27" s="18"/>
      <c r="R27" s="13" t="s">
        <v>32</v>
      </c>
      <c r="S27" s="18">
        <f>T25+S25+S26</f>
        <v>332800</v>
      </c>
      <c r="T27" s="13" t="s">
        <v>33</v>
      </c>
      <c r="U27" s="18">
        <f>U25</f>
        <v>62400</v>
      </c>
      <c r="V27" s="13" t="s">
        <v>53</v>
      </c>
      <c r="W27" s="14">
        <f>V25+W25</f>
        <v>63600</v>
      </c>
    </row>
    <row r="28" spans="1:26" ht="18.75" x14ac:dyDescent="0.3">
      <c r="E28" s="6"/>
      <c r="F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9" t="s">
        <v>56</v>
      </c>
      <c r="W28" s="17">
        <f>'Donasi Pasar'!B13</f>
        <v>154000</v>
      </c>
    </row>
    <row r="29" spans="1:26" x14ac:dyDescent="0.25">
      <c r="E29" s="6"/>
      <c r="F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1:26" ht="18.75" x14ac:dyDescent="0.25">
      <c r="E30" s="6"/>
      <c r="F30" s="6"/>
      <c r="J30" s="58" t="s">
        <v>5</v>
      </c>
      <c r="K30" s="58"/>
      <c r="L30" s="58"/>
      <c r="M30" s="58"/>
      <c r="N30" s="58"/>
      <c r="O30" s="24">
        <f>M25</f>
        <v>4295500</v>
      </c>
      <c r="P30" s="25" t="s">
        <v>60</v>
      </c>
      <c r="Q30" s="20"/>
      <c r="S30" s="18"/>
      <c r="T30" s="22"/>
      <c r="U30" s="19"/>
      <c r="V30"/>
    </row>
    <row r="31" spans="1:26" ht="33.75" customHeight="1" x14ac:dyDescent="0.25">
      <c r="E31" s="6"/>
      <c r="F31" s="6"/>
      <c r="J31" s="58" t="s">
        <v>59</v>
      </c>
      <c r="K31" s="58"/>
      <c r="L31" s="58"/>
      <c r="M31" s="58"/>
      <c r="N31" s="58"/>
      <c r="O31" s="26">
        <f>Q25+S25+S26+W28</f>
        <v>612800</v>
      </c>
      <c r="P31" s="27">
        <f>O31/$O$30</f>
        <v>0.14266092422302409</v>
      </c>
      <c r="Q31" s="6"/>
      <c r="R31" s="6"/>
      <c r="S31" s="6"/>
      <c r="T31" s="6"/>
      <c r="U31"/>
      <c r="V31"/>
    </row>
    <row r="32" spans="1:26" ht="18.75" x14ac:dyDescent="0.25">
      <c r="E32" s="6"/>
      <c r="F32" s="6"/>
      <c r="J32" s="58" t="s">
        <v>57</v>
      </c>
      <c r="K32" s="58"/>
      <c r="L32" s="58"/>
      <c r="M32" s="58"/>
      <c r="N32" s="58"/>
      <c r="O32" s="26">
        <f>S25+S26+T25+U25</f>
        <v>395200</v>
      </c>
      <c r="P32" s="27">
        <f>O32/$O$30</f>
        <v>9.2003259224770109E-2</v>
      </c>
      <c r="Q32" s="6"/>
      <c r="R32" s="6"/>
      <c r="S32" s="6"/>
      <c r="T32" s="6"/>
      <c r="U32"/>
      <c r="V32"/>
    </row>
    <row r="33" spans="5:22" ht="18.75" x14ac:dyDescent="0.25">
      <c r="E33" s="6"/>
      <c r="F33" s="6"/>
      <c r="J33" s="58" t="s">
        <v>58</v>
      </c>
      <c r="K33" s="58"/>
      <c r="L33" s="58"/>
      <c r="M33" s="58"/>
      <c r="N33" s="58"/>
      <c r="O33" s="26">
        <f>W27+W28</f>
        <v>217600</v>
      </c>
      <c r="P33" s="27">
        <f>O33/$O$30</f>
        <v>5.0657664998253985E-2</v>
      </c>
      <c r="Q33" s="6"/>
      <c r="R33" s="6"/>
      <c r="S33" s="6"/>
      <c r="T33" s="6"/>
      <c r="U33"/>
      <c r="V33"/>
    </row>
    <row r="34" spans="5:22" x14ac:dyDescent="0.25">
      <c r="E34" s="6"/>
      <c r="F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5:22" x14ac:dyDescent="0.25">
      <c r="E35" s="6"/>
      <c r="F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spans="5:22" x14ac:dyDescent="0.25">
      <c r="E36" s="6"/>
      <c r="F36" s="6"/>
      <c r="J36" s="6"/>
      <c r="K36" s="6"/>
      <c r="L36" s="6"/>
      <c r="M36" s="6"/>
      <c r="N36" s="6" t="s">
        <v>2</v>
      </c>
      <c r="O36" s="28">
        <f>J25</f>
        <v>1620000</v>
      </c>
      <c r="P36" s="23">
        <f>O36/$O$30</f>
        <v>0.37713886625538356</v>
      </c>
      <c r="Q36" s="6"/>
      <c r="R36" s="6"/>
      <c r="S36" s="6"/>
      <c r="T36" s="6"/>
      <c r="U36"/>
      <c r="V36"/>
    </row>
    <row r="37" spans="5:22" x14ac:dyDescent="0.25">
      <c r="E37" s="6"/>
      <c r="F37" s="6"/>
      <c r="J37" s="6"/>
      <c r="K37" s="6"/>
      <c r="L37" s="6"/>
      <c r="M37" s="6"/>
      <c r="N37" s="6" t="s">
        <v>61</v>
      </c>
      <c r="O37" s="6">
        <f>K25</f>
        <v>2225500</v>
      </c>
      <c r="P37" s="23">
        <f>O37/$O$30</f>
        <v>0.51810033756256546</v>
      </c>
      <c r="Q37" s="6"/>
      <c r="R37" s="6"/>
      <c r="S37" s="6"/>
      <c r="T37" s="6"/>
      <c r="U37"/>
      <c r="V37"/>
    </row>
    <row r="38" spans="5:22" x14ac:dyDescent="0.25">
      <c r="E38" s="6"/>
      <c r="F38" s="6"/>
      <c r="J38" s="6"/>
      <c r="K38" s="6"/>
      <c r="L38" s="6"/>
      <c r="M38" s="6"/>
      <c r="N38" s="6" t="s">
        <v>50</v>
      </c>
      <c r="O38" s="6">
        <f>L25</f>
        <v>450000</v>
      </c>
      <c r="P38" s="23">
        <f>O38/$O$30</f>
        <v>0.10476079618205099</v>
      </c>
      <c r="Q38" s="6"/>
      <c r="R38" s="6"/>
      <c r="S38" s="6"/>
      <c r="T38" s="6"/>
      <c r="U38"/>
      <c r="V38"/>
    </row>
  </sheetData>
  <autoFilter ref="A2:Z2"/>
  <mergeCells count="4">
    <mergeCell ref="J30:N30"/>
    <mergeCell ref="J31:N31"/>
    <mergeCell ref="J32:N32"/>
    <mergeCell ref="J33:N3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Rekap</vt:lpstr>
      <vt:lpstr>Saldo Indri</vt:lpstr>
      <vt:lpstr>Saldo Samin</vt:lpstr>
      <vt:lpstr>Saldo Yudi</vt:lpstr>
      <vt:lpstr>Saldo Andri</vt:lpstr>
      <vt:lpstr>Donasi Pasar</vt:lpstr>
      <vt:lpstr>Andri</vt:lpstr>
      <vt:lpstr>Indri</vt:lpstr>
      <vt:lpstr>Samin</vt:lpstr>
      <vt:lpstr>Yudi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Fiqih Santoso</dc:creator>
  <cp:lastModifiedBy>Fiqih Santoso</cp:lastModifiedBy>
  <dcterms:created xsi:type="dcterms:W3CDTF">2020-04-15T04:50:25Z</dcterms:created>
  <dcterms:modified xsi:type="dcterms:W3CDTF">2020-04-22T16:41:31Z</dcterms:modified>
</cp:coreProperties>
</file>