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203"/>
  <workbookPr autoCompressPictures="0"/>
  <bookViews>
    <workbookView xWindow="-20" yWindow="0" windowWidth="25520" windowHeight="15380"/>
  </bookViews>
  <sheets>
    <sheet name="Calculators" sheetId="1" r:id="rId1"/>
    <sheet name="Lists" sheetId="2" r:id="rId2"/>
    <sheet name="auc" sheetId="3" r:id="rId3"/>
  </sheets>
  <externalReferences>
    <externalReference r:id="rId4"/>
    <externalReference r:id="rId5"/>
  </externalReferences>
  <definedNames>
    <definedName name="ampu">Lists!$E$42:$E$52</definedName>
    <definedName name="ampu5">Lists!$E$42:$E$52</definedName>
    <definedName name="ampu9">Lists!$E$42:$E$52</definedName>
    <definedName name="amputations">Lists!$E$46:$E$52</definedName>
    <definedName name="CLvanco">Lists!$K$1:$K$3</definedName>
    <definedName name="CLvanco1">Lists!$K$1:$K$2</definedName>
    <definedName name="CLvanco3">Lists!$K$1:$K$3</definedName>
    <definedName name="CLvanco4">Lists!$K$1:$K$2</definedName>
    <definedName name="creat">Lists!$C$13:$C$14</definedName>
    <definedName name="dose">Lists!$G$1:$G$7</definedName>
    <definedName name="dose11">Lists!$B$18:$B$25</definedName>
    <definedName name="dose12">Lists!$B$17:$B$25</definedName>
    <definedName name="dose13">Lists!$G$10:$G$17</definedName>
    <definedName name="dose18">Lists!$G$11:$G$17</definedName>
    <definedName name="dose9">Lists!$B$17:$B$25</definedName>
    <definedName name="dose99">Lists!$F$35:$F$41</definedName>
    <definedName name="dosing2">Lists!$E$35:$E$38</definedName>
    <definedName name="empiric">Lists!$H$43:$H$45</definedName>
    <definedName name="equation">Lists!$D$27:$D$28</definedName>
    <definedName name="equations">Lists!$G$30:$G$31</definedName>
    <definedName name="Gender">Lists!$A$1:$A$2</definedName>
    <definedName name="Goal">Lists!$C$2:$C$4</definedName>
    <definedName name="goal1">Lists!$C$2:$C$4</definedName>
    <definedName name="goal11">Lists!$M$31:$M$35</definedName>
    <definedName name="goal2">Lists!$C$2:$C$4</definedName>
    <definedName name="GOAL9">Lists!$C$2:$C$7</definedName>
    <definedName name="hello">[1]Sheet2!$E$9:$E$11</definedName>
    <definedName name="hour">[2]Sheet2!$F$4:$F$27</definedName>
    <definedName name="hours1">Lists!$J$17:$J$40</definedName>
    <definedName name="hours2">[1]Sheet2!$J$17:$J$40</definedName>
    <definedName name="inch">Lists!$E$2:$E$3</definedName>
    <definedName name="infusion3">Lists!$B$36:$B$43</definedName>
    <definedName name="infusion4">Lists!$B$36:$B$41</definedName>
    <definedName name="Infusiontime">Lists!$G$24:$G$25</definedName>
    <definedName name="Infusiontime1">Lists!$G$24:$G$26</definedName>
    <definedName name="interval">Lists!$H$1:$H$8</definedName>
    <definedName name="interval2">Lists!$H$2:$H$8</definedName>
    <definedName name="level3">[1]Sheet2!$J$10:$J$13</definedName>
    <definedName name="loading">Lists!$B$33:$B$34</definedName>
    <definedName name="loadingdose">Lists!$B$33:$B$34</definedName>
    <definedName name="MIC">Lists!$E$9:$E$11</definedName>
    <definedName name="minute">[2]Sheet2!$G$4:$G$15</definedName>
    <definedName name="minutes1">Lists!$K$17:$K$28</definedName>
    <definedName name="minutes2">[1]Sheet2!$K$17:$K$28</definedName>
    <definedName name="Off">Lists!$E$21:$E$22</definedName>
    <definedName name="OLE_LINK1" localSheetId="0">Calculators!#REF!</definedName>
    <definedName name="Peak">Lists!$D$24:$D$25</definedName>
    <definedName name="peak1">Lists!$M$20:$M$23</definedName>
    <definedName name="peak3">Lists!$M$37:$M$38</definedName>
    <definedName name="peaktime">Lists!$M$37:$M$40</definedName>
    <definedName name="rate2">Lists!$B$36:$B$42</definedName>
    <definedName name="SCr">Lists!$B$7:$B$8</definedName>
    <definedName name="steady">Lists!$J$5:$J$6</definedName>
    <definedName name="time">Lists!$H$13:$H$14</definedName>
    <definedName name="time13">Lists!$B$19:$B$25</definedName>
    <definedName name="time18">Calculators!$J$27:$J$29</definedName>
    <definedName name="time5">Lists!$O$10:$O$13</definedName>
    <definedName name="time6">Lists!$Q$17:$Q$41</definedName>
    <definedName name="time8">Lists!$M$25:$M$28</definedName>
    <definedName name="time9">Lists!$Q$17:$Q$65</definedName>
    <definedName name="timelevel">Lists!$O$5:$O$8</definedName>
    <definedName name="timetrough">Lists!$J$10:$J$13</definedName>
    <definedName name="trough">Lists!$E$15:$E$16</definedName>
    <definedName name="trough2">Lists!$J$10:$J$12</definedName>
    <definedName name="trough3">Lists!$J$10:$J$13</definedName>
    <definedName name="trough6">Lists!$M$42:$M$43</definedName>
    <definedName name="trough9">Lists!$B$30:$B$31</definedName>
    <definedName name="weight">Lists!$C$9:$C$10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3" i="1" l="1"/>
  <c r="T13" i="1"/>
  <c r="T14" i="1"/>
  <c r="T35" i="1"/>
  <c r="E27" i="1"/>
  <c r="E122" i="1"/>
  <c r="D147" i="1"/>
  <c r="J123" i="1"/>
  <c r="J124" i="1"/>
  <c r="I26" i="1"/>
  <c r="D79" i="1"/>
  <c r="D132" i="1"/>
  <c r="D82" i="1"/>
  <c r="D58" i="1"/>
  <c r="S122" i="1"/>
  <c r="S123" i="1"/>
  <c r="D37" i="1"/>
  <c r="T12" i="1"/>
  <c r="W14" i="1"/>
  <c r="W13" i="1"/>
  <c r="E75" i="1"/>
  <c r="E141" i="1"/>
  <c r="T18" i="1"/>
  <c r="D102" i="1"/>
  <c r="T138" i="1"/>
  <c r="T93" i="1"/>
  <c r="E52" i="1"/>
  <c r="D61" i="1"/>
  <c r="J89" i="1"/>
  <c r="J90" i="1"/>
  <c r="D41" i="1"/>
  <c r="D117" i="1"/>
  <c r="T92" i="1"/>
  <c r="J91" i="1"/>
  <c r="T52" i="1"/>
  <c r="T15" i="1"/>
  <c r="W12" i="1"/>
  <c r="E25" i="1"/>
  <c r="T144" i="1"/>
  <c r="T143" i="1"/>
  <c r="T142" i="1"/>
  <c r="J143" i="1"/>
  <c r="J142" i="1"/>
  <c r="J141" i="1"/>
  <c r="E125" i="1"/>
  <c r="D131" i="1"/>
  <c r="D115" i="1"/>
  <c r="D100" i="1"/>
  <c r="D57" i="1"/>
  <c r="D81" i="1"/>
  <c r="T123" i="1"/>
  <c r="E127" i="1"/>
  <c r="T139" i="1"/>
  <c r="T140" i="1"/>
  <c r="E140" i="1"/>
  <c r="E142" i="1"/>
  <c r="D60" i="1"/>
  <c r="T128" i="1"/>
  <c r="J127" i="1"/>
  <c r="E143" i="1"/>
  <c r="V142" i="1"/>
  <c r="V141" i="1"/>
  <c r="V140" i="1"/>
  <c r="V138" i="1"/>
  <c r="V139" i="1"/>
  <c r="E144" i="1"/>
  <c r="E145" i="1"/>
  <c r="D36" i="1"/>
  <c r="T111" i="1"/>
  <c r="J106" i="1"/>
  <c r="J108" i="1"/>
  <c r="Y21" i="1"/>
  <c r="V21" i="1"/>
  <c r="W21" i="1"/>
  <c r="N141" i="1"/>
  <c r="J107" i="1"/>
  <c r="J109" i="1"/>
  <c r="N107" i="1"/>
  <c r="S124" i="1"/>
  <c r="S125" i="1"/>
  <c r="T106" i="1"/>
  <c r="T107" i="1"/>
  <c r="T108" i="1"/>
  <c r="N106" i="1"/>
  <c r="J92" i="1"/>
  <c r="J110" i="1"/>
  <c r="S126" i="1"/>
  <c r="N90" i="1"/>
  <c r="D116" i="1"/>
  <c r="N111" i="1"/>
  <c r="N108" i="1"/>
  <c r="N110" i="1"/>
  <c r="F3" i="3"/>
  <c r="D101" i="1"/>
  <c r="T89" i="1"/>
  <c r="T90" i="1"/>
  <c r="T91" i="1"/>
  <c r="N89" i="1"/>
  <c r="W110" i="1"/>
  <c r="W106" i="1"/>
  <c r="W109" i="1"/>
  <c r="W108" i="1"/>
  <c r="W107" i="1"/>
  <c r="G3" i="3"/>
  <c r="F4" i="3"/>
  <c r="F5" i="3"/>
  <c r="G5" i="3"/>
  <c r="N91" i="1"/>
  <c r="N92" i="1"/>
  <c r="O89" i="1"/>
  <c r="N93" i="1"/>
  <c r="N94" i="1"/>
  <c r="G4" i="3"/>
  <c r="F6" i="3"/>
  <c r="O90" i="1"/>
  <c r="O91" i="1"/>
  <c r="T98" i="1"/>
  <c r="T97" i="1"/>
  <c r="T96" i="1"/>
  <c r="T100" i="1"/>
  <c r="T99" i="1"/>
  <c r="F7" i="3"/>
  <c r="G6" i="3"/>
  <c r="O93" i="1"/>
  <c r="U96" i="1"/>
  <c r="U98" i="1"/>
  <c r="U100" i="1"/>
  <c r="U99" i="1"/>
  <c r="O92" i="1"/>
  <c r="U97" i="1"/>
  <c r="O94" i="1"/>
  <c r="F8" i="3"/>
  <c r="G8" i="3"/>
  <c r="G7" i="3"/>
  <c r="F9" i="3"/>
  <c r="F10" i="3"/>
  <c r="G9" i="3"/>
  <c r="F11" i="3"/>
  <c r="G10" i="3"/>
  <c r="F12" i="3"/>
  <c r="G12" i="3"/>
  <c r="G11" i="3"/>
  <c r="F13" i="3"/>
  <c r="F14" i="3"/>
  <c r="G13" i="3"/>
  <c r="F15" i="3"/>
  <c r="G14" i="3"/>
  <c r="F16" i="3"/>
  <c r="G16" i="3"/>
  <c r="G15" i="3"/>
  <c r="E26" i="1"/>
  <c r="E28" i="1"/>
  <c r="F17" i="3"/>
  <c r="F18" i="3"/>
  <c r="G17" i="3"/>
  <c r="T47" i="1"/>
  <c r="T48" i="1"/>
  <c r="H26" i="1"/>
  <c r="J31" i="1"/>
  <c r="N26" i="1"/>
  <c r="E98" i="1"/>
  <c r="E29" i="1"/>
  <c r="D99" i="1"/>
  <c r="W75" i="1"/>
  <c r="W76" i="1"/>
  <c r="D85" i="1"/>
  <c r="F19" i="3"/>
  <c r="G18" i="3"/>
  <c r="D42" i="1"/>
  <c r="J28" i="1"/>
  <c r="J27" i="1"/>
  <c r="J48" i="1"/>
  <c r="D63" i="1"/>
  <c r="T24" i="1"/>
  <c r="T25" i="1"/>
  <c r="T26" i="1"/>
  <c r="D38" i="1"/>
  <c r="J29" i="1"/>
  <c r="T122" i="1"/>
  <c r="F20" i="3"/>
  <c r="G20" i="3"/>
  <c r="G19" i="3"/>
  <c r="N25" i="1"/>
  <c r="N27" i="1"/>
  <c r="N28" i="1"/>
  <c r="J49" i="1"/>
  <c r="J50" i="1"/>
  <c r="F21" i="3"/>
  <c r="D35" i="1"/>
  <c r="D40" i="1"/>
  <c r="D39" i="1"/>
  <c r="V22" i="1"/>
  <c r="V26" i="1"/>
  <c r="V23" i="1"/>
  <c r="N49" i="1"/>
  <c r="T22" i="1"/>
  <c r="W22" i="1"/>
  <c r="O26" i="1"/>
  <c r="T124" i="1"/>
  <c r="F22" i="3"/>
  <c r="G21" i="3"/>
  <c r="O25" i="1"/>
  <c r="U22" i="1"/>
  <c r="T125" i="1"/>
  <c r="T126" i="1"/>
  <c r="J128" i="1"/>
  <c r="J129" i="1"/>
  <c r="T29" i="1"/>
  <c r="T49" i="1"/>
  <c r="T50" i="1"/>
  <c r="T51" i="1"/>
  <c r="N48" i="1"/>
  <c r="T33" i="1"/>
  <c r="T31" i="1"/>
  <c r="T30" i="1"/>
  <c r="N29" i="1"/>
  <c r="T32" i="1"/>
  <c r="F23" i="3"/>
  <c r="G22" i="3"/>
  <c r="D62" i="1"/>
  <c r="D43" i="1"/>
  <c r="N30" i="1"/>
  <c r="D59" i="1"/>
  <c r="V24" i="1"/>
  <c r="V31" i="1"/>
  <c r="N50" i="1"/>
  <c r="V27" i="1"/>
  <c r="F24" i="3"/>
  <c r="G24" i="3"/>
  <c r="G23" i="3"/>
  <c r="V32" i="1"/>
  <c r="V28" i="1"/>
  <c r="V29" i="1"/>
  <c r="V30" i="1"/>
  <c r="V25" i="1"/>
  <c r="W23" i="1"/>
  <c r="T57" i="1"/>
  <c r="T53" i="1"/>
  <c r="T56" i="1"/>
  <c r="T55" i="1"/>
  <c r="T54" i="1"/>
  <c r="V36" i="1"/>
  <c r="N51" i="1"/>
  <c r="F25" i="3"/>
  <c r="O48" i="1"/>
  <c r="O49" i="1"/>
  <c r="N52" i="1"/>
  <c r="V33" i="1"/>
  <c r="V34" i="1"/>
  <c r="V35" i="1"/>
  <c r="V41" i="1"/>
  <c r="W24" i="1"/>
  <c r="W25" i="1"/>
  <c r="W26" i="1"/>
  <c r="V37" i="1"/>
  <c r="N53" i="1"/>
  <c r="X21" i="1"/>
  <c r="X22" i="1"/>
  <c r="F26" i="3"/>
  <c r="G25" i="3"/>
  <c r="O50" i="1"/>
  <c r="V38" i="1"/>
  <c r="V39" i="1"/>
  <c r="V40" i="1"/>
  <c r="W27" i="1"/>
  <c r="W28" i="1"/>
  <c r="W29" i="1"/>
  <c r="W30" i="1"/>
  <c r="W31" i="1"/>
  <c r="X26" i="1"/>
  <c r="X23" i="1"/>
  <c r="Y22" i="1"/>
  <c r="O27" i="1"/>
  <c r="F27" i="3"/>
  <c r="G26" i="3"/>
  <c r="H26" i="3"/>
  <c r="U53" i="1"/>
  <c r="U55" i="1"/>
  <c r="U54" i="1"/>
  <c r="O51" i="1"/>
  <c r="O52" i="1"/>
  <c r="U56" i="1"/>
  <c r="U57" i="1"/>
  <c r="U29" i="1"/>
  <c r="U31" i="1"/>
  <c r="X24" i="1"/>
  <c r="X25" i="1"/>
  <c r="X31" i="1"/>
  <c r="X27" i="1"/>
  <c r="U30" i="1"/>
  <c r="U32" i="1"/>
  <c r="U33" i="1"/>
  <c r="O28" i="1"/>
  <c r="F28" i="3"/>
  <c r="G27" i="3"/>
  <c r="O53" i="1"/>
  <c r="O29" i="1"/>
  <c r="O30" i="1"/>
  <c r="X28" i="1"/>
  <c r="X29" i="1"/>
  <c r="X30" i="1"/>
  <c r="Y23" i="1"/>
  <c r="Y24" i="1"/>
  <c r="Y25" i="1"/>
  <c r="Y26" i="1"/>
  <c r="X32" i="1"/>
  <c r="X36" i="1"/>
  <c r="F29" i="3"/>
  <c r="G29" i="3"/>
  <c r="G28" i="3"/>
  <c r="X33" i="1"/>
  <c r="X34" i="1"/>
  <c r="X35" i="1"/>
  <c r="Y27" i="1"/>
  <c r="Y28" i="1"/>
  <c r="Y29" i="1"/>
  <c r="Y30" i="1"/>
  <c r="X41" i="1"/>
  <c r="X37" i="1"/>
  <c r="F30" i="3"/>
  <c r="G30" i="3"/>
  <c r="X38" i="1"/>
  <c r="X39" i="1"/>
  <c r="X40" i="1"/>
  <c r="Y31" i="1"/>
  <c r="Y32" i="1"/>
  <c r="Y33" i="1"/>
  <c r="Y34" i="1"/>
  <c r="Y35" i="1"/>
  <c r="Y36" i="1"/>
  <c r="W32" i="1"/>
  <c r="F31" i="3"/>
  <c r="Y37" i="1"/>
  <c r="Y38" i="1"/>
  <c r="Y39" i="1"/>
  <c r="Y40" i="1"/>
  <c r="Y41" i="1"/>
  <c r="W33" i="1"/>
  <c r="W34" i="1"/>
  <c r="W35" i="1"/>
  <c r="W36" i="1"/>
  <c r="F32" i="3"/>
  <c r="G31" i="3"/>
  <c r="F33" i="3"/>
  <c r="G33" i="3"/>
  <c r="G32" i="3"/>
  <c r="W37" i="1"/>
  <c r="F34" i="3"/>
  <c r="N145" i="1"/>
  <c r="N144" i="1"/>
  <c r="N143" i="1"/>
  <c r="N142" i="1"/>
  <c r="W38" i="1"/>
  <c r="W39" i="1"/>
  <c r="W40" i="1"/>
  <c r="W41" i="1"/>
  <c r="F35" i="3"/>
  <c r="G35" i="3"/>
  <c r="G34" i="3"/>
  <c r="F36" i="3"/>
  <c r="F37" i="3"/>
  <c r="G37" i="3"/>
  <c r="G36" i="3"/>
  <c r="F38" i="3"/>
  <c r="F39" i="3"/>
  <c r="G39" i="3"/>
  <c r="G38" i="3"/>
  <c r="F40" i="3"/>
  <c r="F41" i="3"/>
  <c r="G41" i="3"/>
  <c r="G40" i="3"/>
  <c r="F42" i="3"/>
  <c r="F43" i="3"/>
  <c r="G43" i="3"/>
  <c r="G42" i="3"/>
  <c r="F44" i="3"/>
  <c r="F45" i="3"/>
  <c r="G45" i="3"/>
  <c r="G44" i="3"/>
  <c r="F46" i="3"/>
  <c r="F47" i="3"/>
  <c r="G47" i="3"/>
  <c r="G46" i="3"/>
  <c r="F48" i="3"/>
  <c r="F49" i="3"/>
  <c r="G49" i="3"/>
  <c r="G48" i="3"/>
  <c r="F50" i="3"/>
  <c r="F51" i="3"/>
  <c r="G51" i="3"/>
  <c r="G50" i="3"/>
  <c r="H50" i="3"/>
  <c r="F52" i="3"/>
  <c r="F53" i="3"/>
  <c r="G53" i="3"/>
  <c r="G52" i="3"/>
  <c r="F54" i="3"/>
  <c r="F55" i="3"/>
  <c r="G55" i="3"/>
  <c r="G54" i="3"/>
  <c r="F56" i="3"/>
  <c r="F57" i="3"/>
  <c r="G57" i="3"/>
  <c r="G56" i="3"/>
  <c r="F58" i="3"/>
  <c r="F59" i="3"/>
  <c r="G59" i="3"/>
  <c r="G58" i="3"/>
  <c r="F60" i="3"/>
  <c r="F61" i="3"/>
  <c r="G61" i="3"/>
  <c r="G60" i="3"/>
  <c r="F62" i="3"/>
  <c r="F63" i="3"/>
  <c r="G63" i="3"/>
  <c r="G62" i="3"/>
  <c r="F64" i="3"/>
  <c r="F65" i="3"/>
  <c r="G65" i="3"/>
  <c r="G64" i="3"/>
  <c r="F66" i="3"/>
  <c r="F67" i="3"/>
  <c r="G67" i="3"/>
  <c r="G66" i="3"/>
  <c r="F68" i="3"/>
  <c r="F69" i="3"/>
  <c r="G69" i="3"/>
  <c r="G68" i="3"/>
  <c r="F70" i="3"/>
  <c r="F71" i="3"/>
  <c r="G71" i="3"/>
  <c r="G70" i="3"/>
  <c r="F72" i="3"/>
  <c r="F73" i="3"/>
  <c r="G73" i="3"/>
  <c r="G72" i="3"/>
  <c r="F74" i="3"/>
  <c r="G74" i="3"/>
  <c r="H74" i="3"/>
  <c r="N109" i="1"/>
  <c r="O106" i="1"/>
  <c r="O107" i="1"/>
  <c r="O108" i="1"/>
  <c r="X107" i="1"/>
  <c r="O111" i="1"/>
  <c r="O110" i="1"/>
  <c r="O109" i="1"/>
  <c r="X108" i="1"/>
  <c r="X109" i="1"/>
  <c r="X110" i="1"/>
  <c r="X106" i="1"/>
  <c r="J72" i="1"/>
  <c r="J69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5" i="1"/>
  <c r="T84" i="1"/>
  <c r="T86" i="1"/>
  <c r="J71" i="1"/>
  <c r="J73" i="1"/>
  <c r="J70" i="1"/>
  <c r="D80" i="1"/>
  <c r="N70" i="1"/>
  <c r="W65" i="1"/>
  <c r="W66" i="1"/>
  <c r="W67" i="1"/>
  <c r="N69" i="1"/>
  <c r="N71" i="1"/>
  <c r="D83" i="1"/>
  <c r="N74" i="1"/>
  <c r="N73" i="1"/>
  <c r="W71" i="1"/>
  <c r="W70" i="1"/>
  <c r="W69" i="1"/>
  <c r="W72" i="1"/>
  <c r="N72" i="1"/>
  <c r="W73" i="1"/>
  <c r="O70" i="1"/>
  <c r="O69" i="1"/>
  <c r="O71" i="1"/>
  <c r="X72" i="1"/>
  <c r="O74" i="1"/>
  <c r="O73" i="1"/>
  <c r="X73" i="1"/>
  <c r="X69" i="1"/>
  <c r="X71" i="1"/>
  <c r="X70" i="1"/>
  <c r="O72" i="1"/>
</calcChain>
</file>

<file path=xl/sharedStrings.xml><?xml version="1.0" encoding="utf-8"?>
<sst xmlns="http://schemas.openxmlformats.org/spreadsheetml/2006/main" count="501" uniqueCount="264">
  <si>
    <t>Female</t>
  </si>
  <si>
    <t>V</t>
  </si>
  <si>
    <t>K</t>
  </si>
  <si>
    <t>mg</t>
  </si>
  <si>
    <t>hrs</t>
  </si>
  <si>
    <t>mcg/mL</t>
  </si>
  <si>
    <t>L</t>
  </si>
  <si>
    <t>mg/dL</t>
  </si>
  <si>
    <t>kg</t>
  </si>
  <si>
    <t>yrs</t>
  </si>
  <si>
    <t xml:space="preserve">Height </t>
  </si>
  <si>
    <t>mL/min</t>
  </si>
  <si>
    <t>L/hr</t>
  </si>
  <si>
    <t>IBW</t>
  </si>
  <si>
    <t>Male</t>
  </si>
  <si>
    <t>Gender</t>
  </si>
  <si>
    <t>10-15 mcg/mL</t>
  </si>
  <si>
    <t>15-20 mcg/mL</t>
  </si>
  <si>
    <t>Dose</t>
  </si>
  <si>
    <t>Trough</t>
  </si>
  <si>
    <t>Interval</t>
  </si>
  <si>
    <t>inch</t>
  </si>
  <si>
    <t>cm</t>
  </si>
  <si>
    <t>µmol/L</t>
  </si>
  <si>
    <t>SCr</t>
  </si>
  <si>
    <t>lbs</t>
  </si>
  <si>
    <t>20.0 mcg/mL</t>
  </si>
  <si>
    <t>17.5 mcg/mL</t>
  </si>
  <si>
    <t>15.0 mcg/mL</t>
  </si>
  <si>
    <t>12.5 mcg/mL</t>
  </si>
  <si>
    <t>10.0 mcg/mL</t>
  </si>
  <si>
    <t>Calculate</t>
  </si>
  <si>
    <t>Peak</t>
  </si>
  <si>
    <t>Empiric or 1 mg/L</t>
  </si>
  <si>
    <t>0.5 mg/L</t>
  </si>
  <si>
    <t>2.0 mg/L</t>
  </si>
  <si>
    <t>conventional</t>
  </si>
  <si>
    <t>IDMS</t>
  </si>
  <si>
    <t>min</t>
  </si>
  <si>
    <t>Patient data</t>
  </si>
  <si>
    <t>¤</t>
  </si>
  <si>
    <t>Extrapolated trough</t>
  </si>
  <si>
    <t>Age</t>
  </si>
  <si>
    <t>Trough drawn BEFORE next dose was due</t>
  </si>
  <si>
    <t>Trough drawn AFTER next dose was due</t>
  </si>
  <si>
    <t>Time at C2 (same day as C1)</t>
  </si>
  <si>
    <t>Time at C2 (one day after C1)</t>
  </si>
  <si>
    <t>Time at C2 (two days after C1)</t>
  </si>
  <si>
    <t>Time at C2 (three days after C1)</t>
  </si>
  <si>
    <t>Goal trough</t>
  </si>
  <si>
    <t>Time</t>
  </si>
  <si>
    <t>00</t>
  </si>
  <si>
    <t>05</t>
  </si>
  <si>
    <t xml:space="preserve">Estimated K </t>
  </si>
  <si>
    <t>K1</t>
  </si>
  <si>
    <t>Trough K1</t>
  </si>
  <si>
    <t>K2</t>
  </si>
  <si>
    <t>Trough from K</t>
  </si>
  <si>
    <t>Trough K2</t>
  </si>
  <si>
    <t>K3</t>
  </si>
  <si>
    <t>Trough K3</t>
  </si>
  <si>
    <t>K4</t>
  </si>
  <si>
    <t>Trough K4</t>
  </si>
  <si>
    <t>CrCl</t>
  </si>
  <si>
    <t>Off</t>
  </si>
  <si>
    <t>On</t>
  </si>
  <si>
    <r>
      <t>hr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</si>
  <si>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L </t>
  </si>
  <si>
    <t>Time between levels</t>
  </si>
  <si>
    <t>CLvanco + 5%</t>
  </si>
  <si>
    <t>CLvanco Bauer method</t>
  </si>
  <si>
    <r>
      <t>hr</t>
    </r>
    <r>
      <rPr>
        <vertAlign val="superscript"/>
        <sz val="11"/>
        <rFont val="Calibri"/>
        <family val="2"/>
        <scheme val="minor"/>
      </rPr>
      <t>-1</t>
    </r>
  </si>
  <si>
    <r>
      <t>AUC</t>
    </r>
    <r>
      <rPr>
        <b/>
        <vertAlign val="subscript"/>
        <sz val="11"/>
        <color rgb="FFFFFFCC"/>
        <rFont val="Calibri"/>
        <family val="2"/>
        <scheme val="minor"/>
      </rPr>
      <t>24</t>
    </r>
    <r>
      <rPr>
        <b/>
        <sz val="11"/>
        <color rgb="FFFFFFCC"/>
        <rFont val="Calibri"/>
        <family val="2"/>
        <scheme val="minor"/>
      </rPr>
      <t>/MIC</t>
    </r>
  </si>
  <si>
    <t>Extrapolated peak</t>
  </si>
  <si>
    <t>Steady-state peak and trough</t>
  </si>
  <si>
    <t>Peak and trough after FIRST dose</t>
  </si>
  <si>
    <t>Estimated/ Alternative dose</t>
  </si>
  <si>
    <t>S. aureus MIC</t>
  </si>
  <si>
    <t>Initial dosing estimate</t>
  </si>
  <si>
    <t>Dose adjustment by trough</t>
  </si>
  <si>
    <t xml:space="preserve">mg </t>
  </si>
  <si>
    <t>Estimated K</t>
  </si>
  <si>
    <t>Estimated Dose</t>
  </si>
  <si>
    <t>Peak after FIRST dose</t>
  </si>
  <si>
    <t>Dosing interval</t>
  </si>
  <si>
    <t>Actual BW/IBW</t>
  </si>
  <si>
    <t>%</t>
  </si>
  <si>
    <t>K5</t>
  </si>
  <si>
    <t>Trough K5</t>
  </si>
  <si>
    <t>K6</t>
  </si>
  <si>
    <t>Trough K6</t>
  </si>
  <si>
    <t>K7</t>
  </si>
  <si>
    <t>Trough K7</t>
  </si>
  <si>
    <t>K8</t>
  </si>
  <si>
    <t>Trough K8</t>
  </si>
  <si>
    <t>K9</t>
  </si>
  <si>
    <t>Time at start of dose</t>
  </si>
  <si>
    <t>Hours</t>
  </si>
  <si>
    <t>[] mcg/mL</t>
  </si>
  <si>
    <t>Pre-dialysis trough</t>
  </si>
  <si>
    <t>Avg per hr</t>
  </si>
  <si>
    <t>AUC24</t>
  </si>
  <si>
    <t>1st day</t>
  </si>
  <si>
    <t>2nd day</t>
  </si>
  <si>
    <t>3rd day</t>
  </si>
  <si>
    <t>First dose</t>
  </si>
  <si>
    <t>Maintenance dose</t>
  </si>
  <si>
    <t>hr-1</t>
  </si>
  <si>
    <t>Trough K9</t>
  </si>
  <si>
    <t>K10</t>
  </si>
  <si>
    <t>Meas Tr</t>
  </si>
  <si>
    <r>
      <t>Non steady-state trough</t>
    </r>
    <r>
      <rPr>
        <sz val="11"/>
        <color theme="1"/>
        <rFont val="Calibri"/>
        <family val="2"/>
      </rPr>
      <t>→ dose→</t>
    </r>
    <r>
      <rPr>
        <sz val="11"/>
        <color theme="1"/>
        <rFont val="Calibri"/>
        <family val="2"/>
        <scheme val="minor"/>
      </rPr>
      <t xml:space="preserve"> peak</t>
    </r>
  </si>
  <si>
    <t>IV infusion equation</t>
  </si>
  <si>
    <t>IV bolus equation</t>
  </si>
  <si>
    <t>Level</t>
  </si>
  <si>
    <t>Level at 24 hr</t>
  </si>
  <si>
    <t>Level at 48 hr</t>
  </si>
  <si>
    <t>IV Infusion Equations</t>
  </si>
  <si>
    <t>IV Bolus Equations</t>
  </si>
  <si>
    <t>Level at 72 hr</t>
  </si>
  <si>
    <t xml:space="preserve">V </t>
  </si>
  <si>
    <t>Infusion rate</t>
  </si>
  <si>
    <t>1000 mg/hr</t>
  </si>
  <si>
    <t>750 mg/hr</t>
  </si>
  <si>
    <t>500 mg/hr</t>
  </si>
  <si>
    <t>Patient Data</t>
  </si>
  <si>
    <t>Settings</t>
  </si>
  <si>
    <t>Y-Intercept:</t>
  </si>
  <si>
    <r>
      <t>Peak</t>
    </r>
    <r>
      <rPr>
        <b/>
        <vertAlign val="subscript"/>
        <sz val="14"/>
        <color rgb="FFFFFFCC"/>
        <rFont val="Calibri"/>
        <family val="2"/>
        <scheme val="minor"/>
      </rPr>
      <t>ss</t>
    </r>
  </si>
  <si>
    <r>
      <t>Trough</t>
    </r>
    <r>
      <rPr>
        <b/>
        <vertAlign val="subscript"/>
        <sz val="14"/>
        <color rgb="FFFFFFCC"/>
        <rFont val="Calibri"/>
        <family val="2"/>
        <scheme val="minor"/>
      </rPr>
      <t>ss</t>
    </r>
  </si>
  <si>
    <t xml:space="preserve">   Level at start of maintenance dose</t>
  </si>
  <si>
    <t>Peak if no bolus</t>
  </si>
  <si>
    <t>Level at 36 hr</t>
  </si>
  <si>
    <t>Level at 12 hr</t>
  </si>
  <si>
    <t>Steady-state trough</t>
  </si>
  <si>
    <t>Non-steady-state trough</t>
  </si>
  <si>
    <t>Loading dose (yes)</t>
  </si>
  <si>
    <t>Loading dose (no)</t>
  </si>
  <si>
    <t>Supplemental Calculators</t>
  </si>
  <si>
    <t>Estimated V</t>
  </si>
  <si>
    <t>1 day</t>
  </si>
  <si>
    <t>2 days</t>
  </si>
  <si>
    <t>3 days</t>
  </si>
  <si>
    <t>4 days</t>
  </si>
  <si>
    <t>Dialysis removal</t>
  </si>
  <si>
    <t>AUCss 0-24/MIC</t>
  </si>
  <si>
    <t>CLvanco</t>
  </si>
  <si>
    <t>Goal trough range</t>
  </si>
  <si>
    <t>PK Parameters</t>
  </si>
  <si>
    <t>Body weight</t>
  </si>
  <si>
    <t>Vancomycin Calculator</t>
  </si>
  <si>
    <t>Half-life</t>
  </si>
  <si>
    <t>Initial Dosing</t>
  </si>
  <si>
    <t>Estimated/ Alternative Dose</t>
  </si>
  <si>
    <t>FIRST dose</t>
  </si>
  <si>
    <t>Cmin</t>
  </si>
  <si>
    <t>Cmax</t>
  </si>
  <si>
    <t>Steady-State Peak and Trough</t>
  </si>
  <si>
    <t>Intermittent Hemodialysis</t>
  </si>
  <si>
    <t>First Dose</t>
  </si>
  <si>
    <t>AUC 24hr min</t>
  </si>
  <si>
    <t>AUC 24hr max</t>
  </si>
  <si>
    <t>SCr IDMS</t>
  </si>
  <si>
    <t>Est. Peak</t>
  </si>
  <si>
    <t>Est. Trough</t>
  </si>
  <si>
    <t>Time of level (same day as dose)</t>
  </si>
  <si>
    <t>First level</t>
  </si>
  <si>
    <t>14-19 mcg/mL</t>
  </si>
  <si>
    <t>13-18 mcg/mL</t>
  </si>
  <si>
    <t>12-17 mcg/mL</t>
  </si>
  <si>
    <t>11-16 mcg/mL</t>
  </si>
  <si>
    <t>Time of level (1 day after dose)</t>
  </si>
  <si>
    <t>Time of level (2 days after dose)</t>
  </si>
  <si>
    <t>Time of level (3 days after dose)</t>
  </si>
  <si>
    <t>Time at first level (same day as dose)</t>
  </si>
  <si>
    <t>Time at first level (1 day after dose)</t>
  </si>
  <si>
    <t>Time at first level (2 days after dose)</t>
  </si>
  <si>
    <t>Time at first level (3 days after dose)</t>
  </si>
  <si>
    <t>Second level</t>
  </si>
  <si>
    <t>Time at second level (same day as dose)</t>
  </si>
  <si>
    <t>Time at second level (1 day after dose)</t>
  </si>
  <si>
    <t>Time at second level (2 days after dose)</t>
  </si>
  <si>
    <t>Time at second level (3 days after dose)</t>
  </si>
  <si>
    <t>Loading Dose</t>
  </si>
  <si>
    <t>Est Peak</t>
  </si>
  <si>
    <t>Est Tr</t>
  </si>
  <si>
    <t>mg/hr</t>
  </si>
  <si>
    <r>
      <t>AUC</t>
    </r>
    <r>
      <rPr>
        <b/>
        <vertAlign val="subscript"/>
        <sz val="14"/>
        <color rgb="FFFFFFCC"/>
        <rFont val="Calibri"/>
        <family val="2"/>
        <scheme val="minor"/>
      </rPr>
      <t>ss</t>
    </r>
    <r>
      <rPr>
        <b/>
        <sz val="11"/>
        <color rgb="FFFFFFCC"/>
        <rFont val="Calibri"/>
        <family val="2"/>
        <scheme val="minor"/>
      </rPr>
      <t xml:space="preserve"> 24/MIC</t>
    </r>
  </si>
  <si>
    <t>Estimated PK Parameters</t>
  </si>
  <si>
    <t>Time of peak (same day as dose)</t>
  </si>
  <si>
    <t>Time of peak (1 day after dose)</t>
  </si>
  <si>
    <t>Time at start of dose (same day as trough)</t>
  </si>
  <si>
    <t>Time at start of dose (2 days after trough)</t>
  </si>
  <si>
    <t>Time at start of dose (1 day after trough)</t>
  </si>
  <si>
    <t>Dose Calculator</t>
  </si>
  <si>
    <r>
      <t>hr</t>
    </r>
    <r>
      <rPr>
        <vertAlign val="superscript"/>
        <sz val="12"/>
        <color theme="1"/>
        <rFont val="Calibri"/>
        <family val="2"/>
        <scheme val="minor"/>
      </rPr>
      <t>-1</t>
    </r>
  </si>
  <si>
    <t>Time to goal trough</t>
  </si>
  <si>
    <t>Level at 24 hrs</t>
  </si>
  <si>
    <t>Level at 48 hrs</t>
  </si>
  <si>
    <t>Level at 72 hrs</t>
  </si>
  <si>
    <t xml:space="preserve">hours for this patient. </t>
  </si>
  <si>
    <t>The half-life is about</t>
  </si>
  <si>
    <t>Amputations</t>
  </si>
  <si>
    <t>None</t>
  </si>
  <si>
    <t>Below knee (IBW -3.5%)</t>
  </si>
  <si>
    <t>Entire arm (IBW -4%)</t>
  </si>
  <si>
    <t>Above knee (IBW -11%)</t>
  </si>
  <si>
    <t>Entire leg (IBW -16%)</t>
  </si>
  <si>
    <t>Multiple (IBW -20%)</t>
  </si>
  <si>
    <t>Multiple (IBW -25%)</t>
  </si>
  <si>
    <t>Multiple (IBW -30%)</t>
  </si>
  <si>
    <t>Multiple (IBW -35%)</t>
  </si>
  <si>
    <t>IBW ampu</t>
  </si>
  <si>
    <t>AUCss min/MIC</t>
  </si>
  <si>
    <t>0-24 hrs</t>
  </si>
  <si>
    <t>25-48 hrs</t>
  </si>
  <si>
    <t>49-72 hrs</t>
  </si>
  <si>
    <t>Forearm (IBW -1.5%)</t>
  </si>
  <si>
    <t>Foot (IBW -1.5%)</t>
  </si>
  <si>
    <t>EOI peak</t>
  </si>
  <si>
    <t>Ikhsan, this color means that the cell has a formula in it, but I'd like users to be able to edit/enter values in the cell</t>
  </si>
  <si>
    <t>Time of trough (same day as dose)</t>
  </si>
  <si>
    <t>Time of trough (1 day after dose)</t>
  </si>
  <si>
    <t>Time of trough (2 days after dose)</t>
  </si>
  <si>
    <t>Time of trough (3 days after dose)</t>
  </si>
  <si>
    <t>Time from start of dose to level</t>
  </si>
  <si>
    <t>Time: hours peak drawn late</t>
  </si>
  <si>
    <t>Two levels after the FIRST dose</t>
  </si>
  <si>
    <t>Vd is known</t>
  </si>
  <si>
    <t>Ke is known</t>
  </si>
  <si>
    <t>Use estimated Ke and Vd</t>
  </si>
  <si>
    <t>Time from dose to next dialysis session</t>
  </si>
  <si>
    <t>Save settings</t>
  </si>
  <si>
    <t>Measured level</t>
  </si>
  <si>
    <t>Time: Start of dose to level</t>
  </si>
  <si>
    <t>Reset settings</t>
  </si>
  <si>
    <t>CrCl weight</t>
  </si>
  <si>
    <t>CrCl gender</t>
  </si>
  <si>
    <t>CrCl SCr</t>
  </si>
  <si>
    <t>Time: EOI to level</t>
  </si>
  <si>
    <t>Ikhsan, the level needs to be drawn at least 30 minutes after the end of infusion.  Infusion time = dose/s18</t>
  </si>
  <si>
    <t>Ikhsan, the level must be at least 30 minutes after the end of infusion.  Infusion time = dose/cell S18</t>
  </si>
  <si>
    <t>Ikhsan, the first level needs to be drawn at least 30 minutes after the end of infusion.  Infusion time = dose/s18</t>
  </si>
  <si>
    <t>Time from START of dose to peak</t>
  </si>
  <si>
    <t>Loading dose</t>
  </si>
  <si>
    <t>Post-dialysis level</t>
  </si>
  <si>
    <t xml:space="preserve">K </t>
  </si>
  <si>
    <t>mcg/mL in</t>
  </si>
  <si>
    <t>Time from the peak until start of the maintenance dose</t>
  </si>
  <si>
    <t>Adjust SCr for IDMS.        Slope:</t>
  </si>
  <si>
    <t>Steady-State 'Trough'</t>
  </si>
  <si>
    <t>The steady-state 'trough' can be drawn anytime ≥ 60 minutes after the end of infusion, it does not need to be a trough.</t>
  </si>
  <si>
    <r>
      <t xml:space="preserve">Check a peak after the first dose to calculate Vd. Draw the peak 1-2 hours </t>
    </r>
    <r>
      <rPr>
        <sz val="12"/>
        <color theme="1"/>
        <rFont val="Calibri"/>
        <family val="2"/>
      </rPr>
      <t>after the end</t>
    </r>
    <r>
      <rPr>
        <sz val="12"/>
        <color theme="1"/>
        <rFont val="Calibri"/>
        <family val="2"/>
        <scheme val="minor"/>
      </rPr>
      <t xml:space="preserve"> of infusion.  Once Vd is known, Ke and AUC24 can be calculated using a steady-state level. </t>
    </r>
  </si>
  <si>
    <r>
      <t xml:space="preserve">For patients that need close monitoring consider drawing two levels after the first dose.  The first level should be drawn </t>
    </r>
    <r>
      <rPr>
        <sz val="12"/>
        <color theme="1"/>
        <rFont val="Calibri"/>
        <family val="2"/>
      </rPr>
      <t xml:space="preserve">≥ </t>
    </r>
    <r>
      <rPr>
        <sz val="12"/>
        <color theme="1"/>
        <rFont val="Calibri"/>
        <family val="2"/>
        <scheme val="minor"/>
      </rPr>
      <t xml:space="preserve">60 minutes after the end of infusion, and the second level should be drawn one half-life after the first level. </t>
    </r>
  </si>
  <si>
    <t>Dosing by Pre-dialysis Trough</t>
  </si>
  <si>
    <t>Dose (after dialysis)</t>
  </si>
  <si>
    <t>Time from start of dose to first level</t>
  </si>
  <si>
    <t>Time from start of dose to second level</t>
  </si>
  <si>
    <t>Time from START of dose to trough</t>
  </si>
  <si>
    <r>
      <t>For patients that need close monitoring, consider drawing two steady-state levels.  Draw the peak ≥ 60 minutes after the end of infusion.  If both levels are drawn after the dose (dose→ peak</t>
    </r>
    <r>
      <rPr>
        <sz val="12"/>
        <color theme="1"/>
        <rFont val="Calibri"/>
        <family val="2"/>
      </rPr>
      <t>→ trough</t>
    </r>
    <r>
      <rPr>
        <sz val="12"/>
        <color theme="1"/>
        <rFont val="Calibri"/>
        <family val="2"/>
        <scheme val="minor"/>
      </rPr>
      <t xml:space="preserve">) then the trough should be drawn one half-life after the peak. </t>
    </r>
  </si>
  <si>
    <t>AUC During Elimination</t>
  </si>
  <si>
    <t>Reset (new patient)</t>
  </si>
  <si>
    <t>Ikhsan, these buttons will be on each tab/calculator:</t>
  </si>
  <si>
    <t>Can you also place limits for V = 20-200; and Limit for K = 0.003-0.16 when users enter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</si>
</sst>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  <numFmt numFmtId="168" formatCode="0.0000"/>
    <numFmt numFmtId="169" formatCode="0.00000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rgb="FFFFFF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CC"/>
      <name val="Calibri"/>
      <family val="2"/>
      <scheme val="minor"/>
    </font>
    <font>
      <b/>
      <sz val="11"/>
      <name val="Calibri"/>
      <family val="2"/>
      <scheme val="minor"/>
    </font>
    <font>
      <sz val="8"/>
      <name val="Wingdings 3"/>
      <family val="1"/>
      <charset val="2"/>
    </font>
    <font>
      <sz val="11"/>
      <color theme="1"/>
      <name val="Wingdings 3"/>
      <family val="1"/>
      <charset val="2"/>
    </font>
    <font>
      <b/>
      <sz val="12"/>
      <color theme="1"/>
      <name val="Calibri"/>
      <family val="2"/>
      <scheme val="minor"/>
    </font>
    <font>
      <sz val="40"/>
      <color theme="1"/>
      <name val="Calibri Light"/>
      <family val="2"/>
    </font>
    <font>
      <b/>
      <sz val="12"/>
      <name val="Calibri"/>
      <family val="2"/>
      <scheme val="minor"/>
    </font>
    <font>
      <sz val="8"/>
      <color theme="0" tint="-0.499984740745262"/>
      <name val="Wingdings 3"/>
      <family val="1"/>
      <charset val="2"/>
    </font>
    <font>
      <b/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FF99"/>
      <name val="Calibri"/>
      <family val="2"/>
      <scheme val="minor"/>
    </font>
    <font>
      <b/>
      <sz val="11"/>
      <color rgb="FFFFFF99"/>
      <name val="Calibri"/>
      <family val="2"/>
    </font>
    <font>
      <sz val="11"/>
      <color rgb="FFFFFFCC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bscript"/>
      <sz val="11"/>
      <color rgb="FFFFFFCC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4"/>
      <color rgb="FFFFFF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FF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6">
    <xf numFmtId="0" fontId="0" fillId="0" borderId="0"/>
    <xf numFmtId="164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3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5" fillId="0" borderId="0" xfId="0" applyFont="1"/>
    <xf numFmtId="0" fontId="7" fillId="8" borderId="8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5" fillId="8" borderId="0" xfId="0" applyFont="1" applyFill="1" applyBorder="1"/>
    <xf numFmtId="0" fontId="5" fillId="4" borderId="0" xfId="0" applyFont="1" applyFill="1" applyBorder="1"/>
    <xf numFmtId="0" fontId="8" fillId="8" borderId="7" xfId="0" applyFont="1" applyFill="1" applyBorder="1" applyAlignment="1"/>
    <xf numFmtId="0" fontId="5" fillId="7" borderId="0" xfId="0" applyFont="1" applyFill="1" applyBorder="1"/>
    <xf numFmtId="0" fontId="12" fillId="2" borderId="18" xfId="0" applyFont="1" applyFill="1" applyBorder="1"/>
    <xf numFmtId="0" fontId="13" fillId="3" borderId="19" xfId="0" applyFont="1" applyFill="1" applyBorder="1" applyProtection="1">
      <protection locked="0"/>
    </xf>
    <xf numFmtId="0" fontId="11" fillId="9" borderId="20" xfId="0" applyFont="1" applyFill="1" applyBorder="1"/>
    <xf numFmtId="0" fontId="5" fillId="8" borderId="7" xfId="0" applyFont="1" applyFill="1" applyBorder="1"/>
    <xf numFmtId="0" fontId="12" fillId="2" borderId="14" xfId="0" applyFont="1" applyFill="1" applyBorder="1"/>
    <xf numFmtId="0" fontId="13" fillId="3" borderId="13" xfId="0" applyFont="1" applyFill="1" applyBorder="1" applyProtection="1">
      <protection locked="0"/>
    </xf>
    <xf numFmtId="0" fontId="11" fillId="9" borderId="12" xfId="0" applyFont="1" applyFill="1" applyBorder="1"/>
    <xf numFmtId="0" fontId="12" fillId="2" borderId="14" xfId="0" applyFont="1" applyFill="1" applyBorder="1" applyAlignment="1"/>
    <xf numFmtId="0" fontId="10" fillId="3" borderId="13" xfId="0" applyFont="1" applyFill="1" applyBorder="1" applyProtection="1">
      <protection locked="0"/>
    </xf>
    <xf numFmtId="0" fontId="11" fillId="9" borderId="12" xfId="0" applyFont="1" applyFill="1" applyBorder="1" applyAlignment="1"/>
    <xf numFmtId="0" fontId="12" fillId="2" borderId="15" xfId="0" applyFont="1" applyFill="1" applyBorder="1"/>
    <xf numFmtId="0" fontId="23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12" fillId="2" borderId="18" xfId="0" applyFont="1" applyFill="1" applyBorder="1" applyAlignment="1"/>
    <xf numFmtId="0" fontId="11" fillId="9" borderId="20" xfId="0" applyFont="1" applyFill="1" applyBorder="1" applyAlignment="1"/>
    <xf numFmtId="0" fontId="5" fillId="8" borderId="0" xfId="0" applyFont="1" applyFill="1" applyBorder="1" applyAlignment="1"/>
    <xf numFmtId="0" fontId="10" fillId="3" borderId="13" xfId="0" applyFont="1" applyFill="1" applyBorder="1" applyAlignment="1" applyProtection="1">
      <protection locked="0"/>
    </xf>
    <xf numFmtId="1" fontId="13" fillId="9" borderId="13" xfId="0" applyNumberFormat="1" applyFont="1" applyFill="1" applyBorder="1" applyAlignment="1"/>
    <xf numFmtId="0" fontId="11" fillId="9" borderId="12" xfId="0" applyFont="1" applyFill="1" applyBorder="1" applyAlignment="1">
      <alignment vertical="center"/>
    </xf>
    <xf numFmtId="0" fontId="12" fillId="8" borderId="0" xfId="0" applyFont="1" applyFill="1" applyBorder="1"/>
    <xf numFmtId="0" fontId="12" fillId="2" borderId="14" xfId="0" applyFont="1" applyFill="1" applyBorder="1" applyAlignment="1">
      <alignment vertical="center"/>
    </xf>
    <xf numFmtId="0" fontId="15" fillId="8" borderId="0" xfId="0" applyFont="1" applyFill="1" applyBorder="1" applyAlignment="1">
      <alignment horizontal="right" vertical="center"/>
    </xf>
    <xf numFmtId="0" fontId="12" fillId="2" borderId="14" xfId="0" applyFont="1" applyFill="1" applyBorder="1" applyAlignment="1">
      <alignment wrapText="1"/>
    </xf>
    <xf numFmtId="0" fontId="12" fillId="2" borderId="15" xfId="0" applyFont="1" applyFill="1" applyBorder="1" applyAlignment="1">
      <alignment vertical="center"/>
    </xf>
    <xf numFmtId="0" fontId="5" fillId="8" borderId="0" xfId="0" applyFont="1" applyFill="1"/>
    <xf numFmtId="0" fontId="13" fillId="8" borderId="0" xfId="0" applyFont="1" applyFill="1" applyBorder="1" applyAlignment="1">
      <alignment vertical="top" wrapText="1"/>
    </xf>
    <xf numFmtId="0" fontId="20" fillId="8" borderId="0" xfId="0" applyFont="1" applyFill="1" applyBorder="1" applyAlignment="1">
      <alignment vertical="top" wrapText="1"/>
    </xf>
    <xf numFmtId="0" fontId="5" fillId="8" borderId="4" xfId="0" applyFont="1" applyFill="1" applyBorder="1"/>
    <xf numFmtId="0" fontId="5" fillId="8" borderId="5" xfId="0" applyFont="1" applyFill="1" applyBorder="1"/>
    <xf numFmtId="0" fontId="11" fillId="9" borderId="20" xfId="0" applyFont="1" applyFill="1" applyBorder="1" applyAlignment="1">
      <alignment vertical="center"/>
    </xf>
    <xf numFmtId="0" fontId="11" fillId="8" borderId="0" xfId="0" applyFont="1" applyFill="1" applyBorder="1" applyAlignment="1"/>
    <xf numFmtId="0" fontId="27" fillId="8" borderId="0" xfId="0" applyFont="1" applyFill="1" applyBorder="1" applyAlignment="1">
      <alignment vertical="center"/>
    </xf>
    <xf numFmtId="0" fontId="13" fillId="3" borderId="13" xfId="0" applyFont="1" applyFill="1" applyBorder="1"/>
    <xf numFmtId="0" fontId="10" fillId="3" borderId="25" xfId="0" applyFont="1" applyFill="1" applyBorder="1" applyProtection="1">
      <protection locked="0"/>
    </xf>
    <xf numFmtId="0" fontId="28" fillId="8" borderId="0" xfId="0" applyFont="1" applyFill="1" applyBorder="1"/>
    <xf numFmtId="0" fontId="11" fillId="8" borderId="0" xfId="0" applyFont="1" applyFill="1" applyBorder="1"/>
    <xf numFmtId="0" fontId="12" fillId="2" borderId="14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left"/>
    </xf>
    <xf numFmtId="0" fontId="12" fillId="7" borderId="0" xfId="0" applyFont="1" applyFill="1" applyBorder="1"/>
    <xf numFmtId="0" fontId="5" fillId="5" borderId="0" xfId="0" applyFont="1" applyFill="1"/>
    <xf numFmtId="0" fontId="5" fillId="8" borderId="8" xfId="0" applyFont="1" applyFill="1" applyBorder="1" applyAlignment="1"/>
    <xf numFmtId="0" fontId="5" fillId="8" borderId="7" xfId="0" applyFont="1" applyFill="1" applyBorder="1" applyAlignment="1"/>
    <xf numFmtId="0" fontId="0" fillId="8" borderId="8" xfId="0" applyFill="1" applyBorder="1"/>
    <xf numFmtId="0" fontId="0" fillId="8" borderId="0" xfId="0" applyFill="1" applyBorder="1"/>
    <xf numFmtId="0" fontId="12" fillId="2" borderId="18" xfId="0" applyFont="1" applyFill="1" applyBorder="1" applyAlignment="1">
      <alignment vertical="center"/>
    </xf>
    <xf numFmtId="0" fontId="0" fillId="8" borderId="0" xfId="0" applyFill="1" applyBorder="1" applyAlignment="1"/>
    <xf numFmtId="168" fontId="13" fillId="9" borderId="0" xfId="0" applyNumberFormat="1" applyFont="1" applyFill="1" applyBorder="1" applyAlignment="1"/>
    <xf numFmtId="0" fontId="12" fillId="2" borderId="14" xfId="0" applyFont="1" applyFill="1" applyBorder="1" applyAlignment="1">
      <alignment vertical="center" wrapText="1"/>
    </xf>
    <xf numFmtId="0" fontId="12" fillId="2" borderId="30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/>
    </xf>
    <xf numFmtId="166" fontId="13" fillId="9" borderId="13" xfId="0" applyNumberFormat="1" applyFont="1" applyFill="1" applyBorder="1" applyAlignment="1"/>
    <xf numFmtId="0" fontId="29" fillId="2" borderId="14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 wrapText="1"/>
    </xf>
    <xf numFmtId="0" fontId="12" fillId="2" borderId="8" xfId="0" applyFont="1" applyFill="1" applyBorder="1" applyAlignment="1"/>
    <xf numFmtId="0" fontId="0" fillId="8" borderId="0" xfId="0" applyFont="1" applyFill="1" applyBorder="1" applyAlignment="1"/>
    <xf numFmtId="0" fontId="11" fillId="8" borderId="0" xfId="0" applyFont="1" applyFill="1" applyBorder="1" applyAlignment="1">
      <alignment wrapText="1"/>
    </xf>
    <xf numFmtId="0" fontId="11" fillId="9" borderId="31" xfId="0" applyFont="1" applyFill="1" applyBorder="1" applyAlignment="1"/>
    <xf numFmtId="0" fontId="0" fillId="9" borderId="12" xfId="0" applyFont="1" applyFill="1" applyBorder="1" applyAlignment="1"/>
    <xf numFmtId="0" fontId="11" fillId="9" borderId="32" xfId="0" applyFont="1" applyFill="1" applyBorder="1" applyAlignment="1"/>
    <xf numFmtId="165" fontId="0" fillId="8" borderId="0" xfId="0" applyNumberFormat="1" applyFill="1" applyBorder="1"/>
    <xf numFmtId="0" fontId="0" fillId="8" borderId="7" xfId="0" applyFill="1" applyBorder="1" applyAlignment="1">
      <alignment horizontal="left"/>
    </xf>
    <xf numFmtId="0" fontId="0" fillId="8" borderId="3" xfId="0" applyFill="1" applyBorder="1"/>
    <xf numFmtId="0" fontId="0" fillId="8" borderId="7" xfId="0" applyFill="1" applyBorder="1"/>
    <xf numFmtId="0" fontId="0" fillId="8" borderId="7" xfId="0" applyFill="1" applyBorder="1" applyAlignment="1">
      <alignment vertical="center" wrapText="1"/>
    </xf>
    <xf numFmtId="0" fontId="10" fillId="8" borderId="7" xfId="0" applyFont="1" applyFill="1" applyBorder="1" applyAlignment="1">
      <alignment horizontal="center" wrapText="1"/>
    </xf>
    <xf numFmtId="0" fontId="0" fillId="8" borderId="0" xfId="0" applyFont="1" applyFill="1" applyBorder="1"/>
    <xf numFmtId="166" fontId="5" fillId="8" borderId="0" xfId="0" applyNumberFormat="1" applyFont="1" applyFill="1" applyBorder="1"/>
    <xf numFmtId="0" fontId="12" fillId="2" borderId="14" xfId="0" applyFont="1" applyFill="1" applyBorder="1" applyAlignment="1">
      <alignment horizontal="left" vertical="center" wrapText="1"/>
    </xf>
    <xf numFmtId="1" fontId="13" fillId="9" borderId="16" xfId="0" applyNumberFormat="1" applyFont="1" applyFill="1" applyBorder="1" applyAlignment="1">
      <alignment vertical="center"/>
    </xf>
    <xf numFmtId="0" fontId="11" fillId="9" borderId="12" xfId="0" applyFont="1" applyFill="1" applyBorder="1" applyAlignment="1">
      <alignment vertical="center" wrapText="1"/>
    </xf>
    <xf numFmtId="1" fontId="13" fillId="9" borderId="13" xfId="0" applyNumberFormat="1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166" fontId="10" fillId="9" borderId="13" xfId="0" applyNumberFormat="1" applyFont="1" applyFill="1" applyBorder="1" applyAlignment="1">
      <alignment horizontal="right" vertical="center"/>
    </xf>
    <xf numFmtId="0" fontId="11" fillId="9" borderId="20" xfId="0" applyFont="1" applyFill="1" applyBorder="1" applyAlignment="1">
      <alignment vertical="center" wrapText="1"/>
    </xf>
    <xf numFmtId="166" fontId="10" fillId="9" borderId="13" xfId="0" applyNumberFormat="1" applyFont="1" applyFill="1" applyBorder="1"/>
    <xf numFmtId="2" fontId="13" fillId="9" borderId="13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/>
    <xf numFmtId="0" fontId="10" fillId="3" borderId="13" xfId="0" applyFont="1" applyFill="1" applyBorder="1"/>
    <xf numFmtId="0" fontId="10" fillId="3" borderId="13" xfId="0" applyFont="1" applyFill="1" applyBorder="1" applyAlignment="1">
      <alignment vertical="center"/>
    </xf>
    <xf numFmtId="1" fontId="0" fillId="9" borderId="20" xfId="0" applyNumberFormat="1" applyFont="1" applyFill="1" applyBorder="1"/>
    <xf numFmtId="0" fontId="12" fillId="2" borderId="18" xfId="0" applyFont="1" applyFill="1" applyBorder="1" applyAlignment="1">
      <alignment vertical="center" wrapText="1"/>
    </xf>
    <xf numFmtId="0" fontId="0" fillId="8" borderId="8" xfId="0" applyFill="1" applyBorder="1" applyAlignment="1"/>
    <xf numFmtId="0" fontId="22" fillId="8" borderId="1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14" fillId="4" borderId="8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left"/>
    </xf>
    <xf numFmtId="1" fontId="13" fillId="9" borderId="19" xfId="0" applyNumberFormat="1" applyFont="1" applyFill="1" applyBorder="1" applyAlignment="1"/>
    <xf numFmtId="0" fontId="2" fillId="8" borderId="7" xfId="0" applyFont="1" applyFill="1" applyBorder="1"/>
    <xf numFmtId="0" fontId="2" fillId="8" borderId="0" xfId="0" applyFont="1" applyFill="1" applyBorder="1" applyAlignment="1"/>
    <xf numFmtId="0" fontId="12" fillId="2" borderId="14" xfId="0" applyFont="1" applyFill="1" applyBorder="1" applyAlignment="1">
      <alignment horizontal="left" wrapText="1"/>
    </xf>
    <xf numFmtId="0" fontId="11" fillId="9" borderId="12" xfId="0" applyFont="1" applyFill="1" applyBorder="1" applyAlignment="1">
      <alignment horizontal="left"/>
    </xf>
    <xf numFmtId="166" fontId="13" fillId="9" borderId="16" xfId="0" applyNumberFormat="1" applyFont="1" applyFill="1" applyBorder="1" applyAlignment="1">
      <alignment vertical="center"/>
    </xf>
    <xf numFmtId="0" fontId="11" fillId="9" borderId="17" xfId="0" applyFont="1" applyFill="1" applyBorder="1" applyAlignment="1">
      <alignment vertical="center"/>
    </xf>
    <xf numFmtId="0" fontId="5" fillId="8" borderId="4" xfId="0" applyFont="1" applyFill="1" applyBorder="1" applyAlignment="1"/>
    <xf numFmtId="0" fontId="5" fillId="8" borderId="5" xfId="0" applyFont="1" applyFill="1" applyBorder="1" applyAlignment="1"/>
    <xf numFmtId="0" fontId="5" fillId="4" borderId="7" xfId="0" applyFont="1" applyFill="1" applyBorder="1"/>
    <xf numFmtId="0" fontId="12" fillId="8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wrapText="1"/>
    </xf>
    <xf numFmtId="0" fontId="18" fillId="4" borderId="7" xfId="0" applyFont="1" applyFill="1" applyBorder="1" applyAlignment="1">
      <alignment horizontal="left" vertical="top"/>
    </xf>
    <xf numFmtId="1" fontId="10" fillId="3" borderId="19" xfId="0" applyNumberFormat="1" applyFont="1" applyFill="1" applyBorder="1" applyAlignment="1" applyProtection="1">
      <alignment vertical="center"/>
      <protection locked="0"/>
    </xf>
    <xf numFmtId="0" fontId="10" fillId="3" borderId="13" xfId="0" applyFont="1" applyFill="1" applyBorder="1" applyAlignment="1" applyProtection="1">
      <alignment vertical="center"/>
      <protection locked="0"/>
    </xf>
    <xf numFmtId="166" fontId="10" fillId="3" borderId="13" xfId="0" applyNumberFormat="1" applyFont="1" applyFill="1" applyBorder="1" applyAlignment="1">
      <alignment vertical="center"/>
    </xf>
    <xf numFmtId="166" fontId="10" fillId="3" borderId="13" xfId="0" applyNumberFormat="1" applyFont="1" applyFill="1" applyBorder="1" applyAlignment="1" applyProtection="1">
      <alignment vertical="center"/>
      <protection locked="0"/>
    </xf>
    <xf numFmtId="166" fontId="13" fillId="9" borderId="13" xfId="0" applyNumberFormat="1" applyFont="1" applyFill="1" applyBorder="1"/>
    <xf numFmtId="0" fontId="8" fillId="8" borderId="0" xfId="0" applyFont="1" applyFill="1" applyBorder="1" applyAlignment="1">
      <alignment vertical="center" wrapText="1"/>
    </xf>
    <xf numFmtId="166" fontId="13" fillId="9" borderId="13" xfId="0" applyNumberFormat="1" applyFont="1" applyFill="1" applyBorder="1" applyAlignment="1">
      <alignment vertical="center"/>
    </xf>
    <xf numFmtId="166" fontId="10" fillId="9" borderId="13" xfId="0" applyNumberFormat="1" applyFont="1" applyFill="1" applyBorder="1" applyAlignment="1">
      <alignment vertical="center"/>
    </xf>
    <xf numFmtId="2" fontId="11" fillId="9" borderId="20" xfId="0" applyNumberFormat="1" applyFont="1" applyFill="1" applyBorder="1"/>
    <xf numFmtId="0" fontId="0" fillId="8" borderId="8" xfId="0" applyFont="1" applyFill="1" applyBorder="1" applyAlignment="1"/>
    <xf numFmtId="0" fontId="18" fillId="8" borderId="0" xfId="0" applyFont="1" applyFill="1" applyBorder="1" applyAlignment="1">
      <alignment horizontal="left" vertical="top"/>
    </xf>
    <xf numFmtId="0" fontId="5" fillId="8" borderId="8" xfId="0" applyFont="1" applyFill="1" applyBorder="1"/>
    <xf numFmtId="49" fontId="0" fillId="0" borderId="0" xfId="0" applyNumberFormat="1" applyAlignment="1">
      <alignment horizontal="right"/>
    </xf>
    <xf numFmtId="0" fontId="15" fillId="9" borderId="0" xfId="0" applyFont="1" applyFill="1" applyBorder="1" applyAlignment="1">
      <alignment horizontal="left" vertical="center"/>
    </xf>
    <xf numFmtId="0" fontId="15" fillId="9" borderId="0" xfId="0" applyFont="1" applyFill="1" applyBorder="1" applyAlignment="1">
      <alignment horizontal="right" vertical="center"/>
    </xf>
    <xf numFmtId="2" fontId="0" fillId="0" borderId="0" xfId="0" applyNumberFormat="1"/>
    <xf numFmtId="166" fontId="0" fillId="0" borderId="0" xfId="0" applyNumberFormat="1"/>
    <xf numFmtId="0" fontId="9" fillId="2" borderId="13" xfId="0" applyFont="1" applyFill="1" applyBorder="1"/>
    <xf numFmtId="0" fontId="0" fillId="3" borderId="13" xfId="0" applyFill="1" applyBorder="1"/>
    <xf numFmtId="1" fontId="0" fillId="0" borderId="0" xfId="0" applyNumberFormat="1"/>
    <xf numFmtId="0" fontId="13" fillId="9" borderId="13" xfId="0" applyFont="1" applyFill="1" applyBorder="1" applyAlignment="1">
      <alignment vertical="center"/>
    </xf>
    <xf numFmtId="0" fontId="11" fillId="9" borderId="26" xfId="0" applyFont="1" applyFill="1" applyBorder="1"/>
    <xf numFmtId="0" fontId="0" fillId="7" borderId="0" xfId="0" applyFont="1" applyFill="1"/>
    <xf numFmtId="1" fontId="10" fillId="9" borderId="13" xfId="0" applyNumberFormat="1" applyFont="1" applyFill="1" applyBorder="1"/>
    <xf numFmtId="0" fontId="12" fillId="2" borderId="24" xfId="0" applyFont="1" applyFill="1" applyBorder="1"/>
    <xf numFmtId="0" fontId="13" fillId="3" borderId="12" xfId="0" applyFont="1" applyFill="1" applyBorder="1"/>
    <xf numFmtId="0" fontId="5" fillId="4" borderId="7" xfId="0" applyFont="1" applyFill="1" applyBorder="1" applyAlignment="1"/>
    <xf numFmtId="0" fontId="13" fillId="3" borderId="13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 wrapText="1"/>
    </xf>
    <xf numFmtId="0" fontId="25" fillId="8" borderId="0" xfId="0" applyFont="1" applyFill="1" applyBorder="1" applyAlignment="1">
      <alignment vertical="center" wrapText="1"/>
    </xf>
    <xf numFmtId="0" fontId="15" fillId="8" borderId="0" xfId="0" applyFont="1" applyFill="1" applyBorder="1"/>
    <xf numFmtId="0" fontId="5" fillId="8" borderId="6" xfId="0" applyFont="1" applyFill="1" applyBorder="1"/>
    <xf numFmtId="166" fontId="13" fillId="9" borderId="16" xfId="0" applyNumberFormat="1" applyFont="1" applyFill="1" applyBorder="1"/>
    <xf numFmtId="0" fontId="11" fillId="9" borderId="17" xfId="0" applyFont="1" applyFill="1" applyBorder="1"/>
    <xf numFmtId="0" fontId="21" fillId="8" borderId="7" xfId="0" applyFont="1" applyFill="1" applyBorder="1" applyAlignment="1">
      <alignment vertical="top"/>
    </xf>
    <xf numFmtId="166" fontId="5" fillId="11" borderId="13" xfId="0" applyNumberFormat="1" applyFont="1" applyFill="1" applyBorder="1"/>
    <xf numFmtId="166" fontId="10" fillId="9" borderId="13" xfId="0" applyNumberFormat="1" applyFont="1" applyFill="1" applyBorder="1" applyAlignment="1"/>
    <xf numFmtId="166" fontId="10" fillId="9" borderId="16" xfId="0" applyNumberFormat="1" applyFont="1" applyFill="1" applyBorder="1"/>
    <xf numFmtId="0" fontId="0" fillId="8" borderId="0" xfId="0" applyFill="1"/>
    <xf numFmtId="166" fontId="0" fillId="8" borderId="0" xfId="0" applyNumberFormat="1" applyFill="1"/>
    <xf numFmtId="2" fontId="0" fillId="8" borderId="0" xfId="0" applyNumberFormat="1" applyFill="1"/>
    <xf numFmtId="1" fontId="0" fillId="8" borderId="0" xfId="0" applyNumberFormat="1" applyFill="1"/>
    <xf numFmtId="0" fontId="5" fillId="7" borderId="0" xfId="0" applyFont="1" applyFill="1" applyAlignment="1"/>
    <xf numFmtId="0" fontId="13" fillId="3" borderId="13" xfId="0" applyFont="1" applyFill="1" applyBorder="1" applyAlignment="1" applyProtection="1">
      <protection locked="0"/>
    </xf>
    <xf numFmtId="0" fontId="15" fillId="9" borderId="0" xfId="0" applyFont="1" applyFill="1" applyBorder="1" applyAlignment="1"/>
    <xf numFmtId="0" fontId="5" fillId="0" borderId="0" xfId="0" applyFont="1" applyAlignment="1"/>
    <xf numFmtId="0" fontId="10" fillId="8" borderId="0" xfId="0" applyFont="1" applyFill="1" applyBorder="1" applyAlignment="1" applyProtection="1">
      <alignment horizontal="center"/>
      <protection locked="0"/>
    </xf>
    <xf numFmtId="0" fontId="15" fillId="8" borderId="0" xfId="0" applyFont="1" applyFill="1" applyBorder="1" applyAlignment="1"/>
    <xf numFmtId="0" fontId="0" fillId="8" borderId="0" xfId="0" applyFont="1" applyFill="1" applyBorder="1" applyAlignment="1">
      <alignment horizontal="center" vertical="center" wrapText="1"/>
    </xf>
    <xf numFmtId="2" fontId="5" fillId="8" borderId="0" xfId="0" applyNumberFormat="1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0" fontId="0" fillId="7" borderId="13" xfId="0" applyFont="1" applyFill="1" applyBorder="1" applyAlignment="1">
      <alignment vertical="center" wrapText="1"/>
    </xf>
    <xf numFmtId="0" fontId="8" fillId="7" borderId="0" xfId="0" applyFont="1" applyFill="1" applyBorder="1" applyAlignment="1"/>
    <xf numFmtId="0" fontId="0" fillId="7" borderId="13" xfId="0" applyFont="1" applyFill="1" applyBorder="1"/>
    <xf numFmtId="0" fontId="5" fillId="7" borderId="13" xfId="0" applyFont="1" applyFill="1" applyBorder="1" applyAlignment="1">
      <alignment vertical="top" wrapText="1"/>
    </xf>
    <xf numFmtId="0" fontId="5" fillId="7" borderId="0" xfId="0" applyFont="1" applyFill="1" applyBorder="1" applyAlignment="1"/>
    <xf numFmtId="0" fontId="0" fillId="7" borderId="13" xfId="0" applyFont="1" applyFill="1" applyBorder="1" applyAlignment="1"/>
    <xf numFmtId="166" fontId="5" fillId="7" borderId="13" xfId="0" applyNumberFormat="1" applyFont="1" applyFill="1" applyBorder="1"/>
    <xf numFmtId="0" fontId="5" fillId="7" borderId="0" xfId="0" applyFont="1" applyFill="1" applyBorder="1" applyAlignment="1">
      <alignment vertical="center"/>
    </xf>
    <xf numFmtId="2" fontId="5" fillId="7" borderId="0" xfId="0" applyNumberFormat="1" applyFont="1" applyFill="1" applyBorder="1"/>
    <xf numFmtId="0" fontId="20" fillId="7" borderId="0" xfId="0" applyFont="1" applyFill="1" applyBorder="1" applyAlignment="1">
      <alignment vertical="top" wrapText="1"/>
    </xf>
    <xf numFmtId="0" fontId="11" fillId="7" borderId="13" xfId="0" applyFont="1" applyFill="1" applyBorder="1" applyAlignment="1">
      <alignment vertical="center"/>
    </xf>
    <xf numFmtId="166" fontId="32" fillId="7" borderId="13" xfId="0" applyNumberFormat="1" applyFont="1" applyFill="1" applyBorder="1" applyAlignment="1"/>
    <xf numFmtId="1" fontId="11" fillId="7" borderId="13" xfId="0" applyNumberFormat="1" applyFont="1" applyFill="1" applyBorder="1" applyAlignment="1">
      <alignment vertical="top" wrapText="1"/>
    </xf>
    <xf numFmtId="166" fontId="11" fillId="7" borderId="13" xfId="0" applyNumberFormat="1" applyFont="1" applyFill="1" applyBorder="1" applyAlignment="1">
      <alignment vertical="top" wrapText="1"/>
    </xf>
    <xf numFmtId="0" fontId="5" fillId="7" borderId="0" xfId="0" applyFont="1" applyFill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8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/>
    <xf numFmtId="0" fontId="2" fillId="7" borderId="13" xfId="0" applyFont="1" applyFill="1" applyBorder="1" applyAlignment="1"/>
    <xf numFmtId="169" fontId="2" fillId="7" borderId="13" xfId="0" applyNumberFormat="1" applyFont="1" applyFill="1" applyBorder="1" applyAlignment="1"/>
    <xf numFmtId="0" fontId="2" fillId="7" borderId="0" xfId="0" applyFont="1" applyFill="1" applyBorder="1"/>
    <xf numFmtId="0" fontId="2" fillId="7" borderId="13" xfId="0" applyFont="1" applyFill="1" applyBorder="1"/>
    <xf numFmtId="166" fontId="2" fillId="7" borderId="13" xfId="0" applyNumberFormat="1" applyFont="1" applyFill="1" applyBorder="1"/>
    <xf numFmtId="169" fontId="2" fillId="7" borderId="13" xfId="0" applyNumberFormat="1" applyFont="1" applyFill="1" applyBorder="1"/>
    <xf numFmtId="0" fontId="13" fillId="7" borderId="0" xfId="0" applyFont="1" applyFill="1" applyBorder="1" applyAlignment="1">
      <alignment horizontal="center"/>
    </xf>
    <xf numFmtId="2" fontId="2" fillId="7" borderId="13" xfId="0" applyNumberFormat="1" applyFont="1" applyFill="1" applyBorder="1"/>
    <xf numFmtId="0" fontId="21" fillId="7" borderId="0" xfId="0" applyFont="1" applyFill="1" applyBorder="1" applyAlignment="1">
      <alignment vertical="top"/>
    </xf>
    <xf numFmtId="165" fontId="2" fillId="7" borderId="13" xfId="0" applyNumberFormat="1" applyFont="1" applyFill="1" applyBorder="1"/>
    <xf numFmtId="165" fontId="5" fillId="7" borderId="13" xfId="0" applyNumberFormat="1" applyFont="1" applyFill="1" applyBorder="1"/>
    <xf numFmtId="169" fontId="5" fillId="7" borderId="13" xfId="0" applyNumberFormat="1" applyFont="1" applyFill="1" applyBorder="1"/>
    <xf numFmtId="0" fontId="0" fillId="7" borderId="13" xfId="0" applyFont="1" applyFill="1" applyBorder="1" applyAlignment="1">
      <alignment vertical="center"/>
    </xf>
    <xf numFmtId="169" fontId="0" fillId="7" borderId="13" xfId="0" applyNumberFormat="1" applyFont="1" applyFill="1" applyBorder="1" applyAlignment="1">
      <alignment vertical="center"/>
    </xf>
    <xf numFmtId="0" fontId="11" fillId="7" borderId="0" xfId="0" applyFont="1" applyFill="1" applyBorder="1" applyAlignment="1">
      <alignment horizontal="left"/>
    </xf>
    <xf numFmtId="165" fontId="0" fillId="7" borderId="13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165" fontId="0" fillId="7" borderId="0" xfId="0" applyNumberFormat="1" applyFont="1" applyFill="1" applyBorder="1" applyAlignment="1">
      <alignment vertic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 wrapText="1"/>
    </xf>
    <xf numFmtId="166" fontId="5" fillId="7" borderId="13" xfId="0" applyNumberFormat="1" applyFont="1" applyFill="1" applyBorder="1" applyAlignment="1"/>
    <xf numFmtId="0" fontId="10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left"/>
    </xf>
    <xf numFmtId="0" fontId="7" fillId="7" borderId="0" xfId="0" applyFont="1" applyFill="1" applyBorder="1" applyAlignment="1">
      <alignment horizontal="center" vertical="center"/>
    </xf>
    <xf numFmtId="0" fontId="0" fillId="7" borderId="0" xfId="0" applyFill="1"/>
    <xf numFmtId="166" fontId="0" fillId="7" borderId="0" xfId="0" applyNumberFormat="1" applyFill="1"/>
    <xf numFmtId="2" fontId="0" fillId="7" borderId="0" xfId="0" applyNumberFormat="1" applyFill="1"/>
    <xf numFmtId="1" fontId="0" fillId="7" borderId="0" xfId="0" applyNumberFormat="1" applyFill="1"/>
    <xf numFmtId="0" fontId="13" fillId="3" borderId="19" xfId="0" applyFont="1" applyFill="1" applyBorder="1" applyAlignment="1">
      <alignment horizontal="right" vertical="center" wrapText="1"/>
    </xf>
    <xf numFmtId="0" fontId="5" fillId="8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top" wrapText="1"/>
    </xf>
    <xf numFmtId="0" fontId="36" fillId="8" borderId="0" xfId="0" applyFont="1" applyFill="1" applyBorder="1" applyAlignment="1"/>
    <xf numFmtId="0" fontId="6" fillId="7" borderId="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11" fillId="7" borderId="13" xfId="0" applyFont="1" applyFill="1" applyBorder="1" applyAlignment="1">
      <alignment vertical="top"/>
    </xf>
    <xf numFmtId="0" fontId="0" fillId="7" borderId="0" xfId="0" applyFont="1" applyFill="1" applyAlignment="1">
      <alignment horizontal="left"/>
    </xf>
    <xf numFmtId="1" fontId="11" fillId="9" borderId="20" xfId="0" applyNumberFormat="1" applyFont="1" applyFill="1" applyBorder="1" applyAlignment="1">
      <alignment horizontal="left" vertical="center" wrapText="1"/>
    </xf>
    <xf numFmtId="166" fontId="5" fillId="12" borderId="13" xfId="0" applyNumberFormat="1" applyFont="1" applyFill="1" applyBorder="1"/>
    <xf numFmtId="166" fontId="0" fillId="12" borderId="13" xfId="0" applyNumberFormat="1" applyFont="1" applyFill="1" applyBorder="1"/>
    <xf numFmtId="0" fontId="33" fillId="9" borderId="17" xfId="0" applyFont="1" applyFill="1" applyBorder="1" applyAlignment="1">
      <alignment vertical="top" wrapText="1"/>
    </xf>
    <xf numFmtId="0" fontId="12" fillId="2" borderId="27" xfId="0" applyFont="1" applyFill="1" applyBorder="1" applyAlignment="1">
      <alignment vertical="top"/>
    </xf>
    <xf numFmtId="166" fontId="5" fillId="7" borderId="29" xfId="0" applyNumberFormat="1" applyFont="1" applyFill="1" applyBorder="1"/>
    <xf numFmtId="0" fontId="0" fillId="7" borderId="0" xfId="0" applyFont="1" applyFill="1" applyAlignment="1">
      <alignment horizontal="right"/>
    </xf>
    <xf numFmtId="0" fontId="5" fillId="7" borderId="13" xfId="0" applyFont="1" applyFill="1" applyBorder="1"/>
    <xf numFmtId="166" fontId="5" fillId="7" borderId="0" xfId="0" applyNumberFormat="1" applyFont="1" applyFill="1" applyBorder="1"/>
    <xf numFmtId="0" fontId="5" fillId="7" borderId="0" xfId="0" applyFont="1" applyFill="1" applyAlignment="1">
      <alignment horizontal="right"/>
    </xf>
    <xf numFmtId="166" fontId="5" fillId="7" borderId="13" xfId="0" applyNumberFormat="1" applyFont="1" applyFill="1" applyBorder="1" applyAlignment="1">
      <alignment horizontal="right"/>
    </xf>
    <xf numFmtId="0" fontId="13" fillId="8" borderId="0" xfId="0" applyFont="1" applyFill="1" applyBorder="1" applyAlignment="1">
      <alignment horizontal="left" vertical="top" wrapText="1"/>
    </xf>
    <xf numFmtId="166" fontId="13" fillId="8" borderId="0" xfId="0" applyNumberFormat="1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/>
    </xf>
    <xf numFmtId="0" fontId="5" fillId="8" borderId="0" xfId="0" applyFont="1" applyFill="1" applyBorder="1" applyAlignment="1">
      <alignment horizontal="left" vertical="top"/>
    </xf>
    <xf numFmtId="0" fontId="11" fillId="7" borderId="0" xfId="0" applyFont="1" applyFill="1" applyBorder="1" applyAlignment="1"/>
    <xf numFmtId="2" fontId="11" fillId="7" borderId="13" xfId="0" applyNumberFormat="1" applyFont="1" applyFill="1" applyBorder="1" applyAlignment="1"/>
    <xf numFmtId="0" fontId="5" fillId="7" borderId="0" xfId="0" applyNumberFormat="1" applyFont="1" applyFill="1" applyAlignment="1"/>
    <xf numFmtId="2" fontId="5" fillId="7" borderId="0" xfId="0" applyNumberFormat="1" applyFont="1" applyFill="1"/>
    <xf numFmtId="2" fontId="11" fillId="7" borderId="0" xfId="0" applyNumberFormat="1" applyFont="1" applyFill="1" applyBorder="1" applyAlignment="1"/>
    <xf numFmtId="2" fontId="5" fillId="7" borderId="0" xfId="0" applyNumberFormat="1" applyFont="1" applyFill="1" applyBorder="1" applyAlignment="1">
      <alignment horizontal="left"/>
    </xf>
    <xf numFmtId="0" fontId="13" fillId="3" borderId="13" xfId="0" applyFont="1" applyFill="1" applyBorder="1" applyAlignment="1">
      <alignment vertical="center"/>
    </xf>
    <xf numFmtId="0" fontId="11" fillId="7" borderId="0" xfId="0" applyFont="1" applyFill="1" applyBorder="1"/>
    <xf numFmtId="0" fontId="11" fillId="7" borderId="0" xfId="0" applyFont="1" applyFill="1"/>
    <xf numFmtId="0" fontId="11" fillId="7" borderId="0" xfId="0" applyNumberFormat="1" applyFont="1" applyFill="1" applyBorder="1"/>
    <xf numFmtId="0" fontId="11" fillId="7" borderId="0" xfId="0" applyNumberFormat="1" applyFont="1" applyFill="1"/>
    <xf numFmtId="166" fontId="11" fillId="7" borderId="0" xfId="0" applyNumberFormat="1" applyFont="1" applyFill="1" applyBorder="1"/>
    <xf numFmtId="0" fontId="12" fillId="7" borderId="0" xfId="0" applyFont="1" applyFill="1" applyBorder="1" applyAlignment="1">
      <alignment wrapText="1"/>
    </xf>
    <xf numFmtId="0" fontId="12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166" fontId="26" fillId="7" borderId="0" xfId="0" applyNumberFormat="1" applyFont="1" applyFill="1" applyBorder="1"/>
    <xf numFmtId="166" fontId="13" fillId="7" borderId="0" xfId="0" applyNumberFormat="1" applyFont="1" applyFill="1" applyBorder="1"/>
    <xf numFmtId="0" fontId="11" fillId="7" borderId="13" xfId="0" applyNumberFormat="1" applyFont="1" applyFill="1" applyBorder="1" applyAlignment="1">
      <alignment horizontal="right"/>
    </xf>
    <xf numFmtId="166" fontId="11" fillId="7" borderId="13" xfId="0" applyNumberFormat="1" applyFont="1" applyFill="1" applyBorder="1"/>
    <xf numFmtId="1" fontId="12" fillId="2" borderId="15" xfId="0" applyNumberFormat="1" applyFont="1" applyFill="1" applyBorder="1" applyAlignment="1">
      <alignment vertical="top" wrapText="1"/>
    </xf>
    <xf numFmtId="1" fontId="13" fillId="9" borderId="16" xfId="0" applyNumberFormat="1" applyFont="1" applyFill="1" applyBorder="1" applyAlignment="1">
      <alignment vertical="top" wrapText="1"/>
    </xf>
    <xf numFmtId="166" fontId="11" fillId="7" borderId="0" xfId="0" applyNumberFormat="1" applyFont="1" applyFill="1" applyBorder="1" applyAlignment="1">
      <alignment horizontal="center"/>
    </xf>
    <xf numFmtId="0" fontId="11" fillId="7" borderId="13" xfId="0" applyFont="1" applyFill="1" applyBorder="1" applyAlignment="1">
      <alignment vertical="center" wrapText="1"/>
    </xf>
    <xf numFmtId="2" fontId="0" fillId="7" borderId="13" xfId="0" applyNumberFormat="1" applyFont="1" applyFill="1" applyBorder="1" applyAlignment="1"/>
    <xf numFmtId="0" fontId="32" fillId="8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vertical="center"/>
    </xf>
    <xf numFmtId="168" fontId="13" fillId="8" borderId="0" xfId="0" applyNumberFormat="1" applyFont="1" applyFill="1" applyBorder="1" applyAlignment="1">
      <alignment vertical="center"/>
    </xf>
    <xf numFmtId="0" fontId="12" fillId="8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top" wrapText="1"/>
    </xf>
    <xf numFmtId="0" fontId="0" fillId="9" borderId="17" xfId="0" applyFont="1" applyFill="1" applyBorder="1"/>
    <xf numFmtId="0" fontId="2" fillId="8" borderId="7" xfId="0" applyFont="1" applyFill="1" applyBorder="1" applyAlignment="1"/>
    <xf numFmtId="0" fontId="36" fillId="8" borderId="0" xfId="0" applyFont="1" applyFill="1" applyBorder="1" applyAlignment="1">
      <alignment vertical="center"/>
    </xf>
    <xf numFmtId="0" fontId="0" fillId="7" borderId="0" xfId="0" applyFont="1" applyFill="1" applyBorder="1"/>
    <xf numFmtId="0" fontId="5" fillId="8" borderId="8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2" fillId="9" borderId="12" xfId="0" applyFont="1" applyFill="1" applyBorder="1" applyAlignment="1">
      <alignment vertical="center"/>
    </xf>
    <xf numFmtId="1" fontId="10" fillId="9" borderId="16" xfId="0" applyNumberFormat="1" applyFont="1" applyFill="1" applyBorder="1"/>
    <xf numFmtId="0" fontId="5" fillId="9" borderId="17" xfId="0" applyFont="1" applyFill="1" applyBorder="1"/>
    <xf numFmtId="0" fontId="5" fillId="8" borderId="1" xfId="0" applyFont="1" applyFill="1" applyBorder="1"/>
    <xf numFmtId="0" fontId="5" fillId="8" borderId="2" xfId="0" applyFont="1" applyFill="1" applyBorder="1"/>
    <xf numFmtId="0" fontId="5" fillId="8" borderId="3" xfId="0" applyFont="1" applyFill="1" applyBorder="1"/>
    <xf numFmtId="0" fontId="7" fillId="8" borderId="0" xfId="0" applyFont="1" applyFill="1" applyBorder="1"/>
    <xf numFmtId="0" fontId="35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top" wrapText="1"/>
    </xf>
    <xf numFmtId="0" fontId="15" fillId="8" borderId="7" xfId="0" applyFont="1" applyFill="1" applyBorder="1"/>
    <xf numFmtId="0" fontId="5" fillId="8" borderId="6" xfId="0" applyFont="1" applyFill="1" applyBorder="1" applyAlignment="1"/>
    <xf numFmtId="0" fontId="6" fillId="8" borderId="1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167" fontId="10" fillId="8" borderId="0" xfId="1" applyNumberFormat="1" applyFont="1" applyFill="1" applyBorder="1" applyProtection="1">
      <protection locked="0"/>
    </xf>
    <xf numFmtId="0" fontId="26" fillId="8" borderId="0" xfId="0" applyFont="1" applyFill="1" applyBorder="1"/>
    <xf numFmtId="0" fontId="12" fillId="2" borderId="14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vertical="top" wrapText="1"/>
    </xf>
    <xf numFmtId="0" fontId="0" fillId="8" borderId="0" xfId="0" applyFont="1" applyFill="1" applyAlignment="1"/>
    <xf numFmtId="166" fontId="11" fillId="7" borderId="13" xfId="0" applyNumberFormat="1" applyFont="1" applyFill="1" applyBorder="1" applyAlignment="1">
      <alignment horizontal="left"/>
    </xf>
    <xf numFmtId="0" fontId="2" fillId="8" borderId="0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0" fillId="9" borderId="12" xfId="0" applyFont="1" applyFill="1" applyBorder="1"/>
    <xf numFmtId="0" fontId="5" fillId="7" borderId="13" xfId="0" applyFont="1" applyFill="1" applyBorder="1" applyAlignment="1">
      <alignment vertical="center" wrapText="1"/>
    </xf>
    <xf numFmtId="1" fontId="13" fillId="9" borderId="19" xfId="0" applyNumberFormat="1" applyFont="1" applyFill="1" applyBorder="1" applyAlignment="1">
      <alignment vertical="center"/>
    </xf>
    <xf numFmtId="0" fontId="12" fillId="9" borderId="13" xfId="0" applyFont="1" applyFill="1" applyBorder="1" applyAlignment="1">
      <alignment vertical="center"/>
    </xf>
    <xf numFmtId="1" fontId="13" fillId="9" borderId="13" xfId="0" applyNumberFormat="1" applyFont="1" applyFill="1" applyBorder="1" applyAlignment="1">
      <alignment horizontal="right" vertical="center"/>
    </xf>
    <xf numFmtId="0" fontId="10" fillId="15" borderId="13" xfId="0" applyNumberFormat="1" applyFont="1" applyFill="1" applyBorder="1" applyAlignment="1" applyProtection="1">
      <alignment horizontal="right" vertical="center"/>
    </xf>
    <xf numFmtId="0" fontId="6" fillId="15" borderId="0" xfId="0" applyFont="1" applyFill="1" applyBorder="1" applyAlignment="1">
      <alignment horizontal="center" vertical="center"/>
    </xf>
    <xf numFmtId="0" fontId="10" fillId="15" borderId="19" xfId="0" applyFont="1" applyFill="1" applyBorder="1" applyAlignment="1" applyProtection="1">
      <alignment horizontal="right" vertical="center"/>
    </xf>
    <xf numFmtId="0" fontId="13" fillId="3" borderId="12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center"/>
    </xf>
    <xf numFmtId="0" fontId="12" fillId="2" borderId="33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vertical="center" wrapText="1"/>
    </xf>
    <xf numFmtId="0" fontId="10" fillId="3" borderId="19" xfId="0" applyFont="1" applyFill="1" applyBorder="1" applyAlignment="1"/>
    <xf numFmtId="0" fontId="0" fillId="9" borderId="20" xfId="0" applyFont="1" applyFill="1" applyBorder="1" applyAlignment="1"/>
    <xf numFmtId="2" fontId="13" fillId="9" borderId="17" xfId="0" applyNumberFormat="1" applyFont="1" applyFill="1" applyBorder="1" applyAlignment="1">
      <alignment vertical="center" wrapText="1"/>
    </xf>
    <xf numFmtId="2" fontId="5" fillId="8" borderId="5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left" vertical="top"/>
    </xf>
    <xf numFmtId="0" fontId="12" fillId="9" borderId="12" xfId="0" applyFont="1" applyFill="1" applyBorder="1" applyAlignment="1"/>
    <xf numFmtId="0" fontId="38" fillId="8" borderId="5" xfId="0" applyFont="1" applyFill="1" applyBorder="1" applyAlignment="1">
      <alignment horizontal="left"/>
    </xf>
    <xf numFmtId="0" fontId="13" fillId="15" borderId="13" xfId="0" applyFont="1" applyFill="1" applyBorder="1" applyAlignment="1">
      <alignment vertical="center" wrapText="1"/>
    </xf>
    <xf numFmtId="166" fontId="13" fillId="9" borderId="13" xfId="0" applyNumberFormat="1" applyFont="1" applyFill="1" applyBorder="1" applyAlignment="1">
      <alignment vertical="center" wrapText="1"/>
    </xf>
    <xf numFmtId="0" fontId="39" fillId="8" borderId="0" xfId="0" applyFont="1" applyFill="1" applyBorder="1"/>
    <xf numFmtId="0" fontId="38" fillId="8" borderId="0" xfId="0" applyFont="1" applyFill="1" applyBorder="1"/>
    <xf numFmtId="0" fontId="18" fillId="8" borderId="5" xfId="0" applyFont="1" applyFill="1" applyBorder="1" applyAlignment="1">
      <alignment horizontal="left" vertical="top"/>
    </xf>
    <xf numFmtId="0" fontId="18" fillId="4" borderId="6" xfId="0" applyFont="1" applyFill="1" applyBorder="1" applyAlignment="1">
      <alignment horizontal="left" vertical="top"/>
    </xf>
    <xf numFmtId="0" fontId="38" fillId="4" borderId="0" xfId="0" applyFont="1" applyFill="1" applyBorder="1" applyAlignment="1">
      <alignment vertical="center" wrapText="1"/>
    </xf>
    <xf numFmtId="0" fontId="32" fillId="4" borderId="0" xfId="0" applyFont="1" applyFill="1" applyBorder="1" applyAlignment="1">
      <alignment vertical="top"/>
    </xf>
    <xf numFmtId="0" fontId="11" fillId="7" borderId="0" xfId="0" applyFont="1" applyFill="1" applyBorder="1" applyAlignment="1">
      <alignment horizontal="right"/>
    </xf>
    <xf numFmtId="0" fontId="12" fillId="2" borderId="15" xfId="0" applyFont="1" applyFill="1" applyBorder="1" applyAlignment="1">
      <alignment wrapText="1"/>
    </xf>
    <xf numFmtId="0" fontId="11" fillId="7" borderId="0" xfId="0" applyFont="1" applyFill="1" applyBorder="1" applyAlignment="1">
      <alignment vertical="top"/>
    </xf>
    <xf numFmtId="166" fontId="11" fillId="7" borderId="0" xfId="0" applyNumberFormat="1" applyFont="1" applyFill="1" applyBorder="1" applyAlignment="1">
      <alignment vertical="top" wrapText="1"/>
    </xf>
    <xf numFmtId="2" fontId="5" fillId="7" borderId="0" xfId="0" applyNumberFormat="1" applyFont="1" applyFill="1" applyBorder="1" applyAlignment="1">
      <alignment horizontal="right"/>
    </xf>
    <xf numFmtId="2" fontId="5" fillId="7" borderId="13" xfId="0" applyNumberFormat="1" applyFont="1" applyFill="1" applyBorder="1"/>
    <xf numFmtId="2" fontId="5" fillId="7" borderId="13" xfId="0" applyNumberFormat="1" applyFont="1" applyFill="1" applyBorder="1" applyAlignment="1">
      <alignment vertical="center"/>
    </xf>
    <xf numFmtId="0" fontId="12" fillId="8" borderId="0" xfId="0" applyFont="1" applyFill="1" applyBorder="1" applyAlignment="1"/>
    <xf numFmtId="0" fontId="0" fillId="9" borderId="36" xfId="0" applyFont="1" applyFill="1" applyBorder="1"/>
    <xf numFmtId="0" fontId="32" fillId="8" borderId="0" xfId="0" applyFont="1" applyFill="1" applyBorder="1" applyAlignment="1">
      <alignment wrapText="1"/>
    </xf>
    <xf numFmtId="0" fontId="5" fillId="3" borderId="41" xfId="0" applyFont="1" applyFill="1" applyBorder="1" applyAlignment="1"/>
    <xf numFmtId="0" fontId="5" fillId="3" borderId="43" xfId="0" applyFont="1" applyFill="1" applyBorder="1" applyAlignment="1"/>
    <xf numFmtId="168" fontId="13" fillId="9" borderId="13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vertical="center" wrapText="1"/>
    </xf>
    <xf numFmtId="168" fontId="13" fillId="9" borderId="19" xfId="0" applyNumberFormat="1" applyFont="1" applyFill="1" applyBorder="1" applyAlignment="1"/>
    <xf numFmtId="0" fontId="8" fillId="8" borderId="0" xfId="0" applyFont="1" applyFill="1" applyBorder="1" applyAlignment="1">
      <alignment horizontal="center" vertical="center"/>
    </xf>
    <xf numFmtId="168" fontId="13" fillId="9" borderId="19" xfId="0" applyNumberFormat="1" applyFont="1" applyFill="1" applyBorder="1" applyAlignment="1">
      <alignment vertical="center" wrapText="1"/>
    </xf>
    <xf numFmtId="1" fontId="38" fillId="8" borderId="0" xfId="0" applyNumberFormat="1" applyFont="1" applyFill="1" applyBorder="1" applyAlignment="1"/>
    <xf numFmtId="1" fontId="38" fillId="10" borderId="40" xfId="0" applyNumberFormat="1" applyFont="1" applyFill="1" applyBorder="1" applyAlignment="1"/>
    <xf numFmtId="0" fontId="40" fillId="8" borderId="0" xfId="0" applyFont="1" applyFill="1" applyBorder="1" applyAlignment="1">
      <alignment horizontal="left"/>
    </xf>
    <xf numFmtId="2" fontId="0" fillId="7" borderId="13" xfId="0" applyNumberFormat="1" applyFont="1" applyFill="1" applyBorder="1" applyAlignment="1">
      <alignment vertical="center"/>
    </xf>
    <xf numFmtId="166" fontId="11" fillId="7" borderId="13" xfId="0" applyNumberFormat="1" applyFont="1" applyFill="1" applyBorder="1" applyAlignment="1">
      <alignment horizontal="right" vertical="center"/>
    </xf>
    <xf numFmtId="166" fontId="0" fillId="7" borderId="13" xfId="0" applyNumberFormat="1" applyFont="1" applyFill="1" applyBorder="1" applyAlignment="1">
      <alignment vertical="center"/>
    </xf>
    <xf numFmtId="0" fontId="10" fillId="3" borderId="34" xfId="0" applyFont="1" applyFill="1" applyBorder="1" applyAlignment="1">
      <alignment horizontal="left"/>
    </xf>
    <xf numFmtId="0" fontId="12" fillId="2" borderId="8" xfId="0" applyFont="1" applyFill="1" applyBorder="1" applyAlignment="1">
      <alignment vertical="center"/>
    </xf>
    <xf numFmtId="0" fontId="12" fillId="2" borderId="47" xfId="0" applyFont="1" applyFill="1" applyBorder="1"/>
    <xf numFmtId="0" fontId="36" fillId="8" borderId="2" xfId="0" applyFont="1" applyFill="1" applyBorder="1" applyAlignment="1">
      <alignment wrapText="1"/>
    </xf>
    <xf numFmtId="0" fontId="13" fillId="3" borderId="27" xfId="0" applyFont="1" applyFill="1" applyBorder="1" applyAlignment="1">
      <alignment wrapText="1"/>
    </xf>
    <xf numFmtId="0" fontId="13" fillId="3" borderId="28" xfId="0" applyFont="1" applyFill="1" applyBorder="1"/>
    <xf numFmtId="0" fontId="13" fillId="3" borderId="36" xfId="0" applyFont="1" applyFill="1" applyBorder="1" applyAlignment="1">
      <alignment horizontal="left"/>
    </xf>
    <xf numFmtId="0" fontId="5" fillId="7" borderId="0" xfId="0" applyFont="1" applyFill="1" applyAlignment="1">
      <alignment vertical="top"/>
    </xf>
    <xf numFmtId="0" fontId="5" fillId="8" borderId="8" xfId="0" applyFont="1" applyFill="1" applyBorder="1" applyAlignment="1">
      <alignment vertical="top"/>
    </xf>
    <xf numFmtId="0" fontId="5" fillId="8" borderId="0" xfId="0" applyFont="1" applyFill="1" applyBorder="1" applyAlignment="1">
      <alignment vertical="top"/>
    </xf>
    <xf numFmtId="0" fontId="12" fillId="2" borderId="14" xfId="0" applyFont="1" applyFill="1" applyBorder="1" applyAlignment="1">
      <alignment vertical="top"/>
    </xf>
    <xf numFmtId="168" fontId="13" fillId="9" borderId="13" xfId="0" applyNumberFormat="1" applyFont="1" applyFill="1" applyBorder="1" applyAlignment="1">
      <alignment horizontal="right" vertical="top"/>
    </xf>
    <xf numFmtId="0" fontId="11" fillId="9" borderId="12" xfId="0" applyFont="1" applyFill="1" applyBorder="1" applyAlignment="1">
      <alignment vertical="top"/>
    </xf>
    <xf numFmtId="0" fontId="15" fillId="8" borderId="0" xfId="0" applyFont="1" applyFill="1" applyBorder="1" applyAlignment="1">
      <alignment vertical="top"/>
    </xf>
    <xf numFmtId="1" fontId="13" fillId="9" borderId="13" xfId="0" applyNumberFormat="1" applyFont="1" applyFill="1" applyBorder="1" applyAlignment="1">
      <alignment vertical="top"/>
    </xf>
    <xf numFmtId="2" fontId="5" fillId="8" borderId="0" xfId="0" applyNumberFormat="1" applyFont="1" applyFill="1" applyBorder="1" applyAlignment="1">
      <alignment vertical="top"/>
    </xf>
    <xf numFmtId="1" fontId="13" fillId="9" borderId="28" xfId="0" applyNumberFormat="1" applyFont="1" applyFill="1" applyBorder="1" applyAlignment="1">
      <alignment vertical="top"/>
    </xf>
    <xf numFmtId="0" fontId="12" fillId="9" borderId="36" xfId="0" applyFont="1" applyFill="1" applyBorder="1" applyAlignment="1">
      <alignment vertical="top"/>
    </xf>
    <xf numFmtId="0" fontId="5" fillId="8" borderId="7" xfId="0" applyFont="1" applyFill="1" applyBorder="1" applyAlignment="1">
      <alignment vertical="top"/>
    </xf>
    <xf numFmtId="0" fontId="6" fillId="7" borderId="0" xfId="0" applyFont="1" applyFill="1" applyBorder="1" applyAlignment="1">
      <alignment horizontal="center" vertical="top"/>
    </xf>
    <xf numFmtId="0" fontId="0" fillId="7" borderId="13" xfId="0" applyFont="1" applyFill="1" applyBorder="1" applyAlignment="1">
      <alignment vertical="top"/>
    </xf>
    <xf numFmtId="166" fontId="5" fillId="7" borderId="13" xfId="0" applyNumberFormat="1" applyFont="1" applyFill="1" applyBorder="1" applyAlignment="1">
      <alignment vertical="top"/>
    </xf>
    <xf numFmtId="166" fontId="5" fillId="7" borderId="29" xfId="0" applyNumberFormat="1" applyFont="1" applyFill="1" applyBorder="1" applyAlignment="1">
      <alignment vertical="top"/>
    </xf>
    <xf numFmtId="166" fontId="5" fillId="11" borderId="13" xfId="0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1" fontId="10" fillId="9" borderId="16" xfId="0" applyNumberFormat="1" applyFont="1" applyFill="1" applyBorder="1" applyAlignment="1">
      <alignment vertical="top"/>
    </xf>
    <xf numFmtId="1" fontId="10" fillId="9" borderId="13" xfId="0" applyNumberFormat="1" applyFont="1" applyFill="1" applyBorder="1" applyAlignment="1">
      <alignment vertical="top"/>
    </xf>
    <xf numFmtId="0" fontId="2" fillId="9" borderId="13" xfId="0" applyFont="1" applyFill="1" applyBorder="1" applyAlignment="1">
      <alignment vertical="top"/>
    </xf>
    <xf numFmtId="166" fontId="5" fillId="7" borderId="0" xfId="0" applyNumberFormat="1" applyFont="1" applyFill="1" applyBorder="1" applyAlignment="1">
      <alignment vertical="top"/>
    </xf>
    <xf numFmtId="1" fontId="13" fillId="9" borderId="13" xfId="0" applyNumberFormat="1" applyFont="1" applyFill="1" applyBorder="1" applyAlignment="1">
      <alignment horizontal="right"/>
    </xf>
    <xf numFmtId="0" fontId="0" fillId="8" borderId="8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12" fillId="2" borderId="14" xfId="0" applyFont="1" applyFill="1" applyBorder="1" applyAlignment="1">
      <alignment vertical="top" wrapText="1"/>
    </xf>
    <xf numFmtId="166" fontId="10" fillId="3" borderId="13" xfId="0" applyNumberFormat="1" applyFont="1" applyFill="1" applyBorder="1" applyAlignment="1">
      <alignment vertical="top"/>
    </xf>
    <xf numFmtId="166" fontId="10" fillId="9" borderId="13" xfId="0" applyNumberFormat="1" applyFont="1" applyFill="1" applyBorder="1" applyAlignment="1">
      <alignment vertical="top"/>
    </xf>
    <xf numFmtId="0" fontId="0" fillId="9" borderId="12" xfId="0" applyFont="1" applyFill="1" applyBorder="1" applyAlignment="1">
      <alignment vertical="top"/>
    </xf>
    <xf numFmtId="0" fontId="15" fillId="8" borderId="0" xfId="0" applyFont="1" applyFill="1" applyBorder="1" applyAlignment="1">
      <alignment horizontal="right" vertical="top"/>
    </xf>
    <xf numFmtId="2" fontId="13" fillId="9" borderId="13" xfId="0" applyNumberFormat="1" applyFont="1" applyFill="1" applyBorder="1" applyAlignment="1">
      <alignment vertical="top"/>
    </xf>
    <xf numFmtId="166" fontId="13" fillId="9" borderId="13" xfId="0" applyNumberFormat="1" applyFont="1" applyFill="1" applyBorder="1" applyAlignment="1">
      <alignment vertical="top"/>
    </xf>
    <xf numFmtId="0" fontId="0" fillId="8" borderId="7" xfId="0" applyFill="1" applyBorder="1" applyAlignment="1">
      <alignment vertical="top" wrapText="1"/>
    </xf>
    <xf numFmtId="0" fontId="0" fillId="7" borderId="0" xfId="0" applyFill="1" applyBorder="1" applyAlignment="1">
      <alignment horizontal="center" vertical="top" wrapText="1"/>
    </xf>
    <xf numFmtId="0" fontId="0" fillId="7" borderId="28" xfId="0" applyFont="1" applyFill="1" applyBorder="1" applyAlignment="1">
      <alignment vertical="top"/>
    </xf>
    <xf numFmtId="166" fontId="5" fillId="7" borderId="28" xfId="0" applyNumberFormat="1" applyFont="1" applyFill="1" applyBorder="1" applyAlignment="1">
      <alignment vertical="top"/>
    </xf>
    <xf numFmtId="0" fontId="5" fillId="7" borderId="0" xfId="0" applyFont="1" applyFill="1" applyBorder="1" applyAlignment="1">
      <alignment vertical="top"/>
    </xf>
    <xf numFmtId="0" fontId="13" fillId="3" borderId="13" xfId="0" applyFont="1" applyFill="1" applyBorder="1" applyAlignment="1">
      <alignment vertical="top"/>
    </xf>
    <xf numFmtId="0" fontId="11" fillId="8" borderId="0" xfId="0" applyFont="1" applyFill="1" applyBorder="1" applyAlignment="1">
      <alignment vertical="top"/>
    </xf>
    <xf numFmtId="0" fontId="10" fillId="8" borderId="7" xfId="0" applyFont="1" applyFill="1" applyBorder="1" applyAlignment="1">
      <alignment horizontal="center" vertical="top" wrapText="1"/>
    </xf>
    <xf numFmtId="0" fontId="10" fillId="7" borderId="0" xfId="0" applyFont="1" applyFill="1" applyBorder="1" applyAlignment="1">
      <alignment horizontal="center" vertical="top" wrapText="1"/>
    </xf>
    <xf numFmtId="166" fontId="10" fillId="3" borderId="13" xfId="0" applyNumberFormat="1" applyFont="1" applyFill="1" applyBorder="1" applyAlignment="1" applyProtection="1">
      <alignment vertical="top"/>
      <protection locked="0"/>
    </xf>
    <xf numFmtId="0" fontId="0" fillId="8" borderId="7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19" fillId="8" borderId="0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2" fontId="0" fillId="7" borderId="0" xfId="0" applyNumberFormat="1" applyFill="1" applyAlignment="1">
      <alignment vertical="center"/>
    </xf>
    <xf numFmtId="0" fontId="42" fillId="8" borderId="0" xfId="0" applyFont="1" applyFill="1" applyAlignment="1">
      <alignment vertical="top" wrapText="1"/>
    </xf>
    <xf numFmtId="0" fontId="13" fillId="3" borderId="27" xfId="0" applyFont="1" applyFill="1" applyBorder="1" applyAlignment="1">
      <alignment vertical="center" wrapText="1"/>
    </xf>
    <xf numFmtId="0" fontId="13" fillId="3" borderId="28" xfId="0" applyFont="1" applyFill="1" applyBorder="1" applyAlignment="1">
      <alignment vertical="center"/>
    </xf>
    <xf numFmtId="0" fontId="10" fillId="3" borderId="36" xfId="0" applyFont="1" applyFill="1" applyBorder="1" applyAlignment="1">
      <alignment vertical="center"/>
    </xf>
    <xf numFmtId="0" fontId="42" fillId="8" borderId="0" xfId="0" applyFont="1" applyFill="1"/>
    <xf numFmtId="0" fontId="40" fillId="8" borderId="0" xfId="0" applyFont="1" applyFill="1" applyBorder="1" applyAlignment="1">
      <alignment horizontal="left" vertical="top"/>
    </xf>
    <xf numFmtId="0" fontId="38" fillId="10" borderId="43" xfId="0" applyFont="1" applyFill="1" applyBorder="1" applyAlignment="1">
      <alignment horizontal="left"/>
    </xf>
    <xf numFmtId="0" fontId="38" fillId="8" borderId="7" xfId="0" applyFont="1" applyFill="1" applyBorder="1" applyAlignment="1"/>
    <xf numFmtId="0" fontId="32" fillId="8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vertical="center" wrapText="1"/>
    </xf>
    <xf numFmtId="2" fontId="0" fillId="7" borderId="0" xfId="0" applyNumberFormat="1" applyFont="1" applyFill="1" applyBorder="1" applyAlignment="1"/>
    <xf numFmtId="2" fontId="10" fillId="8" borderId="0" xfId="0" applyNumberFormat="1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1" fontId="12" fillId="8" borderId="0" xfId="0" applyNumberFormat="1" applyFont="1" applyFill="1" applyBorder="1" applyAlignment="1">
      <alignment vertical="top" wrapText="1"/>
    </xf>
    <xf numFmtId="2" fontId="11" fillId="7" borderId="13" xfId="0" applyNumberFormat="1" applyFont="1" applyFill="1" applyBorder="1" applyAlignment="1">
      <alignment vertical="top"/>
    </xf>
    <xf numFmtId="0" fontId="10" fillId="9" borderId="16" xfId="0" applyFont="1" applyFill="1" applyBorder="1"/>
    <xf numFmtId="1" fontId="13" fillId="9" borderId="16" xfId="0" applyNumberFormat="1" applyFont="1" applyFill="1" applyBorder="1" applyAlignment="1">
      <alignment vertical="center" wrapText="1"/>
    </xf>
    <xf numFmtId="0" fontId="12" fillId="8" borderId="0" xfId="0" applyFont="1" applyFill="1" applyBorder="1" applyAlignment="1">
      <alignment horizontal="right" vertical="top"/>
    </xf>
    <xf numFmtId="166" fontId="13" fillId="8" borderId="0" xfId="0" applyNumberFormat="1" applyFont="1" applyFill="1" applyBorder="1"/>
    <xf numFmtId="0" fontId="5" fillId="9" borderId="12" xfId="0" applyFont="1" applyFill="1" applyBorder="1"/>
    <xf numFmtId="166" fontId="11" fillId="7" borderId="13" xfId="0" applyNumberFormat="1" applyFont="1" applyFill="1" applyBorder="1" applyAlignment="1">
      <alignment vertical="center"/>
    </xf>
    <xf numFmtId="1" fontId="13" fillId="15" borderId="19" xfId="0" applyNumberFormat="1" applyFont="1" applyFill="1" applyBorder="1"/>
    <xf numFmtId="0" fontId="13" fillId="15" borderId="13" xfId="0" applyFont="1" applyFill="1" applyBorder="1"/>
    <xf numFmtId="166" fontId="13" fillId="9" borderId="16" xfId="0" applyNumberFormat="1" applyFont="1" applyFill="1" applyBorder="1" applyAlignment="1"/>
    <xf numFmtId="166" fontId="10" fillId="3" borderId="13" xfId="0" applyNumberFormat="1" applyFont="1" applyFill="1" applyBorder="1" applyProtection="1">
      <protection locked="0"/>
    </xf>
    <xf numFmtId="0" fontId="35" fillId="8" borderId="2" xfId="0" applyFont="1" applyFill="1" applyBorder="1" applyAlignment="1">
      <alignment vertical="center"/>
    </xf>
    <xf numFmtId="0" fontId="10" fillId="8" borderId="2" xfId="0" applyFont="1" applyFill="1" applyBorder="1" applyAlignment="1" applyProtection="1">
      <alignment horizontal="center"/>
      <protection locked="0"/>
    </xf>
    <xf numFmtId="0" fontId="15" fillId="8" borderId="2" xfId="0" applyFont="1" applyFill="1" applyBorder="1" applyAlignment="1"/>
    <xf numFmtId="0" fontId="34" fillId="8" borderId="2" xfId="0" applyFont="1" applyFill="1" applyBorder="1"/>
    <xf numFmtId="0" fontId="0" fillId="8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vertical="center"/>
    </xf>
    <xf numFmtId="0" fontId="38" fillId="8" borderId="0" xfId="0" applyFont="1" applyFill="1" applyBorder="1" applyAlignment="1">
      <alignment horizontal="left"/>
    </xf>
    <xf numFmtId="0" fontId="16" fillId="8" borderId="4" xfId="0" applyFont="1" applyFill="1" applyBorder="1" applyAlignment="1">
      <alignment vertical="center"/>
    </xf>
    <xf numFmtId="0" fontId="17" fillId="8" borderId="5" xfId="0" applyFont="1" applyFill="1" applyBorder="1" applyAlignment="1">
      <alignment vertical="center"/>
    </xf>
    <xf numFmtId="0" fontId="13" fillId="8" borderId="0" xfId="0" applyFont="1" applyFill="1" applyBorder="1"/>
    <xf numFmtId="0" fontId="12" fillId="2" borderId="15" xfId="0" applyFont="1" applyFill="1" applyBorder="1" applyAlignment="1">
      <alignment vertical="top" wrapText="1"/>
    </xf>
    <xf numFmtId="0" fontId="0" fillId="9" borderId="17" xfId="0" applyFont="1" applyFill="1" applyBorder="1" applyAlignment="1">
      <alignment vertical="top"/>
    </xf>
    <xf numFmtId="166" fontId="13" fillId="3" borderId="16" xfId="0" applyNumberFormat="1" applyFont="1" applyFill="1" applyBorder="1" applyAlignment="1">
      <alignment vertical="top"/>
    </xf>
    <xf numFmtId="0" fontId="0" fillId="7" borderId="0" xfId="0" applyFont="1" applyFill="1" applyBorder="1" applyAlignment="1"/>
    <xf numFmtId="2" fontId="10" fillId="3" borderId="16" xfId="0" applyNumberFormat="1" applyFont="1" applyFill="1" applyBorder="1" applyAlignment="1">
      <alignment vertical="center"/>
    </xf>
    <xf numFmtId="0" fontId="42" fillId="8" borderId="0" xfId="0" applyFont="1" applyFill="1" applyBorder="1"/>
    <xf numFmtId="0" fontId="21" fillId="8" borderId="6" xfId="0" applyFont="1" applyFill="1" applyBorder="1" applyAlignment="1">
      <alignment vertical="top"/>
    </xf>
    <xf numFmtId="0" fontId="0" fillId="7" borderId="19" xfId="0" applyFont="1" applyFill="1" applyBorder="1"/>
    <xf numFmtId="166" fontId="5" fillId="7" borderId="19" xfId="0" applyNumberFormat="1" applyFont="1" applyFill="1" applyBorder="1"/>
    <xf numFmtId="0" fontId="11" fillId="7" borderId="13" xfId="0" applyFont="1" applyFill="1" applyBorder="1" applyAlignment="1">
      <alignment horizontal="left" vertical="center" wrapText="1"/>
    </xf>
    <xf numFmtId="2" fontId="11" fillId="7" borderId="13" xfId="0" applyNumberFormat="1" applyFont="1" applyFill="1" applyBorder="1" applyAlignment="1">
      <alignment horizontal="left" vertical="center"/>
    </xf>
    <xf numFmtId="0" fontId="32" fillId="7" borderId="13" xfId="0" applyFont="1" applyFill="1" applyBorder="1" applyAlignment="1">
      <alignment horizontal="left" vertical="center" wrapText="1"/>
    </xf>
    <xf numFmtId="2" fontId="11" fillId="7" borderId="0" xfId="0" applyNumberFormat="1" applyFont="1" applyFill="1" applyBorder="1" applyAlignment="1">
      <alignment horizontal="right"/>
    </xf>
    <xf numFmtId="0" fontId="32" fillId="8" borderId="5" xfId="0" applyFont="1" applyFill="1" applyBorder="1" applyAlignment="1">
      <alignment horizontal="left" vertical="center"/>
    </xf>
    <xf numFmtId="165" fontId="0" fillId="8" borderId="5" xfId="0" applyNumberFormat="1" applyFill="1" applyBorder="1"/>
    <xf numFmtId="0" fontId="0" fillId="8" borderId="6" xfId="0" applyFill="1" applyBorder="1" applyAlignment="1">
      <alignment horizontal="left"/>
    </xf>
    <xf numFmtId="0" fontId="12" fillId="8" borderId="0" xfId="0" applyFont="1" applyFill="1" applyBorder="1" applyAlignment="1">
      <alignment horizontal="center"/>
    </xf>
    <xf numFmtId="0" fontId="7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0" fontId="32" fillId="8" borderId="5" xfId="0" applyFont="1" applyFill="1" applyBorder="1" applyAlignment="1">
      <alignment vertical="center" wrapText="1"/>
    </xf>
    <xf numFmtId="1" fontId="10" fillId="3" borderId="19" xfId="0" applyNumberFormat="1" applyFont="1" applyFill="1" applyBorder="1" applyProtection="1">
      <protection locked="0"/>
    </xf>
    <xf numFmtId="0" fontId="14" fillId="8" borderId="8" xfId="0" applyFont="1" applyFill="1" applyBorder="1" applyAlignment="1">
      <alignment horizontal="left" vertical="center"/>
    </xf>
    <xf numFmtId="166" fontId="5" fillId="7" borderId="0" xfId="0" applyNumberFormat="1" applyFont="1" applyFill="1"/>
    <xf numFmtId="0" fontId="5" fillId="11" borderId="13" xfId="0" applyFont="1" applyFill="1" applyBorder="1"/>
    <xf numFmtId="0" fontId="42" fillId="8" borderId="0" xfId="0" applyFont="1" applyFill="1" applyBorder="1" applyAlignment="1">
      <alignment vertical="center"/>
    </xf>
    <xf numFmtId="166" fontId="0" fillId="13" borderId="13" xfId="0" applyNumberFormat="1" applyFont="1" applyFill="1" applyBorder="1" applyProtection="1"/>
    <xf numFmtId="166" fontId="5" fillId="13" borderId="13" xfId="0" applyNumberFormat="1" applyFont="1" applyFill="1" applyBorder="1"/>
    <xf numFmtId="166" fontId="5" fillId="14" borderId="13" xfId="0" applyNumberFormat="1" applyFont="1" applyFill="1" applyBorder="1"/>
    <xf numFmtId="166" fontId="0" fillId="14" borderId="13" xfId="0" applyNumberFormat="1" applyFont="1" applyFill="1" applyBorder="1"/>
    <xf numFmtId="166" fontId="5" fillId="14" borderId="13" xfId="0" applyNumberFormat="1" applyFont="1" applyFill="1" applyBorder="1" applyAlignment="1">
      <alignment horizontal="right"/>
    </xf>
    <xf numFmtId="166" fontId="5" fillId="13" borderId="13" xfId="0" applyNumberFormat="1" applyFont="1" applyFill="1" applyBorder="1" applyAlignment="1">
      <alignment vertical="top"/>
    </xf>
    <xf numFmtId="0" fontId="12" fillId="2" borderId="18" xfId="0" applyFont="1" applyFill="1" applyBorder="1" applyAlignment="1">
      <alignment wrapText="1"/>
    </xf>
    <xf numFmtId="1" fontId="5" fillId="7" borderId="13" xfId="0" applyNumberFormat="1" applyFont="1" applyFill="1" applyBorder="1"/>
    <xf numFmtId="0" fontId="6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 wrapText="1"/>
    </xf>
    <xf numFmtId="0" fontId="36" fillId="8" borderId="5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left" vertical="top"/>
    </xf>
    <xf numFmtId="166" fontId="2" fillId="7" borderId="0" xfId="0" applyNumberFormat="1" applyFont="1" applyFill="1" applyBorder="1"/>
    <xf numFmtId="2" fontId="2" fillId="7" borderId="0" xfId="0" applyNumberFormat="1" applyFont="1" applyFill="1" applyBorder="1"/>
    <xf numFmtId="165" fontId="2" fillId="7" borderId="0" xfId="0" applyNumberFormat="1" applyFont="1" applyFill="1" applyBorder="1"/>
    <xf numFmtId="165" fontId="5" fillId="7" borderId="0" xfId="0" applyNumberFormat="1" applyFont="1" applyFill="1" applyBorder="1"/>
    <xf numFmtId="169" fontId="5" fillId="7" borderId="0" xfId="0" applyNumberFormat="1" applyFont="1" applyFill="1" applyBorder="1"/>
    <xf numFmtId="169" fontId="0" fillId="7" borderId="0" xfId="0" applyNumberFormat="1" applyFont="1" applyFill="1" applyBorder="1" applyAlignment="1">
      <alignment vertical="center"/>
    </xf>
    <xf numFmtId="1" fontId="13" fillId="9" borderId="13" xfId="0" applyNumberFormat="1" applyFont="1" applyFill="1" applyBorder="1"/>
    <xf numFmtId="0" fontId="40" fillId="8" borderId="0" xfId="0" applyFont="1" applyFill="1" applyBorder="1" applyAlignment="1">
      <alignment horizontal="left"/>
    </xf>
    <xf numFmtId="2" fontId="11" fillId="7" borderId="0" xfId="0" applyNumberFormat="1" applyFont="1" applyFill="1" applyBorder="1" applyAlignment="1">
      <alignment horizontal="center"/>
    </xf>
    <xf numFmtId="166" fontId="5" fillId="7" borderId="0" xfId="0" applyNumberFormat="1" applyFont="1" applyFill="1" applyBorder="1" applyAlignment="1">
      <alignment horizontal="right"/>
    </xf>
    <xf numFmtId="166" fontId="11" fillId="7" borderId="0" xfId="0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top" wrapText="1"/>
    </xf>
    <xf numFmtId="0" fontId="10" fillId="8" borderId="0" xfId="0" applyFont="1" applyFill="1" applyBorder="1" applyAlignment="1">
      <alignment vertical="top"/>
    </xf>
    <xf numFmtId="0" fontId="0" fillId="8" borderId="0" xfId="0" applyFont="1" applyFill="1" applyBorder="1" applyAlignment="1">
      <alignment vertical="top"/>
    </xf>
    <xf numFmtId="0" fontId="12" fillId="8" borderId="0" xfId="0" applyFont="1" applyFill="1" applyBorder="1" applyAlignment="1">
      <alignment wrapText="1"/>
    </xf>
    <xf numFmtId="166" fontId="10" fillId="8" borderId="0" xfId="0" applyNumberFormat="1" applyFont="1" applyFill="1" applyBorder="1" applyAlignment="1"/>
    <xf numFmtId="0" fontId="29" fillId="2" borderId="15" xfId="0" applyFont="1" applyFill="1" applyBorder="1" applyAlignment="1">
      <alignment vertical="top"/>
    </xf>
    <xf numFmtId="1" fontId="13" fillId="9" borderId="16" xfId="0" applyNumberFormat="1" applyFont="1" applyFill="1" applyBorder="1" applyAlignment="1">
      <alignment vertical="top"/>
    </xf>
    <xf numFmtId="0" fontId="11" fillId="9" borderId="17" xfId="0" applyFont="1" applyFill="1" applyBorder="1" applyAlignment="1">
      <alignment vertical="top" wrapText="1"/>
    </xf>
    <xf numFmtId="0" fontId="16" fillId="3" borderId="37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left" vertical="center"/>
    </xf>
    <xf numFmtId="0" fontId="34" fillId="8" borderId="0" xfId="0" applyFont="1" applyFill="1" applyBorder="1" applyAlignment="1">
      <alignment wrapText="1"/>
    </xf>
    <xf numFmtId="0" fontId="12" fillId="2" borderId="27" xfId="0" applyFont="1" applyFill="1" applyBorder="1" applyAlignment="1">
      <alignment wrapText="1"/>
    </xf>
    <xf numFmtId="0" fontId="10" fillId="8" borderId="0" xfId="0" applyFont="1" applyFill="1" applyBorder="1" applyAlignment="1"/>
    <xf numFmtId="0" fontId="15" fillId="8" borderId="0" xfId="0" applyFont="1" applyFill="1" applyBorder="1" applyAlignment="1">
      <alignment horizontal="right"/>
    </xf>
    <xf numFmtId="0" fontId="10" fillId="15" borderId="19" xfId="0" applyFont="1" applyFill="1" applyBorder="1"/>
    <xf numFmtId="0" fontId="12" fillId="2" borderId="27" xfId="0" applyFont="1" applyFill="1" applyBorder="1" applyAlignment="1">
      <alignment vertical="center"/>
    </xf>
    <xf numFmtId="1" fontId="13" fillId="9" borderId="19" xfId="0" applyNumberFormat="1" applyFont="1" applyFill="1" applyBorder="1" applyAlignment="1">
      <alignment horizontal="right" vertical="center"/>
    </xf>
    <xf numFmtId="0" fontId="18" fillId="8" borderId="0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wrapText="1"/>
    </xf>
    <xf numFmtId="0" fontId="10" fillId="8" borderId="0" xfId="0" applyFont="1" applyFill="1" applyBorder="1"/>
    <xf numFmtId="0" fontId="12" fillId="2" borderId="15" xfId="0" applyFont="1" applyFill="1" applyBorder="1" applyAlignment="1">
      <alignment horizontal="left" vertical="center"/>
    </xf>
    <xf numFmtId="1" fontId="13" fillId="9" borderId="16" xfId="0" applyNumberFormat="1" applyFont="1" applyFill="1" applyBorder="1" applyAlignment="1">
      <alignment horizontal="right" vertical="center"/>
    </xf>
    <xf numFmtId="2" fontId="11" fillId="9" borderId="17" xfId="0" applyNumberFormat="1" applyFont="1" applyFill="1" applyBorder="1" applyAlignment="1">
      <alignment vertical="center"/>
    </xf>
    <xf numFmtId="166" fontId="5" fillId="7" borderId="0" xfId="0" applyNumberFormat="1" applyFont="1" applyFill="1" applyBorder="1" applyAlignment="1">
      <alignment horizontal="right" vertical="center"/>
    </xf>
    <xf numFmtId="166" fontId="5" fillId="7" borderId="0" xfId="0" applyNumberFormat="1" applyFont="1" applyFill="1" applyBorder="1" applyAlignment="1">
      <alignment vertical="center"/>
    </xf>
    <xf numFmtId="0" fontId="12" fillId="2" borderId="13" xfId="0" applyFont="1" applyFill="1" applyBorder="1"/>
    <xf numFmtId="0" fontId="0" fillId="9" borderId="20" xfId="0" applyFont="1" applyFill="1" applyBorder="1"/>
    <xf numFmtId="1" fontId="10" fillId="8" borderId="0" xfId="0" applyNumberFormat="1" applyFont="1" applyFill="1" applyBorder="1"/>
    <xf numFmtId="166" fontId="12" fillId="2" borderId="14" xfId="0" applyNumberFormat="1" applyFont="1" applyFill="1" applyBorder="1" applyAlignment="1">
      <alignment horizontal="right" vertical="top" wrapText="1"/>
    </xf>
    <xf numFmtId="0" fontId="12" fillId="2" borderId="13" xfId="0" applyFont="1" applyFill="1" applyBorder="1" applyAlignment="1"/>
    <xf numFmtId="166" fontId="13" fillId="3" borderId="13" xfId="0" applyNumberFormat="1" applyFont="1" applyFill="1" applyBorder="1" applyAlignment="1"/>
    <xf numFmtId="166" fontId="12" fillId="2" borderId="14" xfId="0" applyNumberFormat="1" applyFont="1" applyFill="1" applyBorder="1" applyAlignment="1"/>
    <xf numFmtId="166" fontId="12" fillId="2" borderId="14" xfId="0" applyNumberFormat="1" applyFont="1" applyFill="1" applyBorder="1" applyAlignment="1">
      <alignment horizontal="right"/>
    </xf>
    <xf numFmtId="0" fontId="12" fillId="2" borderId="13" xfId="0" applyFont="1" applyFill="1" applyBorder="1" applyAlignment="1">
      <alignment vertical="top"/>
    </xf>
    <xf numFmtId="0" fontId="12" fillId="8" borderId="0" xfId="0" applyFont="1" applyFill="1" applyBorder="1" applyAlignment="1">
      <alignment horizontal="right" vertical="center" indent="1"/>
    </xf>
    <xf numFmtId="166" fontId="13" fillId="9" borderId="14" xfId="0" applyNumberFormat="1" applyFont="1" applyFill="1" applyBorder="1" applyAlignment="1">
      <alignment horizontal="right" vertical="center"/>
    </xf>
    <xf numFmtId="0" fontId="15" fillId="8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wrapText="1"/>
    </xf>
    <xf numFmtId="0" fontId="11" fillId="7" borderId="13" xfId="1" applyNumberFormat="1" applyFont="1" applyFill="1" applyBorder="1" applyAlignment="1" applyProtection="1">
      <alignment horizontal="center"/>
      <protection locked="0"/>
    </xf>
    <xf numFmtId="166" fontId="13" fillId="3" borderId="19" xfId="0" applyNumberFormat="1" applyFont="1" applyFill="1" applyBorder="1"/>
    <xf numFmtId="0" fontId="44" fillId="2" borderId="14" xfId="0" applyFont="1" applyFill="1" applyBorder="1" applyAlignment="1">
      <alignment horizontal="center"/>
    </xf>
    <xf numFmtId="0" fontId="10" fillId="15" borderId="19" xfId="0" applyFont="1" applyFill="1" applyBorder="1" applyAlignment="1" applyProtection="1">
      <alignment horizontal="right"/>
      <protection locked="0"/>
    </xf>
    <xf numFmtId="0" fontId="10" fillId="15" borderId="13" xfId="0" applyFont="1" applyFill="1" applyBorder="1" applyAlignment="1" applyProtection="1">
      <alignment horizontal="right" vertical="center"/>
      <protection locked="0"/>
    </xf>
    <xf numFmtId="0" fontId="10" fillId="15" borderId="13" xfId="0" applyFont="1" applyFill="1" applyBorder="1" applyAlignment="1" applyProtection="1">
      <alignment horizontal="right"/>
      <protection locked="0"/>
    </xf>
    <xf numFmtId="0" fontId="38" fillId="10" borderId="29" xfId="0" applyFont="1" applyFill="1" applyBorder="1" applyAlignment="1">
      <alignment horizontal="left" vertical="center" wrapText="1"/>
    </xf>
    <xf numFmtId="0" fontId="38" fillId="10" borderId="34" xfId="0" applyFont="1" applyFill="1" applyBorder="1" applyAlignment="1">
      <alignment horizontal="left" vertical="center" wrapText="1"/>
    </xf>
    <xf numFmtId="0" fontId="38" fillId="10" borderId="35" xfId="0" applyFont="1" applyFill="1" applyBorder="1" applyAlignment="1">
      <alignment horizontal="left" vertical="center" wrapText="1"/>
    </xf>
    <xf numFmtId="0" fontId="38" fillId="10" borderId="13" xfId="0" applyFont="1" applyFill="1" applyBorder="1" applyAlignment="1">
      <alignment horizontal="left" vertical="center" wrapText="1"/>
    </xf>
    <xf numFmtId="0" fontId="32" fillId="10" borderId="13" xfId="0" applyFont="1" applyFill="1" applyBorder="1" applyAlignment="1">
      <alignment horizontal="left" vertical="top"/>
    </xf>
    <xf numFmtId="0" fontId="38" fillId="10" borderId="13" xfId="0" applyFont="1" applyFill="1" applyBorder="1" applyAlignment="1">
      <alignment horizontal="left" vertical="center"/>
    </xf>
    <xf numFmtId="0" fontId="13" fillId="3" borderId="18" xfId="0" applyFont="1" applyFill="1" applyBorder="1" applyAlignment="1">
      <alignment horizontal="left"/>
    </xf>
    <xf numFmtId="0" fontId="13" fillId="3" borderId="19" xfId="0" applyFont="1" applyFill="1" applyBorder="1" applyAlignment="1">
      <alignment horizontal="left"/>
    </xf>
    <xf numFmtId="0" fontId="13" fillId="3" borderId="2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38" fillId="10" borderId="29" xfId="0" applyFont="1" applyFill="1" applyBorder="1" applyAlignment="1">
      <alignment horizontal="left"/>
    </xf>
    <xf numFmtId="0" fontId="38" fillId="10" borderId="34" xfId="0" applyFont="1" applyFill="1" applyBorder="1" applyAlignment="1">
      <alignment horizontal="left"/>
    </xf>
    <xf numFmtId="0" fontId="38" fillId="10" borderId="35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0" fillId="9" borderId="34" xfId="0" applyFont="1" applyFill="1" applyBorder="1" applyAlignment="1">
      <alignment horizontal="left" vertical="center"/>
    </xf>
    <xf numFmtId="0" fontId="0" fillId="9" borderId="45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right" vertical="center" wrapText="1"/>
    </xf>
    <xf numFmtId="0" fontId="12" fillId="2" borderId="16" xfId="0" applyFont="1" applyFill="1" applyBorder="1" applyAlignment="1">
      <alignment horizontal="right" vertical="center" wrapText="1"/>
    </xf>
    <xf numFmtId="0" fontId="32" fillId="10" borderId="29" xfId="0" applyFont="1" applyFill="1" applyBorder="1" applyAlignment="1">
      <alignment horizontal="left" vertical="top"/>
    </xf>
    <xf numFmtId="0" fontId="32" fillId="10" borderId="34" xfId="0" applyFont="1" applyFill="1" applyBorder="1" applyAlignment="1">
      <alignment horizontal="left" vertical="top"/>
    </xf>
    <xf numFmtId="0" fontId="32" fillId="10" borderId="35" xfId="0" applyFont="1" applyFill="1" applyBorder="1" applyAlignment="1">
      <alignment horizontal="left" vertical="top"/>
    </xf>
    <xf numFmtId="1" fontId="10" fillId="9" borderId="29" xfId="0" applyNumberFormat="1" applyFont="1" applyFill="1" applyBorder="1" applyAlignment="1">
      <alignment horizontal="center"/>
    </xf>
    <xf numFmtId="1" fontId="10" fillId="9" borderId="45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35" xfId="0" applyFont="1" applyFill="1" applyBorder="1" applyAlignment="1">
      <alignment horizontal="center"/>
    </xf>
    <xf numFmtId="0" fontId="32" fillId="10" borderId="29" xfId="0" applyFont="1" applyFill="1" applyBorder="1" applyAlignment="1">
      <alignment horizontal="left" vertical="center" wrapText="1"/>
    </xf>
    <xf numFmtId="0" fontId="32" fillId="10" borderId="34" xfId="0" applyFont="1" applyFill="1" applyBorder="1" applyAlignment="1">
      <alignment horizontal="left" vertical="center" wrapText="1"/>
    </xf>
    <xf numFmtId="0" fontId="32" fillId="10" borderId="35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center"/>
    </xf>
    <xf numFmtId="0" fontId="32" fillId="10" borderId="13" xfId="0" applyFont="1" applyFill="1" applyBorder="1" applyAlignment="1">
      <alignment horizontal="left" vertical="center"/>
    </xf>
    <xf numFmtId="0" fontId="38" fillId="10" borderId="13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38" fillId="10" borderId="41" xfId="0" applyFont="1" applyFill="1" applyBorder="1" applyAlignment="1">
      <alignment horizontal="left" wrapText="1"/>
    </xf>
    <xf numFmtId="0" fontId="38" fillId="10" borderId="39" xfId="0" applyFont="1" applyFill="1" applyBorder="1" applyAlignment="1">
      <alignment horizontal="left" wrapText="1"/>
    </xf>
    <xf numFmtId="0" fontId="38" fillId="10" borderId="38" xfId="0" applyFont="1" applyFill="1" applyBorder="1" applyAlignment="1">
      <alignment horizontal="left" wrapText="1"/>
    </xf>
    <xf numFmtId="0" fontId="22" fillId="8" borderId="2" xfId="0" applyFont="1" applyFill="1" applyBorder="1" applyAlignment="1">
      <alignment horizontal="left" vertical="center"/>
    </xf>
    <xf numFmtId="0" fontId="16" fillId="8" borderId="0" xfId="0" applyFont="1" applyFill="1" applyBorder="1" applyAlignment="1">
      <alignment horizontal="center" vertical="top" wrapText="1"/>
    </xf>
    <xf numFmtId="0" fontId="12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center"/>
    </xf>
    <xf numFmtId="1" fontId="10" fillId="9" borderId="42" xfId="0" applyNumberFormat="1" applyFont="1" applyFill="1" applyBorder="1" applyAlignment="1">
      <alignment horizontal="center" vertical="center"/>
    </xf>
    <xf numFmtId="1" fontId="10" fillId="9" borderId="46" xfId="0" applyNumberFormat="1" applyFont="1" applyFill="1" applyBorder="1" applyAlignment="1">
      <alignment horizontal="center" vertical="center"/>
    </xf>
    <xf numFmtId="0" fontId="44" fillId="2" borderId="29" xfId="0" applyFont="1" applyFill="1" applyBorder="1" applyAlignment="1">
      <alignment horizontal="center"/>
    </xf>
    <xf numFmtId="0" fontId="44" fillId="2" borderId="45" xfId="0" applyFont="1" applyFill="1" applyBorder="1" applyAlignment="1">
      <alignment horizontal="center"/>
    </xf>
    <xf numFmtId="0" fontId="38" fillId="10" borderId="19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2" fontId="10" fillId="7" borderId="0" xfId="0" applyNumberFormat="1" applyFont="1" applyFill="1" applyBorder="1" applyAlignment="1">
      <alignment horizontal="center"/>
    </xf>
    <xf numFmtId="0" fontId="42" fillId="8" borderId="0" xfId="0" applyFont="1" applyFill="1" applyBorder="1" applyAlignment="1">
      <alignment horizontal="left" vertical="center"/>
    </xf>
    <xf numFmtId="0" fontId="32" fillId="10" borderId="19" xfId="0" applyFont="1" applyFill="1" applyBorder="1" applyAlignment="1">
      <alignment horizontal="left" vertical="center"/>
    </xf>
    <xf numFmtId="0" fontId="10" fillId="3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6" fillId="3" borderId="9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17" xfId="0" applyFont="1" applyFill="1" applyBorder="1" applyAlignment="1" applyProtection="1">
      <alignment horizontal="center"/>
      <protection locked="0"/>
    </xf>
    <xf numFmtId="0" fontId="13" fillId="3" borderId="13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32" fillId="10" borderId="13" xfId="0" applyFont="1" applyFill="1" applyBorder="1" applyAlignment="1">
      <alignment horizontal="left" wrapText="1"/>
    </xf>
    <xf numFmtId="0" fontId="38" fillId="10" borderId="40" xfId="0" applyFont="1" applyFill="1" applyBorder="1" applyAlignment="1">
      <alignment horizontal="left"/>
    </xf>
    <xf numFmtId="0" fontId="38" fillId="10" borderId="44" xfId="0" applyFont="1" applyFill="1" applyBorder="1" applyAlignment="1">
      <alignment horizontal="left"/>
    </xf>
    <xf numFmtId="0" fontId="32" fillId="10" borderId="29" xfId="0" applyFont="1" applyFill="1" applyBorder="1" applyAlignment="1">
      <alignment horizontal="left" vertical="center"/>
    </xf>
    <xf numFmtId="0" fontId="32" fillId="10" borderId="34" xfId="0" applyFont="1" applyFill="1" applyBorder="1" applyAlignment="1">
      <alignment horizontal="left" vertical="center"/>
    </xf>
    <xf numFmtId="0" fontId="32" fillId="10" borderId="35" xfId="0" applyFont="1" applyFill="1" applyBorder="1" applyAlignment="1">
      <alignment horizontal="left" vertical="center"/>
    </xf>
    <xf numFmtId="0" fontId="34" fillId="8" borderId="0" xfId="0" applyFont="1" applyFill="1" applyBorder="1" applyAlignment="1">
      <alignment horizontal="left"/>
    </xf>
  </cellXfs>
  <cellStyles count="5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25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99"/>
      <color rgb="FFFFFFCC"/>
      <color rgb="FFDDDDDD"/>
      <color rgb="FFEAEAEA"/>
      <color rgb="FFFFCCCC"/>
      <color rgb="FFECE0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Vancomycin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dose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Calculators!$V$21:$V$41</c:f>
              <c:numCache>
                <c:formatCode>0.0</c:formatCode>
                <c:ptCount val="21"/>
                <c:pt idx="0" formatCode="General">
                  <c:v>0.0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8.5</c:v>
                </c:pt>
                <c:pt idx="5">
                  <c:v>10.5</c:v>
                </c:pt>
                <c:pt idx="6">
                  <c:v>11.5</c:v>
                </c:pt>
                <c:pt idx="7">
                  <c:v>17.25</c:v>
                </c:pt>
                <c:pt idx="8">
                  <c:v>23.0</c:v>
                </c:pt>
                <c:pt idx="9">
                  <c:v>28.75</c:v>
                </c:pt>
                <c:pt idx="10">
                  <c:v>34.5</c:v>
                </c:pt>
                <c:pt idx="11">
                  <c:v>35.5</c:v>
                </c:pt>
                <c:pt idx="12">
                  <c:v>41.25</c:v>
                </c:pt>
                <c:pt idx="13">
                  <c:v>47.0</c:v>
                </c:pt>
                <c:pt idx="14">
                  <c:v>52.75</c:v>
                </c:pt>
                <c:pt idx="15">
                  <c:v>58.5</c:v>
                </c:pt>
                <c:pt idx="16">
                  <c:v>59.5</c:v>
                </c:pt>
                <c:pt idx="17">
                  <c:v>65.25</c:v>
                </c:pt>
                <c:pt idx="18">
                  <c:v>71.0</c:v>
                </c:pt>
                <c:pt idx="19">
                  <c:v>76.75</c:v>
                </c:pt>
                <c:pt idx="20">
                  <c:v>82.5</c:v>
                </c:pt>
              </c:numCache>
            </c:numRef>
          </c:xVal>
          <c:yVal>
            <c:numRef>
              <c:f>Calculators!$W$21:$W$41</c:f>
              <c:numCache>
                <c:formatCode>0.0</c:formatCode>
                <c:ptCount val="21"/>
                <c:pt idx="0" formatCode="General">
                  <c:v>0.0</c:v>
                </c:pt>
                <c:pt idx="1">
                  <c:v>42.39913209810374</c:v>
                </c:pt>
                <c:pt idx="2">
                  <c:v>39.95209663280473</c:v>
                </c:pt>
                <c:pt idx="3">
                  <c:v>37.64629006234668</c:v>
                </c:pt>
                <c:pt idx="4">
                  <c:v>35.47356146247008</c:v>
                </c:pt>
                <c:pt idx="5">
                  <c:v>33.42623033365646</c:v>
                </c:pt>
                <c:pt idx="6">
                  <c:v>49.78593152480917</c:v>
                </c:pt>
                <c:pt idx="7">
                  <c:v>41.96445984975765</c:v>
                </c:pt>
                <c:pt idx="8">
                  <c:v>35.37175737295139</c:v>
                </c:pt>
                <c:pt idx="9">
                  <c:v>29.81478194001266</c:v>
                </c:pt>
                <c:pt idx="10">
                  <c:v>25.1308187138663</c:v>
                </c:pt>
                <c:pt idx="11">
                  <c:v>41.73345912363068</c:v>
                </c:pt>
                <c:pt idx="12">
                  <c:v>35.17704733338952</c:v>
                </c:pt>
                <c:pt idx="13">
                  <c:v>29.65066124592728</c:v>
                </c:pt>
                <c:pt idx="14">
                  <c:v>24.99248171651539</c:v>
                </c:pt>
                <c:pt idx="15">
                  <c:v>21.06611171904817</c:v>
                </c:pt>
                <c:pt idx="16">
                  <c:v>37.787791036882</c:v>
                </c:pt>
                <c:pt idx="17">
                  <c:v>31.85125177356706</c:v>
                </c:pt>
                <c:pt idx="18">
                  <c:v>26.8473549711592</c:v>
                </c:pt>
                <c:pt idx="19">
                  <c:v>22.62958059141628</c:v>
                </c:pt>
                <c:pt idx="20">
                  <c:v>19.07442719379716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D-44AD-97DB-BCAC7690973D}"/>
            </c:ext>
          </c:extLst>
        </c:ser>
        <c:ser>
          <c:idx val="1"/>
          <c:order val="1"/>
          <c:tx>
            <c:v>Alternative dose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Calculators!$X$21:$X$41</c:f>
              <c:strCache>
                <c:ptCount val="21"/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</c:strCache>
            </c:strRef>
          </c:xVal>
          <c:yVal>
            <c:numRef>
              <c:f>Calculators!$Y$21:$Y$41</c:f>
              <c:numCache>
                <c:formatCode>0.0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D-44AD-97DB-BCAC7690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48936"/>
        <c:axId val="2104153832"/>
      </c:scatterChart>
      <c:valAx>
        <c:axId val="21041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3832"/>
        <c:crosses val="autoZero"/>
        <c:crossBetween val="midCat"/>
      </c:valAx>
      <c:valAx>
        <c:axId val="21041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(mcg/mL)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4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212289</xdr:colOff>
      <xdr:row>42</xdr:row>
      <xdr:rowOff>52043</xdr:rowOff>
    </xdr:from>
    <xdr:to>
      <xdr:col>28</xdr:col>
      <xdr:colOff>500154</xdr:colOff>
      <xdr:row>53</xdr:row>
      <xdr:rowOff>176928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639992A-9B13-4BFD-9EBF-4BE0A4C0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Vanco%20Calc%20Peak%20troug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nco%20time%20ma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9">
          <cell r="E9" t="str">
            <v>Empiric or 1 mg/L</v>
          </cell>
        </row>
        <row r="10">
          <cell r="E10" t="str">
            <v>0.5 mg/L</v>
          </cell>
          <cell r="J10" t="str">
            <v>Time of level (same day as infusion)</v>
          </cell>
        </row>
        <row r="11">
          <cell r="E11" t="str">
            <v>2.0 mg/L</v>
          </cell>
          <cell r="J11" t="str">
            <v>Time of level (one day after infusion)</v>
          </cell>
        </row>
        <row r="12">
          <cell r="J12" t="str">
            <v>Time of level (two days after infusion)</v>
          </cell>
        </row>
        <row r="13">
          <cell r="J13" t="str">
            <v>Time of level (three days after infusion)</v>
          </cell>
        </row>
        <row r="17">
          <cell r="J17">
            <v>0</v>
          </cell>
          <cell r="K17" t="str">
            <v>00</v>
          </cell>
        </row>
        <row r="18">
          <cell r="J18">
            <v>1</v>
          </cell>
          <cell r="K18" t="str">
            <v>05</v>
          </cell>
        </row>
        <row r="19">
          <cell r="J19">
            <v>2</v>
          </cell>
          <cell r="K19">
            <v>10</v>
          </cell>
        </row>
        <row r="20">
          <cell r="J20">
            <v>3</v>
          </cell>
          <cell r="K20">
            <v>15</v>
          </cell>
        </row>
        <row r="21">
          <cell r="J21">
            <v>4</v>
          </cell>
          <cell r="K21">
            <v>20</v>
          </cell>
        </row>
        <row r="22">
          <cell r="J22">
            <v>5</v>
          </cell>
          <cell r="K22">
            <v>25</v>
          </cell>
        </row>
        <row r="23">
          <cell r="J23">
            <v>6</v>
          </cell>
          <cell r="K23">
            <v>30</v>
          </cell>
        </row>
        <row r="24">
          <cell r="J24">
            <v>7</v>
          </cell>
          <cell r="K24">
            <v>35</v>
          </cell>
        </row>
        <row r="25">
          <cell r="J25">
            <v>8</v>
          </cell>
          <cell r="K25">
            <v>40</v>
          </cell>
        </row>
        <row r="26">
          <cell r="J26">
            <v>9</v>
          </cell>
          <cell r="K26">
            <v>45</v>
          </cell>
        </row>
        <row r="27">
          <cell r="J27">
            <v>10</v>
          </cell>
          <cell r="K27">
            <v>50</v>
          </cell>
        </row>
        <row r="28">
          <cell r="J28">
            <v>11</v>
          </cell>
          <cell r="K28">
            <v>55</v>
          </cell>
        </row>
        <row r="29">
          <cell r="J29">
            <v>12</v>
          </cell>
        </row>
        <row r="30">
          <cell r="J30">
            <v>13</v>
          </cell>
        </row>
        <row r="31">
          <cell r="J31">
            <v>14</v>
          </cell>
        </row>
        <row r="32">
          <cell r="J32">
            <v>15</v>
          </cell>
        </row>
        <row r="33">
          <cell r="J33">
            <v>16</v>
          </cell>
        </row>
        <row r="34">
          <cell r="J34">
            <v>17</v>
          </cell>
        </row>
        <row r="35">
          <cell r="J35">
            <v>18</v>
          </cell>
        </row>
        <row r="36">
          <cell r="J36">
            <v>19</v>
          </cell>
        </row>
        <row r="37">
          <cell r="J37">
            <v>20</v>
          </cell>
        </row>
        <row r="38">
          <cell r="J38">
            <v>21</v>
          </cell>
        </row>
        <row r="39">
          <cell r="J39">
            <v>22</v>
          </cell>
        </row>
        <row r="40">
          <cell r="J40">
            <v>23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4">
          <cell r="F4">
            <v>0</v>
          </cell>
          <cell r="G4" t="str">
            <v>00</v>
          </cell>
        </row>
        <row r="5">
          <cell r="F5">
            <v>1</v>
          </cell>
          <cell r="G5" t="str">
            <v>05</v>
          </cell>
        </row>
        <row r="6">
          <cell r="F6">
            <v>2</v>
          </cell>
          <cell r="G6">
            <v>10</v>
          </cell>
        </row>
        <row r="7">
          <cell r="F7">
            <v>3</v>
          </cell>
          <cell r="G7">
            <v>15</v>
          </cell>
        </row>
        <row r="8">
          <cell r="F8">
            <v>4</v>
          </cell>
          <cell r="G8">
            <v>20</v>
          </cell>
        </row>
        <row r="9">
          <cell r="F9">
            <v>5</v>
          </cell>
          <cell r="G9">
            <v>25</v>
          </cell>
        </row>
        <row r="10">
          <cell r="F10">
            <v>6</v>
          </cell>
          <cell r="G10">
            <v>30</v>
          </cell>
        </row>
        <row r="11">
          <cell r="F11">
            <v>7</v>
          </cell>
          <cell r="G11">
            <v>35</v>
          </cell>
        </row>
        <row r="12">
          <cell r="F12">
            <v>8</v>
          </cell>
          <cell r="G12">
            <v>40</v>
          </cell>
        </row>
        <row r="13">
          <cell r="F13">
            <v>9</v>
          </cell>
          <cell r="G13">
            <v>45</v>
          </cell>
        </row>
        <row r="14">
          <cell r="F14">
            <v>10</v>
          </cell>
          <cell r="G14">
            <v>50</v>
          </cell>
        </row>
        <row r="15">
          <cell r="F15">
            <v>11</v>
          </cell>
          <cell r="G15">
            <v>55</v>
          </cell>
        </row>
        <row r="16">
          <cell r="F16">
            <v>12</v>
          </cell>
        </row>
        <row r="17">
          <cell r="F17">
            <v>13</v>
          </cell>
        </row>
        <row r="18">
          <cell r="F18">
            <v>14</v>
          </cell>
        </row>
        <row r="19">
          <cell r="F19">
            <v>15</v>
          </cell>
        </row>
        <row r="20">
          <cell r="F20">
            <v>16</v>
          </cell>
        </row>
        <row r="21">
          <cell r="F21">
            <v>17</v>
          </cell>
        </row>
        <row r="22">
          <cell r="F22">
            <v>18</v>
          </cell>
        </row>
        <row r="23">
          <cell r="F23">
            <v>19</v>
          </cell>
        </row>
        <row r="24">
          <cell r="F24">
            <v>20</v>
          </cell>
        </row>
        <row r="25">
          <cell r="F25">
            <v>21</v>
          </cell>
        </row>
        <row r="26">
          <cell r="F26">
            <v>22</v>
          </cell>
        </row>
        <row r="27">
          <cell r="F27">
            <v>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5"/>
  <sheetViews>
    <sheetView tabSelected="1" topLeftCell="A12" zoomScale="75" zoomScaleNormal="75" zoomScalePageLayoutView="75" workbookViewId="0">
      <selection activeCell="J29" sqref="J29"/>
    </sheetView>
  </sheetViews>
  <sheetFormatPr baseColWidth="10" defaultColWidth="8.83203125" defaultRowHeight="14" x14ac:dyDescent="0"/>
  <cols>
    <col min="1" max="1" width="3.6640625" style="5" customWidth="1"/>
    <col min="2" max="2" width="12.83203125" style="52" customWidth="1"/>
    <col min="3" max="3" width="6.83203125" style="52" customWidth="1"/>
    <col min="4" max="4" width="19.5" style="5" customWidth="1"/>
    <col min="5" max="5" width="8" style="5" customWidth="1"/>
    <col min="6" max="6" width="12.83203125" style="5" customWidth="1"/>
    <col min="7" max="7" width="3.5" style="5" bestFit="1" customWidth="1"/>
    <col min="8" max="8" width="8.33203125" style="5" customWidth="1"/>
    <col min="9" max="9" width="27.1640625" style="5" customWidth="1"/>
    <col min="10" max="10" width="19" style="5" customWidth="1"/>
    <col min="11" max="11" width="13.5" style="5" customWidth="1"/>
    <col min="12" max="12" width="6.83203125" style="5" customWidth="1"/>
    <col min="13" max="13" width="22" style="5" customWidth="1"/>
    <col min="14" max="14" width="12.1640625" style="5" customWidth="1"/>
    <col min="15" max="15" width="15.5" style="52" customWidth="1"/>
    <col min="16" max="16" width="8.33203125" style="4" bestFit="1" customWidth="1"/>
    <col min="17" max="18" width="4" style="4" customWidth="1"/>
    <col min="19" max="19" width="15.1640625" style="4" customWidth="1"/>
    <col min="20" max="20" width="11.5" style="4" customWidth="1"/>
    <col min="21" max="21" width="14.1640625" style="4" customWidth="1"/>
    <col min="22" max="22" width="14.5" style="4" customWidth="1"/>
    <col min="23" max="23" width="13.5" style="4" customWidth="1"/>
    <col min="24" max="24" width="12.5" style="242" customWidth="1"/>
    <col min="25" max="25" width="15.83203125" style="242" bestFit="1" customWidth="1"/>
    <col min="26" max="26" width="18.5" style="4" bestFit="1" customWidth="1"/>
    <col min="27" max="27" width="14.5" style="4" customWidth="1"/>
    <col min="28" max="28" width="15" style="4" customWidth="1"/>
    <col min="29" max="29" width="14.33203125" style="4" customWidth="1"/>
    <col min="30" max="30" width="15.83203125" style="5" bestFit="1" customWidth="1"/>
    <col min="31" max="16384" width="8.83203125" style="5"/>
  </cols>
  <sheetData>
    <row r="1" spans="1:31" ht="15" customHeight="1">
      <c r="A1" s="12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12"/>
      <c r="S1" s="12"/>
      <c r="V1" s="608"/>
      <c r="W1" s="608"/>
      <c r="X1" s="608"/>
      <c r="Y1" s="608"/>
    </row>
    <row r="2" spans="1:31" ht="15" customHeight="1">
      <c r="A2" s="12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12"/>
      <c r="S2" s="12"/>
      <c r="V2" s="608"/>
      <c r="W2" s="608"/>
      <c r="X2" s="613"/>
      <c r="Y2" s="613"/>
    </row>
    <row r="3" spans="1:31" ht="15" customHeight="1">
      <c r="A3" s="12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12"/>
      <c r="S3" s="12"/>
      <c r="U3" s="223"/>
    </row>
    <row r="4" spans="1:31" ht="15" customHeight="1">
      <c r="A4" s="12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12"/>
      <c r="S4" s="12"/>
      <c r="U4" s="230"/>
    </row>
    <row r="5" spans="1:31" ht="15.75" customHeight="1" thickBot="1">
      <c r="A5" s="12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12"/>
      <c r="S5" s="12"/>
      <c r="Z5" s="464"/>
    </row>
    <row r="6" spans="1:31" ht="18" customHeight="1">
      <c r="A6" s="4"/>
      <c r="B6" s="288"/>
      <c r="C6" s="289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9"/>
      <c r="Q6" s="290"/>
      <c r="Z6" s="464"/>
    </row>
    <row r="7" spans="1:31" ht="15.75" customHeight="1">
      <c r="A7" s="4"/>
      <c r="B7" s="163"/>
      <c r="C7" s="164"/>
      <c r="D7" s="305"/>
      <c r="E7" s="614" t="s">
        <v>220</v>
      </c>
      <c r="F7" s="614"/>
      <c r="G7" s="614"/>
      <c r="H7" s="614"/>
      <c r="I7" s="614"/>
      <c r="J7" s="614"/>
      <c r="K7" s="614"/>
      <c r="L7" s="614"/>
      <c r="M7" s="614"/>
      <c r="N7" s="614"/>
      <c r="O7" s="466"/>
      <c r="P7" s="466"/>
      <c r="Q7" s="165"/>
      <c r="Z7" s="464"/>
    </row>
    <row r="8" spans="1:31" ht="15.75" customHeight="1">
      <c r="A8" s="4"/>
      <c r="B8" s="163"/>
      <c r="C8" s="164"/>
      <c r="D8" s="475"/>
      <c r="E8" s="466"/>
      <c r="F8" s="466"/>
      <c r="G8" s="466"/>
      <c r="H8" s="466"/>
      <c r="I8" s="466"/>
      <c r="J8" s="466"/>
      <c r="K8" s="466"/>
      <c r="L8" s="466"/>
      <c r="M8" s="466"/>
      <c r="N8" s="475"/>
      <c r="O8" s="475"/>
      <c r="P8" s="164"/>
      <c r="Q8" s="165"/>
      <c r="Z8" s="464"/>
    </row>
    <row r="9" spans="1:31" ht="17.25" customHeight="1">
      <c r="A9" s="4"/>
      <c r="B9" s="163"/>
      <c r="C9" s="164"/>
      <c r="D9" s="475"/>
      <c r="E9" s="475"/>
      <c r="F9" s="475"/>
      <c r="G9" s="475"/>
      <c r="H9" s="511"/>
      <c r="I9" s="475"/>
      <c r="J9" s="475"/>
      <c r="K9" s="475"/>
      <c r="L9" s="475"/>
      <c r="M9" s="475"/>
      <c r="N9" s="475"/>
      <c r="O9" s="475"/>
      <c r="P9" s="164"/>
      <c r="Q9" s="165"/>
    </row>
    <row r="10" spans="1:31" ht="41.25" customHeight="1">
      <c r="A10" s="4"/>
      <c r="B10" s="163"/>
      <c r="C10" s="164"/>
      <c r="D10" s="609" t="s">
        <v>150</v>
      </c>
      <c r="E10" s="609"/>
      <c r="F10" s="609"/>
      <c r="G10" s="609"/>
      <c r="H10" s="609"/>
      <c r="I10" s="609"/>
      <c r="J10" s="609"/>
      <c r="K10" s="609"/>
      <c r="L10" s="609"/>
      <c r="M10" s="609"/>
      <c r="N10" s="609"/>
      <c r="O10" s="609"/>
      <c r="P10" s="164"/>
      <c r="Q10" s="165"/>
      <c r="U10" s="230"/>
    </row>
    <row r="11" spans="1:31" ht="18" customHeight="1" thickBot="1">
      <c r="A11" s="4"/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5"/>
      <c r="S11" s="134"/>
      <c r="U11" s="230"/>
    </row>
    <row r="12" spans="1:31" ht="19" thickBot="1">
      <c r="A12" s="4"/>
      <c r="B12" s="123"/>
      <c r="C12" s="9"/>
      <c r="D12" s="610" t="s">
        <v>125</v>
      </c>
      <c r="E12" s="611"/>
      <c r="F12" s="612"/>
      <c r="G12" s="9"/>
      <c r="H12" s="9"/>
      <c r="I12" s="610" t="s">
        <v>126</v>
      </c>
      <c r="J12" s="611"/>
      <c r="K12" s="612"/>
      <c r="L12" s="9"/>
      <c r="M12" s="9"/>
      <c r="N12" s="343"/>
      <c r="O12" s="343"/>
      <c r="P12" s="9"/>
      <c r="Q12" s="16"/>
      <c r="S12" s="172" t="s">
        <v>162</v>
      </c>
      <c r="T12" s="348">
        <f>IF(M17="Off",E14,IF(M17="On",(E14*J17+L17)))</f>
        <v>1.8029499999999998</v>
      </c>
      <c r="V12" s="172" t="s">
        <v>236</v>
      </c>
      <c r="W12" s="176">
        <f>IF(AND(F16="kg",T15&lt;=110),(E16),IF(AND(F16="lbs",T15&lt;=110),(E16/2.2046),IF(AND(F16="kg",T15&gt;110),(T14+0.4*(E16-T14)),IF(AND(F16="lbs",T15&gt;110),(T14+0.4*((E16/2.2046)-T14))))))</f>
        <v>81.179999999999993</v>
      </c>
      <c r="X12" s="178"/>
    </row>
    <row r="13" spans="1:31" s="4" customFormat="1">
      <c r="B13" s="123"/>
      <c r="C13" s="9"/>
      <c r="D13" s="13" t="s">
        <v>42</v>
      </c>
      <c r="E13" s="14">
        <v>87</v>
      </c>
      <c r="F13" s="15" t="s">
        <v>9</v>
      </c>
      <c r="G13" s="157" t="s">
        <v>40</v>
      </c>
      <c r="H13" s="160"/>
      <c r="I13" s="33" t="s">
        <v>121</v>
      </c>
      <c r="J13" s="245">
        <v>1000</v>
      </c>
      <c r="K13" s="31" t="s">
        <v>186</v>
      </c>
      <c r="L13" s="157" t="s">
        <v>40</v>
      </c>
      <c r="M13" s="9"/>
      <c r="N13" s="9"/>
      <c r="O13" s="9"/>
      <c r="P13" s="9"/>
      <c r="Q13" s="16"/>
      <c r="S13" s="172" t="s">
        <v>13</v>
      </c>
      <c r="T13" s="172">
        <f>IF(F15="inch",IF(E17="Male",50+(2.3*(E15-60)),IF(E17="Female",45.5+(2.3*(E15-60)),"Error")),IF(E17="Male",50+(2.3*((E15*0.393701)-60)),IF(E17="Female",45.5+(2.3*((E15*0.393701)-60)),"Error")))</f>
        <v>75.3</v>
      </c>
      <c r="V13" s="172" t="s">
        <v>237</v>
      </c>
      <c r="W13" s="231">
        <f>IF(E17="Male",1,0.85)</f>
        <v>1</v>
      </c>
      <c r="X13" s="12"/>
      <c r="AE13" s="134"/>
    </row>
    <row r="14" spans="1:31" ht="15.75" customHeight="1">
      <c r="A14" s="4"/>
      <c r="B14" s="123"/>
      <c r="C14" s="9"/>
      <c r="D14" s="20" t="s">
        <v>24</v>
      </c>
      <c r="E14" s="156">
        <v>1.63</v>
      </c>
      <c r="F14" s="22" t="s">
        <v>7</v>
      </c>
      <c r="G14" s="157" t="s">
        <v>40</v>
      </c>
      <c r="H14" s="160"/>
      <c r="I14" s="57" t="s">
        <v>147</v>
      </c>
      <c r="J14" s="616" t="s">
        <v>17</v>
      </c>
      <c r="K14" s="617"/>
      <c r="L14" s="157" t="s">
        <v>40</v>
      </c>
      <c r="M14" s="266"/>
      <c r="N14" s="9"/>
      <c r="O14" s="48"/>
      <c r="P14" s="9"/>
      <c r="Q14" s="16"/>
      <c r="R14" s="168"/>
      <c r="S14" s="172" t="s">
        <v>212</v>
      </c>
      <c r="T14" s="349">
        <f>IF(J16="none",T13,IF(J16="Below knee (IBW -3.5%)",0.965*T13,IF(J16="Entire arm (IBW -4%)",0.96*T13,IF(J16="Above knee (IBW -11%)",0.89*T13,IF(J16="Entire leg (IBW -16%)",0.84*T13,IF(J16="multiple (IBW -20%)",0.8*T13,IF(J16="multiple (IBW -25%)",0.75*T13,IF(J16="multiple (IBW -30%)",0.7*T13,IF(J16="multiple (IBW -35%)",0.65*T13,IF(J16="Foot (IBW -1.5%)",0.985*T13,IF(J16="forearm (IBW -1.5%)",0.985*T13)))))))))))</f>
        <v>75.3</v>
      </c>
      <c r="V14" s="172" t="s">
        <v>238</v>
      </c>
      <c r="W14" s="231">
        <f>IF(F14="µmol/L", T12/88.4, T12)</f>
        <v>1.8029499999999998</v>
      </c>
      <c r="X14" s="178"/>
    </row>
    <row r="15" spans="1:31" ht="15.75" customHeight="1">
      <c r="A15" s="4"/>
      <c r="B15" s="123"/>
      <c r="C15" s="9"/>
      <c r="D15" s="33" t="s">
        <v>10</v>
      </c>
      <c r="E15" s="139">
        <v>71</v>
      </c>
      <c r="F15" s="31" t="s">
        <v>21</v>
      </c>
      <c r="G15" s="157" t="s">
        <v>40</v>
      </c>
      <c r="H15" s="160"/>
      <c r="I15" s="33" t="s">
        <v>77</v>
      </c>
      <c r="J15" s="620" t="s">
        <v>33</v>
      </c>
      <c r="K15" s="621"/>
      <c r="L15" s="157" t="s">
        <v>40</v>
      </c>
      <c r="M15" s="264"/>
      <c r="N15" s="9"/>
      <c r="O15" s="267"/>
      <c r="P15" s="9"/>
      <c r="Q15" s="16"/>
      <c r="R15" s="168"/>
      <c r="S15" s="172" t="s">
        <v>85</v>
      </c>
      <c r="T15" s="350">
        <f>IF(F16="kg",(E16/T14)*100,IF(F16="lbs",100*(E16/2.20462)/T14))</f>
        <v>119.52191235059762</v>
      </c>
      <c r="V15" s="12"/>
      <c r="W15" s="12"/>
      <c r="X15" s="178"/>
    </row>
    <row r="16" spans="1:31" ht="15.75" customHeight="1">
      <c r="A16" s="4"/>
      <c r="B16" s="123"/>
      <c r="C16" s="9"/>
      <c r="D16" s="17" t="s">
        <v>149</v>
      </c>
      <c r="E16" s="18">
        <v>90</v>
      </c>
      <c r="F16" s="19" t="s">
        <v>8</v>
      </c>
      <c r="G16" s="157" t="s">
        <v>40</v>
      </c>
      <c r="H16" s="160"/>
      <c r="I16" s="352" t="s">
        <v>202</v>
      </c>
      <c r="J16" s="624" t="s">
        <v>203</v>
      </c>
      <c r="K16" s="625"/>
      <c r="L16" s="157" t="s">
        <v>40</v>
      </c>
      <c r="M16" s="9"/>
      <c r="N16" s="9"/>
      <c r="O16" s="268"/>
      <c r="P16" s="9"/>
      <c r="Q16" s="16"/>
      <c r="R16" s="168"/>
      <c r="S16" s="499"/>
      <c r="T16" s="331"/>
      <c r="V16" s="272"/>
      <c r="W16" s="12"/>
      <c r="X16" s="178"/>
    </row>
    <row r="17" spans="1:29" ht="15.75" customHeight="1" thickBot="1">
      <c r="A17" s="4"/>
      <c r="B17" s="123"/>
      <c r="C17" s="9"/>
      <c r="D17" s="23" t="s">
        <v>15</v>
      </c>
      <c r="E17" s="622" t="s">
        <v>14</v>
      </c>
      <c r="F17" s="623"/>
      <c r="G17" s="157" t="s">
        <v>40</v>
      </c>
      <c r="H17" s="160"/>
      <c r="I17" s="353" t="s">
        <v>249</v>
      </c>
      <c r="J17" s="509">
        <v>1.0649999999999999</v>
      </c>
      <c r="K17" s="510" t="s">
        <v>127</v>
      </c>
      <c r="L17" s="351">
        <v>6.7000000000000004E-2</v>
      </c>
      <c r="M17" s="91" t="s">
        <v>65</v>
      </c>
      <c r="N17" s="157" t="s">
        <v>40</v>
      </c>
      <c r="O17" s="9"/>
      <c r="P17" s="9"/>
      <c r="Q17" s="16"/>
      <c r="R17" s="168"/>
      <c r="U17" s="230"/>
      <c r="V17" s="12"/>
      <c r="W17" s="12"/>
      <c r="X17" s="178"/>
      <c r="Z17" s="155"/>
      <c r="AA17" s="241"/>
    </row>
    <row r="18" spans="1:29" ht="15.75" customHeight="1">
      <c r="A18" s="4"/>
      <c r="B18" s="123"/>
      <c r="C18" s="9"/>
      <c r="D18" s="219"/>
      <c r="E18" s="219"/>
      <c r="F18" s="219"/>
      <c r="G18" s="219"/>
      <c r="H18" s="219"/>
      <c r="I18" s="37"/>
      <c r="J18" s="37"/>
      <c r="K18" s="37"/>
      <c r="L18" s="162"/>
      <c r="M18" s="9"/>
      <c r="N18" s="9"/>
      <c r="O18" s="9"/>
      <c r="P18" s="9"/>
      <c r="Q18" s="16"/>
      <c r="R18" s="168"/>
      <c r="S18" s="170" t="s">
        <v>121</v>
      </c>
      <c r="T18" s="231">
        <f>J13</f>
        <v>1000</v>
      </c>
      <c r="U18" s="230"/>
    </row>
    <row r="19" spans="1:29" ht="15.75" customHeight="1">
      <c r="A19" s="4"/>
      <c r="B19" s="123"/>
      <c r="C19" s="9"/>
      <c r="D19" s="219"/>
      <c r="E19" s="219"/>
      <c r="F19" s="219"/>
      <c r="G19" s="219"/>
      <c r="H19" s="219"/>
      <c r="I19" s="508" t="s">
        <v>232</v>
      </c>
      <c r="J19" s="507"/>
      <c r="K19" s="570" t="s">
        <v>235</v>
      </c>
      <c r="L19" s="571"/>
      <c r="M19" s="9"/>
      <c r="N19" s="9"/>
      <c r="O19" s="9"/>
      <c r="P19" s="9"/>
      <c r="Q19" s="16"/>
      <c r="R19" s="168"/>
      <c r="S19" s="476"/>
      <c r="T19" s="12"/>
      <c r="U19" s="230"/>
    </row>
    <row r="20" spans="1:29" ht="15.75" customHeight="1" thickBot="1">
      <c r="A20" s="4"/>
      <c r="B20" s="40"/>
      <c r="C20" s="41"/>
      <c r="D20" s="477"/>
      <c r="E20" s="477"/>
      <c r="F20" s="477"/>
      <c r="G20" s="477"/>
      <c r="H20" s="477"/>
      <c r="I20" s="477"/>
      <c r="J20" s="477"/>
      <c r="K20" s="477"/>
      <c r="L20" s="316"/>
      <c r="M20" s="41"/>
      <c r="N20" s="41"/>
      <c r="O20" s="41"/>
      <c r="P20" s="41"/>
      <c r="Q20" s="144"/>
      <c r="R20" s="168"/>
      <c r="S20" s="476"/>
      <c r="T20" s="12"/>
      <c r="U20" s="230"/>
    </row>
    <row r="21" spans="1:29" ht="15.75" customHeight="1">
      <c r="A21" s="4"/>
      <c r="B21" s="280"/>
      <c r="C21" s="281"/>
      <c r="D21" s="431"/>
      <c r="E21" s="281"/>
      <c r="F21" s="432"/>
      <c r="G21" s="433"/>
      <c r="H21" s="433"/>
      <c r="I21" s="434"/>
      <c r="J21" s="435"/>
      <c r="K21" s="435"/>
      <c r="L21" s="436"/>
      <c r="M21" s="281"/>
      <c r="N21" s="281"/>
      <c r="O21" s="281"/>
      <c r="P21" s="281"/>
      <c r="Q21" s="282"/>
      <c r="R21" s="168"/>
      <c r="S21" s="168"/>
      <c r="T21" s="168"/>
      <c r="U21" s="233"/>
      <c r="V21" s="465">
        <f>0</f>
        <v>0</v>
      </c>
      <c r="W21" s="465">
        <f>0</f>
        <v>0</v>
      </c>
      <c r="X21" s="467" t="str">
        <f>IF(O25="","",0)</f>
        <v/>
      </c>
      <c r="Y21" s="468">
        <f>0</f>
        <v>0</v>
      </c>
    </row>
    <row r="22" spans="1:29" ht="32.25" customHeight="1">
      <c r="A22" s="4"/>
      <c r="B22" s="123"/>
      <c r="C22" s="9"/>
      <c r="D22" s="283" t="s">
        <v>152</v>
      </c>
      <c r="E22" s="9"/>
      <c r="F22" s="159"/>
      <c r="G22" s="160"/>
      <c r="H22" s="160"/>
      <c r="I22" s="9"/>
      <c r="J22" s="161"/>
      <c r="K22" s="161"/>
      <c r="L22" s="162"/>
      <c r="M22" s="9"/>
      <c r="N22" s="9"/>
      <c r="O22" s="9"/>
      <c r="P22" s="9"/>
      <c r="Q22" s="16"/>
      <c r="R22" s="168"/>
      <c r="S22" s="172" t="s">
        <v>131</v>
      </c>
      <c r="T22" s="176">
        <f>N25*(1-EXP(-E28*(N25/T18)))/(N25/T18*E28*E27)</f>
        <v>17.33862094228585</v>
      </c>
      <c r="U22" s="234" t="e">
        <f>O25*(1-EXP(-E28*(O25/T18)))/(O25/T18*E28*E27)</f>
        <v>#VALUE!</v>
      </c>
      <c r="V22" s="225">
        <f>IF(J25&gt;0,J25/T18,IF(J25=0,N25/T18))</f>
        <v>2.5</v>
      </c>
      <c r="W22" s="226">
        <f>IF(J25&gt;0,H26,IF(J25=0,T22))</f>
        <v>42.399132098103742</v>
      </c>
      <c r="X22" s="469" t="str">
        <f>IF(X21="","",IF(J25&gt;0,J25/T18,IF(J25=0,O25/T18)))</f>
        <v/>
      </c>
      <c r="Y22" s="470" t="str">
        <f>IF(X21="","",IF(J25&gt;0,H26,IF(J25=0,U22)))</f>
        <v/>
      </c>
    </row>
    <row r="23" spans="1:29" ht="15.75" customHeight="1" thickBot="1">
      <c r="A23" s="4"/>
      <c r="B23" s="123"/>
      <c r="C23" s="9"/>
      <c r="D23" s="284"/>
      <c r="E23" s="9"/>
      <c r="F23" s="159"/>
      <c r="G23" s="160"/>
      <c r="H23" s="160"/>
      <c r="I23" s="9"/>
      <c r="J23" s="161"/>
      <c r="K23" s="161"/>
      <c r="L23" s="162"/>
      <c r="M23" s="9"/>
      <c r="N23" s="9"/>
      <c r="O23" s="9"/>
      <c r="P23" s="9"/>
      <c r="Q23" s="16"/>
      <c r="R23" s="168"/>
      <c r="U23" s="230"/>
      <c r="V23" s="225">
        <f>(V26-V22)/4+V22</f>
        <v>4.5</v>
      </c>
      <c r="W23" s="225">
        <f>W22*EXP(-E28*(V23-V22))</f>
        <v>39.952096632804732</v>
      </c>
      <c r="X23" s="469" t="e">
        <f>(X26-X22)/4+X22</f>
        <v>#VALUE!</v>
      </c>
      <c r="Y23" s="469" t="e">
        <f>Y22*EXP(-E28*(X23-X22))</f>
        <v>#VALUE!</v>
      </c>
      <c r="Z23" s="84"/>
      <c r="AA23" s="84"/>
    </row>
    <row r="24" spans="1:29" ht="21.75" customHeight="1" thickBot="1">
      <c r="A24" s="4"/>
      <c r="B24" s="123"/>
      <c r="C24" s="9"/>
      <c r="D24" s="552" t="s">
        <v>188</v>
      </c>
      <c r="E24" s="553"/>
      <c r="F24" s="554"/>
      <c r="G24" s="160"/>
      <c r="H24" s="552" t="s">
        <v>183</v>
      </c>
      <c r="I24" s="553"/>
      <c r="J24" s="553"/>
      <c r="K24" s="554"/>
      <c r="L24" s="162"/>
      <c r="M24" s="552" t="s">
        <v>153</v>
      </c>
      <c r="N24" s="553"/>
      <c r="O24" s="553"/>
      <c r="P24" s="554"/>
      <c r="Q24" s="16"/>
      <c r="R24" s="168"/>
      <c r="S24" s="172" t="s">
        <v>18</v>
      </c>
      <c r="T24" s="173">
        <f>MROUND(IF(AND(J14="15-20 mcg/mL",E27&lt;=75),37*E27*(1-EXP(-E28*N26)),IF(AND(J14="14-19 mcg/mL",E27&lt;=75),36*E27*(1-EXP(-E28*N26)),IF(AND(J14="13-18 mcg/mL",E27&lt;=75),35*E27*(1-EXP(-E28*N26)),IF(AND(J14="12-17 mcg/mL",E27&lt;=75),34*E27*(1-EXP(-E28*N26)),IF(AND(J14="11-16 mcg/mL",E27&lt;=75),33*E27*(1-EXP(-E28*N26)),IF(AND(J14="10-15 mcg/mL",E27&lt;=75),32*E27*(1-EXP(-E28*N26)),IF(AND(J14="15-20 mcg/mL",E27&gt;75),30*E27*(1-EXP(-E28*N26)),IF(AND(J14="14-19 mcg/mL",E27&gt;75),29*E27*(1-EXP(-E28*N26)),IF(AND(J14="13-18 mcg/mL",E27&gt;75),28*E27*(1-EXP(-E28*N26)),IF(AND(J14="12-17 mcg/mL",E27&gt;75),27*E27*(1-EXP(-E28*N26)),IF(AND(J14="11-16 mcg/mL",E27&gt;75),26*E27*(1-EXP(-E28*N26)),IF(AND(J14="10-15 mcg/mL",E27&gt;75),25*E27*(1-EXP(-E28*N26)))))))))))))),250)</f>
        <v>1000</v>
      </c>
      <c r="U24" s="230"/>
      <c r="V24" s="225">
        <f>(V26-V22)/4+V23</f>
        <v>6.5</v>
      </c>
      <c r="W24" s="225">
        <f>W23*EXP(-E28*(V24-V23))</f>
        <v>37.646290062346679</v>
      </c>
      <c r="X24" s="469" t="e">
        <f>(X26-X22)/4+X23</f>
        <v>#VALUE!</v>
      </c>
      <c r="Y24" s="469" t="e">
        <f>Y23*EXP(-E28*(X24-X23))</f>
        <v>#VALUE!</v>
      </c>
    </row>
    <row r="25" spans="1:29" ht="15.75" customHeight="1">
      <c r="A25" s="4"/>
      <c r="B25" s="123"/>
      <c r="C25" s="9"/>
      <c r="D25" s="293" t="s">
        <v>63</v>
      </c>
      <c r="E25" s="303">
        <f>MIN(((140-E13)*W13*W12)/(72*W14),IF(E13&lt;40,200,IF(AND(E13&gt;=40,E13&lt;50),185,IF(AND(E13&gt;=50,E13&lt;60),170,IF(AND(E13&gt;=60,E13&lt;70),155,IF(AND(E13&gt;=70,E13&lt;80),140,IF(AND(E13&gt;=80,E13&lt;90),125,IF(E13&gt;=90,110))))))))</f>
        <v>33.144291300368842</v>
      </c>
      <c r="F25" s="19" t="s">
        <v>11</v>
      </c>
      <c r="G25" s="160"/>
      <c r="H25" s="555" t="s">
        <v>244</v>
      </c>
      <c r="I25" s="556"/>
      <c r="J25" s="216">
        <v>2500</v>
      </c>
      <c r="K25" s="224" t="s">
        <v>3</v>
      </c>
      <c r="L25" s="162"/>
      <c r="M25" s="57" t="s">
        <v>18</v>
      </c>
      <c r="N25" s="301">
        <f>MIN(IF(AND(J14="15-20 mcg/mL",T26&gt;=15,T26&lt;=20),T24,IF(AND(J14="15-20 mcg/mL",T26&lt;15),T24+250,IF(AND(J14="15-20 mcg/mL",T26&gt;20),T24-250,
IF(AND(J14="14-19 mcg/mL",T26&gt;=14,T26&lt;=19),T24,IF(AND(J14="14-19 mcg/mL",T26&lt;14),T24+250,IF(AND(J14="14-19 mcg/mL",T26&gt;19),T24-250,
IF(AND(J14="13-18 mcg/mL",T26&gt;=13,T26&lt;=18),T24,IF(AND(J14="13-18 mcg/mL",T26&lt;13),T24+250,IF(AND(J14="13-18 mcg/mL",T26&gt;18),T24-250,
IF(AND(J14="12-17 mcg/mL",T26&gt;=12,T26&lt;=17),T24,IF(AND(J14="12-17 mcg/mL",T26&lt;12),T24+250,IF(AND(J14="12-17 mcg/mL",T26&gt;17),T24-250,
IF(AND(J14="11-16 mcg/mL",T26&gt;=11,T26&lt;=16),T24,IF(AND(J14="11-16 mcg/mL",T26&lt;11),T24+250,IF(AND(J14="11-16 mcg/mL",T26&gt;16),T24-250,
IF(AND(J14="10-15 mcg/mL",T26&gt;=10,T26&lt;=15),T24,IF(AND(J14="10-15 mcg/mL",T26&lt;10),T24+250,IF(AND(J14="10-15 mcg/mL",T26&gt;15),T24-250)))))))))))))))))),2000)</f>
        <v>1000</v>
      </c>
      <c r="O25" s="306" t="str">
        <f>IF(AND(N25=1750,N26=8),"1500",IF(AND(N25=1500,N26=8,N28&gt;16.5),"1250",IF(AND(N25=750,N26=18,N28&lt;16,E27&lt;37.5),"500",IF(AND(N25=750,N26=18,N28&gt;19,E27&lt;37.5),"750",IF(AND(N25=750,N26=18,N28&gt;16.5,E27&gt;=37.5),"1000",IF(AND(N25=750,N26=18,N28&lt;12,E27&gt;=43),"1250",IF(AND(N25=1000,N26=18,N28&gt;17.5,E27&lt;44),"500",IF(AND(N25=1000,N26=18,N28&gt;17.5,E27&gt;=44),"1250",IF(AND(N25=1000,N26=18,N28&lt;12),"750",IF(AND(N25=1250,N26=18,N28&lt;18.5),"750",IF(AND(N25=1250,N26=18,N28&gt;=18.5),"1000",IF(AND(N25=1500,N26=18,N28&lt;17),"1000",IF(AND(N25=1500,N26=18,N28&lt;13),"1000",IF(AND(N25=1500,N26=18,N28&gt;=17.5),"1250",IF(AND(N25=1750,N26=18,N28&gt;=12),"1000",IF(AND(N25=1750,N26=18,N28&lt;12),"1250",IF(AND(N25=2000,N26=18,N28&lt;18,N28&gt;=14),"1250",IF(AND(N25=2000,N26=18,N28&lt;14),"1500",IF(AND(N25=2000,N26=18,N28&gt;=18),"1000",IF(AND(N25=750,N26=36,N28&lt;16),"500",IF(AND(N25=750,N26=36,N28&lt;13),"500",IF(AND(N25=750,N26=36,N28&gt;17,E27&gt;38.5),"1000",IF(AND(N25=1000,N26=36,N28&gt;18,E27&lt;47),"500",IF(AND(N25=1000,N26=36,N28&gt;18,E27&gt;=47),"1250",IF(AND(N25=1000,N26=36,N28&lt;11.5),"750",IF(AND(N25=1250,N26=36),"750",IF(AND(N25=1500,N26=36,N28&lt;=16),"1000",IF(AND(N25=1500,N26=36,N28&gt;17),"750",IF(AND(N25=1750,N26=36,N28&gt;=12),"1000",IF(AND(N25=1750,N26=36,N28&lt;12),"1250",IF(AND(N25=2000,N26=36,N28&lt;18,N28&gt;=14),"1250",IF(AND(N25=2000,N26=36,N28&lt;14),"1500",IF(AND(N25=2000,N26=36,N28&gt;=18),"1000",IF(AND(N25=750,N26=12,N28&gt;19.5,E27&gt;=38),"1000",IF(AND(N25=750,N26=12,N28&lt;11.5,E27&gt;=38),"1000",IF(AND(N25=1750,N26=12,N28&gt;=16),"1000",IF(AND(N25=2000,N26=12,N28&lt;19),"1250",IF(AND(N25=2000,N26=12,N28&gt;=19),"1000",IF(AND(N25=750,N26=8,N28&gt;=19.4,E27&gt;38),"1000",IF(AND(N25=750,N26=8,N28&lt;11.5,E27&gt;38),"1000",IF(AND(N25=750,N26=8,N28&gt;19,E27&lt;35),"500",IF(AND(N25=1000,N26=8,N28&gt;19,E27&lt;52.5),"750",IF(AND(N25=1000,N26=8,N28&gt;18,E27&gt;=52.5),"1500",IF(AND(N25=1250,N26=8,N28&gt;19),"1000",IF(AND(N25=1000,N26=12,N28&gt;19),"750",IF(AND(N25=1250,N26=12,N28&gt;18.5),"1000",IF(AND(N25=1250,N26=12,N28&lt;=18.5),"750",IF(AND(N25=1500,N26=12,N28&gt;18),"1250",IF(AND(N25=2000,N26=24,N28&gt;16),"1750",IF(AND(N25=1750,N26=24,N28&gt;16.5),"1500",IF(AND(N25=1500,N26=24,N28&gt;17),"1250",IF(AND(N25=1250,N26=24,N28&gt;18),"1000",IF(AND(N25=1000,N26=24,N28&gt;19),"750",IF(AND(N25=2000,N26=48,N28&gt;16),"1750",IF(AND(N25=1750,N26=48,N28&gt;16.5),"1500",IF(AND(N25=1500,N26=48,N28&gt;17),"1250",IF(AND(N25=1250,N26=48,N28&gt;18),"1000",IF(AND(N25=1250,N26=48,N28&lt;=18),"500",IF(AND(N25=1000,N26=48,N28&gt;19),"750",IF(AND(N25=2000,N26=72,N28&gt;16),"1750",IF(AND(N25=1750,N26=72,N28&gt;16.5),"1500",IF(AND(N25=1500,N26=72,N28&gt;17),"1250",IF(AND(N25=1250,N26=72,N28&gt;18),"1000",IF(AND(N25=1000,N26=72,N28&gt;19),"750",""))))))))))))))))))))))))))))))))))))))))))))))))))))))))))))))))</f>
        <v/>
      </c>
      <c r="P25" s="86" t="s">
        <v>3</v>
      </c>
      <c r="Q25" s="16"/>
      <c r="R25" s="168"/>
      <c r="S25" s="172" t="s">
        <v>32</v>
      </c>
      <c r="T25" s="176">
        <f>(T24*(1-EXP(-E28*T24/T18)))/((E28*E27*T24/T18)*(1-EXP(-E28*N26)))</f>
        <v>33.996936771903833</v>
      </c>
      <c r="U25" s="134"/>
      <c r="V25" s="225">
        <f>(V26-V22)/4+V24</f>
        <v>8.5</v>
      </c>
      <c r="W25" s="225">
        <f>W24*EXP(-E28*(V25-V24))</f>
        <v>35.47356146247008</v>
      </c>
      <c r="X25" s="469" t="e">
        <f>(X26-X22)/4+X24</f>
        <v>#VALUE!</v>
      </c>
      <c r="Y25" s="469" t="e">
        <f>Y24*EXP(-E28*(X25-X24))</f>
        <v>#VALUE!</v>
      </c>
    </row>
    <row r="26" spans="1:29" ht="15.75" customHeight="1">
      <c r="A26" s="4"/>
      <c r="B26" s="123"/>
      <c r="C26" s="9"/>
      <c r="D26" s="293" t="s">
        <v>146</v>
      </c>
      <c r="E26" s="88">
        <f>IF(F16="kg",(0.7*E25+0.055*E16)*0.06,IF(F16="lbs",(0.7*E25+0.055*(E16/2.20462))*0.06))</f>
        <v>1.689060234615491</v>
      </c>
      <c r="F26" s="19" t="s">
        <v>12</v>
      </c>
      <c r="G26" s="9"/>
      <c r="H26" s="529">
        <f>IF(J25&gt;0,(J25*(1-EXP(-E28*(J25/T18))))/(J25/T18*E28*E27),IF(J25=0,""))</f>
        <v>42.399132098103742</v>
      </c>
      <c r="I26" s="557" t="str">
        <f>IF(J25=0,"","mcg/mL (Peak at end of infusion)")</f>
        <v>mcg/mL (Peak at end of infusion)</v>
      </c>
      <c r="J26" s="557"/>
      <c r="K26" s="558"/>
      <c r="L26" s="162"/>
      <c r="M26" s="33" t="s">
        <v>20</v>
      </c>
      <c r="N26" s="132">
        <f>IF(E27&lt;=75,IF((LN(35/15)/E28)&lt;=8,8,IF(AND(8&lt;(LN(35/15)/E28),(LN(35/15)/E28)&lt;12),IF(ABS((LN(35/15)/E28)-8)&lt;ABS((LN(35/15)/E28)-12),8,12),IF((LN(35/15)/E28)=12,12,IF(AND(12&lt;(LN(35/15)/E28),(LN(35/15)/E28)&lt;18),IF(ABS((LN(35/15)/E28)-12)&lt;ABS((LN(35/15)/E28)-18),12,18),IF((LN(35/15)/E28)=18,18,IF(AND(18&lt;(LN(35/15)/E28),(LN(35/15)/E28)&lt;24),IF(ABS((LN(35/15)/E28)-18)&lt;ABS((LN(35/15)/E28)-24),18,24),IF((LN(35/15)/E28)=24,24,IF(AND(24&lt;(LN(35/15)/E28),(LN(35/15)/E28)&lt;36),IF(ABS((LN(35/15)/E28)-24)&lt;ABS((LN(35/15)/E28)-36),24,36),IF((LN(35/15)/E28)=36,36,IF(AND(36&lt;(LN(35/15)/E28),(LN(35/15)/E28)&lt;48),IF(ABS((LN(35/15)/E28)-36)&lt;ABS((LN(35/15)/E28)-48),36,48),IF((LN(35/15)/E28)=48,48,IF(AND(48&lt;(LN(35/15)/E28),(LN(35/15)/E28)&lt;72),IF(ABS((LN(35/15)/E28)-48)&lt;ABS((LN(35/15)/E28)-72),48,72),IF((LN(35/15)/E28)&gt;=72,72,"Error"))))))))))))),IF(E27&gt;75,IF((LN(30/15)/E28)&lt;=8,8,IF(AND(8&lt;(LN(30/15)/E28),(LN(30/15)/E28)&lt;12),IF(ABS((LN(30/15)/E28)-8)&lt;ABS((LN(30/15)/E28)-12),8,12),IF((LN(30/15)/E28)=12,12,IF(AND(12&lt;(LN(30/15)/E28),(LN(30/15)/E28)&lt;18),IF(ABS((LN(30/15)/E28)-12)&lt;ABS((LN(30/15)/E28)-18),12,18),IF((LN(30/15)/E28)=18,18,IF(AND(18&lt;(LN(30/15)/E28),(LN(30/15)/E28)&lt;24),IF(ABS((LN(30/15)/E28)-18)&lt;ABS((LN(30/15)/E28)-24),18,24),IF((LN(30/15)/E28)=24,24,IF(AND(24&lt;(LN(30/15)/E28),(LN(30/15)/E28)&lt;36),IF(ABS((LN(30/15)/E28)-24)&lt;ABS((LN(30/15)/E28)-36),24,36),IF((LN(30/15)/E28)=36,36,IF(AND(36&lt;(LN(30/15)/E28),(LN(30/15)/E28)&lt;48),IF(ABS((LN(30/15)/E28)-36)&lt;ABS((LN(30/15)/E28)-48),36,48),IF((LN(30/15)/E28)=48,48,IF(AND(48&lt;(LN(30/15)/E28),(LN(30/15)/E28)&lt;72),IF(ABS((LN(30/15)/E28)-48)&lt;ABS((LN(30/15)/E28)-72),48,72),IF((LN(30/15)/E28)&gt;=72,72,"Error")))))))))))))))</f>
        <v>24</v>
      </c>
      <c r="O26" s="304" t="str">
        <f>IF(AND(N25=1750,N26=8),"8",IF(AND(N25=1500,N26=8,N28&gt;16.5),"8",IF(AND(N25=750,N26=18,N28&lt;16,E27&lt;37.5),"12",IF(AND(N25=750,N26=18,N28&gt;19,E27&lt;37.5),"24",IF(AND(N25=750,N26=18,N28&gt;16.5,E27&gt;=37.5),"24",IF(AND(N25=750,N26=18,N28&lt;12,E27&gt;=43),"24",IF(AND(N25=1000,N26=18,N28&gt;17.5,E27&lt;44),"12",IF(AND(N25=1000,N26=18,N28&gt;17.5,E27&gt;=44),"24",IF(AND(N25=1000,N26=18,N28&lt;12),"12",IF(AND(N25=1250,N26=18,N28&lt;18.5),"12",IF(AND(N25=1250,N26=18,N28&gt;=18.5),"18",IF(AND(N25=1500,N26=18,N28&lt;17),"12",IF(AND(N25=1500,N26=18,N28&lt;13),"12",IF(AND(N25=1500,N26=18,N28&gt;=17.5),"18",IF(AND(N25=1750,N26=18),"12",IF(AND(N25=2000,N26=18),"12",IF(AND(N25=750,N26=36,N28&lt;16),"24",IF(AND(N25=750,N26=36,N28&lt;13),"24",IF(AND(N25=750,N26=36,N28&gt;17,E27&gt;38.5),"48",IF(AND(N25=1000,N26=36,N28&gt;18,E27&lt;47),"24",IF(AND(N25=1000,N26=36,N28&gt;18,E27&gt;=47),"48",IF(AND(N25=1000,N26=36,N28&lt;11.5),"24",IF(AND(N25=1250,N26=36),"24",IF(AND(N25=1500,N26=36,N28&lt;=16),"24",IF(AND(N25=1500,N26=36,N28&gt;17),"24",IF(AND(N25=1750,N26=36),"24",IF(AND(N25=2000,N26=36),"24",IF(AND(N25=750,N26=12,N28&gt;19.5,E27&gt;=38),"18",IF(AND(N25=750,N26=12,N28&lt;11.5,E27&gt;=38),"12",IF(AND(N25=1750,N26=12,N28&gt;=16),"8",IF(AND(N25=2000,N26=12),"8",IF(AND(N25=750,N26=8,N28&gt;=19.4,E27&gt;38),"12",IF(AND(N25=750,N26=8,N28&lt;11.5,E27&gt;38),"8",IF(AND(N25=750,N26=8,N28&gt;19,E27&lt;35),"8",IF(AND(N25=1250,N26=8,N28&gt;19),"8",IF(AND(N25=1000,N26=8,N28&gt;19,E27&lt;52.5),"8",IF(AND(N25=1000,N26=8,N28&gt;18,E27&gt;=52.5),"12",IF(AND(N25=1000,N26=12,N28&gt;19),"12",IF(AND(N25=1250,N26=12,N28&gt;18.5),"12",IF(AND(N25=1250,N26=12,N28&lt;=18.5),"8",IF(AND(N25=1500,N26=12,N28&gt;18),"12",IF(AND(N25=2000,N26=24,N28&gt;16),"24",IF(AND(N25=1750,N26=24,N28&gt;16.5),"24",IF(AND(N25=1500,N26=24,N28&gt;17),"24",IF(AND(N25=1250,N26=24,N28&gt;18),"24",IF(AND(N25=1000,N26=24,N28&gt;19),"24",IF(AND(N25=2000,N26=48,N28&gt;16),"48",IF(AND(N25=1750,N26=48,N28&gt;16.5),"48",IF(AND(N25=1500,N26=48,N28&gt;17),"48",IF(AND(N25=1250,N26=48,N28&gt;18),"48",IF(AND(N25=1250,N26=48,N28&lt;=18),"24",IF(AND(N25=1000,N26=48,N28&gt;19),"48",IF(AND(N25=2000,N26=72,N28&gt;16),"72",IF(AND(N25=1750,N26=72,N28&gt;16.5),"72",IF(AND(N25=1500,N26=72,N28&gt;17),"72",IF(AND(N25=1250,N26=72,N28&gt;18),"72",IF(AND(N25=1000,N26=72,N28&gt;19),"72","")))))))))))))))))))))))))))))))))))))))))))))))))))))))))</f>
        <v/>
      </c>
      <c r="P26" s="31" t="s">
        <v>4</v>
      </c>
      <c r="Q26" s="16"/>
      <c r="R26" s="168"/>
      <c r="S26" s="172" t="s">
        <v>19</v>
      </c>
      <c r="T26" s="176">
        <f>ROUND(T25*EXP(-E28*(N26-T24/T18)),4)</f>
        <v>17.160900000000002</v>
      </c>
      <c r="V26" s="225">
        <f>IF(J25&gt;0,J30+V22,IF(J25=0,N26))</f>
        <v>10.5</v>
      </c>
      <c r="W26" s="225">
        <f>W25*EXP(-E28*(V26-V25))</f>
        <v>33.426230333656463</v>
      </c>
      <c r="X26" s="471" t="e">
        <f>IF(J25&gt;0,J30+X22,IF(J25=0,O26*1))</f>
        <v>#VALUE!</v>
      </c>
      <c r="Y26" s="469" t="e">
        <f>Y25*EXP(-E28*(X26-X25))</f>
        <v>#VALUE!</v>
      </c>
    </row>
    <row r="27" spans="1:29" ht="17.25" customHeight="1">
      <c r="A27" s="4"/>
      <c r="B27" s="123"/>
      <c r="C27" s="9"/>
      <c r="D27" s="505" t="s">
        <v>1</v>
      </c>
      <c r="E27" s="506">
        <f>T35</f>
        <v>56.825999999999993</v>
      </c>
      <c r="F27" s="120" t="s">
        <v>67</v>
      </c>
      <c r="G27" s="160"/>
      <c r="H27" s="525">
        <v>20</v>
      </c>
      <c r="I27" s="523" t="s">
        <v>247</v>
      </c>
      <c r="J27" s="485">
        <f>IF(J25=0,"",IF(J25&gt;0,IF(LN(H26/20)/E28&gt;0,LN(H26/20)/E28,IF(LN(H26/20)/E28&lt;=0,""))))</f>
        <v>25.279623885132086</v>
      </c>
      <c r="K27" s="19" t="s">
        <v>4</v>
      </c>
      <c r="L27" s="162"/>
      <c r="M27" s="17" t="s">
        <v>128</v>
      </c>
      <c r="N27" s="116">
        <f>(N25*(1-EXP(-E28*(N25/T18))))/((E28*E27*(N25/T18)*(1-EXP(-E28*N26))))</f>
        <v>33.996936771903833</v>
      </c>
      <c r="O27" s="87" t="e">
        <f>(O25*(1-EXP(-E28*(O25/T18))))/((E28*E27*(O25/T18)*(1-EXP(-E28*O26))))</f>
        <v>#VALUE!</v>
      </c>
      <c r="P27" s="19" t="s">
        <v>5</v>
      </c>
      <c r="Q27" s="16"/>
      <c r="R27" s="168"/>
      <c r="V27" s="148">
        <f>V26+N25/T18</f>
        <v>11.5</v>
      </c>
      <c r="W27" s="148">
        <f>W26*(EXP(-E28*(V27-V26)))+((N25*(1-EXP(-E28*N25/T18)))/((N25/T18)*E28*E27))</f>
        <v>49.785931524809172</v>
      </c>
      <c r="X27" s="468" t="e">
        <f>X26+(O25/T18)</f>
        <v>#VALUE!</v>
      </c>
      <c r="Y27" s="468" t="e">
        <f>Y26*(EXP(-E28*(X27-X26)))+((O25*(1-EXP(-E28*O25/T18)))/((O25/T18)*E28*E27))</f>
        <v>#VALUE!</v>
      </c>
    </row>
    <row r="28" spans="1:29" ht="16.5" customHeight="1">
      <c r="A28" s="4"/>
      <c r="B28" s="123"/>
      <c r="C28" s="9"/>
      <c r="D28" s="361" t="s">
        <v>246</v>
      </c>
      <c r="E28" s="362">
        <f>MAX(MIN(E26/E27,0.15),0.008)</f>
        <v>2.9723370193494022E-2</v>
      </c>
      <c r="F28" s="363" t="s">
        <v>66</v>
      </c>
      <c r="G28" s="160"/>
      <c r="H28" s="522">
        <v>15</v>
      </c>
      <c r="I28" s="519" t="s">
        <v>247</v>
      </c>
      <c r="J28" s="365">
        <f>IF(J25=0,"",IF(J25&gt;0,IF(LN(H26/15)/E28&gt;0,LN(H26/15)/E28,IF(LN(H26/15)/E28&lt;=0,""))))</f>
        <v>34.958273061824372</v>
      </c>
      <c r="K28" s="363" t="s">
        <v>4</v>
      </c>
      <c r="L28" s="162"/>
      <c r="M28" s="17" t="s">
        <v>129</v>
      </c>
      <c r="N28" s="116">
        <f>ROUND(N27*EXP(-E28*(N26-N25/T18)),4)</f>
        <v>17.160900000000002</v>
      </c>
      <c r="O28" s="87" t="e">
        <f>ROUND(O27*EXP(-E28*(O26-O25/T18)),4)</f>
        <v>#VALUE!</v>
      </c>
      <c r="P28" s="19" t="s">
        <v>5</v>
      </c>
      <c r="Q28" s="16"/>
      <c r="R28" s="168"/>
      <c r="V28" s="148">
        <f>(V31-V27)/4+V27</f>
        <v>17.25</v>
      </c>
      <c r="W28" s="148">
        <f>W27*EXP(-E28*(V28-V27))</f>
        <v>41.964459849757645</v>
      </c>
      <c r="X28" s="468" t="e">
        <f>(X31-X27)/4+X27</f>
        <v>#VALUE!</v>
      </c>
      <c r="Y28" s="468" t="e">
        <f>Y27*EXP(-E28*(X28-X27))</f>
        <v>#VALUE!</v>
      </c>
    </row>
    <row r="29" spans="1:29" s="375" customFormat="1" ht="18" customHeight="1" thickBot="1">
      <c r="A29" s="358"/>
      <c r="B29" s="359"/>
      <c r="C29" s="360"/>
      <c r="D29" s="23" t="s">
        <v>151</v>
      </c>
      <c r="E29" s="150">
        <f>0.693/E28</f>
        <v>23.3149873479585</v>
      </c>
      <c r="F29" s="269" t="s">
        <v>4</v>
      </c>
      <c r="G29" s="364"/>
      <c r="H29" s="526">
        <v>10</v>
      </c>
      <c r="I29" s="527" t="s">
        <v>247</v>
      </c>
      <c r="J29" s="485">
        <f>IF(J25=0,"",IF(J25&gt;0,IF(LN(H26/10)/E28&gt;0,LN(H26/10)/E28,IF(LN(H26/10)/E28&lt;=0,""))))</f>
        <v>48.599562911146855</v>
      </c>
      <c r="K29" s="19" t="s">
        <v>4</v>
      </c>
      <c r="L29" s="366"/>
      <c r="M29" s="228" t="s">
        <v>145</v>
      </c>
      <c r="N29" s="367">
        <f>IF(AND(N26&lt;=24,J15="Empiric or 1 mg/L"),((N25/N26)*24/E26)/1,IF(AND(J15="0.5 mg/L",N26&lt;=24),((N25/N26)*24/E26)/0.5,IF(AND(J15="2.0 mg/L",N26&lt;=24),((N25/N26)*24/E26)/2,IF(AND(N26&gt;24,J15="Empiric or 1 mg/L"),(N27+N28)/2*(N25/T18)+((N27-T30)*(24-N25/T18))/LN(N27/T30),IF(AND(J15="0.5 mg/L",N26&gt;24),(N27+N28)/2*(N25/T18)+((N27-T30)*(24-N25/T18))/LN(N27/T30)/0.5,IF(AND(J15="2.0 mg/L",N26&gt;24),(N27+N28)/2*(N25/T18)+((N27-T30)*(24-N25/T18))/LN(N27/T30)/2))))))</f>
        <v>592.0451973861351</v>
      </c>
      <c r="O29" s="367" t="e">
        <f>IF(AND(O26*1&lt;=24,J15="Empiric or 1 mg/L"),((O25/O26)*24/E26)/1,IF(AND(J15="0.5 mg/L",O26*1&lt;=24),((O25/O26)*24/E26)/0.5,IF(AND(J15="2.0 mg/L",O26*1&lt;=24),((O25/O26)*24/E26)/2,IF(AND(O26*1&gt;24,J15="Empiric or 1 mg/L"),(O27+O28)/2*(O25/T18)+((O27-U30)*(24-O25/T18))/LN(O27/U30),IF(AND(J15="0.5 mg/L",O26*1&gt;24),(O27+O28)/2*(O25/T18)+((O27-U30)*(24-O25/T18))/LN(O27/U30)/0.5,IF(AND(J15="2.0 mg/L",O26*1&gt;24),(O27+O28)/2*(O25/T18)+((O27-U30)*(24-O25/T18))/LN(O27/U30)/2))))))</f>
        <v>#VALUE!</v>
      </c>
      <c r="P29" s="368"/>
      <c r="Q29" s="369"/>
      <c r="R29" s="370"/>
      <c r="S29" s="371" t="s">
        <v>133</v>
      </c>
      <c r="T29" s="372">
        <f>N27*EXP(-E28*(12-N25/T18))</f>
        <v>24.515690802760975</v>
      </c>
      <c r="U29" s="373" t="e">
        <f>O27*EXP(-E28*(12-O25/T18))</f>
        <v>#VALUE!</v>
      </c>
      <c r="V29" s="148">
        <f>(V31-V27)/4+V28</f>
        <v>23</v>
      </c>
      <c r="W29" s="148">
        <f>W28*EXP(-E28*(V29-V28))</f>
        <v>35.371757372951386</v>
      </c>
      <c r="X29" s="468" t="e">
        <f>(X31-X27)/4+X28</f>
        <v>#VALUE!</v>
      </c>
      <c r="Y29" s="468" t="e">
        <f>Y28*EXP(-E28*(X29-X28))</f>
        <v>#VALUE!</v>
      </c>
      <c r="Z29" s="358"/>
      <c r="AA29" s="358"/>
      <c r="AB29" s="358"/>
      <c r="AC29" s="358"/>
    </row>
    <row r="30" spans="1:29" ht="30.75" customHeight="1" thickBot="1">
      <c r="A30" s="4"/>
      <c r="B30" s="123"/>
      <c r="C30" s="9"/>
      <c r="D30" s="37"/>
      <c r="E30" s="37"/>
      <c r="F30" s="37"/>
      <c r="G30" s="160"/>
      <c r="H30" s="559" t="s">
        <v>248</v>
      </c>
      <c r="I30" s="560"/>
      <c r="J30" s="524">
        <v>8</v>
      </c>
      <c r="K30" s="22" t="s">
        <v>4</v>
      </c>
      <c r="L30" s="162"/>
      <c r="M30" s="258" t="s">
        <v>213</v>
      </c>
      <c r="N30" s="259" t="b">
        <f>IF(J15="Empiric or 1 mg/L",IF(N26=48,(T30-T32)*24/LN(T30/T32),IF(N26=36,(T29-T31)*24/LN(T29/T31),IF(N26=72,(T32-T33)*24/LN(T32/T33)))),IF(J15="0.5 mg/L",IF(N26=48,(T30-T32)*24/LN(T30/T32)/0.5,IF(N26=36,(T29-T31)*24/LN(T29/T31)/0.5,IF(N26=72,(T32-T33)*24/LN(T32/T33)/0.5))),IF(J15="2.0 mg/L",IF(N26=48,(T30-T32)*24/LN(T30/T32)/2,IF(N26=36,(T29-T31)*24/LN(T29/T31)/2,IF(N26=72,((T32-T33)*24/LN(T32/T33))/2))))))</f>
        <v>0</v>
      </c>
      <c r="O30" s="259" t="e">
        <f>IF(J15="Empiric or 1 mg/L",IF(O26*1=48,(U30-U32)*24/LN(U30/U32),IF(O26*1=36,(U29-U31)*24/LN(U29/U31),IF(O26*1=72,(U32-U33)*24/LN(U32/U33)))),IF(J15="0.5 mg/L",IF(O26*1=48,(U30-U32)*24/LN(U30/U32)/0.5,IF(O26*1=36,(U29-U31)*24/LN(U29/U31)/0.5,IF(O26*1=72,(U32-U33)*24/LN(U32/U33)/0.5))),IF(J15="2.0 mg/L",IF(O26*1=48,(U30-U32)*24/LN(U30/U32)/2,IF(O26*1=36,(U29-U31)*24/LN(U29/U31)/2,IF(O26*1=72,((U32-U33)*24/LN(U32/U33))/2))))))</f>
        <v>#VALUE!</v>
      </c>
      <c r="P30" s="227"/>
      <c r="Q30" s="16"/>
      <c r="R30" s="168"/>
      <c r="S30" s="180" t="s">
        <v>115</v>
      </c>
      <c r="T30" s="181">
        <f>N27*EXP(-E28*(24-N25/T18))</f>
        <v>17.160889204528452</v>
      </c>
      <c r="U30" s="229" t="e">
        <f>O27*EXP(-E28*(24-O25/T18))</f>
        <v>#VALUE!</v>
      </c>
      <c r="V30" s="148">
        <f>(V31-V27)/4+V29</f>
        <v>28.75</v>
      </c>
      <c r="W30" s="148">
        <f>W29*EXP(-E28*(V30-V29))</f>
        <v>29.814781940012661</v>
      </c>
      <c r="X30" s="468" t="e">
        <f>(X31-X27)/4+X29</f>
        <v>#VALUE!</v>
      </c>
      <c r="Y30" s="468" t="e">
        <f>Y29*EXP(-E28*(X30-X29))</f>
        <v>#VALUE!</v>
      </c>
    </row>
    <row r="31" spans="1:29" ht="18.75" customHeight="1" thickBot="1">
      <c r="A31" s="4"/>
      <c r="B31" s="123"/>
      <c r="C31" s="9"/>
      <c r="D31" s="78"/>
      <c r="E31" s="9"/>
      <c r="F31" s="9"/>
      <c r="G31" s="160"/>
      <c r="H31" s="561" t="s">
        <v>130</v>
      </c>
      <c r="I31" s="562"/>
      <c r="J31" s="104">
        <f>IF(J25=0,"",IF(J25&gt;0,H26*EXP(-E28*J30)))</f>
        <v>33.426230333656449</v>
      </c>
      <c r="K31" s="105" t="s">
        <v>5</v>
      </c>
      <c r="L31" s="162"/>
      <c r="M31" s="354"/>
      <c r="N31" s="354"/>
      <c r="O31" s="354"/>
      <c r="P31" s="354"/>
      <c r="Q31" s="16"/>
      <c r="R31" s="168"/>
      <c r="S31" s="172" t="s">
        <v>132</v>
      </c>
      <c r="T31" s="176">
        <f>N27*EXP(-E28*(36-N25/T18))</f>
        <v>12.012556393350119</v>
      </c>
      <c r="U31" s="176" t="e">
        <f>O27*EXP(-E28*(36-O25/T18))</f>
        <v>#VALUE!</v>
      </c>
      <c r="V31" s="148">
        <f>V26+N26</f>
        <v>34.5</v>
      </c>
      <c r="W31" s="148">
        <f>W30*EXP(-E28*(V31-V30))</f>
        <v>25.130818713866304</v>
      </c>
      <c r="X31" s="468" t="e">
        <f>X26+O26</f>
        <v>#VALUE!</v>
      </c>
      <c r="Y31" s="468" t="e">
        <f>Y30*EXP(-E28*(X31-X30))</f>
        <v>#VALUE!</v>
      </c>
    </row>
    <row r="32" spans="1:29" ht="15.75" customHeight="1" thickBot="1">
      <c r="A32" s="4"/>
      <c r="B32" s="123"/>
      <c r="C32" s="9"/>
      <c r="D32" s="528"/>
      <c r="E32" s="9"/>
      <c r="F32" s="9"/>
      <c r="G32" s="9"/>
      <c r="H32" s="9"/>
      <c r="I32" s="37"/>
      <c r="J32" s="37"/>
      <c r="K32" s="37"/>
      <c r="L32" s="9"/>
      <c r="M32" s="500"/>
      <c r="N32" s="632"/>
      <c r="O32" s="632"/>
      <c r="P32" s="632"/>
      <c r="Q32" s="16"/>
      <c r="R32" s="168"/>
      <c r="S32" s="182" t="s">
        <v>116</v>
      </c>
      <c r="T32" s="183">
        <f>N27*EXP(-E28*(48-N25/T18))</f>
        <v>8.4087432407254425</v>
      </c>
      <c r="U32" s="229" t="e">
        <f>O27*EXP(-E28*(48-O25/T18))</f>
        <v>#VALUE!</v>
      </c>
      <c r="V32" s="225">
        <f>V31+N25/T18</f>
        <v>35.5</v>
      </c>
      <c r="W32" s="225">
        <f>W31*EXP(-E28*(V32-V31))+((N25*(1-EXP(-E28*N25/T18)))/((N25/T18)*E28*E27))</f>
        <v>41.733459123630681</v>
      </c>
      <c r="X32" s="469" t="e">
        <f>X31+O25/T18</f>
        <v>#VALUE!</v>
      </c>
      <c r="Y32" s="469" t="e">
        <f>Y31*EXP(-E28*(X32-X31))+((O25*(1-EXP(-E28*O25/T18)))/((O25/T18)*E28*E27))</f>
        <v>#VALUE!</v>
      </c>
      <c r="Z32" s="174"/>
    </row>
    <row r="33" spans="1:29" ht="15.75" customHeight="1" thickBot="1">
      <c r="A33" s="4"/>
      <c r="B33" s="123"/>
      <c r="C33" s="446" t="s">
        <v>262</v>
      </c>
      <c r="D33" s="9"/>
      <c r="E33" s="9"/>
      <c r="F33" s="9"/>
      <c r="G33" s="217"/>
      <c r="H33" s="217"/>
      <c r="I33" s="498" t="s">
        <v>31</v>
      </c>
      <c r="J33" s="9"/>
      <c r="K33" s="618" t="s">
        <v>261</v>
      </c>
      <c r="L33" s="619"/>
      <c r="M33" s="78"/>
      <c r="N33" s="632"/>
      <c r="O33" s="632"/>
      <c r="P33" s="632"/>
      <c r="Q33" s="16"/>
      <c r="R33" s="168"/>
      <c r="S33" s="222" t="s">
        <v>119</v>
      </c>
      <c r="T33" s="183">
        <f>N27*EXP(-E28*(72-N25/T18))</f>
        <v>4.1202388784019135</v>
      </c>
      <c r="U33" s="176" t="e">
        <f>O27*EXP(-E28*(72-O25/T18))</f>
        <v>#VALUE!</v>
      </c>
      <c r="V33" s="225">
        <f>(V36-V32)/4+V32</f>
        <v>41.25</v>
      </c>
      <c r="W33" s="225">
        <f>W32*EXP(-E$28*(V33-V32))</f>
        <v>35.177047333389517</v>
      </c>
      <c r="X33" s="469" t="e">
        <f>(X36-X32)/4+X32</f>
        <v>#VALUE!</v>
      </c>
      <c r="Y33" s="469" t="e">
        <f>Y32*EXP(-E$28*(X33-X32))</f>
        <v>#VALUE!</v>
      </c>
    </row>
    <row r="34" spans="1:29" ht="17.25" customHeight="1">
      <c r="A34" s="4"/>
      <c r="B34" s="123"/>
      <c r="C34" s="9"/>
      <c r="D34" s="9"/>
      <c r="E34" s="9"/>
      <c r="F34" s="9"/>
      <c r="G34" s="9"/>
      <c r="H34" s="9"/>
      <c r="I34" s="37"/>
      <c r="J34" s="9"/>
      <c r="K34" s="37"/>
      <c r="L34" s="37"/>
      <c r="M34" s="9"/>
      <c r="N34" s="9"/>
      <c r="O34" s="9"/>
      <c r="P34" s="9"/>
      <c r="Q34" s="16"/>
      <c r="R34" s="168"/>
      <c r="V34" s="225">
        <f>(V36-V32)/4+V33</f>
        <v>47</v>
      </c>
      <c r="W34" s="225">
        <f>W33*EXP(-E$28*(V34-V33))</f>
        <v>29.650661245927282</v>
      </c>
      <c r="X34" s="469" t="e">
        <f>(X36-X32)/4+X33</f>
        <v>#VALUE!</v>
      </c>
      <c r="Y34" s="469" t="e">
        <f>Y33*EXP(-E$28*(X34-X33))</f>
        <v>#VALUE!</v>
      </c>
    </row>
    <row r="35" spans="1:29" ht="16.5" customHeight="1">
      <c r="A35" s="4"/>
      <c r="B35" s="6"/>
      <c r="C35" s="7"/>
      <c r="D35" s="538" t="str">
        <f>IF(N25="","","The graph can be used for comparison with a non-steady-sate level in order to evaluate the PK model and make an empiric dose adjustment.")</f>
        <v>The graph can be used for comparison with a non-steady-sate level in order to evaluate the PK model and make an empiric dose adjustment.</v>
      </c>
      <c r="E35" s="539"/>
      <c r="F35" s="539"/>
      <c r="G35" s="539"/>
      <c r="H35" s="539"/>
      <c r="I35" s="539"/>
      <c r="J35" s="539"/>
      <c r="K35" s="539"/>
      <c r="L35" s="539"/>
      <c r="M35" s="539"/>
      <c r="N35" s="539"/>
      <c r="O35" s="540"/>
      <c r="P35" s="285"/>
      <c r="Q35" s="8"/>
      <c r="R35" s="169"/>
      <c r="S35" s="172" t="s">
        <v>1</v>
      </c>
      <c r="T35" s="474">
        <f>IF(AND(F16="kg",E16&lt;=T14),0.7*E16,IF(AND(E16&gt;T14,F16="kg"),0.7*(T14+0.4*(E16-T14)),IF(AND(F16="lbs",(E16/2.20462)&lt;=T14),0.7*(E16/2.20462),IF(AND((E16/2.20462)&gt;T14,F16="lbs"),0.7*(T14+0.4*((E16/2.20462)-T14))))))</f>
        <v>56.825999999999993</v>
      </c>
      <c r="U35" s="218"/>
      <c r="V35" s="225">
        <f>(V36-V32)/4+V34</f>
        <v>52.75</v>
      </c>
      <c r="W35" s="225">
        <f>W34*EXP(-E$28*(V35-V34))</f>
        <v>24.992481716515393</v>
      </c>
      <c r="X35" s="469" t="e">
        <f>(X36-X32)/4+X34</f>
        <v>#VALUE!</v>
      </c>
      <c r="Y35" s="469" t="e">
        <f>Y34*EXP(-E$28*(X35-X34))</f>
        <v>#VALUE!</v>
      </c>
    </row>
    <row r="36" spans="1:29" ht="18" customHeight="1">
      <c r="A36" s="4"/>
      <c r="B36" s="6"/>
      <c r="C36" s="7"/>
      <c r="D36" s="582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2"/>
      <c r="P36" s="285"/>
      <c r="Q36" s="286"/>
      <c r="R36" s="169"/>
      <c r="U36" s="177"/>
      <c r="V36" s="225">
        <f>N26+V31</f>
        <v>58.5</v>
      </c>
      <c r="W36" s="225">
        <f>W35*EXP(-E28*(V36-V35))</f>
        <v>21.066111719048173</v>
      </c>
      <c r="X36" s="469" t="e">
        <f>O26+X31</f>
        <v>#VALUE!</v>
      </c>
      <c r="Y36" s="469" t="e">
        <f>Y35*EXP(-E28*(X36-X35))</f>
        <v>#VALUE!</v>
      </c>
    </row>
    <row r="37" spans="1:29" ht="18">
      <c r="A37" s="4"/>
      <c r="B37" s="123"/>
      <c r="C37" s="9"/>
      <c r="D37" s="543" t="str">
        <f>IF(AND(F14="mg/dL",E14&lt;0.7),"Consider rounding SCr up to 0.7 mg/dL.",IF(AND(F14="µmol/L",E14&lt;61.88),"Note: Consider rounding SCr up to 61.88 µmol/L.",IF(OR(F14="mg/dL",E14&gt;=0.7),"",IF(OR(F14="µmol/L",E14&gt;=61.88),""))))</f>
        <v/>
      </c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9"/>
      <c r="Q37" s="11"/>
      <c r="R37" s="171"/>
      <c r="U37" s="12"/>
      <c r="V37" s="148">
        <f>V36+N25/T18</f>
        <v>59.5</v>
      </c>
      <c r="W37" s="148">
        <f>W36*(EXP(-E28*(V37-V36)))+((N25*(1-EXP(-E28*N25/T18)))/((N25/T18)*E28*E27))</f>
        <v>37.787791036881998</v>
      </c>
      <c r="X37" s="468" t="e">
        <f>X36+O25/T18</f>
        <v>#VALUE!</v>
      </c>
      <c r="Y37" s="468" t="e">
        <f>Y36*(EXP(-E28*(X37-X36)))+((O25*(1-EXP(-E28*O25/T18)))/((O25/T18)*E28*E27))</f>
        <v>#VALUE!</v>
      </c>
    </row>
    <row r="38" spans="1:29" s="158" customFormat="1" ht="17.25" customHeight="1">
      <c r="A38" s="155"/>
      <c r="B38" s="53"/>
      <c r="C38" s="28"/>
      <c r="D38" s="541" t="str">
        <f>IF(N26&lt;36,"",IF(N26&gt;=36,"Note: When the dosing interval is &gt;24 hours, the AUC is higher during the first 24 hours of the dosing interval compared to the last 24 hours of the interval."))</f>
        <v/>
      </c>
      <c r="E38" s="541"/>
      <c r="F38" s="541"/>
      <c r="G38" s="541"/>
      <c r="H38" s="541"/>
      <c r="I38" s="541"/>
      <c r="J38" s="541"/>
      <c r="K38" s="541"/>
      <c r="L38" s="541"/>
      <c r="M38" s="541"/>
      <c r="N38" s="541"/>
      <c r="O38" s="541"/>
      <c r="P38" s="28"/>
      <c r="Q38" s="54"/>
      <c r="R38" s="174"/>
      <c r="S38" s="174"/>
      <c r="T38" s="174"/>
      <c r="U38" s="174"/>
      <c r="V38" s="148">
        <f>(V41-V37)/4+V37</f>
        <v>65.25</v>
      </c>
      <c r="W38" s="148">
        <f>W37*EXP(-E28*(V38-V37))</f>
        <v>31.851251773567064</v>
      </c>
      <c r="X38" s="468" t="e">
        <f>(X41-X37)/4+X37</f>
        <v>#VALUE!</v>
      </c>
      <c r="Y38" s="468" t="e">
        <f>Y37*EXP(-E$28*(X38-X37))</f>
        <v>#VALUE!</v>
      </c>
      <c r="Z38" s="155"/>
      <c r="AA38" s="155"/>
      <c r="AB38" s="155"/>
      <c r="AC38" s="155"/>
    </row>
    <row r="39" spans="1:29" ht="15">
      <c r="A39" s="4"/>
      <c r="B39" s="123"/>
      <c r="C39" s="9"/>
      <c r="D39" s="542" t="str">
        <f>IF(AND(N26=8,(N25/E16)&gt;18,F16="kg"),"The calculator's dose is greater than 18 mg/kg q8h; consider decreasing the maintenance dose.",IF(AND(N26=8,(N25/E16)&lt;=18,F16="kg"),"",IF(AND(N26=8,(N25/(E16/2.20462))&gt;18,F16="lbs"),"The calculator's dose is greater than 18 mg/kg q8h; consider decreasing the maintenance dose.",IF(AND(N26=8,(N25/(E16/2.20462))&lt;=18,F16="lbs"),"",IF(N26&gt;8,"")))))</f>
        <v/>
      </c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9"/>
      <c r="Q39" s="16"/>
      <c r="R39" s="12"/>
      <c r="V39" s="374">
        <f>(V41-V37)/4+V38</f>
        <v>71</v>
      </c>
      <c r="W39" s="374">
        <f>W38*EXP(-E28*(V39-V38))</f>
        <v>26.847354971159202</v>
      </c>
      <c r="X39" s="472" t="e">
        <f>(X41-X37)/4+X38</f>
        <v>#VALUE!</v>
      </c>
      <c r="Y39" s="472" t="e">
        <f>Y38*EXP(-E$28*(X39-X38))</f>
        <v>#VALUE!</v>
      </c>
    </row>
    <row r="40" spans="1:29" ht="21" customHeight="1">
      <c r="A40" s="4"/>
      <c r="B40" s="166"/>
      <c r="C40" s="167"/>
      <c r="D40" s="543" t="str">
        <f>IF(N25*(24/N26)&gt;4000,"Consider reserving total daily doses &gt;4 grams for patients such as &lt;55 yrs old, &gt;110 kg, and CrCl &gt;150 mL/min.",IF(N25*(24/N26)&lt;=4000,""))</f>
        <v/>
      </c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9"/>
      <c r="Q40" s="16"/>
      <c r="R40" s="12"/>
      <c r="V40" s="148">
        <f>(V41-V37)/4+V39</f>
        <v>76.75</v>
      </c>
      <c r="W40" s="148">
        <f>W39*EXP(-E$28*(V40-V39))</f>
        <v>22.629580591416282</v>
      </c>
      <c r="X40" s="468" t="e">
        <f>(X41-X37)/4+X39</f>
        <v>#VALUE!</v>
      </c>
      <c r="Y40" s="468" t="e">
        <f>Y39*EXP(-E$28*(X40-X39))</f>
        <v>#VALUE!</v>
      </c>
    </row>
    <row r="41" spans="1:29" ht="18" customHeight="1">
      <c r="A41" s="4"/>
      <c r="B41" s="166"/>
      <c r="C41" s="167"/>
      <c r="D41" s="583" t="str">
        <f>IF(J16="none","",IF(J16="Forearm (IBW -1.5%)","",IF(J16="Entire arm (IBW -4%)","",IF(J16="Foot (IBW -1.5%)","Note: For lower limb amputations use the patient's height prior to amputation.",IF(J16="Below knee (IBW -3.5%)","Note: For lower limb amputations use the patient's height prior to amputation.",IF(J16="Above knee (IBW -11%)","Note: For lower limb amputations use the patient's height prior to amputation.",IF(J16="Entire leg (IBW -16%)","Note: For lower limb amputations use the patient's height prior to amputation.",IF(J16="Multiple (IBW -20%)","Note: For lower limb amputations use the patient's height prior to amputation.",IF(J16="Multiple (IBW -25%)","Note: For lower limb amputations use the patient's height prior to amputation.",IF(J16="Multiple (IBW -30%)","Note: For lower limb amputations use the patient's height prior to amputation.",IF(J16="Multiple (IBW -35%)","Note: For lower limb amputations use the patient's height prior to amputation.")))))))))))</f>
        <v/>
      </c>
      <c r="E41" s="583"/>
      <c r="F41" s="583"/>
      <c r="G41" s="583"/>
      <c r="H41" s="583"/>
      <c r="I41" s="583"/>
      <c r="J41" s="583"/>
      <c r="K41" s="583"/>
      <c r="L41" s="583"/>
      <c r="M41" s="583"/>
      <c r="N41" s="583"/>
      <c r="O41" s="583"/>
      <c r="P41" s="9"/>
      <c r="Q41" s="16"/>
      <c r="R41" s="12"/>
      <c r="V41" s="148">
        <f>V36+N26</f>
        <v>82.5</v>
      </c>
      <c r="W41" s="148">
        <f>W40*EXP(-E$28*(V41-V40))</f>
        <v>19.074427193797163</v>
      </c>
      <c r="X41" s="468" t="e">
        <f>X36+O26</f>
        <v>#VALUE!</v>
      </c>
      <c r="Y41" s="468" t="e">
        <f>Y40*EXP(-E$28*(X41-X40))</f>
        <v>#VALUE!</v>
      </c>
    </row>
    <row r="42" spans="1:29" ht="18" customHeight="1">
      <c r="A42" s="4"/>
      <c r="B42" s="166"/>
      <c r="C42" s="167"/>
      <c r="D42" s="549" t="str">
        <f>IF(AND(H26&gt;40,J25&gt;0),"The loading dose may cause a peak &gt;40 mcg/mL.  Consider decreasing the loading dose.",IF(OR(H26&lt;=40,J25=0),""))</f>
        <v>The loading dose may cause a peak &gt;40 mcg/mL.  Consider decreasing the loading dose.</v>
      </c>
      <c r="E42" s="550"/>
      <c r="F42" s="550"/>
      <c r="G42" s="550"/>
      <c r="H42" s="550"/>
      <c r="I42" s="550"/>
      <c r="J42" s="550"/>
      <c r="K42" s="550"/>
      <c r="L42" s="550"/>
      <c r="M42" s="550"/>
      <c r="N42" s="550"/>
      <c r="O42" s="551"/>
      <c r="P42" s="9"/>
      <c r="Q42" s="16"/>
      <c r="R42" s="12"/>
      <c r="V42" s="232"/>
      <c r="W42" s="232"/>
    </row>
    <row r="43" spans="1:29" ht="18" customHeight="1">
      <c r="A43" s="4"/>
      <c r="B43" s="166"/>
      <c r="C43" s="167"/>
      <c r="D43" s="549" t="str">
        <f>IF(AND(J15="Empiric or 1 mg/L",N29&gt;700),"The AUC24 may be &gt;700 mg*hr/L.  Consider decreasing the total daily dose.",IF(AND(J15="Empiric or 1 mg/L",N29&lt;=700),"",IF(AND(J15="0.5 mg/L",N29&gt;1400),"The AUC24 may be &gt;700 mg*hr/L.  Consider decreasing the total daily dose.",IF(AND(J15="0.5 mg/L",N29&lt;=1400),"",IF(AND(J15="2.0 mg/L",N29&gt;350),"The AUC24 may be &gt;700 mg*hr/L.  Consider decreasing the total daily dose.",IF(AND(J15="2.0 mg/L",N29&lt;=350),""))))))</f>
        <v/>
      </c>
      <c r="E43" s="550"/>
      <c r="F43" s="550"/>
      <c r="G43" s="550"/>
      <c r="H43" s="550"/>
      <c r="I43" s="550"/>
      <c r="J43" s="550"/>
      <c r="K43" s="550"/>
      <c r="L43" s="550"/>
      <c r="M43" s="550"/>
      <c r="N43" s="550"/>
      <c r="O43" s="551"/>
      <c r="P43" s="9"/>
      <c r="Q43" s="16"/>
      <c r="R43" s="12"/>
      <c r="V43" s="232"/>
      <c r="W43" s="232"/>
    </row>
    <row r="44" spans="1:29" ht="18" customHeight="1" thickBot="1">
      <c r="A44" s="4"/>
      <c r="B44" s="438"/>
      <c r="C44" s="43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41"/>
      <c r="Q44" s="144"/>
      <c r="R44" s="12"/>
      <c r="V44" s="232"/>
      <c r="W44" s="232"/>
    </row>
    <row r="45" spans="1:29" ht="18" customHeight="1">
      <c r="A45" s="4"/>
      <c r="B45" s="166"/>
      <c r="C45" s="16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9"/>
      <c r="Q45" s="16"/>
      <c r="R45" s="12"/>
      <c r="V45" s="232"/>
      <c r="W45" s="232"/>
    </row>
    <row r="46" spans="1:29" ht="42.75" customHeight="1" thickBot="1">
      <c r="A46" s="4"/>
      <c r="B46" s="53"/>
      <c r="C46" s="28"/>
      <c r="D46" s="581" t="s">
        <v>83</v>
      </c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101"/>
      <c r="Q46" s="270"/>
      <c r="R46" s="187"/>
      <c r="S46" s="204"/>
      <c r="T46" s="205"/>
      <c r="U46" s="202"/>
      <c r="V46" s="202"/>
      <c r="W46" s="202"/>
      <c r="X46" s="487"/>
      <c r="Y46" s="487"/>
      <c r="Z46" s="487"/>
      <c r="AA46" s="487"/>
    </row>
    <row r="47" spans="1:29" ht="19.5" customHeight="1" thickBot="1">
      <c r="A47" s="4"/>
      <c r="B47" s="53"/>
      <c r="C47" s="28"/>
      <c r="D47" s="578" t="s">
        <v>39</v>
      </c>
      <c r="E47" s="579"/>
      <c r="F47" s="580"/>
      <c r="G47" s="101"/>
      <c r="H47" s="101"/>
      <c r="I47" s="575" t="s">
        <v>188</v>
      </c>
      <c r="J47" s="576"/>
      <c r="K47" s="577"/>
      <c r="L47" s="101"/>
      <c r="M47" s="552" t="s">
        <v>82</v>
      </c>
      <c r="N47" s="553"/>
      <c r="O47" s="553"/>
      <c r="P47" s="554"/>
      <c r="Q47" s="270"/>
      <c r="R47" s="187"/>
      <c r="S47" s="294" t="s">
        <v>163</v>
      </c>
      <c r="T47" s="296">
        <f>E48*(1-EXP(-E28*(E48/T18)))/(E48/T18*E28*E27)</f>
        <v>30.008536270939725</v>
      </c>
      <c r="W47" s="230"/>
      <c r="X47" s="332"/>
      <c r="Y47" s="332"/>
      <c r="Z47" s="12"/>
      <c r="AA47" s="12"/>
    </row>
    <row r="48" spans="1:29" ht="32.25" customHeight="1">
      <c r="A48" s="4"/>
      <c r="B48" s="53"/>
      <c r="C48" s="34"/>
      <c r="D48" s="57" t="s">
        <v>154</v>
      </c>
      <c r="E48" s="308">
        <v>1750</v>
      </c>
      <c r="F48" s="42" t="s">
        <v>80</v>
      </c>
      <c r="G48" s="101"/>
      <c r="H48" s="101"/>
      <c r="I48" s="93" t="s">
        <v>2</v>
      </c>
      <c r="J48" s="344">
        <f>MAX(MIN(IF(T48&gt;=E50,(((T48-E50)*0.02)+1)*E28,IF(T48&lt;E50,(1-((E50-T48)*0.02))*E28)),0.14),0.004)</f>
        <v>3.3239080739095671E-2</v>
      </c>
      <c r="K48" s="15" t="s">
        <v>66</v>
      </c>
      <c r="L48" s="101"/>
      <c r="M48" s="26" t="s">
        <v>18</v>
      </c>
      <c r="N48" s="99">
        <f>MIN(IF(AND(J14="15-20 mcg/mL",T51&gt;=15,T51&lt;=20),T49,IF(AND(J14="15-20 mcg/mL",T51&lt;15),T49+250,IF(AND(J14="15-20 mcg/mL",T51&gt;20),T49-250,
IF(AND(J14="14-19 mcg/mL",T51&gt;=14,T51&lt;=19),T49,IF(AND(J14="14-19 mcg/mL",T51&lt;14),T49+250,IF(AND(J14="14-19 mcg/mL",T51&gt;19),T49-250,
IF(AND(J14="13-18 mcg/mL",T51&gt;=13,T51&lt;=18),T49,IF(AND(J14="13-18 mcg/mL",T51&lt;13),T49+250,IF(AND(J14="13-18 mcg/mL",T51&gt;18),T49-250,
IF(AND(J14="12-17 mcg/mL",T51&gt;=12,T51&lt;=17),T49,IF(AND(J14="12-17 mcg/mL",T51&lt;12),T49+250,IF(AND(J14="12-17 mcg/mL",T51&gt;17),T49-250,
IF(AND(J14="11-16 mcg/mL",T51&gt;=11,T51&lt;=16),T49,IF(AND(J14="11-16 mcg/mL",T51&lt;11),T49+250,IF(AND(J14="11-16 mcg/mL",T51&gt;16),T49-250,
IF(AND(J14="10-15 mcg/mL",T51&gt;=10,T51&lt;=15),T49,IF(AND(J14="10-15 mcg/mL",T51&lt;10),T49+250,IF(AND(J14="10-15 mcg/mL",T51&gt;15),T49-250)))))))))))))))))),3000)</f>
        <v>1500</v>
      </c>
      <c r="O48" s="535" t="str">
        <f>IF(AND(N48=1750,N49=8),"1500",IF(AND(N48=1500,N49=8),"1250",IF(AND(N48=750,N49=18,N51&lt;16,J50&lt;37.5),"500",IF(AND(N48=750,N49=18,N51&gt;19,J50&lt;37.5),"750",IF(AND(N48=750,N49=18,N51&gt;16.5,J50&gt;=37.5),"1000",IF(AND(N48=750,N49=18,N51&lt;12,J50&gt;=43),"1250",IF(AND(N48=1000,N49=18,N51&gt;17.5,J50&lt;44),"500",IF(AND(N48=1000,N49=18,N51&gt;17.5,J50&gt;=44),"1250",IF(AND(N48=1000,N49=18,N51&lt;12),"750",IF(AND(N48=1250,N49=18,N51&lt;18.5),"750",IF(AND(N48=1250,N49=18,N51&gt;=18.5),"1000",IF(AND(N48=1500,N49=18,N51&lt;17),"1000",IF(AND(N48=1500,N49=18,N51&lt;13),"1000",IF(AND(N48=1500,N49=18,N51&gt;=17.5),"1250",IF(AND(N48=1750,N49=18,N51&gt;=12),"1000",IF(AND(N48=1750,N49=18,N51&lt;12),"1250",IF(AND(N48=2000,N49=18,N51&lt;18,N51&gt;=14),"1250",IF(AND(N48=2000,N49=18,N51&lt;14),"1500",IF(AND(N48=2000,N49=18,N51&gt;=18),"1000",IF(AND(N48=750,N49=36,N51&lt;16),"500",IF(AND(N48=750,N49=36,N51&lt;13),"500",IF(AND(N48=750,N49=36,N51&gt;17,J50&gt;38.5),"1000",IF(AND(N48=1000,N49=36,N51&gt;18,J50&lt;47),"500",IF(AND(N48=1000,N49=36,N51&gt;18,J50&gt;=47),"1250",IF(AND(N48=1000,N49=36,N51&lt;11.5),"750",IF(AND(N48=1250,N49=36),"750",IF(AND(N48=1500,N49=36,N51&lt;=16),"1000",IF(AND(N48=1500,N49=36,N51&gt;17),"750",IF(AND(N48=1750,N49=36,N51&gt;=12),"1000",IF(AND(N48=1750,N49=36,N51&lt;12),"1250",IF(AND(N48=2000,N49=36,N51&lt;18,N51&gt;=14),"1250",IF(AND(N48=2000,N49=36,N51&lt;14),"1500",IF(AND(N48=2000,N49=36,N51&gt;=18),"1000",IF(AND(N48=750,N49=12,N51&gt;19.5,J50&gt;=38),"1000",IF(AND(N48=750,N49=12,N51&lt;11.5,J50&gt;=38),"1000",IF(AND(N48=1750,N49=12,N51&gt;=16),"1000",IF(AND(N48=2000,N49=12,N51&lt;19),"1250",IF(AND(N48=2000,N49=12,N51&gt;=19),"1000",IF(AND(N48=750,N49=8,N51&gt;=19.4,J50&gt;38),"1000",IF(AND(N48=750,N49=8,N51&lt;11.5,J50&gt;38),"1000",IF(AND(N48=750,N49=8,N51&gt;19,J50&lt;35),"500",IF(AND(N48=1000,N49=8,N51&gt;19,J50&lt;52.5),"750",IF(AND(N48=1000,N49=8,N51&gt;18,J50&gt;=52.5),"1500",IF(AND(N48=1250,N49=8,N51&gt;19),"1000",IF(AND(N48=1000,N49=12,N51&gt;19),"750",IF(AND(N48=1250,N49=12,N51&gt;18.5),"1000",IF(AND(N48=1250,N49=12,N51&lt;=18.5),"750",IF(AND(N48=1500,N49=12,N51&gt;18),"1250",IF(AND(N48=2000,N49=24,N51&gt;16),"1750",IF(AND(N48=1750,N49=24,N51&gt;16.5),"1500",IF(AND(N48=1500,N49=24,N51&gt;17),"1250",IF(AND(N48=1250,N49=24,N51&gt;18),"1000",IF(AND(N48=1000,N49=24,N51&gt;19),"750",IF(AND(N48=2000,N49=48,N51&gt;16),"1750",IF(AND(N48=1750,N49=48,N51&gt;16.5),"1500",IF(AND(N48=1500,N49=48,N51&gt;17),"1250",IF(AND(N48=1250,N49=48,N51&gt;18),"1000",IF(AND(N48=1250,N49=48,N51&lt;=18),"500",IF(AND(N48=1000,N49=48,N51&gt;19),"750",IF(AND(N48=2000,N49=72,N51&gt;16),"1750",IF(AND(N48=1750,N49=72,N51&gt;16.5),"1500",IF(AND(N48=1500,N49=72,N51&gt;17),"1250",IF(AND(N48=1250,N49=72,N51&gt;18),"1000",IF(AND(N48=1000,N49=72,N51&gt;19),"750",""))))))))))))))))))))))))))))))))))))))))))))))))))))))))))))))))</f>
        <v>1250</v>
      </c>
      <c r="P48" s="27" t="s">
        <v>3</v>
      </c>
      <c r="Q48" s="270"/>
      <c r="R48" s="187"/>
      <c r="S48" s="294" t="s">
        <v>164</v>
      </c>
      <c r="T48" s="296">
        <f>T47*EXP(-E28*T52)</f>
        <v>28.914051002149115</v>
      </c>
      <c r="X48" s="488"/>
      <c r="Y48" s="488"/>
      <c r="Z48" s="232"/>
      <c r="AA48" s="232"/>
    </row>
    <row r="49" spans="1:29" s="276" customFormat="1" ht="16.5" customHeight="1">
      <c r="A49" s="84"/>
      <c r="B49" s="273"/>
      <c r="C49" s="217"/>
      <c r="D49" s="60" t="s">
        <v>96</v>
      </c>
      <c r="E49" s="91">
        <v>10</v>
      </c>
      <c r="F49" s="307" t="s">
        <v>51</v>
      </c>
      <c r="G49" s="126" t="s">
        <v>40</v>
      </c>
      <c r="H49" s="126"/>
      <c r="I49" s="60" t="s">
        <v>156</v>
      </c>
      <c r="J49" s="119">
        <f>E50/EXP(-J48*(T52))</f>
        <v>23.975753931706368</v>
      </c>
      <c r="K49" s="92" t="s">
        <v>5</v>
      </c>
      <c r="L49" s="297"/>
      <c r="M49" s="33" t="s">
        <v>20</v>
      </c>
      <c r="N49" s="83">
        <f>IF(J50&lt;=75,IF((LN(35/15)/J48)&lt;=8,8,IF(AND(8&lt;(LN(35/15)/J48),(LN(35/15)/J48)&lt;12),IF(ABS((LN(35/15)/J48)-8)&lt;ABS((LN(35/15)/J48)-12),8,12),IF((LN(35/15)/J48)=12,12,IF(AND(12&lt;(LN(35/15)/J48),(LN(35/15)/J48)&lt;18),IF(ABS((LN(35/15)/J48)-12)&lt;ABS((LN(35/15)/J48)-18),12,18),IF((LN(35/15)/J48)=18,18,IF(AND(18&lt;(LN(35/15)/J48),(LN(35/15)/J48)&lt;24),IF(ABS((LN(35/15)/J48)-18)&lt;ABS((LN(35/15)/J48)-24),18,24),IF((LN(35/15)/J48)=24,24,IF(AND(24&lt;(LN(35/15)/J48),(LN(35/15)/J48)&lt;36),IF(ABS((LN(35/15)/J48)-24)&lt;ABS((LN(35/15)/J48)-36),24,36),IF((LN(35/15)/J48)=36,36,IF(AND(36&lt;(LN(35/15)/J48),(LN(35/15)/J48)&lt;48),IF(ABS((LN(35/15)/J48)-36)&lt;ABS((LN(35/15)/J48)-48),36,48),IF((LN(35/15)/J48)=48,48,IF(AND(48&lt;(LN(35/15)/J48),(LN(35/15)/J48)&lt;72),IF(ABS((LN(35/15)/J48)-48)&lt;ABS((LN(35/15)/J48)-72),48,72),IF((LN(35/15)/J48)&gt;=72,72,"Error"))))))))))))),IF(J50&gt;75,IF((LN(30/15)/J48)&lt;=8,8,IF(AND(8&lt;(LN(30/15)/J48),(LN(30/15)/J48)&lt;12),IF(ABS((LN(30/15)/J48)-8)&lt;ABS((LN(30/15)/J48)-12),8,12),IF((LN(30/15)/J48)=12,12,IF(AND(12&lt;(LN(30/15)/J48),(LN(30/15)/J48)&lt;18),IF(ABS((LN(30/15)/J48)-12)&lt;ABS((LN(30/15)/J48)-18),12,18),IF((LN(30/15)/J48)=18,18,IF(AND(18&lt;(LN(30/15)/J48),(LN(30/15)/J48)&lt;24),IF(ABS((LN(30/15)/J48)-18)&lt;ABS((LN(30/15)/J48)-24),18,24),IF((LN(30/15)/J48)=24,24,IF(AND(24&lt;(LN(30/15)/J48),(LN(30/15)/J48)&lt;36),IF(ABS((LN(30/15)/J48)-24)&lt;ABS((LN(30/15)/J48)-36),24,36),IF((LN(30/15)/J48)=36,36,IF(AND(36&lt;(LN(30/15)/J48),(LN(30/15)/J48)&lt;48),IF(ABS((LN(30/15)/J48)-36)&lt;ABS((LN(30/15)/J48)-48),36,48),IF((LN(30/15)/J48)=48,48,IF(AND(48&lt;(LN(30/15)/J48),(LN(30/15)/J48)&lt;72),IF(ABS((LN(30/15)/J48)-48)&lt;ABS((LN(30/15)/J48)-72),48,72),IF((LN(30/15)/J48)&gt;=72,72,"Error")))))))))))))))</f>
        <v>24</v>
      </c>
      <c r="O49" s="536" t="str">
        <f>IF(AND(N48=1750,N49=8),"8",IF(AND(N48=1500,N49=8),"8",IF(AND(N48=750,N49=18,N51&lt;16,J50&lt;37.5),"12",IF(AND(N48=750,N49=18,N51&gt;19,J50&lt;37.5),"24",IF(AND(N48=750,N49=18,N51&gt;16.5,J50&gt;=37.5),"24",IF(AND(N48=750,N49=18,N51&lt;12,J50&gt;=43),"24",IF(AND(N48=1000,N49=18,N51&gt;17.5,J50&lt;44),"12",IF(AND(N48=1000,N49=18,N51&gt;17.5,J50&gt;=44),"24",IF(AND(N48=1000,N49=18,N51&lt;12),"12",IF(AND(N48=1250,N49=18,N51&lt;18.5),"12",IF(AND(N48=1250,N49=18,N51&gt;=18.5),"18",IF(AND(N48=1500,N49=18,N51&lt;17),"12",IF(AND(N48=1500,N49=18,N51&lt;13),"12",IF(AND(N48=1500,N49=18,N51&gt;=17.5),"18",IF(AND(N48=1750,N49=18),"12",IF(AND(N48=2000,N49=18),"12",IF(AND(N48=750,N49=36,N51&lt;16),"24",IF(AND(N48=750,N49=36,N51&lt;13),"24",IF(AND(N48=750,N49=36,N51&gt;17,J50&gt;38.5),"48",IF(AND(N48=1000,N49=36,N51&gt;18,J50&lt;47),"24",IF(AND(N48=1000,N49=36,N51&gt;18,J50&gt;=47),"48",IF(AND(N48=1000,N49=36,N51&lt;11.5),"24",IF(AND(N48=1250,N49=36),"24",IF(AND(N48=1500,N49=36,N51&lt;=16),"24",IF(AND(N48=1500,N49=36,N51&gt;17),"24",IF(AND(N48=1750,N49=36),"24",IF(AND(N48=2000,N49=36),"24",IF(AND(N48=750,N49=12,N51&gt;19.5,J50&gt;=38),"18",IF(AND(N48=750,N49=12,N51&lt;11.5,J50&gt;=38),"12",IF(AND(N48=1750,N49=12,N51&gt;=16),"8",IF(AND(N48=2000,N49=12),"8",IF(AND(N48=750,N49=8,N51&gt;=19.4,J50&gt;38),"12",IF(AND(N48=750,N49=8,N51&lt;11.5,J50&gt;38),"8",IF(AND(N48=750,N49=8,N51&gt;19,J50&lt;35),"8",IF(AND(N48=1250,N49=8,N51&gt;19),"8",IF(AND(N48=1000,N49=8,N51&gt;19,J50&lt;52.5),"8",IF(AND(N48=1000,N49=8,N51&gt;18,J50&gt;=52.5),"12",IF(AND(N48=1000,N49=12,N51&gt;19),"12",IF(AND(N48=1250,N49=12,N51&gt;18.5),"12",IF(AND(N48=1250,N49=12,N51&lt;=18.5),"8",IF(AND(N48=1500,N49=12,N51&gt;18),"12",IF(AND(N48=2000,N49=24,N51&gt;16),"24",IF(AND(N48=1750,N49=24,N51&gt;16.5),"24",IF(AND(N48=1500,N49=24,N51&gt;17),"24",IF(AND(N48=1250,N49=24,N51&gt;18),"24",IF(AND(N48=1000,N49=24,N51&gt;19),"24",IF(AND(N48=2000,N49=48,N51&gt;16),"48",IF(AND(N48=1750,N49=48,N51&gt;16.5),"48",IF(AND(N48=1500,N49=48,N51&gt;17),"48",IF(AND(N48=1250,N49=48,N51&gt;18),"48",IF(AND(N48=1250,N49=48,N51&lt;=18),"24",IF(AND(N48=1000,N49=48,N51&gt;19),"48",IF(AND(N48=2000,N49=72,N51&gt;16),"72",IF(AND(N48=1750,N49=72,N51&gt;16.5),"72",IF(AND(N48=1500,N49=72,N51&gt;17),"72",IF(AND(N48=1250,N49=72,N51&gt;18),"72",IF(AND(N48=1000,N49=72,N51&gt;19),"72","")))))))))))))))))))))))))))))))))))))))))))))))))))))))))</f>
        <v>24</v>
      </c>
      <c r="P49" s="31" t="s">
        <v>4</v>
      </c>
      <c r="Q49" s="298"/>
      <c r="R49" s="274"/>
      <c r="S49" s="175" t="s">
        <v>18</v>
      </c>
      <c r="T49" s="185">
        <f>MROUND(IF(AND(J14="15-20 mcg/mL",J50&lt;=75),37*J50*(1-EXP(-J48*N49)),IF(AND(J14="14-19 mcg/mL",J50&lt;=75),36*J50*(1-EXP(-J48*N49)),IF(AND(J14="13-18 mcg/mL",J50&lt;=75),35*J50*(1-EXP(-J48*N49)),IF(AND(J14="12-17 mcg/mL",J50&lt;=75),34*J50*(1-EXP(-J48*N49)),IF(AND(J14="11-16 mcg/mL",J50&lt;=75),33*J50*(1-EXP(-J48*N49)),IF(AND(J14="10-15 mcg/mL",J50&lt;=75),32*J50*(1-EXP(-J48*N49)),IF(AND(J14="15-20 mcg/mL",J50&gt;75),30*J50*(1-EXP(-J48*N49)),IF(AND(J14="14-19 mcg/mL",J50&gt;75),29*J50*(1-EXP(-J48*N49)),IF(AND(J14="13-18 mcg/mL",J50&gt;75),28*J50*(1-EXP(-J48*N49)),IF(AND(J14="12-17 mcg/mL",J50&gt;75),27*J50*(1-EXP(-J48*N49)),IF(AND(J14="11-16 mcg/mL",J50&gt;75),26*J50*(1-EXP(-J48*N49)),IF(AND(J14="10-15 mcg/mL",J50&gt;75),25*J50*(1-EXP(-J48*N49)))))))))))))),250)</f>
        <v>1500</v>
      </c>
      <c r="U49" s="84"/>
      <c r="V49" s="84"/>
      <c r="W49" s="275"/>
      <c r="X49" s="517"/>
      <c r="Y49" s="517"/>
      <c r="Z49" s="518"/>
      <c r="AA49" s="518"/>
      <c r="AB49" s="84"/>
      <c r="AC49" s="84"/>
    </row>
    <row r="50" spans="1:29" s="276" customFormat="1" ht="30.75" customHeight="1" thickBot="1">
      <c r="A50" s="84"/>
      <c r="B50" s="273"/>
      <c r="C50" s="217"/>
      <c r="D50" s="33" t="s">
        <v>114</v>
      </c>
      <c r="E50" s="91">
        <v>23</v>
      </c>
      <c r="F50" s="31" t="s">
        <v>5</v>
      </c>
      <c r="G50" s="297"/>
      <c r="H50" s="297"/>
      <c r="I50" s="514" t="s">
        <v>120</v>
      </c>
      <c r="J50" s="515">
        <f>E48*(1-EXP(-J48*E48/T18))/(J48*E48/T18*J49)</f>
        <v>70.908107782421681</v>
      </c>
      <c r="K50" s="516" t="s">
        <v>67</v>
      </c>
      <c r="L50" s="297"/>
      <c r="M50" s="33" t="s">
        <v>128</v>
      </c>
      <c r="N50" s="118">
        <f>(N48*(1-EXP(-J48*N48/T18)))/((J50*J48*N48/T18)*(1-EXP(-J48*N49)))</f>
        <v>37.542631032046977</v>
      </c>
      <c r="O50" s="118">
        <f>(O48*(1-EXP(-J48*(O48/T18))))/((J48*J50*(O48/T18))*(1-EXP(-J48*O49)))</f>
        <v>31.41478981522198</v>
      </c>
      <c r="P50" s="31" t="s">
        <v>5</v>
      </c>
      <c r="Q50" s="298"/>
      <c r="R50" s="274"/>
      <c r="S50" s="172" t="s">
        <v>32</v>
      </c>
      <c r="T50" s="176">
        <f>(T49*(1-EXP(-J48*T49/T18)))/((J50*J48*T49/T18)*(1-EXP(-J48*N49)))</f>
        <v>37.542631032046977</v>
      </c>
      <c r="U50" s="84"/>
      <c r="V50" s="84"/>
      <c r="W50" s="275"/>
      <c r="X50" s="489"/>
      <c r="Y50" s="489"/>
      <c r="Z50" s="232"/>
      <c r="AA50" s="232"/>
      <c r="AB50" s="84"/>
      <c r="AC50" s="84"/>
    </row>
    <row r="51" spans="1:29" ht="28">
      <c r="A51" s="4"/>
      <c r="B51" s="53"/>
      <c r="C51" s="126" t="s">
        <v>40</v>
      </c>
      <c r="D51" s="407" t="s">
        <v>165</v>
      </c>
      <c r="E51" s="408">
        <v>13</v>
      </c>
      <c r="F51" s="409" t="s">
        <v>51</v>
      </c>
      <c r="G51" s="101"/>
      <c r="H51" s="101"/>
      <c r="I51" s="512"/>
      <c r="J51" s="513"/>
      <c r="K51" s="78"/>
      <c r="L51" s="37"/>
      <c r="M51" s="33" t="s">
        <v>129</v>
      </c>
      <c r="N51" s="118">
        <f>ROUND(N50*EXP(-J48*(N49-N48/T18)),4)</f>
        <v>17.7715</v>
      </c>
      <c r="O51" s="118">
        <f>ROUND(O50*EXP(-J48*(O49-(O48/T18))),4)</f>
        <v>14.7477</v>
      </c>
      <c r="P51" s="19" t="s">
        <v>5</v>
      </c>
      <c r="Q51" s="270"/>
      <c r="R51" s="187"/>
      <c r="S51" s="172" t="s">
        <v>19</v>
      </c>
      <c r="T51" s="176">
        <f>ROUND(T50*EXP(-J48*(N49-T49/T18)),4)</f>
        <v>17.7715</v>
      </c>
      <c r="W51" s="202"/>
      <c r="X51" s="232"/>
      <c r="Y51" s="232"/>
      <c r="Z51" s="232"/>
      <c r="AA51" s="232"/>
    </row>
    <row r="52" spans="1:29" ht="32.25" customHeight="1" thickBot="1">
      <c r="A52" s="4"/>
      <c r="B52" s="53"/>
      <c r="C52" s="28"/>
      <c r="D52" s="329" t="s">
        <v>225</v>
      </c>
      <c r="E52" s="150">
        <f>IF(D51="Time of level (same day as dose)",((E51+F51/60)-(E49+F49/60)),IF(D51="Time of level (1 day after dose)",(24-(E49+F49/60)+E51+F51/60),IF(D51="Time of level (2 days after dose)",(24-(E49+F49/60)+E51+(F51/60)+24),IF(D51="Time of level (3 days after dose)",(24-(E49+F49/60)+E51+(F51/60)+48)))))</f>
        <v>3</v>
      </c>
      <c r="F52" s="269" t="s">
        <v>4</v>
      </c>
      <c r="G52" s="101"/>
      <c r="H52" s="101"/>
      <c r="I52" s="512"/>
      <c r="J52" s="494"/>
      <c r="K52" s="67"/>
      <c r="L52" s="101"/>
      <c r="M52" s="33" t="s">
        <v>145</v>
      </c>
      <c r="N52" s="83">
        <f>IF(AND(N49&lt;=24,J15="Empiric or 1 mg/L"),((N48/N49)*24/(J48*J50))/1,IF(AND(J15="0.5 mg/L",N49&lt;=24),((N48/N49)*24/(J48*J50))/0.5,IF(AND(J15="2.0 mg/L",N49&lt;=24),((N48/N49)*24/(J48*J50))/2,IF(AND(N49&gt;24,J15="Empiric or 1 mg/L"),(N50+N51)/2*(N48/T18)+((N50-T54)*(24-N48/T18))/LN(N50/T54),IF(AND(J15="0.5 mg/L",N49&gt;24),(N50+N51)/2*(N48/T18)+((N50-T54)*(24-N48/T18))/LN(N50/T54)/0.5,IF(AND(J15="2.0 mg/L",N49&gt;24),(N50+N51)/2*(N48/T18)+((N50-T54)*(24-N48/T18))/LN(N50/T54)/2))))))</f>
        <v>636.42372103245134</v>
      </c>
      <c r="O52" s="83">
        <f>IF(AND(O49*1&lt;=24,J15="Empiric or 1 mg/L"),((O48/O49)*24/(J48*J50))/1,IF(AND(J15="0.5 mg/L",O49*1&lt;=24),((O48/O49)*24/(J48*J50))/0.5,IF(AND(J15="2.0 mg/L",O49*1&lt;=24),((O48/O49)*24/(J48*J50))/2,IF(AND(O49*1&gt;24,J15="Empiric or 1 mg/L"),(O50+O51)/2*(O48/T18)+((O50-U54)*(24-O48/T18))/LN(O50/U54),IF(AND(J15="0.5 mg/L",O49*1&gt;24),(O50+O51)/2*(O48/T18)+((O50-U54)*(24-O48/T18))/LN(O50/U54)/0.5,IF(AND(J15="2.0 mg/L",O49*1&gt;24),(O50+O51)/2*(O48/T18)+((O50-U54)*(24-O48/T18))/LN(O50/U54)/2))))))</f>
        <v>530.35310086037612</v>
      </c>
      <c r="P52" s="302"/>
      <c r="Q52" s="270"/>
      <c r="R52" s="187"/>
      <c r="S52" s="450" t="s">
        <v>239</v>
      </c>
      <c r="T52" s="451">
        <f>IF(D51="Time of level (same day as dose)",((E51+F51/60)-(E49+F49/60))-E48/T18,IF(D51="Time of level (1 day after dose)",(24-(E49+F49/60)+E51+F51/60)-E48/T18,IF(D51="Time of level (2 days after dose)",(24-(E49+F49/60)+E51+(F51/60)+24)-E48/T18,IF(D51="Time of level (3 days after dose)",(24-(E49+F49/60)+E51+(F51/60)+48)-E48/T18))))</f>
        <v>1.25</v>
      </c>
      <c r="U52" s="452" t="s">
        <v>4</v>
      </c>
      <c r="V52" s="202"/>
      <c r="W52" s="328"/>
      <c r="X52" s="489"/>
      <c r="Y52" s="489"/>
      <c r="Z52" s="232"/>
      <c r="AA52" s="232"/>
    </row>
    <row r="53" spans="1:29" ht="30.75" customHeight="1" thickBot="1">
      <c r="A53" s="4"/>
      <c r="B53" s="53"/>
      <c r="C53" s="28"/>
      <c r="D53" s="406"/>
      <c r="E53" s="406"/>
      <c r="F53" s="406"/>
      <c r="G53" s="295"/>
      <c r="H53" s="295"/>
      <c r="I53" s="37"/>
      <c r="J53" s="37"/>
      <c r="K53" s="37"/>
      <c r="L53" s="101"/>
      <c r="M53" s="258" t="s">
        <v>213</v>
      </c>
      <c r="N53" s="365" t="b">
        <f>IF(J15="Empiric or 1 mg/L",IF(N49=48,(T54-T56)*24/LN(T54/T56),IF(N49=36,(T53-T55)*24/LN(T53/T55),IF(N49=72,(T56-T57)*24/LN(T56/T57)))),IF(J15="0.5 mg/L",IF(N49=48,(T54-T56)*24/LN(T54/T56)/0.5,IF(N49=36,(T53-T55)*24/LN(T53/T55)/0.5,IF(N49=72,(T56-T57)*24/LN(T56/T57)/0.5))),IF(J15="2.0 mg/L",IF(N49=48,(T54-T56)*24/LN(T54/T56)/2,IF(N49=36,(T53-T55)*24/LN(T53/T55)/2,IF(N49=72,((T56-T57)*24/LN(T56/T57))/2))))))</f>
        <v>0</v>
      </c>
      <c r="O53" s="377" t="b">
        <f>IF(J15="Empiric or 1 mg/L",IF(O49*1=48,(U54-U56)*24/LN(U54/U56),IF(O49*1=36,(U53-U55)*24/LN(U53/U55),IF(O49*1=72,(U56-U57)*24/LN(U56/U57)))),IF(J15="0.5 mg/L",IF(O49*1=48,(U54-U56)*24/LN(U54/U56)/0.5,IF(O49*1=36,(U53-U55)*24/LN(U53/U55)/0.5,IF(O49*1=72,(U56-U57)*24/LN(U56/U57)/0.5))),IF(J15="2.0 mg/L",IF(O49*1=48,(U54-U56)*24/LN(U54/U56)/2,IF(O49*1=36,(U53-U55)*24/LN(U53/U55)/2,IF(O49*1=72,((U56-U57)*24/LN(U56/U57))/2))))))</f>
        <v>0</v>
      </c>
      <c r="P53" s="378"/>
      <c r="Q53" s="270"/>
      <c r="R53" s="187"/>
      <c r="S53" s="448" t="s">
        <v>133</v>
      </c>
      <c r="T53" s="449">
        <f>N50*EXP(-J48*(12-N48/T18))</f>
        <v>26.482039991040242</v>
      </c>
      <c r="U53" s="449">
        <f>O50*EXP(-J48*(12-O48/T18))</f>
        <v>21.976169842341037</v>
      </c>
      <c r="V53" s="202"/>
      <c r="W53" s="328"/>
      <c r="X53" s="488"/>
      <c r="Y53" s="489"/>
      <c r="Z53" s="232"/>
      <c r="AA53" s="232"/>
    </row>
    <row r="54" spans="1:29" ht="15">
      <c r="A54" s="4"/>
      <c r="B54" s="53"/>
      <c r="C54" s="28"/>
      <c r="D54" s="410" t="s">
        <v>241</v>
      </c>
      <c r="E54" s="37"/>
      <c r="F54" s="37"/>
      <c r="G54" s="101"/>
      <c r="H54" s="101"/>
      <c r="I54" s="37"/>
      <c r="J54" s="37"/>
      <c r="K54" s="101"/>
      <c r="L54" s="101"/>
      <c r="M54" s="101"/>
      <c r="N54" s="101"/>
      <c r="O54" s="101"/>
      <c r="P54" s="101"/>
      <c r="Q54" s="270"/>
      <c r="R54" s="187"/>
      <c r="S54" s="180" t="s">
        <v>115</v>
      </c>
      <c r="T54" s="181">
        <f>N50*EXP(-J48*(24-N48/T18))</f>
        <v>17.771531058115169</v>
      </c>
      <c r="U54" s="176">
        <f>O50*EXP(-J48*(24-O48/T18))</f>
        <v>14.747737901752046</v>
      </c>
      <c r="V54" s="202"/>
      <c r="X54" s="489"/>
      <c r="Y54" s="489"/>
      <c r="Z54" s="232"/>
      <c r="AA54" s="232"/>
    </row>
    <row r="55" spans="1:29" ht="18.75" customHeight="1">
      <c r="A55" s="4"/>
      <c r="B55" s="53"/>
      <c r="C55" s="28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270"/>
      <c r="R55" s="187"/>
      <c r="S55" s="172" t="s">
        <v>132</v>
      </c>
      <c r="T55" s="176">
        <f>N50*EXP(-J48*(36-N48/T18))</f>
        <v>11.926094676105274</v>
      </c>
      <c r="U55" s="176">
        <f>O50*EXP(-J48*(36-O48/T18))</f>
        <v>9.8968917140296764</v>
      </c>
      <c r="V55" s="202"/>
      <c r="W55" s="202"/>
      <c r="X55" s="489"/>
      <c r="Y55" s="489"/>
      <c r="Z55" s="232"/>
      <c r="AA55" s="232"/>
      <c r="AB55" s="242"/>
    </row>
    <row r="56" spans="1:29" ht="34.5" customHeight="1">
      <c r="A56" s="4"/>
      <c r="B56" s="53"/>
      <c r="C56" s="28"/>
      <c r="D56" s="541" t="s">
        <v>252</v>
      </c>
      <c r="E56" s="541"/>
      <c r="F56" s="541"/>
      <c r="G56" s="541"/>
      <c r="H56" s="541"/>
      <c r="I56" s="541"/>
      <c r="J56" s="541"/>
      <c r="K56" s="541"/>
      <c r="L56" s="541"/>
      <c r="M56" s="541"/>
      <c r="N56" s="541"/>
      <c r="O56" s="541"/>
      <c r="P56" s="541"/>
      <c r="Q56" s="270"/>
      <c r="R56" s="187"/>
      <c r="S56" s="182" t="s">
        <v>116</v>
      </c>
      <c r="T56" s="183">
        <f>N50*EXP(-J48*(48-N48/T18))</f>
        <v>8.0033472500658895</v>
      </c>
      <c r="U56" s="176">
        <f>O50*EXP(-J48*(48-O48/T18))</f>
        <v>6.641592510780443</v>
      </c>
      <c r="V56" s="202"/>
      <c r="W56" s="202"/>
      <c r="X56" s="489"/>
      <c r="Y56" s="489"/>
      <c r="Z56" s="232"/>
      <c r="AA56" s="232"/>
      <c r="AB56" s="242"/>
    </row>
    <row r="57" spans="1:29" ht="18" customHeight="1">
      <c r="A57" s="4"/>
      <c r="B57" s="53"/>
      <c r="C57" s="28"/>
      <c r="D57" s="538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57" s="539"/>
      <c r="F57" s="539"/>
      <c r="G57" s="539"/>
      <c r="H57" s="539"/>
      <c r="I57" s="539"/>
      <c r="J57" s="539"/>
      <c r="K57" s="539"/>
      <c r="L57" s="539"/>
      <c r="M57" s="539"/>
      <c r="N57" s="539"/>
      <c r="O57" s="539"/>
      <c r="P57" s="540"/>
      <c r="Q57" s="270"/>
      <c r="R57" s="187"/>
      <c r="S57" s="222" t="s">
        <v>119</v>
      </c>
      <c r="T57" s="183">
        <f>N50*EXP(-J48*(72-N48/T18))</f>
        <v>3.604279619784807</v>
      </c>
      <c r="U57" s="176">
        <f>O50*EXP(-J48*(72-O48/T18))</f>
        <v>2.9910181054963325</v>
      </c>
      <c r="V57" s="202"/>
      <c r="W57" s="202"/>
      <c r="X57" s="489"/>
      <c r="Y57" s="489"/>
      <c r="Z57" s="232"/>
      <c r="AA57" s="232"/>
      <c r="AB57" s="242"/>
    </row>
    <row r="58" spans="1:29" ht="18" customHeight="1">
      <c r="A58" s="4"/>
      <c r="B58" s="53"/>
      <c r="C58" s="28"/>
      <c r="D58" s="538" t="str">
        <f>IF(AND(F14="mg/dL",E14&lt;0.7),"Consider rounding SCr up to 0.7 mg/dL.",IF(AND(F14="µmol/L",E14&lt;61.88),"Consider rounding SCr up to 61.88 µmol/L.",IF(OR(F14="mg/dL",E14&gt;=0.7),"",IF(OR(F14="µmol/L",E14&gt;=61.88),""))))</f>
        <v/>
      </c>
      <c r="E58" s="539"/>
      <c r="F58" s="539"/>
      <c r="G58" s="539"/>
      <c r="H58" s="539"/>
      <c r="I58" s="539"/>
      <c r="J58" s="539"/>
      <c r="K58" s="539"/>
      <c r="L58" s="539"/>
      <c r="M58" s="539"/>
      <c r="N58" s="539"/>
      <c r="O58" s="539"/>
      <c r="P58" s="540"/>
      <c r="Q58" s="270"/>
      <c r="R58" s="187"/>
      <c r="S58" s="330"/>
      <c r="T58" s="331"/>
      <c r="U58" s="232"/>
      <c r="V58" s="202"/>
      <c r="W58" s="202"/>
      <c r="X58" s="489"/>
      <c r="Y58" s="489"/>
      <c r="Z58" s="232"/>
      <c r="AA58" s="232"/>
    </row>
    <row r="59" spans="1:29" ht="18" customHeight="1">
      <c r="A59" s="4"/>
      <c r="B59" s="53"/>
      <c r="C59" s="28"/>
      <c r="D59" s="541" t="str">
        <f>IF(N49&lt;36,"",IF(N49&gt;=36,"Note: When the dosing interval is &gt;24 hours, the AUC is higher during the first 24 hours of the dosing interval compared to the last 24 hours of the interval."))</f>
        <v/>
      </c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270"/>
      <c r="R59" s="187"/>
      <c r="S59" s="330"/>
      <c r="T59" s="331"/>
      <c r="U59" s="232"/>
      <c r="V59" s="202"/>
      <c r="W59" s="230"/>
      <c r="X59" s="489"/>
      <c r="Y59" s="489"/>
      <c r="Z59" s="232"/>
      <c r="AA59" s="232"/>
    </row>
    <row r="60" spans="1:29" ht="18" customHeight="1">
      <c r="A60" s="4"/>
      <c r="B60" s="53"/>
      <c r="C60" s="28"/>
      <c r="D60" s="572" t="str">
        <f>IF(T52&lt;0,"Warning: The level may be artificially elevated because it was drawn less than 60 minutes after the end of infusion.",IF(T52&gt;=0,""))</f>
        <v/>
      </c>
      <c r="E60" s="573"/>
      <c r="F60" s="573"/>
      <c r="G60" s="573"/>
      <c r="H60" s="573"/>
      <c r="I60" s="573"/>
      <c r="J60" s="573"/>
      <c r="K60" s="573"/>
      <c r="L60" s="573"/>
      <c r="M60" s="573"/>
      <c r="N60" s="573"/>
      <c r="O60" s="573"/>
      <c r="P60" s="574"/>
      <c r="Q60" s="270"/>
      <c r="R60" s="187"/>
      <c r="S60" s="330"/>
      <c r="T60" s="331"/>
      <c r="U60" s="232"/>
      <c r="V60" s="202"/>
      <c r="X60" s="489"/>
      <c r="Y60" s="489"/>
      <c r="Z60" s="232"/>
      <c r="AA60" s="232"/>
    </row>
    <row r="61" spans="1:29" ht="18" customHeight="1">
      <c r="A61" s="4"/>
      <c r="B61" s="53"/>
      <c r="C61" s="28"/>
      <c r="D61" s="538" t="str">
        <f>IF(E52&lt;(1+E48/T18),"Note: The level was drawn less than 1 hour after the END of infusion, so it may be artificially high (still in distribution phase).",IF(E52&gt;=(1+E48/T18),""))</f>
        <v/>
      </c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40"/>
      <c r="Q61" s="270"/>
      <c r="R61" s="187"/>
      <c r="S61" s="330"/>
      <c r="T61" s="331"/>
      <c r="U61" s="232"/>
      <c r="V61" s="202"/>
      <c r="W61" s="202"/>
      <c r="X61" s="489"/>
      <c r="Y61" s="489"/>
      <c r="Z61" s="232"/>
      <c r="AA61" s="232"/>
    </row>
    <row r="62" spans="1:29" ht="18" customHeight="1">
      <c r="A62" s="4"/>
      <c r="B62" s="53"/>
      <c r="C62" s="28"/>
      <c r="D62" s="538" t="str">
        <f>IF(AND(N49=8,(N48/E16)&gt;18,F16="kg"),"Caution: The calculator's dose is greater than 18 mg/kg q8h; consider decreasing the maintenance dose.",IF(AND(N49=8,(N48/E16)&lt;=18,F16="kg"),"",IF(AND(N49=8,(N48/(E16/2.20462))&gt;18,F16="lbs"),"Caution: The calculator's dose is greater than 18 mg/kg q8h; consider decreasing the maintenance dose.",IF(AND(N49=8,(N48/(E16/2.20462))&lt;=18,F16="lbs"),"",IF(N49&gt;8,"")))))</f>
        <v/>
      </c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40"/>
      <c r="Q62" s="270"/>
      <c r="R62" s="187"/>
      <c r="S62" s="330"/>
      <c r="T62" s="331"/>
      <c r="U62" s="232"/>
      <c r="V62" s="202"/>
      <c r="W62" s="202"/>
      <c r="X62" s="489"/>
      <c r="Y62" s="489"/>
      <c r="Z62" s="232"/>
      <c r="AA62" s="232"/>
    </row>
    <row r="63" spans="1:29" ht="18" customHeight="1">
      <c r="A63" s="4"/>
      <c r="B63" s="53"/>
      <c r="C63" s="28"/>
      <c r="D63" s="538" t="str">
        <f>IF(ABS(E50-T48)&gt;10,"Caution: The level is significantly different than predicted by using population kinetics.  This patient may require a higher degree of clinical judgment.","")</f>
        <v/>
      </c>
      <c r="E63" s="539"/>
      <c r="F63" s="539"/>
      <c r="G63" s="539"/>
      <c r="H63" s="539"/>
      <c r="I63" s="539"/>
      <c r="J63" s="539"/>
      <c r="K63" s="539"/>
      <c r="L63" s="539"/>
      <c r="M63" s="539"/>
      <c r="N63" s="539"/>
      <c r="O63" s="539"/>
      <c r="P63" s="540"/>
      <c r="Q63" s="270"/>
      <c r="R63" s="187"/>
      <c r="S63" s="330"/>
      <c r="T63" s="331"/>
      <c r="U63" s="232"/>
      <c r="V63" s="202"/>
      <c r="W63" s="202"/>
      <c r="X63" s="489"/>
      <c r="Y63" s="489"/>
      <c r="Z63" s="232"/>
      <c r="AA63" s="232"/>
    </row>
    <row r="64" spans="1:29" ht="18" customHeight="1" thickBot="1">
      <c r="A64" s="4"/>
      <c r="B64" s="106"/>
      <c r="C64" s="107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07"/>
      <c r="Q64" s="287"/>
      <c r="R64" s="174"/>
      <c r="U64" s="12"/>
      <c r="V64" s="232"/>
      <c r="W64" s="232"/>
    </row>
    <row r="65" spans="1:25" ht="30">
      <c r="A65" s="4"/>
      <c r="B65" s="53"/>
      <c r="C65" s="28"/>
      <c r="D65" s="584" t="s">
        <v>250</v>
      </c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4"/>
      <c r="P65" s="28"/>
      <c r="Q65" s="54"/>
      <c r="R65" s="174"/>
      <c r="S65" s="188" t="s">
        <v>53</v>
      </c>
      <c r="T65" s="189" t="e">
        <f>LN(((E70/J69)+E72)/E72)/((E75+E71)/2)</f>
        <v>#VALUE!</v>
      </c>
      <c r="U65" s="444"/>
      <c r="V65" s="200" t="s">
        <v>18</v>
      </c>
      <c r="W65" s="300" t="e">
        <f>MROUND(IF(AND(J14="15-20 mcg/mL",J69&lt;=75),37*J69*(1-EXP(-J72*N70)),IF(AND(J14="14-19 mcg/mL",J69&lt;=75),36*J69*(1-EXP(-J72*N70)),IF(AND(J14="13-18 mcg/mL",J69&lt;=75),35*J69*(1-EXP(-J72*N70)),IF(AND(J14="12-17 mcg/mL",J69&lt;=75),34*J69*(1-EXP(-J72*N70)),IF(AND(J14="11-16 mcg/mL",J69&lt;=75),33*J69*(1-EXP(-J72*N70)),IF(AND(J14="10-15 mcg/mL",J69&lt;=75),32*J69*(1-EXP(-J72*N70)),IF(AND(J14="15-20 mcg/mL",J69&gt;75),30*J69*(1-EXP(-J72*N70)),IF(AND(J14="14-19 mcg/mL",J69&gt;75),29*J69*(1-EXP(-J72*N70)),IF(AND(J14="13-18 mcg/mL",J69&gt;75),28*J69*(1-EXP(-J72*N70)),IF(AND(J14="12-17 mcg/mL",J69&gt;75),27*J69*(1-EXP(-J72*N70)),IF(AND(J14="11-16 mcg/mL",J69&gt;75),26*J69*(1-EXP(-J72*N70)),IF(AND(J14="10-15 mcg/mL",J69&gt;75),25*J69*(1-EXP(-J72*N70)))))))))))))),250)</f>
        <v>#VALUE!</v>
      </c>
    </row>
    <row r="66" spans="1:25" ht="15.75" customHeight="1">
      <c r="A66" s="4"/>
      <c r="B66" s="53"/>
      <c r="C66" s="2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4"/>
      <c r="R66" s="174"/>
      <c r="S66" s="191" t="s">
        <v>57</v>
      </c>
      <c r="T66" s="192" t="e">
        <f>(E70/(E70/T18*T65*J69)*(1-EXP(-T65*E70/T18)))*EXP(-T65*(E75-E70/T18))/(1-EXP(-T65*(E71)))</f>
        <v>#VALUE!</v>
      </c>
      <c r="U66" s="272"/>
      <c r="V66" s="172" t="s">
        <v>32</v>
      </c>
      <c r="W66" s="176" t="e">
        <f>(W65*(1-EXP(-J72*W65/T18)))/((J72*J69*W65/T18)*(1-EXP(-J72*N70)))</f>
        <v>#VALUE!</v>
      </c>
    </row>
    <row r="67" spans="1:25" ht="15.75" customHeight="1" thickBot="1">
      <c r="A67" s="4"/>
      <c r="B67" s="53"/>
      <c r="C67" s="2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4"/>
      <c r="R67" s="174"/>
      <c r="S67" s="191" t="s">
        <v>54</v>
      </c>
      <c r="T67" s="193" t="e">
        <f>ROUND((T66/E72)*T65,8)</f>
        <v>#VALUE!</v>
      </c>
      <c r="U67" s="272"/>
      <c r="V67" s="172" t="s">
        <v>19</v>
      </c>
      <c r="W67" s="176" t="e">
        <f>ROUND(W66*EXP(-J72*(N70-W65/T18)),4)</f>
        <v>#VALUE!</v>
      </c>
    </row>
    <row r="68" spans="1:25" ht="16.5" customHeight="1" thickBot="1">
      <c r="A68" s="4"/>
      <c r="B68" s="53"/>
      <c r="C68" s="28"/>
      <c r="D68" s="552" t="s">
        <v>39</v>
      </c>
      <c r="E68" s="553"/>
      <c r="F68" s="554"/>
      <c r="G68" s="7"/>
      <c r="H68" s="7"/>
      <c r="I68" s="552" t="s">
        <v>188</v>
      </c>
      <c r="J68" s="553"/>
      <c r="K68" s="554"/>
      <c r="L68" s="7"/>
      <c r="M68" s="552" t="s">
        <v>82</v>
      </c>
      <c r="N68" s="553"/>
      <c r="O68" s="553"/>
      <c r="P68" s="554"/>
      <c r="Q68" s="54"/>
      <c r="R68" s="174"/>
      <c r="S68" s="191" t="s">
        <v>55</v>
      </c>
      <c r="T68" s="192" t="e">
        <f>(E70/((E70/T18)*T67*J69)*(1-EXP(-T67*(E70/T18))))*EXP(-T67*(E75-(E70/T18)))/(1-EXP(-T67*(E71)))</f>
        <v>#VALUE!</v>
      </c>
      <c r="U68" s="272"/>
      <c r="V68" s="479"/>
      <c r="W68" s="184"/>
    </row>
    <row r="69" spans="1:25" ht="18">
      <c r="A69" s="4"/>
      <c r="B69" s="53"/>
      <c r="C69" s="126" t="s">
        <v>40</v>
      </c>
      <c r="D69" s="544" t="s">
        <v>229</v>
      </c>
      <c r="E69" s="545"/>
      <c r="F69" s="546"/>
      <c r="G69" s="24"/>
      <c r="H69" s="24"/>
      <c r="I69" s="33" t="s">
        <v>1</v>
      </c>
      <c r="J69" s="485" t="e">
        <f>IF(D69="Use estimated Ke and Vd",IF(W76&gt;=E72,(((W76-E72)*0.02)+1)*E27,IF(W76&lt;E72,(1-((E72-W76)*0.02))*E27)),IF(D69="Vd is known","",IF(D69="Ke is known",(E70*(EXP(-J72*(E75-E70/T18)))*(1-EXP(-J72*(E70/T18))))/(E72*(E70/T18)*J72*(1-EXP(-J72*E71))))))</f>
        <v>#VALUE!</v>
      </c>
      <c r="K69" s="19" t="s">
        <v>6</v>
      </c>
      <c r="L69" s="10"/>
      <c r="M69" s="26" t="s">
        <v>18</v>
      </c>
      <c r="N69" s="99" t="e">
        <f>MIN(IF(AND(J14="15-20 mcg/mL",W67&gt;=15,W67&lt;=20),W65,IF(AND(J14="15-20 mcg/mL",W67&lt;15),W65+250,IF(AND(J14="15-20 mcg/mL",W67&gt;20),W65-250,
IF(AND(J14="14-19 mcg/mL",W67&gt;=14,W67&lt;=19),W65,IF(AND(J14="14-19 mcg/mL",W67&lt;14),W65+250,IF(AND(J14="14-19 mcg/mL",W67&gt;19),W65-250,
IF(AND(J14="13-18 mcg/mL",W67&gt;=13,W67&lt;=18),W65,IF(AND(J14="13-18 mcg/mL",W67&lt;13),W65+250,IF(AND(J14="13-18 mcg/mL",W67&gt;18),W65-250,
IF(AND(J14="12-17 mcg/mL",W67&gt;=12,W67&lt;=17),W65,IF(AND(J14="12-17 mcg/mL",W67&lt;12),W65+250,IF(AND(J14="12-17 mcg/mL",W67&gt;17),W65-250,
IF(AND(J14="11-16 mcg/mL",W67&gt;=11,W67&lt;=16),W65,IF(AND(J14="11-16 mcg/mL",W67&lt;11),W65+250,IF(AND(J14="11-16 mcg/mL",W67&gt;16),W65-250,
IF(AND(J14="10-15 mcg/mL",W67&gt;=10,W67&lt;=15),W65,IF(AND(J14="10-15 mcg/mL",W67&lt;10),W65+250,IF(AND(J14="10-15 mcg/mL",W67&gt;15),W65-250)))))))))))))))))),3000)</f>
        <v>#VALUE!</v>
      </c>
      <c r="O69" s="535" t="e">
        <f>IF(AND(N69=1750,N70=8),"1500",IF(AND(N69=1500,N70=8),"1250",IF(AND(N69=750,N70=18,N72&lt;16,J69&lt;37.5),"500",IF(AND(N69=750,N70=18,N72&gt;19,J69&lt;37.5),"750",IF(AND(N69=750,N70=18,N72&gt;16.5,J69&gt;=37.5),"1000",IF(AND(N69=750,N70=18,N72&lt;12,J69&gt;=43),"1250",IF(AND(N69=1000,N70=18,N72&gt;17.5,J69&lt;44),"500",IF(AND(N69=1000,N70=18,N72&gt;17.5,J69&gt;=44),"1250",IF(AND(N69=1000,N70=18,N72&lt;12),"750",IF(AND(N69=1250,N70=18,N72&lt;18.5),"750",IF(AND(N69=1250,N70=18,N72&gt;=18.5),"1000",IF(AND(N69=1500,N70=18,N72&lt;17),"1000",IF(AND(N69=1500,N70=18,N72&lt;13),"1000",IF(AND(N69=1500,N70=18,N72&gt;=17.5),"1250",IF(AND(N69=1750,N70=18,N72&gt;=12),"1000",IF(AND(N69=1750,N70=18,N72&lt;12),"1250",IF(AND(N69=2000,N70=18,N72&lt;18,N72&gt;=14),"1250",IF(AND(N69=2000,N70=18,N72&lt;14),"1500",IF(AND(N69=2000,N70=18,N72&gt;=18),"1000",IF(AND(N69=750,N70=36,N72&lt;16),"500",IF(AND(N69=750,N70=36,N72&lt;13),"500",IF(AND(N69=750,N70=36,N72&gt;17,J69&gt;38.5),"1000",IF(AND(N69=1000,N70=36,N72&gt;18,J69&lt;47),"500",IF(AND(N69=1000,N70=36,N72&gt;18,J69&gt;=47),"1250",IF(AND(N69=1000,N70=36,N72&lt;11.5),"750",IF(AND(N69=1250,N70=36),"750",IF(AND(N69=1500,N70=36,N72&lt;=16),"1000",IF(AND(N69=1500,N70=36,N72&gt;17),"750",IF(AND(N69=1750,N70=36,N72&gt;=12),"1000",IF(AND(N69=1750,N70=36,N72&lt;12),"1250",IF(AND(N69=2000,N70=36,N72&lt;18,N72&gt;=14),"1250",IF(AND(N69=2000,N70=36,N72&lt;14),"1500",IF(AND(N69=2000,N70=36,N72&gt;=18),"1000",IF(AND(N69=750,N70=12,N72&gt;19.5,J69&gt;=38),"1000",IF(AND(N69=750,N70=12,N72&lt;11.5,J69&gt;=38),"1000",IF(AND(N69=1750,N70=12,N72&gt;=16),"1000",IF(AND(N69=2000,N70=12,N72&lt;19),"1250",IF(AND(N69=2000,N70=12,N72&gt;=19),"1000",IF(AND(N69=750,N70=8,N72&gt;=19.4,J69&gt;38),"1000",IF(AND(N69=750,N70=8,N72&lt;11.5,J69&gt;38),"1000",IF(AND(N69=750,N70=8,N72&gt;19,J69&lt;35),"500",IF(AND(N69=1000,N70=8,N72&gt;19,J69&lt;52.5),"750",IF(AND(N69=1000,N70=8,N72&gt;18,J69&gt;=52.5),"1500",IF(AND(N69=1250,N70=8,N72&gt;19),"1000",IF(AND(N69=1000,N70=12,N72&gt;19),"750",IF(AND(N69=1250,N70=12,N72&gt;18.5),"1000",IF(AND(N69=1250,N70=12,N72&lt;=18.5),"750",IF(AND(N69=1500,N70=12,N72&gt;18),"1250",IF(AND(N69=2000,N70=24,N72&gt;16),"1750",IF(AND(N69=1750,N70=24,N72&gt;16.5),"1500",IF(AND(N69=1500,N70=24,N72&gt;17),"1250",IF(AND(N69=1250,N70=24,N72&gt;18),"1000",IF(AND(N69=1000,N70=24,N72&gt;19),"750",IF(AND(N69=2000,N70=48,N72&gt;16),"1750",IF(AND(N69=1750,N70=48,N72&gt;16.5),"1500",IF(AND(N69=1500,N70=48,N72&gt;17),"1250",IF(AND(N69=1250,N70=48,N72&gt;18),"1000",IF(AND(N69=1250,N70=48,N72&lt;=18),"500",IF(AND(N69=1000,N70=48,N72&gt;19),"750",IF(AND(N69=2000,N70=72,N72&gt;16),"1750",IF(AND(N69=1750,N70=72,N72&gt;16.5),"1500",IF(AND(N69=1500,N70=72,N72&gt;17),"1250",IF(AND(N69=1250,N70=72,N72&gt;18),"1000",IF(AND(N69=1000,N70=72,N72&gt;19),"750",""))))))))))))))))))))))))))))))))))))))))))))))))))))))))))))))))</f>
        <v>#VALUE!</v>
      </c>
      <c r="P69" s="27" t="s">
        <v>3</v>
      </c>
      <c r="Q69" s="108"/>
      <c r="R69" s="186"/>
      <c r="S69" s="191" t="s">
        <v>56</v>
      </c>
      <c r="T69" s="193" t="e">
        <f>ROUND((T68/E72)*T67,8)</f>
        <v>#VALUE!</v>
      </c>
      <c r="U69" s="272"/>
      <c r="V69" s="172" t="s">
        <v>133</v>
      </c>
      <c r="W69" s="176" t="e">
        <f>N71*EXP(-J72*(12-N69/T18))</f>
        <v>#VALUE!</v>
      </c>
      <c r="X69" s="176" t="e">
        <f>O71*EXP(-J72*(12-O69/T18))</f>
        <v>#VALUE!</v>
      </c>
    </row>
    <row r="70" spans="1:25" ht="21.75" customHeight="1">
      <c r="A70" s="4"/>
      <c r="B70" s="53"/>
      <c r="C70" s="37"/>
      <c r="D70" s="13" t="s">
        <v>18</v>
      </c>
      <c r="E70" s="462">
        <v>750</v>
      </c>
      <c r="F70" s="15" t="s">
        <v>3</v>
      </c>
      <c r="G70" s="101"/>
      <c r="H70" s="101"/>
      <c r="I70" s="311" t="s">
        <v>187</v>
      </c>
      <c r="J70" s="99" t="e">
        <f>ROUND(IF(J15="Empiric or 1 mg/L",(((E70/E71)*24)/(J72*J69))/1,IF(J15="0.5 mg/L",(((E70/E71)*24)/(J72*J69))/0.5,IF(J15="2.0 mg/L",(((E70/E71)*24)/(J72*J69))/2,"Error"))),4)</f>
        <v>#VALUE!</v>
      </c>
      <c r="K70" s="98"/>
      <c r="L70" s="89"/>
      <c r="M70" s="20" t="s">
        <v>20</v>
      </c>
      <c r="N70" s="30" t="e">
        <f>IF(J69&lt;=75,IF((LN(35/15)/J72)&lt;=8,8,IF(AND(8&lt;(LN(35/15)/J72),(LN(35/15)/J72)&lt;12),IF(ABS((LN(35/15)/J72)-8)&lt;ABS((LN(35/15)/J72)-12),8,12),IF((LN(35/15)/J72)=12,12,IF(AND(12&lt;(LN(35/15)/J72),(LN(35/15)/J72)&lt;18),IF(ABS((LN(35/15)/J72)-12)&lt;ABS((LN(35/15)/J72)-18),12,18),IF((LN(35/15)/J72)=18,18,IF(AND(18&lt;(LN(35/15)/J72),(LN(35/15)/J72)&lt;24),IF(ABS((LN(35/15)/J72)-18)&lt;ABS((LN(35/15)/J72)-24),18,24),IF((LN(35/15)/J72)=24,24,IF(AND(24&lt;(LN(35/15)/J72),(LN(35/15)/J72)&lt;36),IF(ABS((LN(35/15)/J72)-24)&lt;ABS((LN(35/15)/J72)-36),24,36),IF((LN(35/15)/J72)=36,36,IF(AND(36&lt;(LN(35/15)/J72),(LN(35/15)/J72)&lt;48),IF(ABS((LN(35/15)/J72)-36)&lt;ABS((LN(35/15)/J72)-48),36,48),IF((LN(35/15)/J72)=48,48,IF(AND(48&lt;(LN(35/15)/J72),(LN(35/15)/J72)&lt;72),IF(ABS((LN(35/15)/J72)-48)&lt;ABS((LN(35/15)/J72)-72),48,72),IF((LN(35/15)/J72)&gt;=72,72,"Error"))))))))))))),IF(J69&gt;75,IF((LN(30/15)/J72)&lt;=8,8,IF(AND(8&lt;(LN(30/15)/J72),(LN(30/15)/J72)&lt;12),IF(ABS((LN(30/15)/J72)-8)&lt;ABS((LN(30/15)/J72)-12),8,12),IF((LN(30/15)/J72)=12,12,IF(AND(12&lt;(LN(30/15)/J72),(LN(30/15)/J72)&lt;18),IF(ABS((LN(30/15)/J72)-12)&lt;ABS((LN(30/15)/J72)-18),12,18),IF((LN(30/15)/J72)=18,18,IF(AND(18&lt;(LN(30/15)/J72),(LN(30/15)/J72)&lt;24),IF(ABS((LN(30/15)/J72)-18)&lt;ABS((LN(30/15)/J72)-24),18,24),IF((LN(30/15)/J72)=24,24,IF(AND(24&lt;(LN(30/15)/J72),(LN(30/15)/J72)&lt;36),IF(ABS((LN(30/15)/J72)-24)&lt;ABS((LN(30/15)/J72)-36),24,36),IF((LN(30/15)/J72)=36,36,IF(AND(36&lt;(LN(30/15)/J72),(LN(30/15)/J72)&lt;48),IF(ABS((LN(30/15)/J72)-36)&lt;ABS((LN(30/15)/J72)-48),36,48),IF((LN(30/15)/J72)=48,48,IF(AND(48&lt;(LN(30/15)/J72),(LN(30/15)/J72)&lt;72),IF(ABS((LN(30/15)/J72)-48)&lt;ABS((LN(30/15)/J72)-72),48,72),IF((LN(30/15)/J72)&gt;=72,72,"Error")))))))))))))))</f>
        <v>#VALUE!</v>
      </c>
      <c r="O70" s="537" t="e">
        <f>IF(AND(N69=1750,N70=8),"8",IF(AND(N69=1500,N70=8),"8",IF(AND(N69=750,N70=18,N72&lt;16,J69&lt;37.5),"12",IF(AND(N69=750,N70=18,N72&gt;19,J69&lt;37.5),"24",IF(AND(N69=750,N70=18,N72&gt;16.5,J69&gt;=37.5),"24",IF(AND(N69=750,N70=18,N72&lt;12,J69&gt;=43),"24",IF(AND(N69=1000,N70=18,N72&gt;17.5,J69&lt;44),"12",IF(AND(N69=1000,N70=18,N72&gt;17.5,J69&gt;=44),"24",IF(AND(N69=1000,N70=18,N72&lt;12),"12",IF(AND(N69=1250,N70=18,N72&lt;18.5),"12",IF(AND(N69=1250,N70=18,N72&gt;=18.5),"18",IF(AND(N69=1500,N70=18,N72&lt;17),"12",IF(AND(N69=1500,N70=18,N72&lt;13),"12",IF(AND(N69=1500,N70=18,N72&gt;=17.5),"18",IF(AND(N69=1750,N70=18),"12",IF(AND(N69=2000,N70=18),"12",IF(AND(N69=750,N70=36,N72&lt;16),"24",IF(AND(N69=750,N70=36,N72&lt;13),"24",IF(AND(N69=750,N70=36,N72&gt;17,J69&gt;38.5),"48",IF(AND(N69=1000,N70=36,N72&gt;18,J69&lt;47),"24",IF(AND(N69=1000,N70=36,N72&gt;18,J69&gt;=47),"48",IF(AND(N69=1000,N70=36,N72&lt;11.5),"24",IF(AND(N69=1250,N70=36),"24",IF(AND(N69=1500,N70=36,N72&lt;=16),"24",IF(AND(N69=1500,N70=36,N72&gt;17),"24",IF(AND(N69=1750,N70=36),"24",IF(AND(N69=2000,N70=36),"24",IF(AND(N69=750,N70=12,N72&gt;19.5,J69&gt;=38),"18",IF(AND(N69=750,N70=12,N72&lt;11.5,J69&gt;=38),"12",IF(AND(N69=1750,N70=12,N72&gt;=16),"8",IF(AND(N69=2000,N70=12),"8",IF(AND(N69=750,N70=8,N72&gt;=19.4,J69&gt;38),"12",IF(AND(N69=750,N70=8,N72&lt;11.5,J69&gt;38),"8",IF(AND(N69=750,N70=8,N72&gt;19,J69&lt;35),"8",IF(AND(N69=1250,N70=8,N72&gt;19),"8",IF(AND(N69=1000,N70=8,N72&gt;19,J69&lt;52.5),"8",IF(AND(N69=1000,N70=8,N72&gt;18,J69&gt;=52.5),"12",IF(AND(N69=1000,N70=12,N72&gt;19),"12",IF(AND(N69=1250,N70=12,N72&gt;18.5),"12",IF(AND(N69=1250,N70=12,N72&lt;=18.5),"8",IF(AND(N69=1500,N70=12,N72&gt;18),"12",IF(AND(N69=2000,N70=24,N72&gt;16),"24",IF(AND(N69=1750,N70=24,N72&gt;16.5),"24",IF(AND(N69=1500,N70=24,N72&gt;17),"24",IF(AND(N69=1250,N70=24,N72&gt;18),"24",IF(AND(N69=1000,N70=24,N72&gt;19),"24",IF(AND(N69=2000,N70=48,N72&gt;16),"48",IF(AND(N69=1750,N70=48,N72&gt;16.5),"48",IF(AND(N69=1500,N70=48,N72&gt;17),"48",IF(AND(N69=1250,N70=48,N72&gt;18),"48",IF(AND(N69=1250,N70=48,N72&lt;=18),"24",IF(AND(N69=1000,N70=48,N72&gt;19),"48",IF(AND(N69=2000,N70=72,N72&gt;16),"72",IF(AND(N69=1750,N70=72,N72&gt;16.5),"72",IF(AND(N69=1500,N70=72,N72&gt;17),"72",IF(AND(N69=1250,N70=72,N72&gt;18),"72",IF(AND(N69=1000,N70=72,N72&gt;19),"72","")))))))))))))))))))))))))))))))))))))))))))))))))))))))))</f>
        <v>#VALUE!</v>
      </c>
      <c r="P70" s="22" t="s">
        <v>4</v>
      </c>
      <c r="Q70" s="138"/>
      <c r="R70" s="187"/>
      <c r="S70" s="191" t="s">
        <v>58</v>
      </c>
      <c r="T70" s="192" t="e">
        <f>(E70/(E70/T18*T69*J69)*(1-EXP(-T69*E70/T18)))*EXP(-T69*(E75-E70/T18))/(1-EXP(-T69*(E71)))</f>
        <v>#VALUE!</v>
      </c>
      <c r="U70" s="272"/>
      <c r="V70" s="180" t="s">
        <v>115</v>
      </c>
      <c r="W70" s="181" t="e">
        <f>N71*EXP(-J72*(24-N69/T18))</f>
        <v>#VALUE!</v>
      </c>
      <c r="X70" s="176" t="e">
        <f>O71*EXP(-J72*(24-O69/T18))</f>
        <v>#VALUE!</v>
      </c>
    </row>
    <row r="71" spans="1:25" ht="18">
      <c r="A71" s="4"/>
      <c r="B71" s="53"/>
      <c r="C71" s="126" t="s">
        <v>40</v>
      </c>
      <c r="D71" s="20" t="s">
        <v>84</v>
      </c>
      <c r="E71" s="29">
        <v>8</v>
      </c>
      <c r="F71" s="22" t="s">
        <v>4</v>
      </c>
      <c r="G71" s="101"/>
      <c r="H71" s="101"/>
      <c r="I71" s="102" t="s">
        <v>41</v>
      </c>
      <c r="J71" s="149" t="e">
        <f>IF(E75&lt;=E71,(E72*EXP(-J72*(E71-E75))),IF(E75&gt;E71,(E72/EXP(-J72*(E75-E71)))))</f>
        <v>#VALUE!</v>
      </c>
      <c r="K71" s="103" t="s">
        <v>5</v>
      </c>
      <c r="L71" s="34"/>
      <c r="M71" s="33" t="s">
        <v>128</v>
      </c>
      <c r="N71" s="118" t="e">
        <f>(N69*(1-EXP(-J72*(N69/T18))))/((J72*J69*(N69/T18))*(1-EXP(-J72*N70)))</f>
        <v>#VALUE!</v>
      </c>
      <c r="O71" s="118" t="e">
        <f>(O69*(1-EXP(-J72*(O69/T18))))/((J72*J69*(O69/T18))*(1-EXP(-J72*O70)))</f>
        <v>#VALUE!</v>
      </c>
      <c r="P71" s="31" t="s">
        <v>5</v>
      </c>
      <c r="Q71" s="108"/>
      <c r="R71" s="190"/>
      <c r="S71" s="191" t="s">
        <v>59</v>
      </c>
      <c r="T71" s="193" t="e">
        <f>ROUND((T67+T69)/2,8)</f>
        <v>#VALUE!</v>
      </c>
      <c r="U71" s="272"/>
      <c r="V71" s="172" t="s">
        <v>132</v>
      </c>
      <c r="W71" s="176" t="e">
        <f>N71*EXP(-J72*(36-N69/T18))</f>
        <v>#VALUE!</v>
      </c>
      <c r="X71" s="176" t="e">
        <f>O71*EXP(-J72*(36-O69/T18))</f>
        <v>#VALUE!</v>
      </c>
    </row>
    <row r="72" spans="1:25" ht="21" customHeight="1">
      <c r="A72" s="4"/>
      <c r="B72" s="121"/>
      <c r="C72" s="28"/>
      <c r="D72" s="17" t="s">
        <v>233</v>
      </c>
      <c r="E72" s="430">
        <v>25</v>
      </c>
      <c r="F72" s="19" t="s">
        <v>5</v>
      </c>
      <c r="G72" s="125" t="s">
        <v>40</v>
      </c>
      <c r="H72" s="530"/>
      <c r="I72" s="33" t="s">
        <v>2</v>
      </c>
      <c r="J72" s="340" t="str">
        <f>IF(D69="Use estimated Ke and Vd",T85,IF(D69="Vd is known",T85,IF(D69="Ke is known","")))</f>
        <v/>
      </c>
      <c r="K72" s="31" t="s">
        <v>66</v>
      </c>
      <c r="L72" s="10"/>
      <c r="M72" s="33" t="s">
        <v>129</v>
      </c>
      <c r="N72" s="118" t="e">
        <f>ROUND(N71*EXP(-J72*(N70-N69/T18)),4)</f>
        <v>#VALUE!</v>
      </c>
      <c r="O72" s="116" t="e">
        <f>ROUND(O71*EXP(-J72*(O70-(O69/T18))),4)</f>
        <v>#VALUE!</v>
      </c>
      <c r="P72" s="19" t="s">
        <v>5</v>
      </c>
      <c r="Q72" s="108"/>
      <c r="R72" s="190"/>
      <c r="S72" s="191" t="s">
        <v>60</v>
      </c>
      <c r="T72" s="195" t="e">
        <f>(E70/(E70/T18*T71*J69)*(1-EXP(-T71*E70/T18)))*EXP(-T71*(E75-E70/T18))/(1-EXP(-T71*(E71)))</f>
        <v>#VALUE!</v>
      </c>
      <c r="U72" s="272"/>
      <c r="V72" s="182" t="s">
        <v>116</v>
      </c>
      <c r="W72" s="183" t="e">
        <f>N71*EXP(-J72*(48-N69/T18))</f>
        <v>#VALUE!</v>
      </c>
      <c r="X72" s="176" t="e">
        <f>O71*EXP(-J72*(48-O69/T18))</f>
        <v>#VALUE!</v>
      </c>
    </row>
    <row r="73" spans="1:25" ht="15" thickBot="1">
      <c r="A73" s="4"/>
      <c r="B73" s="53"/>
      <c r="C73" s="126" t="s">
        <v>40</v>
      </c>
      <c r="D73" s="35" t="s">
        <v>96</v>
      </c>
      <c r="E73" s="45">
        <v>22</v>
      </c>
      <c r="F73" s="137">
        <v>10</v>
      </c>
      <c r="G73" s="125" t="s">
        <v>40</v>
      </c>
      <c r="H73" s="530"/>
      <c r="I73" s="23" t="s">
        <v>151</v>
      </c>
      <c r="J73" s="150" t="e">
        <f>0.693/J72</f>
        <v>#VALUE!</v>
      </c>
      <c r="K73" s="269" t="s">
        <v>4</v>
      </c>
      <c r="L73" s="10"/>
      <c r="M73" s="33" t="s">
        <v>145</v>
      </c>
      <c r="N73" s="83" t="e">
        <f>IF(AND(N70&lt;=24,J15="Empiric or 1 mg/L"),((N69/N70)*24/(J72*J69))/1,IF(AND(J15="0.5 mg/L",N70&lt;=24),((N69/N70)*24/(J72*J69))/0.5,IF(AND(J15="2.0 mg/L",N70&lt;=24),((N69/N70)*24/(J72*J69))/2,IF(AND(N70&gt;24,J15="Empiric or 1 mg/L"),(N71+N72)/2*(N69/T18)+((N71-W70)*(24-N69/T18))/LN(N71/W70),IF(AND(J15="0.5 mg/L",N70&gt;24),(N71+N72)/2*(N69/T18)+((N71-W70)*(24-N69/T18))/LN(N71/W70)/0.5,IF(AND(J15="2.0 mg/L",N70&gt;24),(N71+N72)/2*(N69/T18)+((N71-W70)*(24-N69/T18))/LN(N71/W70)/2))))))</f>
        <v>#VALUE!</v>
      </c>
      <c r="O73" s="83" t="e">
        <f>IF(AND(O70*1&lt;=24,J15="Empiric or 1 mg/L"),((O69/O70)*24/(J72*J69))/1,IF(AND(J15="0.5 mg/L",O70*1&lt;=24),((O69/O70)*24/(J72*J69))/0.5,IF(AND(J15="2.0 mg/L",O70*1&lt;=24),((O69/O70)*24/(J72*J69))/2,IF(AND(O70*1&gt;24,J15="Empiric or 1 mg/L"),(O71+O72)/2*(O69/T18)+((O71-X70)*(24-O69/T18))/LN(O71/X70),IF(AND(J15="0.5 mg/L",O70*1&gt;24),(O71+O72)/2*(O69/T18)+((O71-X70)*(24-O69/T18))/LN(O71/X70)/0.5,IF(AND(J15="2.0 mg/L",O70*1&gt;24),(O71+O72)/2*(O69/T18)+((O71-X70)*(24-O69/T18))/LN(O71/X70)/2))))))</f>
        <v>#VALUE!</v>
      </c>
      <c r="P73" s="277"/>
      <c r="Q73" s="108"/>
      <c r="R73" s="190"/>
      <c r="S73" s="191" t="s">
        <v>61</v>
      </c>
      <c r="T73" s="193" t="e">
        <f>ROUND((T72/E72)*T71,8)</f>
        <v>#VALUE!</v>
      </c>
      <c r="U73" s="272"/>
      <c r="V73" s="222" t="s">
        <v>119</v>
      </c>
      <c r="W73" s="183" t="e">
        <f>N71*EXP(-J72*(72-N69/T18))</f>
        <v>#VALUE!</v>
      </c>
      <c r="X73" s="176" t="e">
        <f>O71*EXP(-J72*(72-O69/T18))</f>
        <v>#VALUE!</v>
      </c>
    </row>
    <row r="74" spans="1:25" ht="33" customHeight="1" thickBot="1">
      <c r="A74" s="4"/>
      <c r="B74" s="53"/>
      <c r="C74" s="126" t="s">
        <v>40</v>
      </c>
      <c r="D74" s="355" t="s">
        <v>171</v>
      </c>
      <c r="E74" s="356">
        <v>6</v>
      </c>
      <c r="F74" s="357" t="s">
        <v>51</v>
      </c>
      <c r="G74" s="9"/>
      <c r="H74" s="9"/>
      <c r="I74" s="9"/>
      <c r="J74" s="9"/>
      <c r="K74" s="9"/>
      <c r="L74" s="38"/>
      <c r="M74" s="258" t="s">
        <v>213</v>
      </c>
      <c r="N74" s="376" t="e">
        <f>IF(J15="Empiric or 1 mg/L",IF(N70=48,(W70-W72)*24/LN(W70/W72),IF(N70=36,(W69-W71)*24/LN(W69/W71),IF(N70=72,(W72-W73)*24/LN(W72/W73)))),IF(J15="0.5 mg/L",IF(N70=48,(W70-W72)*24/LN(W70/W72)/0.5,IF(N70=36,(W69-W71)*24/LN(W69/W71)/0.5,IF(N70=72,(W72-W73)*24/LN(W72/W73)/0.5))),IF(J15="2.0 mg/L",IF(N70=48,(W70-W72)*24/LN(W70/W72)/2,IF(N70=36,(W69-W71)*24/LN(W69/W71)/2,IF(N70=72,((W72-W73)*24/LN(W72/W73))/2))))))</f>
        <v>#VALUE!</v>
      </c>
      <c r="O74" s="376" t="e">
        <f>IF(J15="Empiric or 1 mg/L",IF(O70*1=48,(X70-X72)*24/LN(X70/X72),IF(O70*1=36,(X69-X71)*24/LN(X69/X71),IF(O70*1=72,(X72-X73)*24/LN(X72/X73)))),IF(J15="0.5 mg/L",IF(O70*1=48,(X70-X72)*24/LN(X70/X72)/0.5,IF(O70*1=36,(X69-X71)*24/LN(X69/X71)/0.5,IF(O70*1=72,(X72-X73)*24/LN(X72/X73)/0.5))),IF(J15="2.0 mg/L",IF(O70*1=48,(X70-X72)*24/LN(X70/X72)/2,IF(O70*1=36,(X69-X71)*24/LN(X69/X71)/2,IF(O70*1=72,((X72-X73)*24/LN(X72/X73))/2))))))</f>
        <v>#VALUE!</v>
      </c>
      <c r="P74" s="279"/>
      <c r="Q74" s="108"/>
      <c r="R74" s="190"/>
      <c r="S74" s="191" t="s">
        <v>62</v>
      </c>
      <c r="T74" s="195" t="e">
        <f>(E70/(E70/T18*T73*J69)*(1-EXP(-T73*E70/T18)))*EXP(-T73*(E75-E70/T18))/(1-EXP(-T73*(E71)))</f>
        <v>#VALUE!</v>
      </c>
      <c r="U74" s="272"/>
      <c r="V74" s="480"/>
      <c r="W74" s="239"/>
      <c r="X74" s="243"/>
      <c r="Y74" s="243"/>
    </row>
    <row r="75" spans="1:25" ht="29" thickBot="1">
      <c r="A75" s="4"/>
      <c r="B75" s="53"/>
      <c r="C75" s="28"/>
      <c r="D75" s="65" t="s">
        <v>234</v>
      </c>
      <c r="E75" s="429">
        <f>IF(D74="Time of level (same day as dose)",(E74+F74/60)-(E73+F73/60),IF(D74="Time of level (1 day after dose)",(24-(E73+F73/60)+E74+F74/60),IF(D74="Time of level (2 days after dose)",(24-(E73+F73/60)+E74+(F74/60)+24),IF(D74="Time of level (3 days after dose)",(24-(E73+F73/60)+E74+(F74/60)+48)))))</f>
        <v>7.8333333333333321</v>
      </c>
      <c r="F75" s="269" t="s">
        <v>4</v>
      </c>
      <c r="G75" s="9"/>
      <c r="H75" s="9"/>
      <c r="I75" s="547"/>
      <c r="J75" s="548"/>
      <c r="K75" s="548"/>
      <c r="L75" s="38"/>
      <c r="M75" s="39"/>
      <c r="N75" s="9"/>
      <c r="O75" s="309"/>
      <c r="P75" s="310"/>
      <c r="Q75" s="108"/>
      <c r="R75" s="190"/>
      <c r="S75" s="172" t="s">
        <v>87</v>
      </c>
      <c r="T75" s="193" t="e">
        <f>ROUND((T71+T73)/2,8)</f>
        <v>#VALUE!</v>
      </c>
      <c r="U75" s="272"/>
      <c r="V75" s="240" t="s">
        <v>184</v>
      </c>
      <c r="W75" s="240">
        <f>(E70*(1-EXP(-E28*(E70/T18))))/((E28*E27*(E70/T18)*(1-EXP(-E28*E71))))</f>
        <v>61.674617095693257</v>
      </c>
    </row>
    <row r="76" spans="1:25" ht="15">
      <c r="A76" s="4"/>
      <c r="B76" s="53"/>
      <c r="C76" s="28"/>
      <c r="D76" s="411" t="s">
        <v>240</v>
      </c>
      <c r="E76" s="236"/>
      <c r="F76" s="236"/>
      <c r="G76" s="237"/>
      <c r="H76" s="237"/>
      <c r="I76" s="271"/>
      <c r="J76" s="265"/>
      <c r="K76" s="265"/>
      <c r="L76" s="235"/>
      <c r="M76" s="478"/>
      <c r="N76" s="478"/>
      <c r="O76" s="238"/>
      <c r="P76" s="238"/>
      <c r="Q76" s="108"/>
      <c r="R76" s="194"/>
      <c r="S76" s="172" t="s">
        <v>88</v>
      </c>
      <c r="T76" s="195" t="e">
        <f>(E70/(E70/T18*T75*J69)*(1-EXP(-T75*E70/T18)))*EXP(-T75*(E75-E70/T18))/(1-EXP(-T75*(E71)))</f>
        <v>#VALUE!</v>
      </c>
      <c r="U76" s="272"/>
      <c r="V76" s="240" t="s">
        <v>185</v>
      </c>
      <c r="W76" s="240">
        <f>W75*EXP(-E28*(E75-E70/T18))</f>
        <v>49.965457421264091</v>
      </c>
    </row>
    <row r="77" spans="1:25" ht="20.25" customHeight="1">
      <c r="A77" s="4"/>
      <c r="B77" s="53"/>
      <c r="C77" s="28"/>
      <c r="D77" s="446" t="s">
        <v>263</v>
      </c>
      <c r="E77" s="9"/>
      <c r="F77" s="322"/>
      <c r="G77" s="9"/>
      <c r="H77" s="9"/>
      <c r="I77" s="309"/>
      <c r="J77" s="9"/>
      <c r="K77" s="595"/>
      <c r="L77" s="595"/>
      <c r="M77" s="9"/>
      <c r="N77" s="9"/>
      <c r="O77" s="9"/>
      <c r="P77" s="9"/>
      <c r="Q77" s="109"/>
      <c r="R77" s="179"/>
      <c r="S77" s="172" t="s">
        <v>89</v>
      </c>
      <c r="T77" s="193" t="e">
        <f>ROUND((T76/E72)*T75,8)</f>
        <v>#VALUE!</v>
      </c>
      <c r="U77" s="272"/>
      <c r="V77" s="479"/>
      <c r="W77" s="239"/>
      <c r="X77" s="243"/>
      <c r="Y77" s="243"/>
    </row>
    <row r="78" spans="1:25" ht="15" customHeight="1">
      <c r="A78" s="4"/>
      <c r="B78" s="53"/>
      <c r="C78" s="28"/>
      <c r="D78" s="263"/>
      <c r="E78" s="263"/>
      <c r="F78" s="263"/>
      <c r="G78" s="263"/>
      <c r="H78" s="263"/>
      <c r="I78" s="9"/>
      <c r="J78" s="263"/>
      <c r="K78" s="9"/>
      <c r="L78" s="9"/>
      <c r="M78" s="263"/>
      <c r="N78" s="263"/>
      <c r="O78" s="263"/>
      <c r="P78" s="263"/>
      <c r="Q78" s="100"/>
      <c r="R78" s="179"/>
      <c r="S78" s="172" t="s">
        <v>90</v>
      </c>
      <c r="T78" s="197" t="e">
        <f>(E70/(E70/T18*T77*J69)*(1-EXP(-T77*E70/T18)))*EXP(-T77*(E75-E70/T18))/(1-EXP(-T77*(E71)))</f>
        <v>#VALUE!</v>
      </c>
      <c r="U78" s="272"/>
      <c r="V78" s="481"/>
      <c r="X78" s="239"/>
      <c r="Y78" s="243"/>
    </row>
    <row r="79" spans="1:25" ht="17.25" customHeight="1">
      <c r="A79" s="4"/>
      <c r="B79" s="53"/>
      <c r="C79" s="28"/>
      <c r="D79" s="541" t="str">
        <f>IF(D69="Use estimated Ke and Vd","When using an estimated Ke and Vd the AUC24 is only an estimate.  To calculate an AUC24 based on a steady-state level either Vd or Ke must be known.",IF(D69="Ke is known","",IF(D69="Vd is known","")))</f>
        <v/>
      </c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326"/>
      <c r="Q79" s="100"/>
      <c r="R79" s="179"/>
      <c r="S79" s="172" t="s">
        <v>91</v>
      </c>
      <c r="T79" s="193" t="e">
        <f>ROUND((T75+T77)/2,8)</f>
        <v>#VALUE!</v>
      </c>
      <c r="U79" s="272"/>
      <c r="V79" s="479"/>
      <c r="W79" s="239"/>
      <c r="X79" s="243"/>
      <c r="Y79" s="243"/>
    </row>
    <row r="80" spans="1:25" ht="16.5" customHeight="1">
      <c r="A80" s="4"/>
      <c r="B80" s="53"/>
      <c r="C80" s="28"/>
      <c r="D80" s="542" t="e">
        <f>IF(AND(J15="Empiric or 1 mg/L",J70&gt;700),"Warning: The AUC24 may be &gt;700 mg*hr/L for the current dose.  Consider decreasing the total daily dose.",IF(AND(J15="0.5 mg/L",J70&gt;1400),"Warning: The AUC24 may be &gt;700 mg*hr/L for the current dose. Consider decreasing the total daily dose.",IF(AND(J15="2.0 mg/L",J70&gt;350),"Warning: The AUC24 may be &gt;700 mg*hr/L for the current dose. Consider decreasing the total daily dose.",IF(AND(J15="Empiric or 1 mg/L",J70&lt;=700),"",IF(AND(J15="0.5 mg/L",J70&lt;=1400),"",IF(AND(J15="2.0 mg/L",J70&lt;=350),"","ERROR"))))))</f>
        <v>#VALUE!</v>
      </c>
      <c r="E80" s="542"/>
      <c r="F80" s="542"/>
      <c r="G80" s="542"/>
      <c r="H80" s="542"/>
      <c r="I80" s="542"/>
      <c r="J80" s="542"/>
      <c r="K80" s="542"/>
      <c r="L80" s="542"/>
      <c r="M80" s="542"/>
      <c r="N80" s="542"/>
      <c r="O80" s="542"/>
      <c r="P80" s="327"/>
      <c r="Q80" s="110"/>
      <c r="R80" s="179"/>
      <c r="S80" s="172" t="s">
        <v>92</v>
      </c>
      <c r="T80" s="198" t="e">
        <f>(E70/(E70/T18*T79*J69)*(1-EXP(-T79*E70/T18)))*EXP(-T79*(E75-E70/T18))/(1-EXP(-T79*(E71)))</f>
        <v>#VALUE!</v>
      </c>
      <c r="U80" s="272"/>
      <c r="V80" s="482"/>
      <c r="W80" s="239"/>
      <c r="X80" s="243"/>
      <c r="Y80" s="243"/>
    </row>
    <row r="81" spans="1:29" ht="15">
      <c r="A81" s="4"/>
      <c r="B81" s="53"/>
      <c r="C81" s="28"/>
      <c r="D81" s="542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81" s="542"/>
      <c r="F81" s="542"/>
      <c r="G81" s="542"/>
      <c r="H81" s="542"/>
      <c r="I81" s="542"/>
      <c r="J81" s="542"/>
      <c r="K81" s="542"/>
      <c r="L81" s="542"/>
      <c r="M81" s="542"/>
      <c r="N81" s="542"/>
      <c r="O81" s="542"/>
      <c r="P81" s="323"/>
      <c r="Q81" s="111"/>
      <c r="R81" s="196"/>
      <c r="S81" s="172" t="s">
        <v>93</v>
      </c>
      <c r="T81" s="199" t="e">
        <f>ROUND((T80/E72)*T79,8)</f>
        <v>#VALUE!</v>
      </c>
      <c r="U81" s="272"/>
      <c r="V81" s="483"/>
      <c r="W81" s="239"/>
      <c r="X81" s="243"/>
      <c r="Y81" s="243"/>
    </row>
    <row r="82" spans="1:29" ht="15">
      <c r="A82" s="4"/>
      <c r="B82" s="53"/>
      <c r="C82" s="28"/>
      <c r="D82" s="543" t="str">
        <f>IF(AND(F14="mg/dL",E14&lt;0.7),"Consider rounding SCr up to 0.7 mg/dL.",IF(AND(F14="µmol/L",E14&lt;61.88),"Consider rounding SCr up to 61.88 µmol/L.",IF(OR(F14="mg/dL",E14&gt;=0.7),"",IF(OR(F14="µmol/L",E14&gt;=61.88),""))))</f>
        <v/>
      </c>
      <c r="E82" s="543"/>
      <c r="F82" s="543"/>
      <c r="G82" s="543"/>
      <c r="H82" s="543"/>
      <c r="I82" s="543"/>
      <c r="J82" s="543"/>
      <c r="K82" s="543"/>
      <c r="L82" s="543"/>
      <c r="M82" s="543"/>
      <c r="N82" s="543"/>
      <c r="O82" s="543"/>
      <c r="P82" s="317"/>
      <c r="Q82" s="111"/>
      <c r="R82" s="196"/>
      <c r="S82" s="172" t="s">
        <v>94</v>
      </c>
      <c r="T82" s="198" t="e">
        <f>(E70/(E70/T18*T81*J69)*(1-EXP(-T81*E70/T18)))*EXP(-T81*(E75-E70/T18))/(1-EXP(-T81*(E71)))</f>
        <v>#VALUE!</v>
      </c>
      <c r="U82" s="272"/>
      <c r="V82" s="482"/>
      <c r="W82" s="239"/>
      <c r="X82" s="243"/>
      <c r="Y82" s="243"/>
    </row>
    <row r="83" spans="1:29" ht="16.5" customHeight="1">
      <c r="A83" s="4"/>
      <c r="B83" s="53"/>
      <c r="C83" s="28"/>
      <c r="D83" s="542" t="e">
        <f>IF(N70&lt;36,"",IF(N70&gt;=36,"Note: When the dosing interval is &gt;24 hours, the AUC is higher during the first 24 hours of the dosing interval compared to the last 24 hours of the interval."))</f>
        <v>#VALUE!</v>
      </c>
      <c r="E83" s="542"/>
      <c r="F83" s="542"/>
      <c r="G83" s="542"/>
      <c r="H83" s="542"/>
      <c r="I83" s="542"/>
      <c r="J83" s="542"/>
      <c r="K83" s="542"/>
      <c r="L83" s="542"/>
      <c r="M83" s="542"/>
      <c r="N83" s="542"/>
      <c r="O83" s="542"/>
      <c r="P83" s="122"/>
      <c r="Q83" s="111"/>
      <c r="R83" s="196"/>
      <c r="S83" s="172" t="s">
        <v>95</v>
      </c>
      <c r="T83" s="199" t="e">
        <f>ROUND((T79+T81)/2,8)</f>
        <v>#VALUE!</v>
      </c>
      <c r="U83" s="272"/>
      <c r="V83" s="483"/>
      <c r="W83" s="239"/>
      <c r="X83" s="243"/>
      <c r="Y83" s="243"/>
    </row>
    <row r="84" spans="1:29" ht="15">
      <c r="A84" s="4"/>
      <c r="B84" s="53"/>
      <c r="C84" s="28"/>
      <c r="D84" s="563" t="s">
        <v>251</v>
      </c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122"/>
      <c r="Q84" s="111"/>
      <c r="R84" s="196"/>
      <c r="S84" s="172" t="s">
        <v>108</v>
      </c>
      <c r="T84" s="198" t="e">
        <f>(E70/(E70/T18*T83*J69)*(1-EXP(-T83*E70/T18)))*EXP(-T83*(E75-E70/T18))/(1-EXP(-T83*(E71)))</f>
        <v>#VALUE!</v>
      </c>
      <c r="U84" s="272"/>
      <c r="V84" s="482"/>
      <c r="W84" s="239"/>
      <c r="X84" s="243"/>
      <c r="Y84" s="243"/>
    </row>
    <row r="85" spans="1:29" ht="15">
      <c r="A85" s="4"/>
      <c r="B85" s="53"/>
      <c r="C85" s="28"/>
      <c r="D85" s="563" t="str">
        <f>IF(ABS(E72-W76)&gt;10,"The trough is &gt;10 mcg/mL different than predicted with population kinetics. Verify accuracy of the patient data.","")</f>
        <v>The trough is &gt;10 mcg/mL different than predicted with population kinetics. Verify accuracy of the patient data.</v>
      </c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5"/>
      <c r="P85" s="122"/>
      <c r="Q85" s="111"/>
      <c r="R85" s="196"/>
      <c r="S85" s="200" t="s">
        <v>109</v>
      </c>
      <c r="T85" s="201" t="e">
        <f>ROUND((T83+T81)/2,8)</f>
        <v>#VALUE!</v>
      </c>
      <c r="U85" s="204"/>
      <c r="V85" s="484"/>
      <c r="W85" s="239"/>
      <c r="X85" s="243"/>
      <c r="Y85" s="243"/>
    </row>
    <row r="86" spans="1:29" ht="16" thickBot="1">
      <c r="A86" s="4"/>
      <c r="B86" s="106"/>
      <c r="C86" s="107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5"/>
      <c r="R86" s="196"/>
      <c r="S86" s="200" t="s">
        <v>110</v>
      </c>
      <c r="T86" s="203" t="e">
        <f>(E70/(E70/T18*T85*J69)*(1-EXP(-T85*E70/T18)))*EXP(-T85*(E75-E70/T18))/(1-EXP(-T85*(E71)))</f>
        <v>#VALUE!</v>
      </c>
      <c r="U86" s="204"/>
      <c r="V86" s="205"/>
      <c r="W86" s="239"/>
      <c r="X86" s="243"/>
      <c r="Y86" s="243"/>
    </row>
    <row r="87" spans="1:29" ht="44.25" customHeight="1" thickBot="1">
      <c r="A87" s="4"/>
      <c r="B87" s="95"/>
      <c r="C87" s="96"/>
      <c r="D87" s="594" t="s">
        <v>227</v>
      </c>
      <c r="E87" s="594"/>
      <c r="F87" s="594"/>
      <c r="G87" s="594"/>
      <c r="H87" s="594"/>
      <c r="I87" s="594"/>
      <c r="J87" s="594"/>
      <c r="K87" s="594"/>
      <c r="L87" s="594"/>
      <c r="M87" s="594"/>
      <c r="N87" s="594"/>
      <c r="O87" s="594"/>
      <c r="P87" s="594"/>
      <c r="Q87" s="74"/>
      <c r="R87" s="206"/>
      <c r="S87" s="206"/>
      <c r="T87" s="206"/>
      <c r="U87" s="12"/>
      <c r="V87" s="12"/>
      <c r="W87" s="12"/>
      <c r="X87" s="332"/>
      <c r="Y87" s="332"/>
    </row>
    <row r="88" spans="1:29" ht="45.75" customHeight="1" thickBot="1">
      <c r="A88" s="4"/>
      <c r="B88" s="55"/>
      <c r="C88" s="56"/>
      <c r="D88" s="578" t="s">
        <v>39</v>
      </c>
      <c r="E88" s="579"/>
      <c r="F88" s="580"/>
      <c r="G88" s="24"/>
      <c r="H88" s="24"/>
      <c r="I88" s="552" t="s">
        <v>148</v>
      </c>
      <c r="J88" s="553"/>
      <c r="K88" s="554"/>
      <c r="L88" s="25"/>
      <c r="M88" s="552" t="s">
        <v>76</v>
      </c>
      <c r="N88" s="553"/>
      <c r="O88" s="553"/>
      <c r="P88" s="554"/>
      <c r="Q88" s="75"/>
      <c r="R88" s="206"/>
      <c r="S88" s="206"/>
      <c r="T88" s="206"/>
      <c r="U88" s="12"/>
      <c r="V88" s="487"/>
      <c r="W88" s="487"/>
      <c r="X88" s="487"/>
      <c r="Y88" s="487"/>
    </row>
    <row r="89" spans="1:29" ht="16">
      <c r="A89" s="4"/>
      <c r="B89" s="463"/>
      <c r="C89" s="56"/>
      <c r="D89" s="57" t="s">
        <v>105</v>
      </c>
      <c r="E89" s="112">
        <v>2500</v>
      </c>
      <c r="F89" s="42" t="s">
        <v>3</v>
      </c>
      <c r="G89" s="143"/>
      <c r="H89" s="143"/>
      <c r="I89" s="26" t="s">
        <v>2</v>
      </c>
      <c r="J89" s="342">
        <f>LN(E90/E92)/T93</f>
        <v>5.5206858230003986E-2</v>
      </c>
      <c r="K89" s="27" t="s">
        <v>71</v>
      </c>
      <c r="L89" s="67"/>
      <c r="M89" s="26" t="s">
        <v>18</v>
      </c>
      <c r="N89" s="99">
        <f>MIN(IF(AND(J14="15-20 mcg/mL",T91&gt;=15,T91&lt;=20),T89,IF(AND(J14="15-20 mcg/mL",T91&lt;15),T89+250,IF(AND(J14="15-20 mcg/mL",T91&gt;20),T89-250,
IF(AND(J14="14-19 mcg/mL",T91&gt;=14,T91&lt;=19),T89,IF(AND(J14="14-19 mcg/mL",T91&lt;14),T89+250,IF(AND(J14="14-19 mcg/mL",T91&gt;19),T89-250,
IF(AND(J14="13-18 mcg/mL",T91&gt;=13,T91&lt;=18),T89,IF(AND(J14="13-18 mcg/mL",T91&lt;13),T89+250,IF(AND(J14="13-18 mcg/mL",T91&gt;18),T89-250,
IF(AND(J14="12-17 mcg/mL",T91&gt;=12,T91&lt;=17),T89,IF(AND(J14="12-17 mcg/mL",T91&lt;12),T89+250,IF(AND(J14="12-17 mcg/mL",T91&gt;17),T89-250,
IF(AND(J14="11-16 mcg/mL",T91&gt;=11,T91&lt;=16),T89,IF(AND(J14="11-16 mcg/mL",T91&lt;11),T89+250,IF(AND(J14="11-16 mcg/mL",T91&gt;16),T89-250,
IF(AND(J14="10-15 mcg/mL",T91&gt;=10,T91&lt;=15),T89,IF(AND(J14="10-15 mcg/mL",T91&lt;10),T89+250,IF(AND(J14="10-15 mcg/mL",T91&gt;15),T89-250)))))))))))))))))),3000)</f>
        <v>1750</v>
      </c>
      <c r="O89" s="535" t="str">
        <f>IF(AND(N89=1750,N90=8),"1500",IF(AND(N89=1500,N90=8),"1250",IF(AND(N89=750,N90=18,N92&lt;16,J92&lt;37.5),"500",IF(AND(N89=750,N90=18,N92&gt;19,J92&lt;37.5),"750",IF(AND(N89=750,N90=18,N92&gt;16.5,J92&gt;=37.5),"1000",IF(AND(N89=750,N90=18,N92&lt;12,J92&gt;=43),"1250",IF(AND(N89=1000,N90=18,N92&gt;17.5,J92&lt;44),"500",IF(AND(N89=1000,N90=18,N92&gt;17.5,J92&gt;=44),"1250",IF(AND(N89=1000,N90=18,N92&lt;12),"750",IF(AND(N89=1250,N90=18,N92&lt;18.5),"750",IF(AND(N89=1250,N90=18,N92&gt;=18.5),"1000",IF(AND(N89=1500,N90=18,N92&lt;17),"1000",IF(AND(N89=1500,N90=18,N92&lt;13),"1000",IF(AND(N89=1500,N90=18,N92&gt;=17.5),"1250",IF(AND(N89=1750,N90=18,N92&gt;=12),"1000",IF(AND(N89=1750,N90=18,N92&lt;12),"1250",IF(AND(N89=2000,N90=18,N92&lt;18,N92&gt;=14),"1250",IF(AND(N89=2000,N90=18,N92&lt;14),"1500",IF(AND(N89=2000,N90=18,N92&gt;=18),"1000",IF(AND(N89=750,N90=36,N92&lt;16),"500",IF(AND(N89=750,N90=36,N92&lt;13),"500",IF(AND(N89=750,N90=36,N92&gt;17,J92&gt;38.5),"1000",IF(AND(N89=1000,N90=36,N92&gt;18,J92&lt;47),"500",IF(AND(N89=1000,N90=36,N92&gt;18,J92&gt;=47),"1250",IF(AND(N89=1000,N90=36,N92&lt;11.5),"750",IF(AND(N89=1250,N90=36),"750",IF(AND(N89=1500,N90=36,N92&lt;=16),"1000",IF(AND(N89=1500,N90=36,N92&gt;17),"750",IF(AND(N89=1750,N90=36,N92&gt;=12),"1000",IF(AND(N89=1750,N90=36,N92&lt;12),"1250",IF(AND(N89=2000,N90=36,N92&lt;18,N92&gt;=14),"1250",IF(AND(N89=2000,N90=36,N92&lt;14),"1500",IF(AND(N89=2000,N90=36,N92&gt;=18),"1000",IF(AND(N89=750,N90=12,N92&gt;19.5,J92&gt;=38),"1000",IF(AND(N89=750,N90=12,N92&lt;11.5,J92&gt;=38),"1000",IF(AND(N89=1750,N90=12,N92&gt;=16),"1000",IF(AND(N89=2000,N90=12,N92&lt;19),"1250",IF(AND(N89=2000,N90=12,N92&gt;=19),"1000",IF(AND(N89=750,N90=8,N92&gt;=19.4,J92&gt;38),"1000",IF(AND(N89=750,N90=8,N92&lt;11.5,J92&gt;38),"1000",IF(AND(N89=750,N90=8,N92&gt;19,J92&lt;35),"500",IF(AND(N89=1000,N90=8,N92&gt;19,J92&lt;52.5),"750",IF(AND(N89=1000,N90=8,N92&gt;18,J92&gt;=52.5),"1500",IF(AND(N89=1250,N90=8,N92&gt;19),"1000",IF(AND(N89=1000,N90=12,N92&gt;19),"750",IF(AND(N89=1250,N90=12,N92&gt;18.5),"1000",IF(AND(N89=1250,N90=12,N92&lt;=18.5),"750",IF(AND(N89=1500,N90=12,N92&gt;18),"1250",IF(AND(N89=2000,N90=24,N92&gt;16),"1750",IF(AND(N89=1750,N90=24,N92&gt;16.5),"1500",IF(AND(N89=1500,N90=24,N92&gt;17),"1250",IF(AND(N89=1250,N90=24,N92&gt;18),"1000",IF(AND(N89=1000,N90=24,N92&gt;19),"750",IF(AND(N89=2000,N90=48,N92&gt;16),"1750",IF(AND(N89=1750,N90=48,N92&gt;16.5),"1500",IF(AND(N89=1500,N90=48,N92&gt;17),"1250",IF(AND(N89=1250,N90=48,N92&gt;18),"1000",IF(AND(N89=1250,N90=48,N92&lt;=18),"500",IF(AND(N89=1000,N90=48,N92&gt;19),"750",IF(AND(N89=2000,N90=72,N92&gt;16),"1750",IF(AND(N89=1750,N90=72,N92&gt;16.5),"1500",IF(AND(N89=1500,N90=72,N92&gt;17),"1250",IF(AND(N89=1250,N90=72,N92&gt;18),"1000",IF(AND(N89=1000,N90=72,N92&gt;19),"750",""))))))))))))))))))))))))))))))))))))))))))))))))))))))))))))))))</f>
        <v>1000</v>
      </c>
      <c r="P89" s="27" t="s">
        <v>3</v>
      </c>
      <c r="Q89" s="75"/>
      <c r="R89" s="206"/>
      <c r="S89" s="175" t="s">
        <v>18</v>
      </c>
      <c r="T89" s="185">
        <f>MROUND(IF(AND(J14="15-20 mcg/mL",J92&lt;=75),37*J92*(1-EXP(-J89*N90)),IF(AND(J14="14-19 mcg/mL",J92&lt;=75),36*J92*(1-EXP(-J89*N90)),IF(AND(J14="13-18 mcg/mL",J92&lt;=75),35*J92*(1-EXP(-J89*N90)),IF(AND(J14="12-17 mcg/mL",J92&lt;=75),34*J92*(1-EXP(-J89*N90)),IF(AND(J14="11-16 mcg/mL",J92&lt;=75),33*J92*(1-EXP(-J89*N90)),IF(AND(J14="10-15 mcg/mL",J92&lt;=75),32*J92*(1-EXP(-J89*N90)),IF(AND(J14="15-20 mcg/mL",J92&gt;75),30*J92*(1-EXP(-J89*N90)),IF(AND(J14="14-19 mcg/mL",J92&gt;75),29*J92*(1-EXP(-J89*N90)),IF(AND(J14="13-18 mcg/mL",J92&gt;75),28*J92*(1-EXP(-J89*N90)),IF(AND(J14="12-17 mcg/mL",J92&gt;75),27*J92*(1-EXP(-J89*N90)),IF(AND(J14="11-16 mcg/mL",J92&gt;75),26*J92*(1-EXP(-J89*N90)),IF(AND(J14="10-15 mcg/mL",J92&gt;75),25*J92*(1-EXP(-J89*N90)))))))))))))),250)</f>
        <v>1500</v>
      </c>
      <c r="U89" s="12"/>
      <c r="V89" s="488"/>
      <c r="W89" s="488"/>
      <c r="X89" s="232"/>
      <c r="Y89" s="232"/>
      <c r="Z89" s="134"/>
    </row>
    <row r="90" spans="1:29">
      <c r="A90" s="4"/>
      <c r="B90" s="94"/>
      <c r="C90" s="58"/>
      <c r="D90" s="383" t="s">
        <v>166</v>
      </c>
      <c r="E90" s="384">
        <v>33</v>
      </c>
      <c r="F90" s="363" t="s">
        <v>5</v>
      </c>
      <c r="G90" s="58"/>
      <c r="H90" s="58"/>
      <c r="I90" s="35" t="s">
        <v>151</v>
      </c>
      <c r="J90" s="87">
        <f>0.693/J89</f>
        <v>12.552788226289</v>
      </c>
      <c r="K90" s="299" t="s">
        <v>4</v>
      </c>
      <c r="L90" s="43"/>
      <c r="M90" s="20" t="s">
        <v>20</v>
      </c>
      <c r="N90" s="30">
        <f>IF(J92&lt;=75,IF((LN(35/15)/J89)&lt;=8,8,IF(AND(8&lt;(LN(35/15)/J89),(LN(35/15)/J89)&lt;12),IF(ABS((LN(35/15)/J89)-8)&lt;ABS((LN(35/15)/J89)-12),8,12),IF((LN(35/15)/J89)=12,12,IF(AND(12&lt;(LN(35/15)/J89),(LN(35/15)/J89)&lt;18),IF(ABS((LN(35/15)/J89)-12)&lt;ABS((LN(35/15)/J89)-18),12,18),IF((LN(35/15)/J89)=18,18,IF(AND(18&lt;(LN(35/15)/J89),(LN(35/15)/J89)&lt;24),IF(ABS((LN(35/15)/J89)-18)&lt;ABS((LN(35/15)/J89)-24),18,24),IF((LN(35/15)/J89)=24,24,IF(AND(24&lt;(LN(35/15)/J89),(LN(35/15)/J89)&lt;36),IF(ABS((LN(35/15)/J89)-24)&lt;ABS((LN(35/15)/J89)-36),24,36),IF((LN(35/15)/J89)=36,36,IF(AND(36&lt;(LN(35/15)/J89),(LN(35/15)/J89)&lt;48),IF(ABS((LN(35/15)/J89)-36)&lt;ABS((LN(35/15)/J89)-48),36,48),IF((LN(35/15)/J89)=48,48,IF(AND(48&lt;(LN(35/15)/J89),(LN(35/15)/J89)&lt;72),IF(ABS((LN(35/15)/J89)-48)&lt;ABS((LN(35/15)/J89)-72),48,72),IF((LN(35/15)/J89)&gt;=72,72,"Error"))))))))))))),IF(J92&gt;75,IF((LN(30/15)/J89)&lt;=8,8,IF(AND(8&lt;(LN(30/15)/J89),(LN(30/15)/J89)&lt;12),IF(ABS((LN(30/15)/J89)-8)&lt;ABS((LN(30/15)/J89)-12),8,12),IF((LN(30/15)/J89)=12,12,IF(AND(12&lt;(LN(30/15)/J89),(LN(30/15)/J89)&lt;18),IF(ABS((LN(30/15)/J89)-12)&lt;ABS((LN(30/15)/J89)-18),12,18),IF((LN(30/15)/J89)=18,18,IF(AND(18&lt;(LN(30/15)/J89),(LN(30/15)/J89)&lt;24),IF(ABS((LN(30/15)/J89)-18)&lt;ABS((LN(30/15)/J89)-24),18,24),IF((LN(30/15)/J89)=24,24,IF(AND(24&lt;(LN(30/15)/J89),(LN(30/15)/J89)&lt;36),IF(ABS((LN(30/15)/J89)-24)&lt;ABS((LN(30/15)/J89)-36),24,36),IF((LN(30/15)/J89)=36,36,IF(AND(36&lt;(LN(30/15)/J89),(LN(30/15)/J89)&lt;48),IF(ABS((LN(30/15)/J89)-36)&lt;ABS((LN(30/15)/J89)-48),36,48),IF((LN(30/15)/J89)=48,48,IF(AND(48&lt;(LN(30/15)/J89),(LN(30/15)/J89)&lt;72),IF(ABS((LN(30/15)/J89)-48)&lt;ABS((LN(30/15)/J89)-72),48,72),IF((LN(30/15)/J89)&gt;=72,72,"Error")))))))))))))))</f>
        <v>18</v>
      </c>
      <c r="O90" s="537" t="str">
        <f>IF(AND(N89=1750,N90=8),"8",IF(AND(N89=1500,N90=8),"8",IF(AND(N89=750,N90=18,N92&lt;16,J92&lt;37.5),"12",IF(AND(N89=750,N90=18,N92&gt;19,J92&lt;37.5),"24",IF(AND(N89=750,N90=18,N92&gt;16.5,J92&gt;=37.5),"24",IF(AND(N89=750,N90=18,N92&lt;12,J92&gt;=43),"24",IF(AND(N89=1000,N90=18,N92&gt;17.5,J92&lt;44),"12",IF(AND(N89=1000,N90=18,N92&gt;17.5,J92&gt;=44),"24",IF(AND(N89=1000,N90=18,N92&lt;12),"12",IF(AND(N89=1250,N90=18,N92&lt;18.5),"12",IF(AND(N89=1250,N90=18,N92&gt;=18.5),"18",IF(AND(N89=1500,N90=18,N92&lt;17),"12",IF(AND(N89=1500,N90=18,N92&lt;13),"12",IF(AND(N89=1500,N90=18,N92&gt;=17.5),"18",IF(AND(N89=1750,N90=18),"12",IF(AND(N89=2000,N90=18),"12",IF(AND(N89=750,N90=36,N92&lt;16),"24",IF(AND(N89=750,N90=36,N92&lt;13),"24",IF(AND(N89=750,N90=36,N92&gt;17,J92&gt;38.5),"48",IF(AND(N89=1000,N90=36,N92&gt;18,J92&lt;47),"24",IF(AND(N89=1000,N90=36,N92&gt;18,J92&gt;=47),"48",IF(AND(N89=1000,N90=36,N92&lt;11.5),"24",IF(AND(N89=1250,N90=36),"24",IF(AND(N89=1500,N90=36,N92&lt;=16),"24",IF(AND(N89=1500,N90=36,N92&gt;17),"24",IF(AND(N89=1750,N90=36),"24",IF(AND(N89=2000,N90=36),"24",IF(AND(N89=750,N90=12,N92&gt;19.5,J92&gt;=38),"18",IF(AND(N89=750,N90=12,N92&lt;11.5,J92&gt;=38),"12",IF(AND(N89=1750,N90=12,N92&gt;=16),"8",IF(AND(N89=2000,N90=12),"8",IF(AND(N89=750,N90=8,N92&gt;=19.4,J92&gt;38),"12",IF(AND(N89=750,N90=8,N92&lt;11.5,J92&gt;38),"8",IF(AND(N89=750,N90=8,N92&gt;19,J92&lt;35),"8",IF(AND(N89=1250,N90=8,N92&gt;19),"8",IF(AND(N89=1000,N90=8,N92&gt;19,J92&lt;52.5),"8",IF(AND(N89=1000,N90=8,N92&gt;18,J92&gt;=52.5),"12",IF(AND(N89=1000,N90=12,N92&gt;19),"12",IF(AND(N89=1250,N90=12,N92&gt;18.5),"12",IF(AND(N89=1250,N90=12,N92&lt;=18.5),"8",IF(AND(N89=1500,N90=12,N92&gt;18),"12",IF(AND(N89=2000,N90=24,N92&gt;16),"24",IF(AND(N89=1750,N90=24,N92&gt;16.5),"24",IF(AND(N89=1500,N90=24,N92&gt;17),"24",IF(AND(N89=1250,N90=24,N92&gt;18),"24",IF(AND(N89=1000,N90=24,N92&gt;19),"24",IF(AND(N89=2000,N90=48,N92&gt;16),"48",IF(AND(N89=1750,N90=48,N92&gt;16.5),"48",IF(AND(N89=1500,N90=48,N92&gt;17),"48",IF(AND(N89=1250,N90=48,N92&gt;18),"48",IF(AND(N89=1250,N90=48,N92&lt;=18),"24",IF(AND(N89=1000,N90=48,N92&gt;19),"48",IF(AND(N89=2000,N90=72,N92&gt;16),"72",IF(AND(N89=1750,N90=72,N92&gt;16.5),"72",IF(AND(N89=1500,N90=72,N92&gt;17),"72",IF(AND(N89=1250,N90=72,N92&gt;18),"72",IF(AND(N89=1000,N90=72,N92&gt;19),"72","")))))))))))))))))))))))))))))))))))))))))))))))))))))))))</f>
        <v>12</v>
      </c>
      <c r="P90" s="22" t="s">
        <v>4</v>
      </c>
      <c r="Q90" s="76"/>
      <c r="R90" s="207"/>
      <c r="S90" s="175" t="s">
        <v>32</v>
      </c>
      <c r="T90" s="176">
        <f>T89*(1-EXP(-J89*T89/T18))/(J89*J92*T89/T18*(1-EXP(-J89*N90)))</f>
        <v>33.205884667501827</v>
      </c>
      <c r="V90" s="488"/>
      <c r="W90" s="488"/>
      <c r="X90" s="232"/>
      <c r="Y90" s="232"/>
    </row>
    <row r="91" spans="1:29" s="375" customFormat="1" ht="33.75" customHeight="1">
      <c r="A91" s="358"/>
      <c r="B91" s="381"/>
      <c r="C91" s="382"/>
      <c r="D91" s="383" t="s">
        <v>256</v>
      </c>
      <c r="E91" s="395">
        <v>3</v>
      </c>
      <c r="F91" s="363" t="s">
        <v>4</v>
      </c>
      <c r="G91" s="382"/>
      <c r="H91" s="382"/>
      <c r="I91" s="361" t="s">
        <v>73</v>
      </c>
      <c r="J91" s="385">
        <f>E90/EXP(-J89*T92)</f>
        <v>33.923601805207731</v>
      </c>
      <c r="K91" s="386" t="s">
        <v>5</v>
      </c>
      <c r="L91" s="387"/>
      <c r="M91" s="361" t="s">
        <v>128</v>
      </c>
      <c r="N91" s="388">
        <f>N89*(1-EXP(-J89*E89/T18))/(E89/T18*J89*J92*(1-EXP(-J89*N90)))</f>
        <v>37.704604283103585</v>
      </c>
      <c r="O91" s="389">
        <f>O89*(1-EXP(-J89*O89/T18))/(O89/T18*J89*J92*(1-EXP(-J89*O90)))</f>
        <v>29.175842206967012</v>
      </c>
      <c r="P91" s="363" t="s">
        <v>5</v>
      </c>
      <c r="Q91" s="390"/>
      <c r="R91" s="391"/>
      <c r="S91" s="392" t="s">
        <v>19</v>
      </c>
      <c r="T91" s="393">
        <f>ROUND(T90*EXP(-J89*(N90-T89/T18)),4)</f>
        <v>13.353999999999999</v>
      </c>
      <c r="U91" s="394"/>
      <c r="V91" s="489"/>
      <c r="W91" s="489"/>
      <c r="X91" s="232"/>
      <c r="Y91" s="232"/>
      <c r="Z91" s="358"/>
      <c r="AA91" s="358"/>
      <c r="AB91" s="358"/>
      <c r="AC91" s="358"/>
    </row>
    <row r="92" spans="1:29" s="375" customFormat="1" ht="31.5" customHeight="1" thickBot="1">
      <c r="A92" s="358"/>
      <c r="B92" s="381"/>
      <c r="C92" s="34"/>
      <c r="D92" s="361" t="s">
        <v>178</v>
      </c>
      <c r="E92" s="399">
        <v>19</v>
      </c>
      <c r="F92" s="363" t="s">
        <v>5</v>
      </c>
      <c r="G92" s="382"/>
      <c r="H92" s="382"/>
      <c r="I92" s="495" t="s">
        <v>1</v>
      </c>
      <c r="J92" s="496">
        <f>(E89*(1-EXP(-J89*E89/T18))/(J89*E89/T18*J91))</f>
        <v>68.83552880666717</v>
      </c>
      <c r="K92" s="497" t="s">
        <v>6</v>
      </c>
      <c r="L92" s="396"/>
      <c r="M92" s="361" t="s">
        <v>129</v>
      </c>
      <c r="N92" s="389">
        <f>ROUND(N91*EXP(-J89*(N90-N89/T18)),4)</f>
        <v>15.373900000000001</v>
      </c>
      <c r="O92" s="389">
        <f>ROUND(O91*EXP(-J89*(O90-O89/T18)),4)</f>
        <v>15.896000000000001</v>
      </c>
      <c r="P92" s="363" t="s">
        <v>5</v>
      </c>
      <c r="Q92" s="397"/>
      <c r="R92" s="398"/>
      <c r="S92" s="294" t="s">
        <v>226</v>
      </c>
      <c r="T92" s="420">
        <f>E91-E89/T18</f>
        <v>0.5</v>
      </c>
      <c r="U92" s="330"/>
      <c r="V92" s="232"/>
      <c r="W92" s="232"/>
      <c r="X92" s="232"/>
      <c r="Y92" s="232"/>
      <c r="Z92" s="358"/>
      <c r="AA92" s="358"/>
      <c r="AB92" s="358"/>
      <c r="AC92" s="358"/>
    </row>
    <row r="93" spans="1:29" s="375" customFormat="1" ht="33" customHeight="1" thickBot="1">
      <c r="A93" s="358"/>
      <c r="B93" s="381"/>
      <c r="C93" s="382"/>
      <c r="D93" s="441" t="s">
        <v>257</v>
      </c>
      <c r="E93" s="443">
        <v>13</v>
      </c>
      <c r="F93" s="442" t="s">
        <v>4</v>
      </c>
      <c r="G93" s="382"/>
      <c r="H93" s="382"/>
      <c r="I93" s="490"/>
      <c r="J93" s="491"/>
      <c r="K93" s="492"/>
      <c r="L93" s="268"/>
      <c r="M93" s="361" t="s">
        <v>145</v>
      </c>
      <c r="N93" s="367">
        <f>IF(AND(N90&lt;=24,J15="Empiric or 1 mg/L"),((N89/N90)*24/(J89*J92))/1,IF(AND(J15="0.5 mg/L",N90&lt;=24),((N89/N90)*24/(J89*J92))/0.5,IF(AND(J15="2.0 mg/L",N90&lt;=24),((N89/N90)*24/(J89*J92))/2,IF(AND(N90&gt;24,J15="Empiric or 1 mg/L"),(N91+N92)/2*(N89/T18)+((N91-T97)*(24-N89/T18))/LN(N91/T97),IF(AND(J15="0.5 mg/L",N90&gt;24),(N91+N92)/2*(N89/T18)+((N91-T97)*(24-N89/T18))/LN(N91/T97)/0.5,IF(AND(J15="2.0 mg/L",N90&gt;24),(N91+N92)/2*(N89/T18)+((N91-T97)*(24-N89/T18))/LN(N91/T97)/2))))))</f>
        <v>614.00385754139256</v>
      </c>
      <c r="O93" s="367">
        <f>IF(AND(O90*1&lt;=24,J15="Empiric or 1 mg/L"),((O89/O90)*24/(J89*J92))/1,IF(AND(J15="0.5 mg/L",O90*1&lt;=24),((O89/O90)*24/(J89*J92))/0.5,IF(AND(J15="2.0 mg/L",O90*1&lt;=24),((O89/O90)*24/(J89*J92))/2,IF(AND(O90*1&gt;24,J15="Empiric or 1 mg/L"),(O91+O92)/2*(O89/T18)+((O91-U97)*(24-O89/T18))/LN(O91/U97),IF(AND(J15="0.5 mg/L",O90*1&gt;24),(O91+O92)/2*(O89/T18)+((O91-U97)*(24-O89/T18))/LN(O91/U97)/0.5,IF(AND(J15="2.0 mg/L",O90*1&gt;24),(O91+O92)/2*(O89/T18)+((O91-U97)*(24-O89/T18))/LN(O91/U97)/2))))))</f>
        <v>526.28902074976497</v>
      </c>
      <c r="P93" s="368"/>
      <c r="Q93" s="400"/>
      <c r="R93" s="401"/>
      <c r="S93" s="261" t="s">
        <v>68</v>
      </c>
      <c r="T93" s="262">
        <f>E93-E91</f>
        <v>10</v>
      </c>
      <c r="U93" s="330"/>
      <c r="V93" s="232"/>
      <c r="W93" s="232"/>
      <c r="X93" s="232"/>
      <c r="Y93" s="232"/>
      <c r="Z93" s="358"/>
      <c r="AA93" s="358"/>
      <c r="AB93" s="358"/>
      <c r="AC93" s="358"/>
    </row>
    <row r="94" spans="1:29" ht="15" thickBot="1">
      <c r="A94" s="4"/>
      <c r="B94" s="55"/>
      <c r="C94" s="34"/>
      <c r="D94" s="37"/>
      <c r="E94" s="440"/>
      <c r="F94" s="440"/>
      <c r="G94" s="56"/>
      <c r="H94" s="56"/>
      <c r="I94" s="493"/>
      <c r="J94" s="494"/>
      <c r="K94" s="67"/>
      <c r="L94" s="43"/>
      <c r="M94" s="258" t="s">
        <v>213</v>
      </c>
      <c r="N94" s="278" t="b">
        <f>IF(J15="Empiric or 1 mg/L",IF(N90=48,(T97-T99)*24/LN(T97/T99),IF(N90=36,(T96-T98)*24/LN(T96/T98),IF(N90=72,(T99-T100)*24/LN(T99/T100)))),IF(J15="0.5 mg/L",IF(N90=48,(T97-T99)*24/LN(T97/T99)/0.5,IF(N90=36,(T96-T98)*24/LN(T96/T98)/0.5,IF(N90=72,(T99-T100)*24/LN(T99/T100)/0.5))),IF(J15="2.0 mg/L",IF(N90=48,(T97-T99)*24/LN(T97/T99)/2,IF(N90=36,(T96-T98)*24/LN(T96/T98)/2,IF(N90=72,((T99-T100)*24/LN(T99/T100))/2))))))</f>
        <v>0</v>
      </c>
      <c r="O94" s="278" t="b">
        <f>IF(J15="Empiric or 1 mg/L",IF(O90=48,(U97-U99)*24/LN(U97/U99),IF(O90=36,(U96-U98)*24/LN(U96/U98),IF(O90=72,(U99-U100)*24/LN(U99/U100)))),IF(J15="0.5 mg/L",IF(O90=48,(U97-U99)*24/LN(U97/U99)/0.5,IF(O90=36,(U96-U98)*24/LN(U96/U98)/0.5,IF(O90=72,(U99-U100)*24/LN(U99/U100)/0.5))),IF(J15="2.0 mg/L",IF(O90=48,(U97-U99)*24/LN(U97/U99)/2,IF(O90=36,(U96-U98)*24/LN(U96/U98)/2,IF(O90=72,((U99-U100)*24/LN(U99/U100))/2))))))</f>
        <v>0</v>
      </c>
      <c r="P94" s="279"/>
      <c r="Q94" s="73"/>
      <c r="R94" s="210"/>
      <c r="U94" s="260"/>
      <c r="V94" s="489"/>
      <c r="W94" s="489"/>
      <c r="X94" s="232"/>
      <c r="Y94" s="232"/>
    </row>
    <row r="95" spans="1:29" ht="18.75" customHeight="1">
      <c r="A95" s="4"/>
      <c r="B95" s="55"/>
      <c r="C95" s="56"/>
      <c r="D95" s="411" t="s">
        <v>242</v>
      </c>
      <c r="E95" s="486"/>
      <c r="F95" s="486"/>
      <c r="G95" s="486"/>
      <c r="H95" s="486"/>
      <c r="I95" s="486"/>
      <c r="J95" s="486"/>
      <c r="K95" s="486"/>
      <c r="L95" s="486"/>
      <c r="M95" s="486"/>
      <c r="N95" s="486"/>
      <c r="O95" s="486"/>
      <c r="P95" s="56"/>
      <c r="Q95" s="73"/>
      <c r="R95" s="210"/>
      <c r="S95" s="210"/>
      <c r="T95" s="210"/>
      <c r="U95" s="12"/>
      <c r="V95" s="489"/>
      <c r="W95" s="489"/>
      <c r="X95" s="232"/>
      <c r="Y95" s="232"/>
      <c r="Z95" s="242"/>
    </row>
    <row r="96" spans="1:29" ht="18.75" customHeight="1">
      <c r="A96" s="4"/>
      <c r="B96" s="55"/>
      <c r="C96" s="56"/>
      <c r="D96" s="347"/>
      <c r="E96" s="347"/>
      <c r="F96" s="347"/>
      <c r="G96" s="347"/>
      <c r="H96" s="486"/>
      <c r="I96" s="347"/>
      <c r="J96" s="347"/>
      <c r="K96" s="347"/>
      <c r="L96" s="347"/>
      <c r="M96" s="347"/>
      <c r="N96" s="347"/>
      <c r="O96" s="347"/>
      <c r="P96" s="56"/>
      <c r="Q96" s="73"/>
      <c r="R96" s="210"/>
      <c r="S96" s="172" t="s">
        <v>133</v>
      </c>
      <c r="T96" s="176">
        <f>N91*EXP(-J89*(12-N89/T18))</f>
        <v>21.411152254322385</v>
      </c>
      <c r="U96" s="176">
        <f>O91*EXP(-J89*(12-O89/T18))</f>
        <v>15.895969788027694</v>
      </c>
      <c r="V96" s="489"/>
      <c r="W96" s="489"/>
      <c r="X96" s="232"/>
      <c r="Y96" s="232"/>
      <c r="Z96" s="242"/>
    </row>
    <row r="97" spans="1:26" ht="34.5" customHeight="1">
      <c r="A97" s="4"/>
      <c r="B97" s="55"/>
      <c r="C97" s="56"/>
      <c r="D97" s="591" t="s">
        <v>253</v>
      </c>
      <c r="E97" s="592"/>
      <c r="F97" s="592"/>
      <c r="G97" s="592"/>
      <c r="H97" s="592"/>
      <c r="I97" s="592"/>
      <c r="J97" s="592"/>
      <c r="K97" s="592"/>
      <c r="L97" s="592"/>
      <c r="M97" s="592"/>
      <c r="N97" s="592"/>
      <c r="O97" s="593"/>
      <c r="P97" s="9"/>
      <c r="Q97" s="413"/>
      <c r="R97" s="210"/>
      <c r="S97" s="180" t="s">
        <v>115</v>
      </c>
      <c r="T97" s="181">
        <f>N91*EXP(-J89*(24-N89/T18))</f>
        <v>11.03894661407073</v>
      </c>
      <c r="U97" s="176">
        <f>O91*EXP(-J89*(24-O89/T18))</f>
        <v>8.1954842870959848</v>
      </c>
      <c r="V97" s="489"/>
      <c r="W97" s="489"/>
      <c r="X97" s="232"/>
      <c r="Y97" s="232"/>
      <c r="Z97" s="242"/>
    </row>
    <row r="98" spans="1:26" ht="18" customHeight="1">
      <c r="A98" s="4"/>
      <c r="B98" s="123"/>
      <c r="C98" s="56"/>
      <c r="D98" s="412" t="s">
        <v>201</v>
      </c>
      <c r="E98" s="346">
        <f>0.693/E28</f>
        <v>23.3149873479585</v>
      </c>
      <c r="F98" s="627" t="s">
        <v>200</v>
      </c>
      <c r="G98" s="627"/>
      <c r="H98" s="627"/>
      <c r="I98" s="627"/>
      <c r="J98" s="627"/>
      <c r="K98" s="627"/>
      <c r="L98" s="627"/>
      <c r="M98" s="627"/>
      <c r="N98" s="627"/>
      <c r="O98" s="628"/>
      <c r="P98" s="345"/>
      <c r="Q98" s="413"/>
      <c r="R98" s="210"/>
      <c r="S98" s="371" t="s">
        <v>132</v>
      </c>
      <c r="T98" s="372">
        <f>N91*EXP(-J89*(36-N89/T18))</f>
        <v>5.6913491110084191</v>
      </c>
      <c r="U98" s="372">
        <f>O91*EXP(-J89*(36-O89/T18))</f>
        <v>4.2253453923034217</v>
      </c>
      <c r="V98" s="489"/>
      <c r="W98" s="489"/>
      <c r="X98" s="232"/>
      <c r="Y98" s="232"/>
      <c r="Z98" s="242"/>
    </row>
    <row r="99" spans="1:26" ht="18.75" customHeight="1">
      <c r="A99" s="4"/>
      <c r="B99" s="55"/>
      <c r="C99" s="56"/>
      <c r="D99" s="615" t="str">
        <f>IF(T93&lt;(0.8*E29),"Warning: The levels may have been drawn too close together, Ke may not be accurate.",IF(T93&gt;=(0.8*E29),""))</f>
        <v>Warning: The levels may have been drawn too close together, Ke may not be accurate.</v>
      </c>
      <c r="E99" s="615"/>
      <c r="F99" s="615"/>
      <c r="G99" s="615"/>
      <c r="H99" s="615"/>
      <c r="I99" s="615"/>
      <c r="J99" s="615"/>
      <c r="K99" s="615"/>
      <c r="L99" s="615"/>
      <c r="M99" s="615"/>
      <c r="N99" s="615"/>
      <c r="O99" s="615"/>
      <c r="P99" s="72"/>
      <c r="Q99" s="73"/>
      <c r="R99" s="210"/>
      <c r="S99" s="182" t="s">
        <v>116</v>
      </c>
      <c r="T99" s="183">
        <f>N91*EXP(-J89*(48-N89/T18))</f>
        <v>2.9342885544974688</v>
      </c>
      <c r="U99" s="372">
        <f>O91*EXP(-J89*(48-O89/T18))</f>
        <v>2.178461096236942</v>
      </c>
      <c r="V99" s="489"/>
      <c r="W99" s="489"/>
      <c r="X99" s="232"/>
      <c r="Y99" s="232"/>
    </row>
    <row r="100" spans="1:26" ht="18.75" customHeight="1">
      <c r="A100" s="4"/>
      <c r="B100" s="55"/>
      <c r="C100" s="56"/>
      <c r="D100" s="582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100" s="582"/>
      <c r="F100" s="582"/>
      <c r="G100" s="582"/>
      <c r="H100" s="582"/>
      <c r="I100" s="582"/>
      <c r="J100" s="582"/>
      <c r="K100" s="582"/>
      <c r="L100" s="582"/>
      <c r="M100" s="582"/>
      <c r="N100" s="582"/>
      <c r="O100" s="582"/>
      <c r="P100" s="72"/>
      <c r="Q100" s="73"/>
      <c r="R100" s="210"/>
      <c r="S100" s="222" t="s">
        <v>119</v>
      </c>
      <c r="T100" s="183">
        <f>N91*EXP(-J89*(72-N89/T18))</f>
        <v>0.77997019299650328</v>
      </c>
      <c r="U100" s="372">
        <f>O91*EXP(-J89*(72-O89/T18))</f>
        <v>0.57906190550448389</v>
      </c>
      <c r="V100" s="489"/>
      <c r="W100" s="489"/>
      <c r="X100" s="232"/>
      <c r="Y100" s="232"/>
    </row>
    <row r="101" spans="1:26" ht="18.75" customHeight="1">
      <c r="A101" s="4"/>
      <c r="B101" s="55"/>
      <c r="C101" s="56"/>
      <c r="D101" s="582" t="str">
        <f>IF(N90&lt;36,"",IF(N90&gt;=36,"Note: When the dosing interval is &gt;24 hours, the AUC is higher during the first 24 hours of the dosing interval compared to the last 24 hours of the interval."))</f>
        <v/>
      </c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82"/>
      <c r="P101" s="72"/>
      <c r="Q101" s="73"/>
      <c r="R101" s="210"/>
      <c r="U101" s="12"/>
      <c r="V101" s="489"/>
      <c r="W101" s="489"/>
      <c r="X101" s="232"/>
      <c r="Y101" s="232"/>
    </row>
    <row r="102" spans="1:26" ht="18.75" customHeight="1">
      <c r="A102" s="4"/>
      <c r="B102" s="55"/>
      <c r="C102" s="56"/>
      <c r="D102" s="629" t="str">
        <f>IF(E91&lt;(1+E89/T18),"The first level was drawn less than 1 hour after the end of infusion, so it may be artificially high (still in distribution phase).",IF(E91&gt;=(1+E89/T18),""))</f>
        <v>The first level was drawn less than 1 hour after the end of infusion, so it may be artificially high (still in distribution phase).</v>
      </c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1"/>
      <c r="P102" s="72"/>
      <c r="Q102" s="73"/>
      <c r="R102" s="210"/>
      <c r="U102" s="12"/>
      <c r="V102" s="489"/>
      <c r="W102" s="489"/>
      <c r="X102" s="232"/>
      <c r="Y102" s="232"/>
    </row>
    <row r="103" spans="1:26" ht="18.75" customHeight="1" thickBot="1">
      <c r="A103" s="4"/>
      <c r="B103" s="55"/>
      <c r="C103" s="56"/>
      <c r="D103" s="414"/>
      <c r="E103" s="41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5"/>
      <c r="Q103" s="456"/>
      <c r="R103" s="210"/>
      <c r="U103" s="12"/>
      <c r="V103" s="453"/>
      <c r="W103" s="453"/>
      <c r="X103" s="178"/>
      <c r="Y103" s="232"/>
    </row>
    <row r="104" spans="1:26" ht="44.25" customHeight="1" thickBot="1">
      <c r="A104" s="4"/>
      <c r="B104" s="95"/>
      <c r="C104" s="96"/>
      <c r="D104" s="594" t="s">
        <v>157</v>
      </c>
      <c r="E104" s="594"/>
      <c r="F104" s="594"/>
      <c r="G104" s="594"/>
      <c r="H104" s="594"/>
      <c r="I104" s="594"/>
      <c r="J104" s="594"/>
      <c r="K104" s="594"/>
      <c r="L104" s="594"/>
      <c r="M104" s="594"/>
      <c r="N104" s="594"/>
      <c r="O104" s="594"/>
      <c r="P104" s="594"/>
      <c r="Q104" s="74"/>
      <c r="R104" s="206"/>
      <c r="S104" s="206"/>
      <c r="T104" s="206"/>
      <c r="U104" s="12"/>
      <c r="V104" s="12"/>
      <c r="W104" s="12"/>
      <c r="X104" s="178"/>
      <c r="Y104" s="178"/>
    </row>
    <row r="105" spans="1:26" ht="45.75" customHeight="1" thickBot="1">
      <c r="A105" s="4"/>
      <c r="B105" s="55"/>
      <c r="C105" s="56"/>
      <c r="D105" s="552" t="s">
        <v>39</v>
      </c>
      <c r="E105" s="553"/>
      <c r="F105" s="554"/>
      <c r="G105" s="24"/>
      <c r="H105" s="24"/>
      <c r="I105" s="552" t="s">
        <v>148</v>
      </c>
      <c r="J105" s="553"/>
      <c r="K105" s="554"/>
      <c r="L105" s="25"/>
      <c r="M105" s="552" t="s">
        <v>76</v>
      </c>
      <c r="N105" s="553"/>
      <c r="O105" s="553"/>
      <c r="P105" s="554"/>
      <c r="Q105" s="75"/>
      <c r="R105" s="206"/>
      <c r="S105" s="206"/>
      <c r="T105" s="206"/>
      <c r="U105" s="12"/>
      <c r="V105" s="12"/>
      <c r="W105" s="178"/>
      <c r="X105" s="244"/>
      <c r="Y105" s="178"/>
    </row>
    <row r="106" spans="1:26" ht="16">
      <c r="A106" s="4"/>
      <c r="B106" s="97"/>
      <c r="C106" s="56"/>
      <c r="D106" s="57" t="s">
        <v>18</v>
      </c>
      <c r="E106" s="112">
        <v>750</v>
      </c>
      <c r="F106" s="42" t="s">
        <v>3</v>
      </c>
      <c r="G106" s="143"/>
      <c r="H106" s="143"/>
      <c r="I106" s="26" t="s">
        <v>2</v>
      </c>
      <c r="J106" s="59">
        <f>LN(E108/E110)/T111</f>
        <v>0.21739527300204378</v>
      </c>
      <c r="K106" s="69" t="s">
        <v>71</v>
      </c>
      <c r="L106" s="67"/>
      <c r="M106" s="26" t="s">
        <v>18</v>
      </c>
      <c r="N106" s="99">
        <f>MIN(IF(AND(J14="15-20 mcg/mL",T108&gt;=15,T108&lt;=20),T106,IF(AND(J14="15-20 mcg/mL",T108&lt;15),T106+250,IF(AND(J14="15-20 mcg/mL",T108&gt;20),T106-250,
IF(AND(J14="14-19 mcg/mL",T108&gt;=14,T108&lt;=19),T106,IF(AND(J14="14-19 mcg/mL",T108&lt;14),T106+250,IF(AND(J14="14-19 mcg/mL",T108&gt;19),T106-250,
IF(AND(J14="13-18 mcg/mL",T108&gt;=13,T108&lt;=18),T106,IF(AND(J14="13-18 mcg/mL",T108&lt;13),T106+250,IF(AND(J14="13-18 mcg/mL",T108&gt;18),T106-250,
IF(AND(J14="12-17 mcg/mL",T108&gt;=12,T108&lt;=17),T106,IF(AND(J14="12-17 mcg/mL",T108&lt;12),T106+250,IF(AND(J14="12-17 mcg/mL",T108&gt;17),T106-250,
IF(AND(J14="11-16 mcg/mL",T108&gt;=11,T108&lt;=16),T106,IF(AND(J14="11-16 mcg/mL",T108&lt;11),T106+250,IF(AND(J14="11-16 mcg/mL",T108&gt;16),T106-250,
IF(AND(J14="10-15 mcg/mL",T108&gt;=10,T108&lt;=15),T106,IF(AND(J14="10-15 mcg/mL",T108&lt;10),T106+250,IF(AND(J14="10-15 mcg/mL",T108&gt;15),T106-250)))))))))))))))))),3000)</f>
        <v>750</v>
      </c>
      <c r="O106" s="535" t="str">
        <f>IF(AND(N106=1750,N107=8),"1500",IF(AND(N106=1500,N107=8),"1250",IF(AND(N106=750,N107=18,N109&lt;16,J109&lt;37.5),"500",IF(AND(N106=750,N107=18,N109&gt;19,J109&lt;37.5),"750",IF(AND(N106=750,N107=18,N109&gt;16.5,J109&gt;=37.5),"1000",IF(AND(N106=750,N107=18,N109&lt;12,J109&gt;=43),"1250",IF(AND(N106=1000,N107=18,N109&gt;17.5,J109&lt;44),"500",IF(AND(N106=1000,N107=18,N109&gt;17.5,J109&gt;=44),"1250",IF(AND(N106=1000,N107=18,N109&lt;12),"750",IF(AND(N106=1250,N107=18,N109&lt;18.5),"750",IF(AND(N106=1250,N107=18,N109&gt;=18.5),"1000",IF(AND(N106=1500,N107=18,N109&lt;17),"1000",IF(AND(N106=1500,N107=18,N109&lt;13),"1000",IF(AND(N106=1500,N107=18,N109&gt;=17.5),"1250",IF(AND(N106=1750,N107=18,N109&gt;=12),"1000",IF(AND(N106=1750,N107=18,N109&lt;12),"1250",IF(AND(N106=2000,N107=18,N109&lt;18,N109&gt;=14),"1250",IF(AND(N106=2000,N107=18,N109&lt;14),"1500",IF(AND(N106=2000,N107=18,N109&gt;=18),"1000",IF(AND(N106=750,N107=36,N109&lt;16),"500",IF(AND(N106=750,N107=36,N109&lt;13),"500",IF(AND(N106=750,N107=36,N109&gt;17,J109&gt;38.5),"1000",IF(AND(N106=1000,N107=36,N109&gt;18,J109&lt;47),"500",IF(AND(N106=1000,N107=36,N109&gt;18,J109&gt;=47),"1250",IF(AND(N106=1000,N107=36,N109&lt;11.5),"750",IF(AND(N106=1250,N107=36),"750",IF(AND(N106=1500,N107=36,N109&lt;=16),"1000",IF(AND(N106=1500,N107=36,N109&gt;17),"750",IF(AND(N106=1750,N107=36,N109&gt;=12),"1000",IF(AND(N106=1750,N107=36,N109&lt;12),"1250",IF(AND(N106=2000,N107=36,N109&lt;18,N109&gt;=14),"1250",IF(AND(N106=2000,N107=36,N109&lt;14),"1500",IF(AND(N106=2000,N107=36,N109&gt;=18),"1000",IF(AND(N106=750,N107=12,N109&gt;19.5,J109&gt;=38),"1000",IF(AND(N106=750,N107=12,N109&lt;11.5,J109&gt;=38),"1000",IF(AND(N106=1750,N107=12,N109&gt;=16),"1000",IF(AND(N106=2000,N107=12,N109&lt;19),"1250",IF(AND(N106=2000,N107=12,N109&gt;=19),"1000",IF(AND(N106=750,N107=8,N109&gt;=19.4,J109&gt;38),"1000",IF(AND(N106=750,N107=8,N109&lt;11.5,J109&gt;38),"1000",IF(AND(N106=750,N107=8,N109&gt;19,J109&lt;35),"500",IF(AND(N106=1000,N107=8,N109&gt;19,J109&lt;52.5),"750",IF(AND(N106=1000,N107=8,N109&gt;18,J109&gt;=52.5),"1500",IF(AND(N106=1250,N107=8,N109&gt;19),"1000",IF(AND(N106=1000,N107=12,N109&gt;19),"750",IF(AND(N106=1250,N107=12,N109&gt;18.5),"1000",IF(AND(N106=1250,N107=12,N109&lt;=18.5),"750",IF(AND(N106=1500,N107=12,N109&gt;18),"1250",IF(AND(N106=2000,N107=24,N109&gt;16),"1750",IF(AND(N106=1750,N107=24,N109&gt;16.5),"1500",IF(AND(N106=1500,N107=24,N109&gt;17),"1250",IF(AND(N106=1250,N107=24,N109&gt;18),"1000",IF(AND(N106=1000,N107=24,N109&gt;19),"750",IF(AND(N106=2000,N107=48,N109&gt;16),"1750",IF(AND(N106=1750,N107=48,N109&gt;16.5),"1500",IF(AND(N106=1500,N107=48,N109&gt;17),"1250",IF(AND(N106=1250,N107=48,N109&gt;18),"1000",IF(AND(N106=1250,N107=48,N109&lt;=18),"500",IF(AND(N106=1000,N107=48,N109&gt;19),"750",IF(AND(N106=2000,N107=72,N109&gt;16),"1750",IF(AND(N106=1750,N107=72,N109&gt;16.5),"1500",IF(AND(N106=1500,N107=72,N109&gt;17),"1250",IF(AND(N106=1250,N107=72,N109&gt;18),"1000",IF(AND(N106=1000,N107=72,N109&gt;19),"750",""))))))))))))))))))))))))))))))))))))))))))))))))))))))))))))))))</f>
        <v/>
      </c>
      <c r="P106" s="27" t="s">
        <v>3</v>
      </c>
      <c r="Q106" s="75"/>
      <c r="R106" s="206"/>
      <c r="S106" s="175" t="s">
        <v>18</v>
      </c>
      <c r="T106" s="185">
        <f>MROUND(IF(AND(J14="15-20 mcg/mL",J109&lt;=75),37*J109*(1-EXP(-J106*N107)),IF(AND(J14="14-19 mcg/mL",J109&lt;=75),36*J109*(1-EXP(-J106*N107)),IF(AND(J14="13-18 mcg/mL",J109&lt;=75),35*J109*(1-EXP(-J106*N107)),IF(AND(J14="12-17 mcg/mL",J109&lt;=75),34*J109*(1-EXP(-J106*N107)),IF(AND(J14="11-16 mcg/mL",J109&lt;=75),33*J109*(1-EXP(-J106*N107)),IF(AND(J14="10-15 mcg/mL",J109&lt;=75),32*J109*(1-EXP(-J106*N107)),IF(AND(J14="15-20 mcg/mL",J109&gt;75),30*J109*(1-EXP(-J106*N107)),IF(AND(J14="14-19 mcg/mL",J109&gt;75),29*J109*(1-EXP(-J106*N107)),IF(AND(J14="13-18 mcg/mL",J109&gt;75),28*J109*(1-EXP(-J106*N107)),IF(AND(J14="12-17 mcg/mL",J109&gt;75),27*J109*(1-EXP(-J106*N107)),IF(AND(J14="11-16 mcg/mL",J109&gt;75),26*J109*(1-EXP(-J106*N107)),IF(AND(J14="10-15 mcg/mL",J109&gt;75),25*J109*(1-EXP(-J106*N107)))))))))))))),250)</f>
        <v>500</v>
      </c>
      <c r="U106" s="12"/>
      <c r="V106" s="172" t="s">
        <v>133</v>
      </c>
      <c r="W106" s="176">
        <f>N108*EXP(-J106*(12-N106/T18))</f>
        <v>3.7095809093088148</v>
      </c>
      <c r="X106" s="176" t="e">
        <f>O108*EXP(-J106*(12-O106/T18))</f>
        <v>#VALUE!</v>
      </c>
      <c r="Y106" s="178"/>
    </row>
    <row r="107" spans="1:26" ht="15">
      <c r="A107" s="4"/>
      <c r="B107" s="94"/>
      <c r="C107" s="58"/>
      <c r="D107" s="60" t="s">
        <v>20</v>
      </c>
      <c r="E107" s="113">
        <v>8</v>
      </c>
      <c r="F107" s="31" t="s">
        <v>4</v>
      </c>
      <c r="G107" s="58"/>
      <c r="H107" s="58"/>
      <c r="I107" s="66" t="s">
        <v>156</v>
      </c>
      <c r="J107" s="149">
        <f>E108/EXP(-J106*(E109-E106/T18))</f>
        <v>42.803322542018165</v>
      </c>
      <c r="K107" s="70" t="s">
        <v>5</v>
      </c>
      <c r="L107" s="43"/>
      <c r="M107" s="20" t="s">
        <v>20</v>
      </c>
      <c r="N107" s="30">
        <f>IF(J109&lt;=75,IF((LN(35/15)/J106)&lt;=8,8,IF(AND(8&lt;(LN(35/15)/J106),(LN(35/15)/J106)&lt;12),IF(ABS((LN(35/15)/J106)-8)&lt;ABS((LN(35/15)/J106)-12),8,12),IF((LN(35/15)/J106)=12,12,IF(AND(12&lt;(LN(35/15)/J106),(LN(35/15)/J106)&lt;18),IF(ABS((LN(35/15)/J106)-12)&lt;ABS((LN(35/15)/J106)-18),12,18),IF((LN(35/15)/J106)=18,18,IF(AND(18&lt;(LN(35/15)/J106),(LN(35/15)/J106)&lt;24),IF(ABS((LN(35/15)/J106)-18)&lt;ABS((LN(35/15)/J106)-24),18,24),IF((LN(35/15)/J106)=24,24,IF(AND(24&lt;(LN(35/15)/J106),(LN(35/15)/J106)&lt;36),IF(ABS((LN(35/15)/J106)-24)&lt;ABS((LN(35/15)/J106)-36),24,36),IF((LN(35/15)/J106)=36,36,IF(AND(36&lt;(LN(35/15)/J106),(LN(35/15)/J106)&lt;48),IF(ABS((LN(35/15)/J106)-36)&lt;ABS((LN(35/15)/J106)-48),36,48),IF((LN(35/15)/J106)=48,48,IF(AND(48&lt;(LN(35/15)/J106),(LN(35/15)/J106)&lt;72),IF(ABS((LN(35/15)/J106)-48)&lt;ABS((LN(35/15)/J106)-72),48,72),IF((LN(35/15)/J106)&gt;=72,72,"Error"))))))))))))),IF(J109&gt;75,IF((LN(30/15)/J106)&lt;=8,8,IF(AND(8&lt;(LN(30/15)/J106),(LN(30/15)/J106)&lt;12),IF(ABS((LN(30/15)/J106)-8)&lt;ABS((LN(30/15)/J106)-12),8,12),IF((LN(30/15)/J106)=12,12,IF(AND(12&lt;(LN(30/15)/J106),(LN(30/15)/J106)&lt;18),IF(ABS((LN(30/15)/J106)-12)&lt;ABS((LN(30/15)/J106)-18),12,18),IF((LN(30/15)/J106)=18,18,IF(AND(18&lt;(LN(30/15)/J106),(LN(30/15)/J106)&lt;24),IF(ABS((LN(30/15)/J106)-18)&lt;ABS((LN(30/15)/J106)-24),18,24),IF((LN(30/15)/J106)=24,24,IF(AND(24&lt;(LN(30/15)/J106),(LN(30/15)/J106)&lt;36),IF(ABS((LN(30/15)/J106)-24)&lt;ABS((LN(30/15)/J106)-36),24,36),IF((LN(30/15)/J106)=36,36,IF(AND(36&lt;(LN(30/15)/J106),(LN(30/15)/J106)&lt;48),IF(ABS((LN(30/15)/J106)-36)&lt;ABS((LN(30/15)/J106)-48),36,48),IF((LN(30/15)/J106)=48,48,IF(AND(48&lt;(LN(30/15)/J106),(LN(30/15)/J106)&lt;72),IF(ABS((LN(30/15)/J106)-48)&lt;ABS((LN(30/15)/J106)-72),48,72),IF((LN(30/15)/J106)&gt;=72,72,"Error")))))))))))))))</f>
        <v>8</v>
      </c>
      <c r="O107" s="537" t="str">
        <f>IF(AND(N106=1750,N107=8),"8",IF(AND(N106=1500,N107=8),"8",IF(AND(N106=750,N107=18,N109&lt;16,J109&lt;37.5),"12",IF(AND(N106=750,N107=18,N109&gt;19,J109&lt;37.5),"24",IF(AND(N106=750,N107=18,N109&gt;16.5,J109&gt;=37.5),"24",IF(AND(N106=750,N107=18,N109&lt;12,J109&gt;=43),"24",IF(AND(N106=1000,N107=18,N109&gt;17.5,J109&lt;44),"12",IF(AND(N106=1000,N107=18,N109&gt;17.5,J109&gt;=44),"24",IF(AND(N106=1000,N107=18,N109&lt;12),"12",IF(AND(N106=1250,N107=18,N109&lt;18.5),"12",IF(AND(N106=1250,N107=18,N109&gt;=18.5),"18",IF(AND(N106=1500,N107=18,N109&lt;17),"12",IF(AND(N106=1500,N107=18,N109&lt;13),"12",IF(AND(N106=1500,N107=18,N109&gt;=17.5),"18",IF(AND(N106=1750,N107=18),"12",IF(AND(N106=2000,N107=18),"12",IF(AND(N106=750,N107=36,N109&lt;16),"24",IF(AND(N106=750,N107=36,N109&lt;13),"24",IF(AND(N106=750,N107=36,N109&gt;17,J109&gt;38.5),"48",IF(AND(N106=1000,N107=36,N109&gt;18,J109&lt;47),"24",IF(AND(N106=1000,N107=36,N109&gt;18,J109&gt;=47),"48",IF(AND(N106=1000,N107=36,N109&lt;11.5),"24",IF(AND(N106=1250,N107=36),"24",IF(AND(N106=1500,N107=36,N109&lt;=16),"24",IF(AND(N106=1500,N107=36,N109&gt;17),"24",IF(AND(N106=1750,N107=36),"24",IF(AND(N106=2000,N107=36),"24",IF(AND(N106=750,N107=12,N109&gt;19.5,J109&gt;=38),"18",IF(AND(N106=750,N107=12,N109&lt;11.5,J109&gt;=38),"12",IF(AND(N106=1750,N107=12,N109&gt;=16),"8",IF(AND(N106=2000,N107=12),"8",IF(AND(N106=750,N107=8,N109&gt;=19.4,J109&gt;38),"12",IF(AND(N106=750,N107=8,N109&lt;11.5,J109&gt;38),"8",IF(AND(N106=750,N107=8,N109&gt;19,J109&lt;35),"8",IF(AND(N106=1250,N107=8,N109&gt;19),"8",IF(AND(N106=1000,N107=8,N109&gt;19,J109&lt;52.5),"8",IF(AND(N106=1000,N107=8,N109&gt;18,J109&gt;=52.5),"12",IF(AND(N106=1000,N107=12,N109&gt;19),"12",IF(AND(N106=1250,N107=12,N109&gt;18.5),"12",IF(AND(N106=1250,N107=12,N109&lt;=18.5),"8",IF(AND(N106=1500,N107=12,N109&gt;18),"12",IF(AND(N106=2000,N107=24,N109&gt;16),"24",IF(AND(N106=1750,N107=24,N109&gt;16.5),"24",IF(AND(N106=1500,N107=24,N109&gt;17),"24",IF(AND(N106=1250,N107=24,N109&gt;18),"24",IF(AND(N106=1000,N107=24,N109&gt;19),"24",IF(AND(N106=2000,N107=48,N109&gt;16),"48",IF(AND(N106=1750,N107=48,N109&gt;16.5),"48",IF(AND(N106=1500,N107=48,N109&gt;17),"48",IF(AND(N106=1250,N107=48,N109&gt;18),"48",IF(AND(N106=1250,N107=48,N109&lt;=18),"24",IF(AND(N106=1000,N107=48,N109&gt;19),"48",IF(AND(N106=2000,N107=72,N109&gt;16),"72",IF(AND(N106=1750,N107=72,N109&gt;16.5),"72",IF(AND(N106=1500,N107=72,N109&gt;17),"72",IF(AND(N106=1250,N107=72,N109&gt;18),"72",IF(AND(N106=1000,N107=72,N109&gt;19),"72","")))))))))))))))))))))))))))))))))))))))))))))))))))))))))</f>
        <v/>
      </c>
      <c r="P107" s="22" t="s">
        <v>4</v>
      </c>
      <c r="Q107" s="76"/>
      <c r="R107" s="207"/>
      <c r="S107" s="175" t="s">
        <v>32</v>
      </c>
      <c r="T107" s="208">
        <f>(T106*(1-EXP(-J106*T106/T18)))/((J106*J109*T106/T18)*(1-EXP(-J106*N107)))</f>
        <v>29.303584696809452</v>
      </c>
      <c r="U107" s="12"/>
      <c r="V107" s="180" t="s">
        <v>115</v>
      </c>
      <c r="W107" s="181">
        <f>N108*EXP(-J106*(24-N106/T18))</f>
        <v>0.27312536732494203</v>
      </c>
      <c r="X107" s="176" t="e">
        <f>O108*EXP(-J106*(24-O106/T18))</f>
        <v>#VALUE!</v>
      </c>
      <c r="Y107" s="178"/>
    </row>
    <row r="108" spans="1:26" ht="20.25" customHeight="1">
      <c r="A108" s="4"/>
      <c r="B108" s="55"/>
      <c r="C108" s="56"/>
      <c r="D108" s="60" t="s">
        <v>32</v>
      </c>
      <c r="E108" s="114">
        <v>20</v>
      </c>
      <c r="F108" s="31" t="s">
        <v>5</v>
      </c>
      <c r="G108" s="56"/>
      <c r="H108" s="56"/>
      <c r="I108" s="80" t="s">
        <v>155</v>
      </c>
      <c r="J108" s="85">
        <f>IF(E111&lt;=E107,(E110*EXP(-J106*(E107-E111))),IF(E111&gt;E107,(E110/EXP(-J106*(E111-E107)))))</f>
        <v>8.8507305160201888</v>
      </c>
      <c r="K108" s="22" t="s">
        <v>5</v>
      </c>
      <c r="L108" s="34"/>
      <c r="M108" s="33" t="s">
        <v>128</v>
      </c>
      <c r="N108" s="63">
        <f>N106*(1-EXP(-J106*N106/T18))/(N106/T18*J106*J109*(1-EXP(-J106*N107)))</f>
        <v>42.803322542018158</v>
      </c>
      <c r="O108" s="63" t="e">
        <f>O106*(1-EXP(-J106*O106/T18))/(O106/T18*J106*J109*(1-EXP(-J106*O107)))</f>
        <v>#VALUE!</v>
      </c>
      <c r="P108" s="31" t="s">
        <v>5</v>
      </c>
      <c r="Q108" s="76"/>
      <c r="R108" s="207"/>
      <c r="S108" s="175" t="s">
        <v>19</v>
      </c>
      <c r="T108" s="208">
        <f>ROUND(T107*EXP(-J106*(N107-T106/T18)),4)</f>
        <v>5.7388000000000003</v>
      </c>
      <c r="U108" s="12"/>
      <c r="V108" s="172" t="s">
        <v>132</v>
      </c>
      <c r="W108" s="176">
        <f>N108*EXP(-J106*(36-N106/T18))</f>
        <v>2.0109405374927867E-2</v>
      </c>
      <c r="X108" s="176" t="e">
        <f>O108*EXP(-J106*(36-O106/T18))</f>
        <v>#VALUE!</v>
      </c>
      <c r="Y108" s="178"/>
    </row>
    <row r="109" spans="1:26" ht="34.5" customHeight="1">
      <c r="A109" s="4"/>
      <c r="B109" s="55"/>
      <c r="C109" s="34"/>
      <c r="D109" s="61" t="s">
        <v>243</v>
      </c>
      <c r="E109" s="91">
        <v>4.25</v>
      </c>
      <c r="F109" s="62" t="s">
        <v>4</v>
      </c>
      <c r="G109" s="56"/>
      <c r="H109" s="56"/>
      <c r="I109" s="64" t="s">
        <v>1</v>
      </c>
      <c r="J109" s="83">
        <f>E106*(1-EXP(-J106*(E106/T18)))/(J106*(E106/T18)*(J107-(J108*EXP(-J106*(E106/T18)))))</f>
        <v>19.613596173537022</v>
      </c>
      <c r="K109" s="82" t="s">
        <v>6</v>
      </c>
      <c r="L109" s="43"/>
      <c r="M109" s="33" t="s">
        <v>129</v>
      </c>
      <c r="N109" s="63">
        <f>ROUND(N108*EXP(-J106*(N107-N106/T18)),4)</f>
        <v>8.8506999999999998</v>
      </c>
      <c r="O109" s="63" t="e">
        <f>ROUND(O108*EXP(-J106*(O107-O106/T18)),4)</f>
        <v>#VALUE!</v>
      </c>
      <c r="P109" s="19" t="s">
        <v>5</v>
      </c>
      <c r="Q109" s="77"/>
      <c r="R109" s="209"/>
      <c r="S109" s="209"/>
      <c r="T109" s="209"/>
      <c r="U109" s="12"/>
      <c r="V109" s="182" t="s">
        <v>116</v>
      </c>
      <c r="W109" s="183">
        <f>N108*EXP(-J106*(48-N106/T18))</f>
        <v>1.4805954807268799E-3</v>
      </c>
      <c r="X109" s="176" t="e">
        <f>O108*EXP(-J106*(48-O106/T18))</f>
        <v>#VALUE!</v>
      </c>
      <c r="Y109" s="178"/>
    </row>
    <row r="110" spans="1:26" ht="18" customHeight="1" thickBot="1">
      <c r="A110" s="4"/>
      <c r="B110" s="55"/>
      <c r="C110" s="56"/>
      <c r="D110" s="33" t="s">
        <v>19</v>
      </c>
      <c r="E110" s="115">
        <v>11</v>
      </c>
      <c r="F110" s="31" t="s">
        <v>5</v>
      </c>
      <c r="G110" s="56"/>
      <c r="H110" s="56"/>
      <c r="I110" s="65" t="s">
        <v>72</v>
      </c>
      <c r="J110" s="81">
        <f>IF(J15="Empiric or 1 mg/L",(((E106/E107)*24)/(J106*J109))/1,IF(J15="0.5 mg/L",(((E106/E107)*24)/(J106*J109))/0.5,IF(J15="2.0 mg/L",(((E106/E107)*24)/(J106*J109))/2)))</f>
        <v>527.68553835049147</v>
      </c>
      <c r="K110" s="71"/>
      <c r="L110" s="68"/>
      <c r="M110" s="33" t="s">
        <v>145</v>
      </c>
      <c r="N110" s="30">
        <f>IF(AND(N107&lt;=24,J15="Empiric or 1 mg/L"),((N106/N107)*24/(J106*J109))/1,IF(AND(J15="0.5 mg/L",N107&lt;=24),((N106/N107)*24/(J106*J109))/0.5,IF(AND(J15="2.0 mg/L",N107&lt;=24),((N106/N107)*24/(J106*J109))/2,IF(AND(N107&gt;24,J15="Empiric or 1 mg/L"),(N108+N109)/2*(N106/T18)+((N108-W107)*(24-N106/T18))/LN(N108/W107),IF(AND(J15="0.5 mg/L",N107&gt;24),(N108+N109)/2*(N106/T18)+((N108-W107)*(24-N106/T18))/LN(N108/W107)/0.5,IF(AND(J15="2.0 mg/L",N107&gt;24),(N108+N109)/2*(N106/T18)+((N108-W107)*(24-N106/T18))/LN(N108/W107)/2))))))</f>
        <v>527.68553835049147</v>
      </c>
      <c r="O110" s="30" t="e">
        <f>IF(AND(O107*1&lt;=24,J15="Empiric or 1 mg/L"),((O106/O107)*24/(J106*J109))/1,IF(AND(J15="0.5 mg/L",O107*1&lt;=24),((O106/O107)*24/(J106*J109))/0.5,IF(AND(J15="2.0 mg/L",O107*1&lt;=24),((O106/O107)*24/(J106*J109))/2,IF(AND(O107*1&gt;24,J15="Empiric or 1 mg/L"),(O108+O109)/2*(O106/T18)+((O108-X107)*(24-O106/T18))/LN(O108/X107),IF(AND(J15="0.5 mg/L",O107*1&gt;24),(O108+O109)/2*(O106/T18)+((O108-X107)*(24-O106/T18))/LN(O108/X107)/0.5,IF(AND(J15="2.0 mg/L",O107*1&gt;24),(O108+O109)/2*(O106/T18)+((O108-X107)*(24-O106/T18))/LN(O108/X107)/2))))))</f>
        <v>#VALUE!</v>
      </c>
      <c r="P110" s="318"/>
      <c r="Q110" s="75"/>
      <c r="R110" s="206"/>
      <c r="S110" s="206"/>
      <c r="T110" s="206"/>
      <c r="U110" s="12"/>
      <c r="V110" s="222" t="s">
        <v>119</v>
      </c>
      <c r="W110" s="183">
        <f>N108*EXP(-J106*(72-N106/T18))</f>
        <v>8.0262152103242936E-6</v>
      </c>
      <c r="X110" s="372" t="e">
        <f>O108*EXP(-J106*(72-O106/T18))</f>
        <v>#VALUE!</v>
      </c>
      <c r="Y110" s="178"/>
    </row>
    <row r="111" spans="1:26" ht="32.25" customHeight="1" thickBot="1">
      <c r="A111" s="4"/>
      <c r="B111" s="55"/>
      <c r="C111" s="56"/>
      <c r="D111" s="65" t="s">
        <v>258</v>
      </c>
      <c r="E111" s="445">
        <v>7</v>
      </c>
      <c r="F111" s="105" t="s">
        <v>4</v>
      </c>
      <c r="G111" s="56"/>
      <c r="H111" s="56"/>
      <c r="I111" s="78"/>
      <c r="J111" s="79"/>
      <c r="K111" s="9"/>
      <c r="L111" s="43"/>
      <c r="M111" s="258" t="s">
        <v>213</v>
      </c>
      <c r="N111" s="421" t="b">
        <f>IF(J15="Empiric or 1 mg/L",IF(N107=48,(W107-W109)*24/LN(W107/W109),IF(N107=36,(W106-W108)*24/LN(W106/W108),IF(N107=72,(W109-W110)*24/LN(W109/W110)))),IF(J15="0.5 mg/L",IF(N107=48,(W107-W109)*24/LN(W107/W109)/0.5,IF(N107=36,(W106-W108)*24/LN(W106/W108)/0.5,IF(N107=72,(W109-W110)*24/LN(W109/W110)/0.5))),IF(J15="2.0 mg/L",IF(N107=48,(W107-W109)*24/LN(W107/W109)/2,IF(N107=36,(W106-W108)*24/LN(W106/W108)/2,IF(N107=72,((W109-W110)*24/LN(W109/W110))/2))))))</f>
        <v>0</v>
      </c>
      <c r="O111" s="278" t="b">
        <f>IF(J15="Empiric or 1 mg/L",IF(O107=48,(X107-X109)*24/LN(X107/X109),IF(O107=36,(X106-X108)*24/LN(X106/X108),IF(O107=72,(X109-X110)*24/LN(X109/X110)))),IF(J15="0.5 mg/L",IF(O107=48,(X107-X109)*24/LN(X107/X109)/0.5,IF(O107=36,(X106-X108)*24/LN(X106/X108)/0.5,IF(O107=72,(X109-X110)*24/LN(X109/X110)/0.5))),IF(J15="2.0 mg/L",IF(O107=48,(X107-X109)*24/LN(X107/X109)/2,IF(O107=36,(X106-X108)*24/LN(X106/X108)/2,IF(O107=72,((X109-X110)*24/LN(X109/X110))/2))))))</f>
        <v>0</v>
      </c>
      <c r="P111" s="279"/>
      <c r="Q111" s="73"/>
      <c r="R111" s="210"/>
      <c r="S111" s="261" t="s">
        <v>68</v>
      </c>
      <c r="T111" s="262">
        <f>E111-E109</f>
        <v>2.75</v>
      </c>
      <c r="U111" s="260"/>
      <c r="V111" s="12"/>
      <c r="W111" s="178"/>
      <c r="X111" s="244"/>
      <c r="Y111" s="178"/>
    </row>
    <row r="112" spans="1:26" ht="16.5" customHeight="1">
      <c r="A112" s="4"/>
      <c r="B112" s="55"/>
      <c r="C112" s="56"/>
      <c r="D112" s="446"/>
      <c r="E112" s="417"/>
      <c r="F112" s="418"/>
      <c r="G112" s="56"/>
      <c r="H112" s="56"/>
      <c r="I112" s="78"/>
      <c r="J112" s="79"/>
      <c r="K112" s="9"/>
      <c r="L112" s="43"/>
      <c r="M112" s="419"/>
      <c r="N112" s="78"/>
      <c r="O112" s="9"/>
      <c r="P112" s="9"/>
      <c r="Q112" s="73"/>
      <c r="R112" s="210"/>
      <c r="S112" s="415"/>
      <c r="T112" s="416"/>
      <c r="U112" s="260"/>
      <c r="V112" s="12"/>
      <c r="W112" s="178"/>
      <c r="X112" s="244"/>
      <c r="Y112" s="178"/>
    </row>
    <row r="113" spans="1:26">
      <c r="A113" s="4"/>
      <c r="B113" s="55"/>
      <c r="C113" s="56"/>
      <c r="D113" s="9"/>
      <c r="E113" s="9"/>
      <c r="F113" s="9"/>
      <c r="G113" s="9"/>
      <c r="H113" s="9"/>
      <c r="I113" s="9"/>
      <c r="J113" s="9"/>
      <c r="K113" s="9"/>
      <c r="L113" s="9"/>
      <c r="M113" s="56"/>
      <c r="N113" s="597"/>
      <c r="O113" s="597"/>
      <c r="P113" s="56"/>
      <c r="Q113" s="73"/>
      <c r="R113" s="210"/>
      <c r="T113" s="210"/>
      <c r="U113" s="12"/>
      <c r="V113" s="12"/>
      <c r="W113" s="178"/>
      <c r="X113" s="244"/>
      <c r="Y113" s="178"/>
    </row>
    <row r="114" spans="1:26" ht="39" customHeight="1">
      <c r="A114" s="4"/>
      <c r="B114" s="123"/>
      <c r="C114" s="9"/>
      <c r="D114" s="538" t="s">
        <v>259</v>
      </c>
      <c r="E114" s="539"/>
      <c r="F114" s="539"/>
      <c r="G114" s="539"/>
      <c r="H114" s="539"/>
      <c r="I114" s="539"/>
      <c r="J114" s="539"/>
      <c r="K114" s="539"/>
      <c r="L114" s="539"/>
      <c r="M114" s="539"/>
      <c r="N114" s="539"/>
      <c r="O114" s="540"/>
      <c r="P114" s="122"/>
      <c r="Q114" s="147"/>
      <c r="R114" s="196"/>
      <c r="S114" s="196"/>
      <c r="T114" s="196"/>
      <c r="U114" s="12"/>
      <c r="V114" s="12"/>
      <c r="W114" s="178"/>
      <c r="X114" s="244"/>
      <c r="Y114" s="178"/>
    </row>
    <row r="115" spans="1:26" ht="17.25" customHeight="1">
      <c r="A115" s="4"/>
      <c r="B115" s="123"/>
      <c r="C115" s="9"/>
      <c r="D115" s="603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115" s="603"/>
      <c r="F115" s="603"/>
      <c r="G115" s="603"/>
      <c r="H115" s="603"/>
      <c r="I115" s="603"/>
      <c r="J115" s="603"/>
      <c r="K115" s="603"/>
      <c r="L115" s="603"/>
      <c r="M115" s="603"/>
      <c r="N115" s="603"/>
      <c r="O115" s="603"/>
      <c r="P115" s="122"/>
      <c r="Q115" s="147"/>
      <c r="R115" s="196"/>
      <c r="S115" s="196"/>
      <c r="T115" s="196"/>
      <c r="U115" s="12"/>
      <c r="V115" s="12"/>
      <c r="W115" s="178"/>
      <c r="X115" s="244"/>
      <c r="Y115" s="178"/>
    </row>
    <row r="116" spans="1:26" ht="17.25" customHeight="1">
      <c r="A116" s="4"/>
      <c r="B116" s="123"/>
      <c r="C116" s="9"/>
      <c r="D116" s="541" t="str">
        <f>IF(N107&lt;36,"",IF(N107&gt;=36,"Note: When the dosing interval is &gt;24 hours, the AUC is higher during the first 24 hours of the dosing interval compared to the last 24 hours of the interval."))</f>
        <v/>
      </c>
      <c r="E116" s="541"/>
      <c r="F116" s="541"/>
      <c r="G116" s="541"/>
      <c r="H116" s="541"/>
      <c r="I116" s="541"/>
      <c r="J116" s="541"/>
      <c r="K116" s="541"/>
      <c r="L116" s="541"/>
      <c r="M116" s="541"/>
      <c r="N116" s="541"/>
      <c r="O116" s="541"/>
      <c r="P116" s="122"/>
      <c r="Q116" s="147"/>
      <c r="R116" s="196"/>
      <c r="S116" s="196"/>
      <c r="T116" s="196"/>
      <c r="U116" s="12"/>
      <c r="V116" s="12"/>
      <c r="W116" s="178"/>
      <c r="X116" s="244"/>
      <c r="Y116" s="178"/>
    </row>
    <row r="117" spans="1:26" ht="17.25" customHeight="1">
      <c r="A117" s="4"/>
      <c r="B117" s="123"/>
      <c r="C117" s="9"/>
      <c r="D117" s="541" t="str">
        <f>IF(E109&lt;(1+E106/T18),"Note: The peak was drawn less than 1 hour after the END of infusion, so it may be artificially high (still in distribution phase).",IF(E109&gt;=(1+E106/T18),""))</f>
        <v/>
      </c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  <c r="P117" s="122"/>
      <c r="Q117" s="147"/>
      <c r="R117" s="196"/>
      <c r="S117" s="196"/>
      <c r="T117" s="196"/>
      <c r="U117" s="12"/>
      <c r="V117" s="12"/>
      <c r="W117" s="178"/>
      <c r="X117" s="244"/>
      <c r="Y117" s="178"/>
    </row>
    <row r="118" spans="1:26" ht="16" thickBot="1">
      <c r="A118" s="4"/>
      <c r="B118" s="40"/>
      <c r="C118" s="41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24"/>
      <c r="Q118" s="447"/>
      <c r="R118" s="196"/>
      <c r="U118" s="232"/>
      <c r="V118" s="12"/>
      <c r="W118" s="178"/>
      <c r="X118" s="244"/>
      <c r="Y118" s="178"/>
    </row>
    <row r="119" spans="1:26" s="4" customFormat="1">
      <c r="B119" s="12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6"/>
      <c r="W119" s="212"/>
      <c r="X119" s="214"/>
      <c r="Y119" s="214"/>
      <c r="Z119" s="212"/>
    </row>
    <row r="120" spans="1:26" s="4" customFormat="1" ht="39" customHeight="1" thickBot="1">
      <c r="B120" s="123"/>
      <c r="C120" s="9"/>
      <c r="D120" s="581" t="s">
        <v>158</v>
      </c>
      <c r="E120" s="581"/>
      <c r="F120" s="581"/>
      <c r="G120" s="581"/>
      <c r="H120" s="581"/>
      <c r="I120" s="581"/>
      <c r="J120" s="581"/>
      <c r="K120" s="581"/>
      <c r="L120" s="9"/>
      <c r="M120" s="32"/>
      <c r="N120" s="291"/>
      <c r="O120" s="32"/>
      <c r="P120" s="9"/>
      <c r="Q120" s="16"/>
      <c r="R120" s="12"/>
      <c r="W120" s="212"/>
      <c r="X120" s="214"/>
      <c r="Y120" s="214"/>
      <c r="Z120" s="212"/>
    </row>
    <row r="121" spans="1:26" s="4" customFormat="1" ht="30.75" customHeight="1" thickBot="1">
      <c r="B121" s="123"/>
      <c r="C121" s="9"/>
      <c r="D121" s="604" t="s">
        <v>159</v>
      </c>
      <c r="E121" s="605"/>
      <c r="F121" s="606"/>
      <c r="G121" s="9"/>
      <c r="H121" s="9"/>
      <c r="I121" s="585" t="s">
        <v>254</v>
      </c>
      <c r="J121" s="586"/>
      <c r="K121" s="587"/>
      <c r="L121" s="9"/>
      <c r="M121" s="598"/>
      <c r="N121" s="598"/>
      <c r="O121" s="32"/>
      <c r="P121" s="9"/>
      <c r="Q121" s="16"/>
      <c r="R121" s="12"/>
      <c r="S121" s="256" t="s">
        <v>50</v>
      </c>
      <c r="T121" s="532" t="s">
        <v>114</v>
      </c>
      <c r="U121" s="531"/>
      <c r="V121" s="250"/>
      <c r="X121" s="214"/>
      <c r="Y121" s="214"/>
      <c r="Z121" s="212"/>
    </row>
    <row r="122" spans="1:26" s="4" customFormat="1">
      <c r="B122" s="123"/>
      <c r="C122" s="9"/>
      <c r="D122" s="13" t="s">
        <v>139</v>
      </c>
      <c r="E122" s="427">
        <f>E27</f>
        <v>56.825999999999993</v>
      </c>
      <c r="F122" s="15" t="s">
        <v>6</v>
      </c>
      <c r="G122" s="9"/>
      <c r="H122" s="9"/>
      <c r="I122" s="13" t="s">
        <v>99</v>
      </c>
      <c r="J122" s="533">
        <v>20</v>
      </c>
      <c r="K122" s="520" t="s">
        <v>5</v>
      </c>
      <c r="L122" s="9"/>
      <c r="M122" s="9"/>
      <c r="N122" s="9"/>
      <c r="O122" s="32"/>
      <c r="P122" s="9"/>
      <c r="Q122" s="16"/>
      <c r="R122" s="12"/>
      <c r="S122" s="257">
        <f>E126</f>
        <v>25</v>
      </c>
      <c r="T122" s="257">
        <f>E127</f>
        <v>21.741707481387909</v>
      </c>
      <c r="W122" s="253"/>
      <c r="X122" s="214"/>
      <c r="Y122" s="214"/>
      <c r="Z122" s="212"/>
    </row>
    <row r="123" spans="1:26" s="4" customFormat="1">
      <c r="B123" s="123"/>
      <c r="C123" s="9"/>
      <c r="D123" s="17" t="s">
        <v>81</v>
      </c>
      <c r="E123" s="428">
        <f>0.008</f>
        <v>8.0000000000000002E-3</v>
      </c>
      <c r="F123" s="19" t="s">
        <v>107</v>
      </c>
      <c r="G123" s="9"/>
      <c r="H123" s="9"/>
      <c r="I123" s="473" t="s">
        <v>144</v>
      </c>
      <c r="J123" s="504">
        <f>20</f>
        <v>20</v>
      </c>
      <c r="K123" s="15" t="s">
        <v>86</v>
      </c>
      <c r="L123" s="143"/>
      <c r="M123" s="9"/>
      <c r="N123" s="9"/>
      <c r="O123" s="32"/>
      <c r="P123" s="9"/>
      <c r="Q123" s="16"/>
      <c r="R123" s="12"/>
      <c r="S123" s="257">
        <f>S122+3</f>
        <v>28</v>
      </c>
      <c r="T123" s="257">
        <f>J124</f>
        <v>16</v>
      </c>
      <c r="U123" s="214"/>
      <c r="V123" s="212"/>
      <c r="W123" s="212"/>
      <c r="X123" s="214"/>
      <c r="Y123" s="214"/>
      <c r="Z123" s="215"/>
    </row>
    <row r="124" spans="1:26" s="4" customFormat="1">
      <c r="B124" s="123"/>
      <c r="C124" s="503"/>
      <c r="D124" s="17" t="s">
        <v>105</v>
      </c>
      <c r="E124" s="45">
        <v>1500</v>
      </c>
      <c r="F124" s="299" t="s">
        <v>3</v>
      </c>
      <c r="G124" s="9"/>
      <c r="H124" s="9"/>
      <c r="I124" s="17" t="s">
        <v>245</v>
      </c>
      <c r="J124" s="87">
        <f>J122-J123/100*J122</f>
        <v>16</v>
      </c>
      <c r="K124" s="299" t="s">
        <v>5</v>
      </c>
      <c r="L124" s="37"/>
      <c r="M124" s="9"/>
      <c r="N124" s="9"/>
      <c r="O124" s="292"/>
      <c r="P124" s="9"/>
      <c r="Q124" s="16"/>
      <c r="R124" s="12"/>
      <c r="S124" s="176">
        <f>S123+J125/T18</f>
        <v>29.5</v>
      </c>
      <c r="T124" s="176">
        <f>T123+J125/E122</f>
        <v>42.396367859782501</v>
      </c>
      <c r="U124" s="214"/>
      <c r="V124" s="212"/>
      <c r="W124" s="212"/>
      <c r="X124" s="214"/>
      <c r="Y124" s="214"/>
      <c r="Z124" s="151"/>
    </row>
    <row r="125" spans="1:26" s="4" customFormat="1" ht="15" customHeight="1">
      <c r="B125" s="123"/>
      <c r="C125" s="9"/>
      <c r="D125" s="102" t="s">
        <v>32</v>
      </c>
      <c r="E125" s="87">
        <f>E124*(1-EXP(-E123*(E124/T18)))/((E124/T18)*E122*E123)</f>
        <v>26.238621269466186</v>
      </c>
      <c r="F125" s="299" t="s">
        <v>5</v>
      </c>
      <c r="G125" s="9"/>
      <c r="H125" s="9"/>
      <c r="I125" s="60" t="s">
        <v>255</v>
      </c>
      <c r="J125" s="245">
        <v>1500</v>
      </c>
      <c r="K125" s="31" t="s">
        <v>3</v>
      </c>
      <c r="L125" s="37"/>
      <c r="M125" s="9"/>
      <c r="N125" s="9"/>
      <c r="O125" s="47"/>
      <c r="P125" s="9"/>
      <c r="Q125" s="16"/>
      <c r="R125" s="12"/>
      <c r="S125" s="257">
        <f>J126+S124</f>
        <v>77.5</v>
      </c>
      <c r="T125" s="257">
        <f>T124*EXP(-E123*(S125-S124))</f>
        <v>28.877498547562737</v>
      </c>
      <c r="U125" s="214"/>
      <c r="V125" s="212"/>
      <c r="W125" s="212"/>
      <c r="X125" s="214"/>
      <c r="Y125" s="214"/>
      <c r="Z125" s="151"/>
    </row>
    <row r="126" spans="1:26" s="4" customFormat="1" ht="28">
      <c r="B126" s="123"/>
      <c r="C126" s="9"/>
      <c r="D126" s="501" t="s">
        <v>231</v>
      </c>
      <c r="E126" s="356">
        <v>25</v>
      </c>
      <c r="F126" s="336" t="s">
        <v>4</v>
      </c>
      <c r="G126" s="9"/>
      <c r="H126" s="9"/>
      <c r="I126" s="35" t="s">
        <v>231</v>
      </c>
      <c r="J126" s="90">
        <v>48</v>
      </c>
      <c r="K126" s="299" t="s">
        <v>4</v>
      </c>
      <c r="L126" s="9"/>
      <c r="M126" s="502"/>
      <c r="N126" s="502"/>
      <c r="O126" s="502"/>
      <c r="P126" s="9"/>
      <c r="Q126" s="16"/>
      <c r="R126" s="12"/>
      <c r="S126" s="257">
        <f>S125+3</f>
        <v>80.5</v>
      </c>
      <c r="T126" s="257">
        <f>T125-J123/100*T125</f>
        <v>23.101998838050189</v>
      </c>
      <c r="U126" s="214"/>
      <c r="V126" s="212"/>
      <c r="W126" s="212"/>
      <c r="X126" s="214"/>
      <c r="Y126" s="214"/>
      <c r="Z126" s="151"/>
    </row>
    <row r="127" spans="1:26" s="4" customFormat="1" ht="15" thickBot="1">
      <c r="B127" s="123"/>
      <c r="C127" s="9"/>
      <c r="D127" s="23" t="s">
        <v>99</v>
      </c>
      <c r="E127" s="145">
        <f>E125*EXP(-E123*(E126-E124/T18))</f>
        <v>21.741707481387909</v>
      </c>
      <c r="F127" s="269" t="s">
        <v>5</v>
      </c>
      <c r="G127" s="9"/>
      <c r="H127" s="9"/>
      <c r="I127" s="60" t="s">
        <v>99</v>
      </c>
      <c r="J127" s="118">
        <f>T128*EXP(-E123*J126)</f>
        <v>28.877498547562737</v>
      </c>
      <c r="K127" s="31" t="s">
        <v>5</v>
      </c>
      <c r="L127" s="9"/>
      <c r="M127" s="9"/>
      <c r="N127" s="9"/>
      <c r="O127" s="9"/>
      <c r="P127" s="9"/>
      <c r="Q127" s="16"/>
      <c r="U127" s="214"/>
      <c r="V127" s="212"/>
      <c r="W127" s="212"/>
      <c r="X127" s="214"/>
      <c r="Y127" s="214"/>
      <c r="Z127" s="151"/>
    </row>
    <row r="128" spans="1:26" s="4" customFormat="1">
      <c r="B128" s="123"/>
      <c r="C128" s="9"/>
      <c r="D128" s="423"/>
      <c r="E128" s="424"/>
      <c r="F128" s="78"/>
      <c r="G128" s="9"/>
      <c r="H128" s="9"/>
      <c r="I128" s="17" t="s">
        <v>161</v>
      </c>
      <c r="J128" s="135">
        <f>((J124+T128)/2)*(S124-S123)+(T124-(T124*EXP(-E123*(24-(S124-S123)))))*(24-(S124-S123))/(LN(T124/(T124*EXP(-E123*(24-(S124-S123))))))</f>
        <v>916.79036520382567</v>
      </c>
      <c r="K128" s="425"/>
      <c r="L128" s="9"/>
      <c r="M128" s="9"/>
      <c r="N128" s="9"/>
      <c r="O128" s="9"/>
      <c r="P128" s="9"/>
      <c r="Q128" s="16"/>
      <c r="S128" s="261" t="s">
        <v>219</v>
      </c>
      <c r="T128" s="426">
        <f>J125/E122+J124</f>
        <v>42.396367859782501</v>
      </c>
      <c r="U128" s="214"/>
      <c r="V128" s="212"/>
      <c r="W128" s="212"/>
      <c r="X128" s="214"/>
      <c r="Y128" s="214"/>
      <c r="Z128" s="151"/>
    </row>
    <row r="129" spans="1:29" s="4" customFormat="1" ht="15" thickBot="1">
      <c r="B129" s="123"/>
      <c r="C129" s="9"/>
      <c r="D129" s="423"/>
      <c r="E129" s="424"/>
      <c r="F129" s="78"/>
      <c r="G129" s="9"/>
      <c r="H129" s="9"/>
      <c r="I129" s="23" t="s">
        <v>160</v>
      </c>
      <c r="J129" s="278">
        <f>(T128*(EXP(-E123*(J126-24)))-T128*(EXP(-E123*(J126))))*24/LN((T128*(EXP(-E123*(J126-24))))/(T128*(EXP(-E123*(J126)))))</f>
        <v>764.06438077697146</v>
      </c>
      <c r="K129" s="279"/>
      <c r="L129" s="9"/>
      <c r="M129" s="9"/>
      <c r="N129" s="9"/>
      <c r="O129" s="9"/>
      <c r="P129" s="9"/>
      <c r="Q129" s="16"/>
      <c r="U129" s="214"/>
      <c r="V129" s="212"/>
      <c r="W129" s="212"/>
      <c r="X129" s="214"/>
      <c r="Y129" s="214"/>
      <c r="Z129" s="151"/>
    </row>
    <row r="130" spans="1:29" s="4" customFormat="1">
      <c r="B130" s="123"/>
      <c r="C130" s="9"/>
      <c r="D130" s="423"/>
      <c r="E130" s="424"/>
      <c r="F130" s="78"/>
      <c r="G130" s="9"/>
      <c r="H130" s="9"/>
      <c r="I130" s="32"/>
      <c r="J130" s="521"/>
      <c r="K130" s="9"/>
      <c r="L130" s="9"/>
      <c r="M130" s="9"/>
      <c r="N130" s="9"/>
      <c r="O130" s="9"/>
      <c r="P130" s="9"/>
      <c r="Q130" s="16"/>
      <c r="U130" s="214"/>
      <c r="V130" s="212"/>
      <c r="W130" s="212"/>
      <c r="X130" s="214"/>
      <c r="Y130" s="214"/>
      <c r="Z130" s="151"/>
    </row>
    <row r="131" spans="1:29" s="4" customFormat="1" ht="15">
      <c r="B131" s="123"/>
      <c r="C131" s="9"/>
      <c r="D131" s="626" t="str">
        <f>IF(J15="2.0 mg/L","Note: Consider switching to a different antibiotic when S. aureus MIC ≥ 2.0 mg/L.  Etest method may yield higher MICs than broth microdilution.",IF(J15="Empiric or 1 mg/L","",IF(J15="0.5 mg/L","")))</f>
        <v/>
      </c>
      <c r="E131" s="626"/>
      <c r="F131" s="626"/>
      <c r="G131" s="626"/>
      <c r="H131" s="626"/>
      <c r="I131" s="626"/>
      <c r="J131" s="626"/>
      <c r="K131" s="626"/>
      <c r="L131" s="626"/>
      <c r="M131" s="626"/>
      <c r="N131" s="626"/>
      <c r="O131" s="9"/>
      <c r="P131" s="9"/>
      <c r="Q131" s="16"/>
      <c r="S131" s="250"/>
      <c r="T131" s="250"/>
      <c r="U131" s="214"/>
      <c r="V131" s="212"/>
      <c r="W131" s="212"/>
      <c r="X131" s="214"/>
      <c r="Y131" s="214"/>
      <c r="Z131" s="151"/>
    </row>
    <row r="132" spans="1:29" s="4" customFormat="1" ht="15">
      <c r="B132" s="123"/>
      <c r="C132" s="9"/>
      <c r="D132" s="583" t="str">
        <f>IF(J126&lt;=24,"",IF(J126&gt;24,"When the dosing interval is &gt;24 hours, the AUC is higher during the first 24 hours of the dosing interval compared to the last 24 hours of the interval."))</f>
        <v>When the dosing interval is &gt;24 hours, the AUC is higher during the first 24 hours of the dosing interval compared to the last 24 hours of the interval.</v>
      </c>
      <c r="E132" s="583"/>
      <c r="F132" s="583"/>
      <c r="G132" s="583"/>
      <c r="H132" s="583"/>
      <c r="I132" s="583"/>
      <c r="J132" s="583"/>
      <c r="K132" s="583"/>
      <c r="L132" s="583"/>
      <c r="M132" s="583"/>
      <c r="N132" s="583"/>
      <c r="O132" s="9"/>
      <c r="P132" s="9"/>
      <c r="Q132" s="16"/>
      <c r="S132" s="250"/>
      <c r="T132" s="250"/>
      <c r="U132" s="214"/>
      <c r="V132" s="212"/>
      <c r="W132" s="212"/>
      <c r="X132" s="214"/>
      <c r="Y132" s="214"/>
      <c r="Z132" s="151"/>
    </row>
    <row r="133" spans="1:29" s="4" customFormat="1" ht="15" thickBot="1"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144"/>
      <c r="S133" s="212"/>
      <c r="T133" s="213"/>
      <c r="U133" s="214"/>
      <c r="V133" s="212"/>
      <c r="W133" s="212"/>
      <c r="X133" s="214"/>
      <c r="Y133" s="214"/>
      <c r="Z133" s="153"/>
    </row>
    <row r="134" spans="1:29" ht="15.75" customHeight="1">
      <c r="A134" s="4"/>
      <c r="B134" s="458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60"/>
      <c r="R134" s="211"/>
      <c r="U134" s="232"/>
      <c r="V134" s="12"/>
      <c r="W134" s="212"/>
      <c r="X134" s="214"/>
      <c r="Y134" s="214"/>
      <c r="Z134" s="212"/>
    </row>
    <row r="135" spans="1:29" ht="32.25" customHeight="1">
      <c r="A135" s="4"/>
      <c r="B135" s="6"/>
      <c r="C135" s="7"/>
      <c r="D135" s="607" t="s">
        <v>138</v>
      </c>
      <c r="E135" s="607"/>
      <c r="F135" s="607"/>
      <c r="G135" s="607"/>
      <c r="H135" s="607"/>
      <c r="I135" s="607"/>
      <c r="J135" s="607"/>
      <c r="K135" s="607"/>
      <c r="L135" s="607"/>
      <c r="M135" s="607"/>
      <c r="N135" s="607"/>
      <c r="O135" s="607"/>
      <c r="P135" s="7"/>
      <c r="Q135" s="8"/>
      <c r="R135" s="211"/>
      <c r="U135" s="232"/>
      <c r="V135" s="12"/>
      <c r="W135" s="212"/>
      <c r="X135" s="214"/>
      <c r="Y135" s="214"/>
      <c r="Z135" s="212"/>
    </row>
    <row r="136" spans="1:29" ht="20.25" customHeight="1" thickBot="1">
      <c r="A136" s="4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8"/>
      <c r="R136" s="211"/>
      <c r="U136" s="232"/>
      <c r="V136" s="12"/>
      <c r="W136" s="212"/>
      <c r="X136" s="214"/>
      <c r="Y136" s="214"/>
      <c r="Z136" s="212"/>
    </row>
    <row r="137" spans="1:29" ht="39.75" customHeight="1" thickBot="1">
      <c r="A137" s="4"/>
      <c r="B137" s="123"/>
      <c r="C137" s="117"/>
      <c r="D137" s="585" t="s">
        <v>194</v>
      </c>
      <c r="E137" s="586"/>
      <c r="F137" s="587"/>
      <c r="G137" s="44"/>
      <c r="H137" s="44"/>
      <c r="I137" s="552" t="s">
        <v>260</v>
      </c>
      <c r="J137" s="553"/>
      <c r="K137" s="554"/>
      <c r="L137" s="25"/>
      <c r="M137" s="588" t="s">
        <v>196</v>
      </c>
      <c r="N137" s="589"/>
      <c r="O137" s="590"/>
      <c r="P137" s="9"/>
      <c r="Q137" s="16"/>
      <c r="R137" s="12"/>
      <c r="U137" s="379"/>
      <c r="V137" s="12"/>
      <c r="W137" s="212"/>
      <c r="X137" s="214"/>
      <c r="Y137" s="214"/>
      <c r="Z137" s="212"/>
    </row>
    <row r="138" spans="1:29" ht="17.25" customHeight="1">
      <c r="A138" s="4"/>
      <c r="B138" s="123"/>
      <c r="C138" s="141"/>
      <c r="D138" s="26" t="s">
        <v>2</v>
      </c>
      <c r="E138" s="313">
        <v>4.0000000000000001E-3</v>
      </c>
      <c r="F138" s="314" t="s">
        <v>195</v>
      </c>
      <c r="G138" s="143"/>
      <c r="H138" s="143"/>
      <c r="I138" s="13" t="s">
        <v>2</v>
      </c>
      <c r="J138" s="339">
        <v>6.0000000000000001E-3</v>
      </c>
      <c r="K138" s="15" t="s">
        <v>66</v>
      </c>
      <c r="L138" s="9"/>
      <c r="M138" s="136" t="s">
        <v>2</v>
      </c>
      <c r="N138" s="46">
        <v>6.93E-2</v>
      </c>
      <c r="O138" s="133" t="s">
        <v>66</v>
      </c>
      <c r="P138" s="9"/>
      <c r="Q138" s="16"/>
      <c r="R138" s="12"/>
      <c r="S138" s="175" t="s">
        <v>18</v>
      </c>
      <c r="T138" s="185">
        <f>MROUND(IF(AND(J14="15-20 mcg/mL",E139&lt;=75),37*E139*(1-EXP(-E138*E141)),IF(AND(J14="14-19 mcg/mL",E139&lt;=75),36*E139*(1-EXP(-E138*E141)),IF(AND(J14="13-18 mcg/mL",E139&lt;=75),35*E139*(1-EXP(-E138*E141)),IF(AND(J14="12-17 mcg/mL",E139&lt;=75),34*E139*(1-EXP(-E138*E141)),IF(AND(J14="11-16 mcg/mL",E139&lt;=75),33*E139*(1-EXP(-E138*E141)),IF(AND(J14="10-15 mcg/mL",E139&lt;=75),32*E139*(1-EXP(-E138*E141)),IF(AND(J14="15-20 mcg/mL",E139&gt;75),30*E139*(1-EXP(-E138*E141)),IF(AND(J14="14-19 mcg/mL",E139&gt;75),29*E139*(1-EXP(-E138*E141)),IF(AND(J14="13-18 mcg/mL",E139&gt;75),28*E139*(1-EXP(-E138*E141)),IF(AND(J14="12-17 mcg/mL",E139&gt;75),27*E139*(1-EXP(-E138*E141)),IF(AND(J14="11-16 mcg/mL",E139&gt;75),26*E139*(1-EXP(-E138*E141)),IF(AND(J14="10-15 mcg/mL",E139&gt;75),25*E139*(1-EXP(-E138*E141)))))))))))))),250)</f>
        <v>500</v>
      </c>
      <c r="U138" s="172" t="s">
        <v>133</v>
      </c>
      <c r="V138" s="176">
        <f>E142*EXP(-E138*(12-E140/T18))</f>
        <v>18.321192051468266</v>
      </c>
      <c r="Y138" s="214"/>
      <c r="Z138" s="212"/>
    </row>
    <row r="139" spans="1:29" ht="15">
      <c r="A139" s="4"/>
      <c r="B139" s="123"/>
      <c r="C139" s="141"/>
      <c r="D139" s="17" t="s">
        <v>1</v>
      </c>
      <c r="E139" s="312">
        <v>52</v>
      </c>
      <c r="F139" s="299" t="s">
        <v>6</v>
      </c>
      <c r="G139" s="9"/>
      <c r="H139" s="9"/>
      <c r="I139" s="17" t="s">
        <v>114</v>
      </c>
      <c r="J139" s="338">
        <v>25</v>
      </c>
      <c r="K139" s="336" t="s">
        <v>5</v>
      </c>
      <c r="L139" s="9"/>
      <c r="M139" s="17" t="s">
        <v>114</v>
      </c>
      <c r="N139" s="21">
        <v>30</v>
      </c>
      <c r="O139" s="19" t="s">
        <v>5</v>
      </c>
      <c r="P139" s="9"/>
      <c r="Q139" s="16"/>
      <c r="R139" s="12"/>
      <c r="S139" s="175" t="s">
        <v>32</v>
      </c>
      <c r="T139" s="208">
        <f>(T138*(1-EXP(-E138*T138/T18)))/((E138*E139*T138/T18)*(1-EXP(-E138*E141)))</f>
        <v>38.386495997040115</v>
      </c>
      <c r="U139" s="180" t="s">
        <v>115</v>
      </c>
      <c r="V139" s="181">
        <f>E142*EXP(-E138*(24-E140/T18))</f>
        <v>17.462547163790227</v>
      </c>
      <c r="Y139" s="214"/>
      <c r="Z139" s="212"/>
    </row>
    <row r="140" spans="1:29" ht="19.5" customHeight="1">
      <c r="A140" s="4"/>
      <c r="B140" s="123"/>
      <c r="C140" s="9"/>
      <c r="D140" s="60" t="s">
        <v>18</v>
      </c>
      <c r="E140" s="320">
        <f>MIN(IF(AND(J14="15-20 mcg/mL",T140&gt;=15,T140&lt;=20),T138,IF(AND(J14="15-20 mcg/mL",T140&lt;15),T138+250,IF(AND(J14="15-20 mcg/mL",T140&gt;20),T138-250,
IF(AND(J14="14-19 mcg/mL",T140&gt;=14,T140&lt;=19),T138,IF(AND(J14="14-19 mcg/mL",T140&lt;14),T138+250,IF(AND(J14="14-19 mcg/mL",T140&gt;19),T138-250,
IF(AND(J14="13-18 mcg/mL",T140&gt;=13,T140&lt;=18),T138,IF(AND(J14="13-18 mcg/mL",T140&lt;13),T138+250,IF(AND(J14="13-18 mcg/mL",T140&gt;18),T138-250,
IF(AND(J14="12-17 mcg/mL",T140&gt;=12,T140&lt;=17),T138,IF(AND(J14="12-17 mcg/mL",T140&lt;12),T138+250,IF(AND(J14="12-17 mcg/mL",T140&gt;17),T138-250,
IF(AND(J14="11-16 mcg/mL",T140&gt;=11,T140&lt;=16),T138,IF(AND(J14="11-16 mcg/mL",T140&lt;11),T138+250,IF(AND(J14="11-16 mcg/mL",T140&gt;16),T138-250,
IF(AND(J14="10-15 mcg/mL",T140&gt;=10,T140&lt;=15),T138,IF(AND(J14="10-15 mcg/mL",T140&lt;10),T138+250,IF(AND(J14="10-15 mcg/mL",T140&gt;15),T138-250)))))))))))))))))),3000)</f>
        <v>250</v>
      </c>
      <c r="F140" s="82" t="s">
        <v>3</v>
      </c>
      <c r="G140" s="9"/>
      <c r="H140" s="9"/>
      <c r="I140" s="49" t="s">
        <v>50</v>
      </c>
      <c r="J140" s="568" t="s">
        <v>101</v>
      </c>
      <c r="K140" s="569"/>
      <c r="L140" s="335"/>
      <c r="M140" s="534" t="s">
        <v>49</v>
      </c>
      <c r="N140" s="601" t="s">
        <v>50</v>
      </c>
      <c r="O140" s="602"/>
      <c r="P140" s="9"/>
      <c r="Q140" s="16"/>
      <c r="R140" s="12"/>
      <c r="S140" s="175" t="s">
        <v>19</v>
      </c>
      <c r="T140" s="208">
        <f>ROUND(T139*EXP(-E138*(E141-T138/T18)),4)</f>
        <v>28.8383</v>
      </c>
      <c r="U140" s="172" t="s">
        <v>132</v>
      </c>
      <c r="V140" s="176">
        <f>E142*EXP(-E138*(36-E140/T18))</f>
        <v>16.644143710242918</v>
      </c>
      <c r="Y140" s="214"/>
      <c r="Z140" s="212"/>
    </row>
    <row r="141" spans="1:29">
      <c r="A141" s="4"/>
      <c r="B141" s="123"/>
      <c r="C141" s="48"/>
      <c r="D141" s="60" t="s">
        <v>20</v>
      </c>
      <c r="E141" s="320">
        <f>IF(E139&lt;=75,IF((LN(35/15)/E138)&lt;=8,8,IF(AND(8&lt;(LN(35/15)/E138),(LN(35/15)/E138)&lt;12),IF(ABS((LN(35/15)/E138)-8)&lt;ABS((LN(35/15)/E138)-12),8,12),IF((LN(35/15)/E138)=12,12,IF(AND(12&lt;(LN(35/15)/E138),(LN(35/15)/E138)&lt;18),IF(ABS((LN(35/15)/E138)-12)&lt;ABS((LN(35/15)/E138)-18),12,18),IF((LN(35/15)/E138)=18,18,IF(AND(18&lt;(LN(35/15)/E138),(LN(35/15)/E138)&lt;24),IF(ABS((LN(35/15)/E138)-18)&lt;ABS((LN(35/15)/E138)-24),18,24),IF((LN(35/15)/E138)=24,24,IF(AND(24&lt;(LN(35/15)/E138),(LN(35/15)/E138)&lt;36),IF(ABS((LN(35/15)/E138)-24)&lt;ABS((LN(35/15)/E138)-36),24,36),IF((LN(35/15)/E138)=36,36,IF(AND(36&lt;(LN(35/15)/E138),(LN(35/15)/E138)&lt;48),IF(ABS((LN(35/15)/E138)-36)&lt;ABS((LN(35/15)/E138)-48),36,48),IF((LN(35/15)/E138)=48,48,IF(AND(48&lt;(LN(35/15)/E138),(LN(35/15)/E138)&lt;72),IF(ABS((LN(35/15)/E138)-48)&lt;ABS((LN(35/15)/E138)-72),48,72),IF((LN(35/15)/E138)&gt;=72,72,"Error"))))))))))))),IF(E139&gt;75,IF((LN(30/15)/E138)&lt;=8,8,IF(AND(8&lt;(LN(30/15)/E138),(LN(30/15)/E138)&lt;12),IF(ABS((LN(30/15)/E138)-8)&lt;ABS((LN(30/15)/E138)-12),8,12),IF((LN(30/15)/E138)=12,12,IF(AND(12&lt;(LN(30/15)/E138),(LN(30/15)/E138)&lt;18),IF(ABS((LN(30/15)/E138)-12)&lt;ABS((LN(30/15)/E138)-18),12,18),IF((LN(30/15)/E138)=18,18,IF(AND(18&lt;(LN(30/15)/E138),(LN(30/15)/E138)&lt;24),IF(ABS((LN(30/15)/E138)-18)&lt;ABS((LN(30/15)/E138)-24),18,24),IF((LN(30/15)/E138)=24,24,IF(AND(24&lt;(LN(30/15)/E138),(LN(30/15)/E138)&lt;36),IF(ABS((LN(30/15)/E138)-24)&lt;ABS((LN(30/15)/E138)-36),24,36),IF((LN(30/15)/E138)=36,36,IF(AND(36&lt;(LN(30/15)/E138),(LN(30/15)/E138)&lt;48),IF(ABS((LN(30/15)/E138)-36)&lt;ABS((LN(30/15)/E138)-48),36,48),IF((LN(30/15)/E138)=48,48,IF(AND(48&lt;(LN(30/15)/E138),(LN(30/15)/E138)&lt;72),IF(ABS((LN(30/15)/E138)-48)&lt;ABS((LN(30/15)/E138)-72),48,72),IF((LN(30/15)/E138)&gt;=72,72,"Error")))))))))))))))</f>
        <v>72</v>
      </c>
      <c r="F141" s="82" t="s">
        <v>4</v>
      </c>
      <c r="G141" s="9"/>
      <c r="H141" s="9"/>
      <c r="I141" s="17" t="s">
        <v>214</v>
      </c>
      <c r="J141" s="566">
        <f>(J139-T142)*24/LN(J139/T142)</f>
        <v>558.80104975331233</v>
      </c>
      <c r="K141" s="567"/>
      <c r="L141" s="78"/>
      <c r="M141" s="17" t="s">
        <v>26</v>
      </c>
      <c r="N141" s="116">
        <f>LN(N139/20)/N138</f>
        <v>5.8508673608681727</v>
      </c>
      <c r="O141" s="19" t="s">
        <v>4</v>
      </c>
      <c r="P141" s="9"/>
      <c r="Q141" s="16"/>
      <c r="R141" s="12"/>
      <c r="S141" s="12"/>
      <c r="T141" s="12"/>
      <c r="U141" s="182" t="s">
        <v>116</v>
      </c>
      <c r="V141" s="183">
        <f>E142*EXP(-E138*(48-E140/T18))</f>
        <v>15.864095727206063</v>
      </c>
      <c r="Y141" s="214"/>
      <c r="Z141" s="212"/>
    </row>
    <row r="142" spans="1:29" ht="18">
      <c r="A142" s="4"/>
      <c r="B142" s="123"/>
      <c r="C142" s="142"/>
      <c r="D142" s="17" t="s">
        <v>128</v>
      </c>
      <c r="E142" s="87">
        <f>(E140*(1-EXP(-E138*E140/T18)))/((E138*E139*E140/T18)*(1-EXP(-E138*E141)))</f>
        <v>19.202844621719137</v>
      </c>
      <c r="F142" s="299" t="s">
        <v>5</v>
      </c>
      <c r="G142" s="9"/>
      <c r="H142" s="9"/>
      <c r="I142" s="17" t="s">
        <v>215</v>
      </c>
      <c r="J142" s="566">
        <f>(T142-T143)*24/LN(T142/T143)</f>
        <v>483.85898258401528</v>
      </c>
      <c r="K142" s="567"/>
      <c r="L142" s="78"/>
      <c r="M142" s="33" t="s">
        <v>27</v>
      </c>
      <c r="N142" s="116">
        <f>LN(N139/17.5)/N138</f>
        <v>7.7777272832999556</v>
      </c>
      <c r="O142" s="31" t="s">
        <v>4</v>
      </c>
      <c r="P142" s="9"/>
      <c r="Q142" s="16"/>
      <c r="R142" s="12"/>
      <c r="S142" s="172" t="s">
        <v>197</v>
      </c>
      <c r="T142" s="333">
        <f>J139*EXP(-J138*24)</f>
        <v>21.647193701480123</v>
      </c>
      <c r="U142" s="222" t="s">
        <v>119</v>
      </c>
      <c r="V142" s="183">
        <f>E142*EXP(-E138*(72-E140/T18))</f>
        <v>14.411960115636022</v>
      </c>
      <c r="Y142" s="214"/>
      <c r="Z142" s="212"/>
    </row>
    <row r="143" spans="1:29" s="276" customFormat="1" ht="20.25" customHeight="1" thickBot="1">
      <c r="A143" s="84"/>
      <c r="B143" s="273"/>
      <c r="C143" s="140"/>
      <c r="D143" s="60" t="s">
        <v>129</v>
      </c>
      <c r="E143" s="321">
        <f>ROUND(E142*EXP(-E138*(E141-E140/T18)),4)</f>
        <v>14.412000000000001</v>
      </c>
      <c r="F143" s="82" t="s">
        <v>5</v>
      </c>
      <c r="G143" s="402"/>
      <c r="H143" s="402"/>
      <c r="I143" s="36" t="s">
        <v>216</v>
      </c>
      <c r="J143" s="599">
        <f>(T143-T144)*24/LN(T143/T144)</f>
        <v>418.96756480789111</v>
      </c>
      <c r="K143" s="600"/>
      <c r="L143" s="267"/>
      <c r="M143" s="33" t="s">
        <v>28</v>
      </c>
      <c r="N143" s="118">
        <f>LN(N139/15)/N138</f>
        <v>10.002123817603827</v>
      </c>
      <c r="O143" s="31" t="s">
        <v>4</v>
      </c>
      <c r="P143" s="217"/>
      <c r="Q143" s="403"/>
      <c r="R143" s="177"/>
      <c r="S143" s="200" t="s">
        <v>198</v>
      </c>
      <c r="T143" s="334">
        <f>J139*EXP(-J138*48)</f>
        <v>18.74403980597603</v>
      </c>
      <c r="U143" s="177"/>
      <c r="V143" s="84"/>
      <c r="W143" s="404"/>
      <c r="X143" s="405"/>
      <c r="Y143" s="405"/>
      <c r="Z143" s="404"/>
      <c r="AA143" s="84"/>
      <c r="AB143" s="84"/>
      <c r="AC143" s="84"/>
    </row>
    <row r="144" spans="1:29" ht="18" customHeight="1">
      <c r="A144" s="4"/>
      <c r="B144" s="123"/>
      <c r="C144" s="140"/>
      <c r="D144" s="33" t="s">
        <v>145</v>
      </c>
      <c r="E144" s="380">
        <f>IF(AND(E141&lt;=24,J15="Empiric or 1 mg/L"),((E140/E141)*24/(E138*E139))/1,IF(AND(J15="0.5 mg/L",E141&lt;=24),((E140/E141)*24/(E138*E139))/0.5,IF(AND(J15="2.0 mg/L",E141&lt;=24),((E140/E141)*24/(E138*E139))/2,IF(AND(E141&gt;24,J15="Empiric or 1 mg/L"),(E142+E143)/2*(E140/T18)+((E142-V139)*(24-E140/T18))/LN(E142/V139),IF(AND(J15="0.5 mg/L",E141&gt;24),(E142+E143)/2*(E140/T18)+((E142-V139)*(24-E140/T18))/LN(E142/V139)/0.5,IF(AND(J15="2.0 mg/L",E141&gt;24),(E142+E143)/2*(E140/T18)+((E142-V139)*(24-E140/T18))/LN(E142/V139)/2))))))</f>
        <v>439.27622005994209</v>
      </c>
      <c r="F144" s="103"/>
      <c r="G144" s="50"/>
      <c r="H144" s="50"/>
      <c r="I144" s="78"/>
      <c r="J144" s="9"/>
      <c r="K144" s="9"/>
      <c r="L144" s="50"/>
      <c r="M144" s="17" t="s">
        <v>29</v>
      </c>
      <c r="N144" s="116">
        <f>LN(N139/12.5)/N138</f>
        <v>12.633026513043287</v>
      </c>
      <c r="O144" s="19" t="s">
        <v>4</v>
      </c>
      <c r="P144" s="9"/>
      <c r="Q144" s="16"/>
      <c r="R144" s="12"/>
      <c r="S144" s="172" t="s">
        <v>199</v>
      </c>
      <c r="T144" s="333">
        <f>J139*EXP(-J138*72)</f>
        <v>16.230234417128685</v>
      </c>
      <c r="U144" s="12"/>
      <c r="W144" s="212"/>
      <c r="X144" s="214"/>
      <c r="Y144" s="214"/>
      <c r="Z144" s="212"/>
    </row>
    <row r="145" spans="1:26" ht="16.5" customHeight="1" thickBot="1">
      <c r="A145" s="4"/>
      <c r="B145" s="123"/>
      <c r="C145" s="9"/>
      <c r="D145" s="258" t="s">
        <v>213</v>
      </c>
      <c r="E145" s="422">
        <f>IF(J15="Empiric or 1 mg/L",IF(E141=48,(V139-V141)*24/LN(V139/V141),IF(E141=36,(V138-V140)*24/LN(V138/V140),IF(E141=72,(V141-V142)*24/LN(V141/V142)))),IF(J15="0.5 mg/L",IF(E141=48,(V139-V141)*24/LN(V139/V141)/0.5,IF(E141=36,(V138-V140)*24/LN(V138/V140)/0.5,IF(E141=72,(V141-V142)*24/LN(V141/V142)/0.5))),IF(J15="2.0 mg/L",IF(E141=48,(V139-V141)*24/LN(V139/V141)/2,IF(E141=36,(V138-V140)*24/LN(V138/V140)/2,IF(E141=72,((V141-V142)*24/LN(V141/V142))/2))))))</f>
        <v>363.03390289251058</v>
      </c>
      <c r="F145" s="315"/>
      <c r="G145" s="9"/>
      <c r="H145" s="9"/>
      <c r="I145" s="9"/>
      <c r="J145" s="341"/>
      <c r="K145" s="341"/>
      <c r="L145" s="337"/>
      <c r="M145" s="23" t="s">
        <v>30</v>
      </c>
      <c r="N145" s="145">
        <f>LN(N139/10)/N138</f>
        <v>15.852991178472003</v>
      </c>
      <c r="O145" s="146" t="s">
        <v>4</v>
      </c>
      <c r="P145" s="9"/>
      <c r="Q145" s="16"/>
      <c r="R145" s="12"/>
      <c r="S145" s="12"/>
      <c r="T145" s="12"/>
      <c r="U145" s="12"/>
      <c r="W145" s="212"/>
      <c r="X145" s="214"/>
      <c r="Y145" s="214"/>
      <c r="Z145" s="212"/>
    </row>
    <row r="146" spans="1:26" ht="15" customHeight="1">
      <c r="A146" s="4"/>
      <c r="B146" s="123"/>
      <c r="C146" s="9"/>
      <c r="D146" s="9"/>
      <c r="E146" s="9"/>
      <c r="F146" s="9"/>
      <c r="G146" s="9"/>
      <c r="H146" s="9"/>
      <c r="I146" s="341"/>
      <c r="J146" s="341"/>
      <c r="K146" s="341"/>
      <c r="L146" s="337"/>
      <c r="M146" s="596"/>
      <c r="N146" s="596"/>
      <c r="O146" s="457"/>
      <c r="P146" s="9"/>
      <c r="Q146" s="16"/>
      <c r="R146" s="12"/>
      <c r="S146" s="12"/>
      <c r="T146" s="12"/>
      <c r="U146" s="12"/>
      <c r="W146" s="212"/>
      <c r="X146" s="214"/>
      <c r="Y146" s="214"/>
      <c r="Z146" s="212"/>
    </row>
    <row r="147" spans="1:26" ht="15.75" customHeight="1">
      <c r="A147" s="4"/>
      <c r="B147" s="123"/>
      <c r="C147" s="9"/>
      <c r="D147" s="572" t="str">
        <f>IF(J138="","","Calculating the AUC24 during elimination can be useful in the setting of very slow clearance.  The calculation assumes no additional doses are given.")</f>
        <v>Calculating the AUC24 during elimination can be useful in the setting of very slow clearance.  The calculation assumes no additional doses are given.</v>
      </c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9"/>
      <c r="Q147" s="16"/>
      <c r="R147" s="12"/>
      <c r="S147" s="12"/>
      <c r="T147" s="12"/>
      <c r="U147" s="12"/>
      <c r="W147" s="212"/>
      <c r="X147" s="214"/>
      <c r="Y147" s="214"/>
      <c r="Z147" s="212"/>
    </row>
    <row r="148" spans="1:26" s="4" customFormat="1" ht="15.75" customHeight="1" thickBot="1">
      <c r="B148" s="40"/>
      <c r="C148" s="41"/>
      <c r="D148" s="41"/>
      <c r="E148" s="41"/>
      <c r="F148" s="41"/>
      <c r="G148" s="41"/>
      <c r="H148" s="41"/>
      <c r="I148" s="461"/>
      <c r="J148" s="461"/>
      <c r="K148" s="461"/>
      <c r="L148" s="41"/>
      <c r="M148" s="41"/>
      <c r="N148" s="41"/>
      <c r="O148" s="41"/>
      <c r="P148" s="41"/>
      <c r="Q148" s="144"/>
      <c r="W148" s="212"/>
      <c r="X148" s="214"/>
      <c r="Y148" s="214"/>
      <c r="Z148" s="212"/>
    </row>
    <row r="149" spans="1:26" s="4" customFormat="1">
      <c r="M149" s="248"/>
      <c r="N149" s="250"/>
      <c r="S149" s="212"/>
      <c r="T149" s="213"/>
      <c r="U149" s="214"/>
      <c r="V149" s="212"/>
      <c r="W149" s="212"/>
      <c r="X149" s="214"/>
      <c r="Y149" s="214"/>
      <c r="Z149" s="151"/>
    </row>
    <row r="150" spans="1:26" s="4" customFormat="1">
      <c r="M150" s="248"/>
      <c r="N150" s="248"/>
      <c r="S150" s="212"/>
      <c r="T150" s="213"/>
      <c r="U150" s="214"/>
      <c r="V150" s="212"/>
      <c r="W150" s="212"/>
      <c r="X150" s="214"/>
      <c r="Y150" s="214"/>
      <c r="Z150" s="151"/>
    </row>
    <row r="151" spans="1:26" s="4" customFormat="1">
      <c r="D151" s="251"/>
      <c r="E151" s="252"/>
      <c r="F151" s="253"/>
      <c r="M151" s="248"/>
      <c r="N151" s="248"/>
      <c r="S151" s="212"/>
      <c r="T151" s="213"/>
      <c r="U151" s="214"/>
      <c r="V151" s="212"/>
      <c r="W151" s="212"/>
      <c r="X151" s="214"/>
      <c r="Y151" s="214"/>
      <c r="Z151" s="151"/>
    </row>
    <row r="152" spans="1:26" s="4" customFormat="1">
      <c r="D152" s="51"/>
      <c r="E152" s="254"/>
      <c r="F152" s="246"/>
      <c r="M152" s="248"/>
      <c r="N152" s="248"/>
      <c r="S152" s="212"/>
      <c r="T152" s="213"/>
      <c r="U152" s="214"/>
      <c r="V152" s="212"/>
      <c r="W152" s="212"/>
      <c r="X152" s="214"/>
      <c r="Y152" s="214"/>
      <c r="Z152" s="151"/>
    </row>
    <row r="153" spans="1:26" s="4" customFormat="1">
      <c r="D153" s="51"/>
      <c r="E153" s="255"/>
      <c r="F153" s="246"/>
      <c r="M153" s="248"/>
      <c r="N153" s="248"/>
      <c r="S153" s="212"/>
      <c r="T153" s="213"/>
      <c r="U153" s="214"/>
      <c r="V153" s="212"/>
      <c r="W153" s="212"/>
      <c r="X153" s="214"/>
      <c r="Y153" s="214"/>
      <c r="Z153" s="151"/>
    </row>
    <row r="154" spans="1:26" s="4" customFormat="1">
      <c r="D154" s="51"/>
      <c r="E154" s="254"/>
      <c r="F154" s="246"/>
      <c r="M154" s="248"/>
      <c r="N154" s="248"/>
      <c r="S154" s="212"/>
      <c r="T154" s="213"/>
      <c r="U154" s="214"/>
      <c r="V154" s="212"/>
      <c r="W154" s="212"/>
      <c r="X154" s="214"/>
      <c r="Y154" s="214"/>
      <c r="Z154" s="151"/>
    </row>
    <row r="155" spans="1:26" s="4" customFormat="1">
      <c r="M155" s="248"/>
      <c r="N155" s="248"/>
      <c r="S155" s="212"/>
      <c r="T155" s="213"/>
      <c r="U155" s="214"/>
      <c r="V155" s="212"/>
      <c r="W155" s="212"/>
      <c r="X155" s="214"/>
      <c r="Y155" s="214"/>
      <c r="Z155" s="151"/>
    </row>
    <row r="156" spans="1:26" s="4" customFormat="1">
      <c r="M156" s="249"/>
      <c r="N156" s="249"/>
      <c r="S156" s="212"/>
      <c r="T156" s="213"/>
      <c r="U156" s="214"/>
      <c r="V156" s="212"/>
      <c r="W156" s="212"/>
      <c r="X156" s="214"/>
      <c r="Y156" s="214"/>
      <c r="Z156" s="151"/>
    </row>
    <row r="157" spans="1:26" s="4" customFormat="1">
      <c r="M157" s="249"/>
      <c r="N157" s="249"/>
      <c r="S157" s="212"/>
      <c r="T157" s="213"/>
      <c r="U157" s="214"/>
      <c r="V157" s="212"/>
      <c r="W157" s="212"/>
      <c r="X157" s="214"/>
      <c r="Y157" s="214"/>
      <c r="Z157" s="151"/>
    </row>
    <row r="158" spans="1:26" s="4" customFormat="1">
      <c r="M158" s="249"/>
      <c r="N158" s="249"/>
      <c r="S158" s="212"/>
      <c r="T158" s="213"/>
      <c r="U158" s="214"/>
      <c r="V158" s="212"/>
      <c r="W158" s="212"/>
      <c r="X158" s="214"/>
      <c r="Y158" s="214"/>
      <c r="Z158" s="153"/>
    </row>
    <row r="159" spans="1:26" s="4" customFormat="1">
      <c r="M159" s="249"/>
      <c r="N159" s="249"/>
      <c r="S159" s="212"/>
      <c r="T159" s="213"/>
      <c r="U159" s="214"/>
      <c r="V159" s="215"/>
      <c r="W159" s="212"/>
      <c r="X159" s="214"/>
      <c r="Y159" s="214"/>
      <c r="Z159" s="151"/>
    </row>
    <row r="160" spans="1:26" s="4" customFormat="1">
      <c r="M160" s="249"/>
      <c r="N160" s="249"/>
      <c r="S160" s="212"/>
      <c r="T160" s="213"/>
      <c r="U160" s="214"/>
      <c r="V160" s="212"/>
      <c r="W160" s="212"/>
      <c r="X160" s="214"/>
      <c r="Y160" s="214"/>
      <c r="Z160" s="154"/>
    </row>
    <row r="161" spans="13:26" s="4" customFormat="1">
      <c r="M161" s="249"/>
      <c r="N161" s="249"/>
      <c r="S161" s="212"/>
      <c r="T161" s="213"/>
      <c r="U161" s="214"/>
      <c r="V161" s="212"/>
      <c r="W161" s="212"/>
      <c r="X161" s="214"/>
      <c r="Y161" s="214"/>
      <c r="Z161" s="151"/>
    </row>
    <row r="162" spans="13:26" s="4" customFormat="1">
      <c r="M162" s="247"/>
      <c r="N162" s="247"/>
      <c r="S162" s="212"/>
      <c r="T162" s="213"/>
      <c r="U162" s="214"/>
      <c r="V162" s="212"/>
      <c r="W162" s="212"/>
      <c r="X162" s="214"/>
      <c r="Y162" s="214"/>
      <c r="Z162" s="151"/>
    </row>
    <row r="163" spans="13:26" s="4" customFormat="1">
      <c r="M163" s="247"/>
      <c r="N163" s="247"/>
      <c r="S163" s="212"/>
      <c r="T163" s="213"/>
      <c r="U163" s="214"/>
      <c r="V163" s="212"/>
      <c r="W163" s="212"/>
      <c r="X163" s="214"/>
      <c r="Y163" s="214"/>
      <c r="Z163" s="151"/>
    </row>
    <row r="164" spans="13:26" s="4" customFormat="1">
      <c r="S164" s="212"/>
      <c r="T164" s="213"/>
      <c r="U164" s="214"/>
      <c r="V164" s="212"/>
      <c r="W164" s="212"/>
      <c r="X164" s="214"/>
      <c r="Y164" s="214"/>
      <c r="Z164" s="151"/>
    </row>
    <row r="165" spans="13:26" s="4" customFormat="1">
      <c r="S165" s="212"/>
      <c r="T165" s="213"/>
      <c r="U165" s="214"/>
      <c r="V165" s="212"/>
      <c r="W165" s="212"/>
      <c r="X165" s="214"/>
      <c r="Y165" s="214"/>
      <c r="Z165" s="151"/>
    </row>
    <row r="166" spans="13:26" s="4" customFormat="1">
      <c r="S166" s="212"/>
      <c r="T166" s="213"/>
      <c r="U166" s="214"/>
      <c r="V166" s="212"/>
      <c r="W166" s="212"/>
      <c r="X166" s="214"/>
      <c r="Y166" s="214"/>
      <c r="Z166" s="151"/>
    </row>
    <row r="167" spans="13:26" s="4" customFormat="1">
      <c r="S167" s="212"/>
      <c r="T167" s="213"/>
      <c r="U167" s="214"/>
      <c r="V167" s="212"/>
      <c r="W167" s="212"/>
      <c r="X167" s="214"/>
      <c r="Y167" s="214"/>
      <c r="Z167" s="151"/>
    </row>
    <row r="168" spans="13:26" s="4" customFormat="1">
      <c r="S168" s="212"/>
      <c r="T168" s="213"/>
      <c r="U168" s="214"/>
      <c r="V168" s="212"/>
      <c r="W168" s="212"/>
      <c r="X168" s="214"/>
      <c r="Y168" s="214"/>
      <c r="Z168" s="151"/>
    </row>
    <row r="169" spans="13:26" s="4" customFormat="1">
      <c r="S169" s="212"/>
      <c r="T169" s="213"/>
      <c r="U169" s="214"/>
      <c r="V169" s="212"/>
      <c r="W169" s="212"/>
      <c r="X169" s="214"/>
      <c r="Y169" s="214"/>
      <c r="Z169" s="151"/>
    </row>
    <row r="170" spans="13:26" s="4" customFormat="1">
      <c r="S170" s="212"/>
      <c r="T170" s="213"/>
      <c r="U170" s="214"/>
      <c r="V170" s="212"/>
      <c r="W170" s="212"/>
      <c r="X170" s="214"/>
      <c r="Y170" s="214"/>
      <c r="Z170" s="151"/>
    </row>
    <row r="171" spans="13:26" s="4" customFormat="1">
      <c r="S171" s="212"/>
      <c r="T171" s="213"/>
      <c r="U171" s="214"/>
      <c r="V171" s="214"/>
      <c r="W171" s="212"/>
      <c r="X171" s="214"/>
      <c r="Y171" s="214"/>
      <c r="Z171" s="151"/>
    </row>
    <row r="172" spans="13:26" s="4" customFormat="1">
      <c r="S172" s="212"/>
      <c r="T172" s="213"/>
      <c r="U172" s="214"/>
      <c r="V172" s="212"/>
      <c r="W172" s="212"/>
      <c r="X172" s="214"/>
      <c r="Y172" s="214"/>
      <c r="Z172" s="151"/>
    </row>
    <row r="173" spans="13:26" s="4" customFormat="1">
      <c r="S173" s="212"/>
      <c r="T173" s="213"/>
      <c r="U173" s="214"/>
      <c r="V173" s="212"/>
      <c r="W173" s="212"/>
      <c r="X173" s="214"/>
      <c r="Y173" s="214"/>
      <c r="Z173" s="151"/>
    </row>
    <row r="174" spans="13:26" s="4" customFormat="1">
      <c r="S174" s="212"/>
      <c r="T174" s="213"/>
      <c r="U174" s="214"/>
      <c r="V174" s="212"/>
      <c r="W174" s="212"/>
      <c r="X174" s="214"/>
      <c r="Y174" s="214"/>
      <c r="Z174" s="151"/>
    </row>
    <row r="175" spans="13:26" s="4" customFormat="1">
      <c r="S175" s="212"/>
      <c r="T175" s="213"/>
      <c r="U175" s="214"/>
      <c r="V175" s="212"/>
      <c r="W175" s="212"/>
      <c r="X175" s="214"/>
      <c r="Y175" s="214"/>
      <c r="Z175" s="151"/>
    </row>
    <row r="176" spans="13:26" s="4" customFormat="1">
      <c r="S176" s="212"/>
      <c r="T176" s="213"/>
      <c r="U176" s="214"/>
      <c r="V176" s="212"/>
      <c r="W176" s="212"/>
      <c r="X176" s="214"/>
      <c r="Y176" s="214"/>
      <c r="Z176" s="151"/>
    </row>
    <row r="177" spans="19:26" s="4" customFormat="1">
      <c r="S177" s="212"/>
      <c r="T177" s="213"/>
      <c r="U177" s="214"/>
      <c r="V177" s="212"/>
      <c r="W177" s="212"/>
      <c r="X177" s="214"/>
      <c r="Y177" s="214"/>
      <c r="Z177" s="151"/>
    </row>
    <row r="178" spans="19:26" s="4" customFormat="1">
      <c r="S178" s="212"/>
      <c r="T178" s="213"/>
      <c r="U178" s="214"/>
      <c r="V178" s="212"/>
      <c r="W178" s="212"/>
      <c r="X178" s="214"/>
      <c r="Y178" s="214"/>
      <c r="Z178" s="151"/>
    </row>
    <row r="179" spans="19:26" s="4" customFormat="1">
      <c r="S179" s="212"/>
      <c r="T179" s="213"/>
      <c r="U179" s="214"/>
      <c r="V179" s="212"/>
      <c r="W179" s="212"/>
      <c r="X179" s="214"/>
      <c r="Y179" s="214"/>
      <c r="Z179" s="151"/>
    </row>
    <row r="180" spans="19:26" s="4" customFormat="1">
      <c r="S180" s="212"/>
      <c r="T180" s="213"/>
      <c r="U180" s="214"/>
      <c r="V180" s="212"/>
      <c r="W180" s="212"/>
      <c r="X180" s="214"/>
      <c r="Y180" s="214"/>
      <c r="Z180" s="151"/>
    </row>
    <row r="181" spans="19:26" s="4" customFormat="1">
      <c r="S181" s="212"/>
      <c r="T181" s="213"/>
      <c r="U181" s="214"/>
      <c r="V181" s="214"/>
      <c r="W181" s="212"/>
      <c r="X181" s="214"/>
      <c r="Y181" s="214"/>
      <c r="Z181" s="151"/>
    </row>
    <row r="182" spans="19:26" s="4" customFormat="1">
      <c r="S182" s="212"/>
      <c r="T182" s="213"/>
      <c r="U182" s="214"/>
      <c r="V182" s="212"/>
      <c r="W182" s="212"/>
      <c r="X182" s="214"/>
      <c r="Y182" s="214"/>
      <c r="Z182" s="151"/>
    </row>
    <row r="183" spans="19:26" s="4" customFormat="1">
      <c r="S183" s="212"/>
      <c r="T183" s="213"/>
      <c r="U183" s="214"/>
      <c r="V183" s="215"/>
      <c r="W183" s="212"/>
      <c r="X183" s="214"/>
      <c r="Y183" s="214"/>
      <c r="Z183" s="151"/>
    </row>
    <row r="184" spans="19:26" s="4" customFormat="1">
      <c r="S184" s="212"/>
      <c r="T184" s="213"/>
      <c r="U184" s="214"/>
      <c r="V184" s="212"/>
      <c r="W184" s="212"/>
      <c r="X184" s="214"/>
      <c r="Y184" s="214"/>
      <c r="Z184" s="154"/>
    </row>
    <row r="185" spans="19:26" s="4" customFormat="1">
      <c r="S185" s="212"/>
      <c r="T185" s="213"/>
      <c r="U185" s="214"/>
      <c r="V185" s="212"/>
      <c r="X185" s="242"/>
      <c r="Y185" s="242"/>
    </row>
    <row r="186" spans="19:26" s="4" customFormat="1">
      <c r="S186" s="212"/>
      <c r="T186" s="213"/>
      <c r="U186" s="214"/>
      <c r="V186" s="212"/>
      <c r="X186" s="242"/>
      <c r="Y186" s="242"/>
    </row>
    <row r="187" spans="19:26" s="4" customFormat="1">
      <c r="S187" s="212"/>
      <c r="T187" s="213"/>
      <c r="U187" s="214"/>
      <c r="V187" s="212"/>
      <c r="X187" s="242"/>
      <c r="Y187" s="242"/>
    </row>
    <row r="188" spans="19:26" s="4" customFormat="1">
      <c r="S188" s="212"/>
      <c r="T188" s="213"/>
      <c r="U188" s="214"/>
      <c r="V188" s="212"/>
      <c r="X188" s="242"/>
      <c r="Y188" s="242"/>
    </row>
    <row r="189" spans="19:26" s="4" customFormat="1">
      <c r="S189" s="212"/>
      <c r="T189" s="213"/>
      <c r="U189" s="214"/>
      <c r="V189" s="212"/>
      <c r="X189" s="242"/>
      <c r="Y189" s="242"/>
    </row>
    <row r="190" spans="19:26" s="4" customFormat="1">
      <c r="S190" s="212"/>
      <c r="T190" s="213"/>
      <c r="U190" s="214"/>
      <c r="V190" s="212"/>
      <c r="X190" s="242"/>
      <c r="Y190" s="242"/>
    </row>
    <row r="191" spans="19:26" s="4" customFormat="1">
      <c r="S191" s="212"/>
      <c r="T191" s="213"/>
      <c r="U191" s="214"/>
      <c r="V191" s="212"/>
      <c r="X191" s="242"/>
      <c r="Y191" s="242"/>
    </row>
    <row r="192" spans="19:26" s="4" customFormat="1">
      <c r="S192" s="151"/>
      <c r="T192" s="152"/>
      <c r="U192" s="153"/>
      <c r="V192" s="151"/>
      <c r="X192" s="242"/>
      <c r="Y192" s="242"/>
    </row>
    <row r="193" spans="19:25" s="4" customFormat="1">
      <c r="S193" s="151"/>
      <c r="T193" s="152"/>
      <c r="U193" s="153"/>
      <c r="V193" s="151"/>
      <c r="X193" s="242"/>
      <c r="Y193" s="242"/>
    </row>
    <row r="194" spans="19:25" s="4" customFormat="1">
      <c r="S194" s="151"/>
      <c r="T194" s="152"/>
      <c r="U194" s="153"/>
      <c r="V194" s="151"/>
      <c r="X194" s="242"/>
      <c r="Y194" s="242"/>
    </row>
    <row r="195" spans="19:25" s="4" customFormat="1">
      <c r="S195" s="151"/>
      <c r="T195" s="152"/>
      <c r="U195" s="153"/>
      <c r="V195" s="151"/>
      <c r="X195" s="242"/>
      <c r="Y195" s="242"/>
    </row>
    <row r="196" spans="19:25" s="4" customFormat="1">
      <c r="S196" s="151"/>
      <c r="T196" s="152"/>
      <c r="U196" s="153"/>
      <c r="V196" s="151"/>
      <c r="X196" s="242"/>
      <c r="Y196" s="242"/>
    </row>
    <row r="197" spans="19:25" s="4" customFormat="1">
      <c r="S197" s="151"/>
      <c r="T197" s="152"/>
      <c r="U197" s="153"/>
      <c r="V197" s="151"/>
      <c r="X197" s="242"/>
      <c r="Y197" s="242"/>
    </row>
    <row r="198" spans="19:25" s="4" customFormat="1">
      <c r="S198" s="151"/>
      <c r="T198" s="152"/>
      <c r="U198" s="153"/>
      <c r="V198" s="151"/>
      <c r="X198" s="242"/>
      <c r="Y198" s="242"/>
    </row>
    <row r="199" spans="19:25" s="4" customFormat="1">
      <c r="S199" s="151"/>
      <c r="T199" s="152"/>
      <c r="U199" s="153"/>
      <c r="V199" s="151"/>
      <c r="X199" s="242"/>
      <c r="Y199" s="242"/>
    </row>
    <row r="200" spans="19:25" s="4" customFormat="1">
      <c r="S200" s="151"/>
      <c r="T200" s="152"/>
      <c r="U200" s="153"/>
      <c r="V200" s="151"/>
      <c r="X200" s="242"/>
      <c r="Y200" s="242"/>
    </row>
    <row r="201" spans="19:25" s="4" customFormat="1">
      <c r="S201" s="151"/>
      <c r="T201" s="152"/>
      <c r="U201" s="153"/>
      <c r="V201" s="151"/>
      <c r="X201" s="242"/>
      <c r="Y201" s="242"/>
    </row>
    <row r="202" spans="19:25" s="4" customFormat="1">
      <c r="S202" s="151"/>
      <c r="T202" s="152"/>
      <c r="U202" s="153"/>
      <c r="V202" s="151"/>
      <c r="X202" s="242"/>
      <c r="Y202" s="242"/>
    </row>
    <row r="203" spans="19:25" s="4" customFormat="1">
      <c r="S203" s="151"/>
      <c r="T203" s="152"/>
      <c r="U203" s="153"/>
      <c r="V203" s="151"/>
      <c r="X203" s="242"/>
      <c r="Y203" s="242"/>
    </row>
    <row r="204" spans="19:25" s="4" customFormat="1">
      <c r="S204" s="151"/>
      <c r="T204" s="152"/>
      <c r="U204" s="153"/>
      <c r="V204" s="151"/>
      <c r="X204" s="242"/>
      <c r="Y204" s="242"/>
    </row>
    <row r="205" spans="19:25" s="4" customFormat="1">
      <c r="S205" s="151"/>
      <c r="T205" s="152"/>
      <c r="U205" s="153"/>
      <c r="V205" s="151"/>
      <c r="X205" s="242"/>
      <c r="Y205" s="242"/>
    </row>
    <row r="206" spans="19:25" s="4" customFormat="1">
      <c r="S206" s="151"/>
      <c r="T206" s="152"/>
      <c r="U206" s="153"/>
      <c r="V206" s="151"/>
      <c r="X206" s="242"/>
      <c r="Y206" s="242"/>
    </row>
    <row r="207" spans="19:25" s="4" customFormat="1">
      <c r="S207" s="151"/>
      <c r="T207" s="152"/>
      <c r="U207" s="153"/>
      <c r="V207" s="154"/>
      <c r="X207" s="242"/>
      <c r="Y207" s="242"/>
    </row>
    <row r="208" spans="19:25" s="4" customFormat="1">
      <c r="X208" s="242"/>
      <c r="Y208" s="242"/>
    </row>
    <row r="209" spans="24:25" s="4" customFormat="1">
      <c r="X209" s="242"/>
      <c r="Y209" s="242"/>
    </row>
    <row r="210" spans="24:25" s="4" customFormat="1">
      <c r="X210" s="242"/>
      <c r="Y210" s="242"/>
    </row>
    <row r="211" spans="24:25" s="4" customFormat="1">
      <c r="X211" s="242"/>
      <c r="Y211" s="242"/>
    </row>
    <row r="212" spans="24:25" s="4" customFormat="1">
      <c r="X212" s="242"/>
      <c r="Y212" s="242"/>
    </row>
    <row r="213" spans="24:25" s="4" customFormat="1">
      <c r="X213" s="242"/>
      <c r="Y213" s="242"/>
    </row>
    <row r="214" spans="24:25" s="4" customFormat="1">
      <c r="X214" s="242"/>
      <c r="Y214" s="242"/>
    </row>
    <row r="215" spans="24:25" s="4" customFormat="1">
      <c r="X215" s="242"/>
      <c r="Y215" s="242"/>
    </row>
    <row r="216" spans="24:25" s="4" customFormat="1">
      <c r="X216" s="242"/>
      <c r="Y216" s="242"/>
    </row>
    <row r="217" spans="24:25" s="4" customFormat="1">
      <c r="X217" s="242"/>
      <c r="Y217" s="242"/>
    </row>
    <row r="218" spans="24:25" s="4" customFormat="1">
      <c r="X218" s="242"/>
      <c r="Y218" s="242"/>
    </row>
    <row r="219" spans="24:25" s="4" customFormat="1">
      <c r="X219" s="242"/>
      <c r="Y219" s="242"/>
    </row>
    <row r="220" spans="24:25" s="4" customFormat="1">
      <c r="X220" s="242"/>
      <c r="Y220" s="242"/>
    </row>
    <row r="221" spans="24:25" s="4" customFormat="1">
      <c r="X221" s="242"/>
      <c r="Y221" s="242"/>
    </row>
    <row r="222" spans="24:25" s="4" customFormat="1">
      <c r="X222" s="242"/>
      <c r="Y222" s="242"/>
    </row>
    <row r="223" spans="24:25" s="4" customFormat="1">
      <c r="X223" s="242"/>
      <c r="Y223" s="242"/>
    </row>
    <row r="224" spans="24:25" s="4" customFormat="1">
      <c r="X224" s="242"/>
      <c r="Y224" s="242"/>
    </row>
    <row r="225" spans="24:25" s="4" customFormat="1">
      <c r="X225" s="242"/>
      <c r="Y225" s="242"/>
    </row>
    <row r="226" spans="24:25" s="4" customFormat="1">
      <c r="X226" s="242"/>
      <c r="Y226" s="242"/>
    </row>
    <row r="227" spans="24:25" s="4" customFormat="1">
      <c r="X227" s="242"/>
      <c r="Y227" s="242"/>
    </row>
    <row r="228" spans="24:25" s="4" customFormat="1">
      <c r="X228" s="242"/>
      <c r="Y228" s="242"/>
    </row>
    <row r="229" spans="24:25" s="4" customFormat="1">
      <c r="X229" s="242"/>
      <c r="Y229" s="242"/>
    </row>
    <row r="230" spans="24:25" s="4" customFormat="1">
      <c r="X230" s="242"/>
      <c r="Y230" s="242"/>
    </row>
    <row r="231" spans="24:25" s="4" customFormat="1">
      <c r="X231" s="242"/>
      <c r="Y231" s="242"/>
    </row>
    <row r="232" spans="24:25" s="4" customFormat="1">
      <c r="X232" s="242"/>
      <c r="Y232" s="242"/>
    </row>
    <row r="233" spans="24:25" s="4" customFormat="1">
      <c r="X233" s="242"/>
      <c r="Y233" s="242"/>
    </row>
    <row r="234" spans="24:25" s="4" customFormat="1">
      <c r="X234" s="242"/>
      <c r="Y234" s="242"/>
    </row>
    <row r="235" spans="24:25" s="4" customFormat="1">
      <c r="X235" s="242"/>
      <c r="Y235" s="242"/>
    </row>
    <row r="236" spans="24:25" s="4" customFormat="1">
      <c r="X236" s="242"/>
      <c r="Y236" s="242"/>
    </row>
    <row r="237" spans="24:25" s="4" customFormat="1">
      <c r="X237" s="242"/>
      <c r="Y237" s="242"/>
    </row>
    <row r="238" spans="24:25" s="4" customFormat="1">
      <c r="X238" s="242"/>
      <c r="Y238" s="242"/>
    </row>
    <row r="239" spans="24:25" s="4" customFormat="1">
      <c r="X239" s="242"/>
      <c r="Y239" s="242"/>
    </row>
    <row r="240" spans="24:25" s="4" customFormat="1">
      <c r="X240" s="242"/>
      <c r="Y240" s="242"/>
    </row>
    <row r="241" spans="13:29" s="4" customFormat="1">
      <c r="X241" s="242"/>
      <c r="Y241" s="242"/>
    </row>
    <row r="242" spans="13:29" s="4" customFormat="1">
      <c r="X242" s="242"/>
      <c r="Y242" s="242"/>
    </row>
    <row r="243" spans="13:29" s="4" customFormat="1">
      <c r="X243" s="242"/>
      <c r="Y243" s="242"/>
    </row>
    <row r="244" spans="13:29" s="4" customFormat="1">
      <c r="X244" s="242"/>
      <c r="Y244" s="242"/>
    </row>
    <row r="245" spans="13:29" s="4" customFormat="1">
      <c r="X245" s="242"/>
      <c r="Y245" s="242"/>
    </row>
    <row r="246" spans="13:29" s="4" customFormat="1">
      <c r="X246" s="242"/>
      <c r="Y246" s="242"/>
    </row>
    <row r="247" spans="13:29" s="4" customFormat="1">
      <c r="X247" s="242"/>
      <c r="Y247" s="242"/>
    </row>
    <row r="248" spans="13:29" s="4" customFormat="1">
      <c r="X248" s="242"/>
      <c r="Y248" s="242"/>
    </row>
    <row r="249" spans="13:29" s="4" customFormat="1">
      <c r="X249" s="242"/>
      <c r="Y249" s="242"/>
    </row>
    <row r="250" spans="13:29" s="4" customFormat="1">
      <c r="X250" s="242"/>
      <c r="Y250" s="242"/>
    </row>
    <row r="251" spans="13:29" s="4" customFormat="1">
      <c r="X251" s="242"/>
      <c r="Y251" s="242"/>
    </row>
    <row r="252" spans="13:29" s="4" customFormat="1">
      <c r="X252" s="242"/>
      <c r="Y252" s="242"/>
    </row>
    <row r="253" spans="13:29" s="4" customFormat="1">
      <c r="X253" s="242"/>
      <c r="Y253" s="242"/>
    </row>
    <row r="254" spans="13:29" s="4" customFormat="1">
      <c r="M254" s="52"/>
      <c r="N254" s="52"/>
      <c r="O254" s="52"/>
      <c r="X254" s="242"/>
      <c r="Y254" s="242"/>
    </row>
    <row r="255" spans="13:29" s="52" customFormat="1">
      <c r="M255" s="5"/>
      <c r="N255" s="5"/>
      <c r="P255" s="4"/>
      <c r="Q255" s="4"/>
      <c r="R255" s="4"/>
      <c r="S255" s="4"/>
      <c r="T255" s="4"/>
      <c r="U255" s="4"/>
      <c r="V255" s="4"/>
      <c r="W255" s="4"/>
      <c r="X255" s="242"/>
      <c r="Y255" s="242"/>
      <c r="Z255" s="4"/>
      <c r="AA255" s="4"/>
      <c r="AB255" s="4"/>
      <c r="AC255" s="4"/>
    </row>
  </sheetData>
  <sheetProtection selectLockedCells="1"/>
  <mergeCells count="92">
    <mergeCell ref="D147:O147"/>
    <mergeCell ref="J14:K14"/>
    <mergeCell ref="D37:O37"/>
    <mergeCell ref="D38:O38"/>
    <mergeCell ref="K33:L33"/>
    <mergeCell ref="M24:P24"/>
    <mergeCell ref="J15:K15"/>
    <mergeCell ref="E17:F17"/>
    <mergeCell ref="D24:F24"/>
    <mergeCell ref="J16:K16"/>
    <mergeCell ref="D57:P57"/>
    <mergeCell ref="D131:N131"/>
    <mergeCell ref="D80:O80"/>
    <mergeCell ref="F98:O98"/>
    <mergeCell ref="D102:O102"/>
    <mergeCell ref="N32:P33"/>
    <mergeCell ref="D99:O99"/>
    <mergeCell ref="D101:O101"/>
    <mergeCell ref="D116:O116"/>
    <mergeCell ref="D100:O100"/>
    <mergeCell ref="D104:P104"/>
    <mergeCell ref="V1:Y1"/>
    <mergeCell ref="D10:O10"/>
    <mergeCell ref="D12:F12"/>
    <mergeCell ref="I12:K12"/>
    <mergeCell ref="V2:W2"/>
    <mergeCell ref="X2:Y2"/>
    <mergeCell ref="E7:N7"/>
    <mergeCell ref="M146:N146"/>
    <mergeCell ref="N113:O113"/>
    <mergeCell ref="M105:P105"/>
    <mergeCell ref="D120:K120"/>
    <mergeCell ref="M121:N121"/>
    <mergeCell ref="J142:K142"/>
    <mergeCell ref="J143:K143"/>
    <mergeCell ref="D117:O117"/>
    <mergeCell ref="N140:O140"/>
    <mergeCell ref="D115:O115"/>
    <mergeCell ref="D114:O114"/>
    <mergeCell ref="D132:N132"/>
    <mergeCell ref="D121:F121"/>
    <mergeCell ref="I121:K121"/>
    <mergeCell ref="D105:F105"/>
    <mergeCell ref="D135:O135"/>
    <mergeCell ref="I137:K137"/>
    <mergeCell ref="I68:K68"/>
    <mergeCell ref="D65:O65"/>
    <mergeCell ref="D85:O85"/>
    <mergeCell ref="I105:K105"/>
    <mergeCell ref="D137:F137"/>
    <mergeCell ref="M137:O137"/>
    <mergeCell ref="D97:O97"/>
    <mergeCell ref="D87:P87"/>
    <mergeCell ref="D88:F88"/>
    <mergeCell ref="D68:F68"/>
    <mergeCell ref="M68:P68"/>
    <mergeCell ref="K77:L77"/>
    <mergeCell ref="I88:K88"/>
    <mergeCell ref="M88:P88"/>
    <mergeCell ref="D79:O79"/>
    <mergeCell ref="D84:O84"/>
    <mergeCell ref="J141:K141"/>
    <mergeCell ref="J140:K140"/>
    <mergeCell ref="D83:O83"/>
    <mergeCell ref="K19:L19"/>
    <mergeCell ref="D60:P60"/>
    <mergeCell ref="I47:K47"/>
    <mergeCell ref="D47:F47"/>
    <mergeCell ref="D58:P58"/>
    <mergeCell ref="M47:P47"/>
    <mergeCell ref="D46:O46"/>
    <mergeCell ref="D36:O36"/>
    <mergeCell ref="D40:O40"/>
    <mergeCell ref="D41:O41"/>
    <mergeCell ref="D42:O42"/>
    <mergeCell ref="D39:O39"/>
    <mergeCell ref="H24:K24"/>
    <mergeCell ref="H25:I25"/>
    <mergeCell ref="I26:K26"/>
    <mergeCell ref="H30:I30"/>
    <mergeCell ref="H31:I31"/>
    <mergeCell ref="D81:O81"/>
    <mergeCell ref="D82:O82"/>
    <mergeCell ref="D69:F69"/>
    <mergeCell ref="I75:K75"/>
    <mergeCell ref="D43:O43"/>
    <mergeCell ref="D61:P61"/>
    <mergeCell ref="D63:P63"/>
    <mergeCell ref="D35:O35"/>
    <mergeCell ref="D56:P56"/>
    <mergeCell ref="D59:P59"/>
    <mergeCell ref="D62:P62"/>
  </mergeCells>
  <conditionalFormatting sqref="E139">
    <cfRule type="expression" dxfId="24" priority="55">
      <formula>$D$138="iv bolus equation"</formula>
    </cfRule>
  </conditionalFormatting>
  <conditionalFormatting sqref="E142">
    <cfRule type="expression" dxfId="23" priority="54">
      <formula>$D$138="iv bolus equation"</formula>
    </cfRule>
  </conditionalFormatting>
  <conditionalFormatting sqref="N30">
    <cfRule type="expression" dxfId="22" priority="64">
      <formula>$N$26&lt;=24</formula>
    </cfRule>
  </conditionalFormatting>
  <conditionalFormatting sqref="J30">
    <cfRule type="expression" dxfId="21" priority="41">
      <formula>IF($J$25=0,$J$25=0)</formula>
    </cfRule>
  </conditionalFormatting>
  <conditionalFormatting sqref="J31">
    <cfRule type="expression" dxfId="20" priority="40">
      <formula>$J$30=""</formula>
    </cfRule>
  </conditionalFormatting>
  <conditionalFormatting sqref="O27">
    <cfRule type="expression" dxfId="19" priority="38">
      <formula>$O$25=""</formula>
    </cfRule>
  </conditionalFormatting>
  <conditionalFormatting sqref="O28">
    <cfRule type="expression" dxfId="18" priority="37">
      <formula>$O$25=""</formula>
    </cfRule>
  </conditionalFormatting>
  <conditionalFormatting sqref="O30">
    <cfRule type="expression" dxfId="17" priority="20">
      <formula>$O$26*1&lt;=24</formula>
    </cfRule>
  </conditionalFormatting>
  <conditionalFormatting sqref="N74">
    <cfRule type="expression" dxfId="16" priority="19">
      <formula>$N$70&lt;=24</formula>
    </cfRule>
  </conditionalFormatting>
  <conditionalFormatting sqref="E107">
    <cfRule type="expression" dxfId="15" priority="65">
      <formula>#REF!="Peak and trough after FIRST dose"</formula>
    </cfRule>
  </conditionalFormatting>
  <conditionalFormatting sqref="O74">
    <cfRule type="expression" dxfId="14" priority="17">
      <formula>$O$70*1&lt;=24</formula>
    </cfRule>
  </conditionalFormatting>
  <conditionalFormatting sqref="N53">
    <cfRule type="expression" dxfId="13" priority="16">
      <formula>$N$49&lt;=24</formula>
    </cfRule>
  </conditionalFormatting>
  <conditionalFormatting sqref="O53">
    <cfRule type="expression" dxfId="12" priority="15">
      <formula>$O$49*1&lt;=24</formula>
    </cfRule>
  </conditionalFormatting>
  <conditionalFormatting sqref="N94">
    <cfRule type="expression" dxfId="11" priority="14">
      <formula>$N$90&lt;=24</formula>
    </cfRule>
  </conditionalFormatting>
  <conditionalFormatting sqref="O94">
    <cfRule type="expression" dxfId="10" priority="13">
      <formula>$O$90*1&lt;=24</formula>
    </cfRule>
  </conditionalFormatting>
  <conditionalFormatting sqref="N111">
    <cfRule type="expression" dxfId="9" priority="10">
      <formula>$N$107&lt;=24</formula>
    </cfRule>
  </conditionalFormatting>
  <conditionalFormatting sqref="O111">
    <cfRule type="expression" dxfId="8" priority="9">
      <formula>$O$107*1&lt;=24</formula>
    </cfRule>
  </conditionalFormatting>
  <conditionalFormatting sqref="E145">
    <cfRule type="expression" dxfId="7" priority="8">
      <formula>$E$141&lt;=24</formula>
    </cfRule>
  </conditionalFormatting>
  <conditionalFormatting sqref="J129:J130">
    <cfRule type="expression" dxfId="6" priority="7">
      <formula>$J$126&lt;=24</formula>
    </cfRule>
  </conditionalFormatting>
  <conditionalFormatting sqref="J69">
    <cfRule type="expression" dxfId="5" priority="6">
      <formula>$D$69="Vd is known"</formula>
    </cfRule>
  </conditionalFormatting>
  <conditionalFormatting sqref="J72">
    <cfRule type="expression" dxfId="4" priority="5">
      <formula>$D$69="Ke is known"</formula>
    </cfRule>
  </conditionalFormatting>
  <conditionalFormatting sqref="H27:I27">
    <cfRule type="expression" dxfId="3" priority="4">
      <formula>$H$26&lt;$H$27</formula>
    </cfRule>
  </conditionalFormatting>
  <conditionalFormatting sqref="K27">
    <cfRule type="expression" dxfId="2" priority="3">
      <formula>$H$26&lt;$H$27</formula>
    </cfRule>
  </conditionalFormatting>
  <conditionalFormatting sqref="H28:K28">
    <cfRule type="expression" dxfId="1" priority="2">
      <formula>$H$26&lt;$H$28</formula>
    </cfRule>
  </conditionalFormatting>
  <conditionalFormatting sqref="H29:K29">
    <cfRule type="expression" dxfId="0" priority="1">
      <formula>$H$26&lt;$H$29</formula>
    </cfRule>
  </conditionalFormatting>
  <dataValidations disablePrompts="1" count="59">
    <dataValidation type="list" showInputMessage="1" showErrorMessage="1" sqref="E17">
      <formula1>Gender</formula1>
    </dataValidation>
    <dataValidation type="list" allowBlank="1" showInputMessage="1" showErrorMessage="1" sqref="F15">
      <formula1>inch</formula1>
    </dataValidation>
    <dataValidation type="list" allowBlank="1" showInputMessage="1" showErrorMessage="1" sqref="F14">
      <formula1>SCr</formula1>
    </dataValidation>
    <dataValidation type="list" allowBlank="1" showInputMessage="1" showErrorMessage="1" sqref="F16">
      <formula1>weight</formula1>
    </dataValidation>
    <dataValidation type="list" allowBlank="1" showInputMessage="1" showErrorMessage="1" sqref="J15">
      <formula1>MIC</formula1>
    </dataValidation>
    <dataValidation type="decimal" allowBlank="1" showInputMessage="1" showErrorMessage="1" error="Please enter a valid age (18- 110 yrs). " sqref="E13">
      <formula1>18</formula1>
      <formula2>110</formula2>
    </dataValidation>
    <dataValidation allowBlank="1" showInputMessage="1" showErrorMessage="1" error="Please enter a valid dosing interval (6- 96 hrs)." sqref="O107 O70 O49 O90"/>
    <dataValidation type="decimal" allowBlank="1" showInputMessage="1" showErrorMessage="1" error="Please enter a valid trough (5- 50 mcg/mL)." sqref="E110 E72">
      <formula1>5</formula1>
      <formula2>50</formula2>
    </dataValidation>
    <dataValidation allowBlank="1" showInputMessage="1" showErrorMessage="1" error="Please enter a valid dose (250- 2000 mg)._x000a_" sqref="O106 O69 O48 O89"/>
    <dataValidation type="custom" allowBlank="1" showInputMessage="1" showErrorMessage="1" error="Enter a weight of 29- 250 kg, or 64- 550 lbs" sqref="E16">
      <formula1>IF(OR(F16="kg"),IF(AND(E16&gt;=29,E16&lt;=250),E16,"Error"),IF(F16="lbs",IF(AND(E16&gt;=64,E16&lt;=550),E16,"Error"),"Error"))</formula1>
    </dataValidation>
    <dataValidation type="custom" allowBlank="1" showInputMessage="1" showErrorMessage="1" error="Please enter a valid height (54- 85 inch, or 137.16- 215.9 cm)." sqref="E15">
      <formula1>IF(OR(F15="inch"),IF(AND(E15&gt;=54,E15&lt;=85),E15,"Error"),IF(F15="cm",IF(AND(E15&gt;=137.16,E15&lt;=215.9),E15,"Error"),"Error"))</formula1>
    </dataValidation>
    <dataValidation type="custom" allowBlank="1" showInputMessage="1" showErrorMessage="1" error="Please enter a valid SCr (0.5- 10 mg/dL, or 44.2- 884 µmol/L)." sqref="E14">
      <formula1>IF(OR(F14="mg/dL"),IF(AND(E14&gt;=0.5,E14&lt;=10),E14,"Error"),IF(F14="µmol/L",IF(AND(E14&gt;=44.2,E14&lt;=884),E14,"Error"),"Error"))</formula1>
    </dataValidation>
    <dataValidation type="decimal" allowBlank="1" showInputMessage="1" showErrorMessage="1" error="Please enter a valid time (4- 96 hrs)." sqref="E111:E112">
      <formula1>4</formula1>
      <formula2>96</formula2>
    </dataValidation>
    <dataValidation type="decimal" allowBlank="1" showInputMessage="1" showErrorMessage="1" error="Enter a K between 0.003- 0.16" sqref="N138">
      <formula1>0.003</formula1>
      <formula2>0.16</formula2>
    </dataValidation>
    <dataValidation allowBlank="1" showInputMessage="1" showErrorMessage="1" error="Please enter a valid dose (250- 2000 mg). " sqref="O25"/>
    <dataValidation allowBlank="1" showInputMessage="1" showErrorMessage="1" error="Please enter a valid dosing interval (6- 96 hrs). " sqref="O26"/>
    <dataValidation errorStyle="information" allowBlank="1" showInputMessage="1" showErrorMessage="1" sqref="J110 J70"/>
    <dataValidation type="decimal" allowBlank="1" showInputMessage="1" showErrorMessage="1" error="Enter a level between 5- 70 mcg/mL" sqref="N139">
      <formula1>5</formula1>
      <formula2>70</formula2>
    </dataValidation>
    <dataValidation type="list" allowBlank="1" showInputMessage="1" showErrorMessage="1" sqref="E107">
      <formula1>interval2</formula1>
    </dataValidation>
    <dataValidation type="list" allowBlank="1" showInputMessage="1" showErrorMessage="1" sqref="F73:F74 F49 F51">
      <formula1>minutes1</formula1>
    </dataValidation>
    <dataValidation type="list" allowBlank="1" showInputMessage="1" showErrorMessage="1" sqref="E73:E74 E49 E51">
      <formula1>hours1</formula1>
    </dataValidation>
    <dataValidation type="list" allowBlank="1" showInputMessage="1" showErrorMessage="1" sqref="M17">
      <formula1>Off</formula1>
    </dataValidation>
    <dataValidation type="decimal" allowBlank="1" showInputMessage="1" showErrorMessage="1" error="IDMS slope must be between 1 to 1.5" sqref="J17">
      <formula1>1</formula1>
      <formula2>1.5</formula2>
    </dataValidation>
    <dataValidation allowBlank="1" showInputMessage="1" showErrorMessage="1" error="Please enter a valid V (21- 110 L)." sqref="J109 J92"/>
    <dataValidation type="whole" allowBlank="1" showInputMessage="1" showErrorMessage="1" error="Please enter a valid dose (250- 3000 mg)." sqref="E106 E89">
      <formula1>250</formula1>
      <formula2>3000</formula2>
    </dataValidation>
    <dataValidation type="decimal" allowBlank="1" showInputMessage="1" showErrorMessage="1" error="Enter a peak between 5-60 mcg/mL" sqref="E108 E90">
      <formula1>5</formula1>
      <formula2>60</formula2>
    </dataValidation>
    <dataValidation type="decimal" allowBlank="1" showInputMessage="1" showErrorMessage="1" error="Please enter a Vd of 20- 200 L." sqref="J69">
      <formula1>20</formula1>
      <formula2>200</formula2>
    </dataValidation>
    <dataValidation type="whole" allowBlank="1" showInputMessage="1" showErrorMessage="1" error="Enter a dose of 250- 3000mg" sqref="E70">
      <formula1>250</formula1>
      <formula2>3000</formula2>
    </dataValidation>
    <dataValidation type="list" allowBlank="1" showInputMessage="1" showErrorMessage="1" sqref="D74 D51">
      <formula1>timelevel</formula1>
    </dataValidation>
    <dataValidation allowBlank="1" showInputMessage="1" showErrorMessage="1" error="Please enter a valid time (4- 96 hrs)." sqref="E75"/>
    <dataValidation type="list" allowBlank="1" showInputMessage="1" showErrorMessage="1" sqref="J13">
      <formula1>infusion4</formula1>
    </dataValidation>
    <dataValidation type="list" showInputMessage="1" showErrorMessage="1" sqref="J14:K14">
      <formula1>GOAL9</formula1>
    </dataValidation>
    <dataValidation type="list" allowBlank="1" showInputMessage="1" showErrorMessage="1" sqref="J25">
      <formula1>dose12</formula1>
    </dataValidation>
    <dataValidation type="decimal" allowBlank="1" showInputMessage="1" showErrorMessage="1" error="Enter 0-72 hours" sqref="J30">
      <formula1>0</formula1>
      <formula2>72</formula2>
    </dataValidation>
    <dataValidation type="decimal" allowBlank="1" showInputMessage="1" showErrorMessage="1" error="Enter a value between 250 to 2000mg" sqref="J125">
      <formula1>250</formula1>
      <formula2>2000</formula2>
    </dataValidation>
    <dataValidation type="decimal" allowBlank="1" showInputMessage="1" showErrorMessage="1" error="Enter a Ke value between 0.002 to 0.014 hr-1. " sqref="E123">
      <formula1>0.002</formula1>
      <formula2>0.014</formula2>
    </dataValidation>
    <dataValidation type="decimal" allowBlank="1" showInputMessage="1" showErrorMessage="1" error="Enter a percent removal of 10-25%" sqref="J123">
      <formula1>10</formula1>
      <formula2>25</formula2>
    </dataValidation>
    <dataValidation type="decimal" allowBlank="1" showInputMessage="1" showErrorMessage="1" error="Value must be between 0 to 0.2" sqref="M17">
      <formula1>0</formula1>
      <formula2>0.2</formula2>
    </dataValidation>
    <dataValidation allowBlank="1" showInputMessage="1" showErrorMessage="1" error="The level must be drawn between 60-1080 minutes after the end of infusion." sqref="T52"/>
    <dataValidation type="whole" allowBlank="1" showInputMessage="1" showErrorMessage="1" error="Enter a dose between 250-3000mg." sqref="E48">
      <formula1>250</formula1>
      <formula2>3000</formula2>
    </dataValidation>
    <dataValidation type="list" allowBlank="1" showInputMessage="1" showErrorMessage="1" error="Please enter a valid dosing interval (6- 96 hours)." sqref="E71">
      <formula1>interval2</formula1>
    </dataValidation>
    <dataValidation type="decimal" allowBlank="1" showInputMessage="1" showErrorMessage="1" error="Enter 0-72 hours_x000a_" sqref="J51 J93">
      <formula1>0</formula1>
      <formula2>72</formula2>
    </dataValidation>
    <dataValidation type="list" allowBlank="1" showInputMessage="1" showErrorMessage="1" sqref="J16:K16">
      <formula1>ampu9</formula1>
    </dataValidation>
    <dataValidation allowBlank="1" showInputMessage="1" showErrorMessage="1" error="Peak must be drawn at least 1 hour after the end of infusion to avoid alpha distribution phase" sqref="T92"/>
    <dataValidation type="decimal" allowBlank="1" showInputMessage="1" showErrorMessage="1" error="Please enter a valid trough (5- 50 mcg/mL)." sqref="E92">
      <formula1>5</formula1>
      <formula2>40</formula2>
    </dataValidation>
    <dataValidation type="decimal" allowBlank="1" showInputMessage="1" showErrorMessage="1" error="Enter a Vd of 20- 200 L. " sqref="E27">
      <formula1>20</formula1>
      <formula2>200</formula2>
    </dataValidation>
    <dataValidation type="list" allowBlank="1" showInputMessage="1" showErrorMessage="1" sqref="D69:F69">
      <formula1>empiric</formula1>
    </dataValidation>
    <dataValidation type="decimal" allowBlank="1" showInputMessage="1" showErrorMessage="1" error="Enter a Ke between 0.002- 0.15 hr-1. " sqref="J72">
      <formula1>0.002</formula1>
      <formula2>0.15</formula2>
    </dataValidation>
    <dataValidation type="decimal" allowBlank="1" showInputMessage="1" showErrorMessage="1" error="IDMS Y-intercept must be between 0 to 0.2" sqref="L17">
      <formula1>0</formula1>
      <formula2>0.2</formula2>
    </dataValidation>
    <dataValidation type="decimal" allowBlank="1" showInputMessage="1" showErrorMessage="1" error="Enter a dose between 250 to 2000mg" sqref="E124">
      <formula1>250</formula1>
      <formula2>2000</formula2>
    </dataValidation>
    <dataValidation type="custom" allowBlank="1" showInputMessage="1" showErrorMessage="1" error="The first level should be drawn at least 30-60 minutes after the end of infusion. " sqref="E91">
      <formula1>IF(E91&lt;(0.5+E89/T18),"error",IF(E91&gt;=(0.5+E89/T18),E91))</formula1>
    </dataValidation>
    <dataValidation type="custom" allowBlank="1" showInputMessage="1" showErrorMessage="1" error="The peak must be drawn at least 0.5 hours after the end of infusion." sqref="E109">
      <formula1>IF(E109&lt;(0.5+E106/T18),"error",IF(E109&gt;=(0.5+E106/T18),E109))</formula1>
    </dataValidation>
    <dataValidation type="decimal" allowBlank="1" showInputMessage="1" showErrorMessage="1" error="Enter a Ke beteen 0.003-0.16 hr-1. " sqref="J138">
      <formula1>0.003</formula1>
      <formula2>0.16</formula2>
    </dataValidation>
    <dataValidation type="decimal" allowBlank="1" showInputMessage="1" showErrorMessage="1" error="Enter a level of 5-70 mcg/mL" sqref="J139">
      <formula1>5</formula1>
      <formula2>70</formula2>
    </dataValidation>
    <dataValidation type="decimal" allowBlank="1" showInputMessage="1" showErrorMessage="1" error="Enter a Vd between 20-120 L" sqref="E122">
      <formula1>20</formula1>
      <formula2>120</formula2>
    </dataValidation>
    <dataValidation type="decimal" allowBlank="1" showInputMessage="1" showErrorMessage="1" error="Enter a V between 20-200 L" sqref="E139">
      <formula1>20</formula1>
      <formula2>200</formula2>
    </dataValidation>
    <dataValidation type="decimal" allowBlank="1" showInputMessage="1" showErrorMessage="1" error="Enter a K between 0.003- 0.16" sqref="E138">
      <formula1>0.003</formula1>
      <formula2>0.16</formula2>
    </dataValidation>
    <dataValidation type="decimal" allowBlank="1" showInputMessage="1" showErrorMessage="1" error="Enter a level beteen 5- 40 mcg/mL" sqref="J122">
      <formula1>5</formula1>
      <formula2>40</formula2>
    </dataValidation>
    <dataValidation type="decimal" allowBlank="1" showInputMessage="1" showErrorMessage="1" error="Enter between 0- 120 hours" sqref="J126">
      <formula1>0</formula1>
      <formula2>120</formula2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12" workbookViewId="0">
      <selection activeCell="J31" sqref="J31"/>
    </sheetView>
  </sheetViews>
  <sheetFormatPr baseColWidth="10" defaultColWidth="8.83203125" defaultRowHeight="14" x14ac:dyDescent="0"/>
  <cols>
    <col min="3" max="3" width="13.33203125" bestFit="1" customWidth="1"/>
    <col min="5" max="5" width="19.33203125" customWidth="1"/>
    <col min="7" max="7" width="8.83203125" style="1"/>
  </cols>
  <sheetData>
    <row r="1" spans="1:15">
      <c r="A1" t="s">
        <v>14</v>
      </c>
      <c r="K1" t="s">
        <v>70</v>
      </c>
    </row>
    <row r="2" spans="1:15">
      <c r="A2" t="s">
        <v>0</v>
      </c>
      <c r="C2" t="s">
        <v>17</v>
      </c>
      <c r="E2" t="s">
        <v>21</v>
      </c>
      <c r="G2" s="1">
        <v>500</v>
      </c>
      <c r="H2">
        <v>8</v>
      </c>
      <c r="K2" t="s">
        <v>69</v>
      </c>
    </row>
    <row r="3" spans="1:15">
      <c r="C3" t="s">
        <v>167</v>
      </c>
      <c r="E3" t="s">
        <v>22</v>
      </c>
      <c r="G3" s="1">
        <v>750</v>
      </c>
      <c r="H3">
        <v>12</v>
      </c>
    </row>
    <row r="4" spans="1:15">
      <c r="C4" t="s">
        <v>168</v>
      </c>
      <c r="G4" s="1">
        <v>1000</v>
      </c>
      <c r="H4">
        <v>18</v>
      </c>
    </row>
    <row r="5" spans="1:15">
      <c r="C5" t="s">
        <v>169</v>
      </c>
      <c r="G5" s="1">
        <v>1250</v>
      </c>
      <c r="H5">
        <v>24</v>
      </c>
      <c r="J5" t="s">
        <v>74</v>
      </c>
      <c r="O5" t="s">
        <v>165</v>
      </c>
    </row>
    <row r="6" spans="1:15">
      <c r="C6" t="s">
        <v>170</v>
      </c>
      <c r="G6" s="1">
        <v>1500</v>
      </c>
      <c r="H6">
        <v>36</v>
      </c>
      <c r="J6" t="s">
        <v>75</v>
      </c>
      <c r="O6" t="s">
        <v>171</v>
      </c>
    </row>
    <row r="7" spans="1:15">
      <c r="B7" t="s">
        <v>7</v>
      </c>
      <c r="C7" t="s">
        <v>16</v>
      </c>
      <c r="G7" s="1">
        <v>1750</v>
      </c>
      <c r="H7">
        <v>48</v>
      </c>
      <c r="O7" t="s">
        <v>172</v>
      </c>
    </row>
    <row r="8" spans="1:15">
      <c r="B8" s="2" t="s">
        <v>23</v>
      </c>
      <c r="H8">
        <v>72</v>
      </c>
      <c r="O8" t="s">
        <v>173</v>
      </c>
    </row>
    <row r="9" spans="1:15">
      <c r="C9" t="s">
        <v>8</v>
      </c>
      <c r="E9" t="s">
        <v>33</v>
      </c>
    </row>
    <row r="10" spans="1:15">
      <c r="C10" t="s">
        <v>25</v>
      </c>
      <c r="E10" t="s">
        <v>34</v>
      </c>
      <c r="G10" s="1">
        <v>250</v>
      </c>
      <c r="J10" t="s">
        <v>221</v>
      </c>
      <c r="O10" t="s">
        <v>45</v>
      </c>
    </row>
    <row r="11" spans="1:15">
      <c r="E11" t="s">
        <v>35</v>
      </c>
      <c r="G11" s="1">
        <v>500</v>
      </c>
      <c r="J11" t="s">
        <v>222</v>
      </c>
      <c r="O11" t="s">
        <v>46</v>
      </c>
    </row>
    <row r="12" spans="1:15">
      <c r="G12" s="1">
        <v>750</v>
      </c>
      <c r="J12" t="s">
        <v>223</v>
      </c>
      <c r="O12" t="s">
        <v>47</v>
      </c>
    </row>
    <row r="13" spans="1:15">
      <c r="C13" t="s">
        <v>36</v>
      </c>
      <c r="G13" s="1">
        <v>1000</v>
      </c>
      <c r="H13" t="s">
        <v>4</v>
      </c>
      <c r="J13" t="s">
        <v>224</v>
      </c>
      <c r="O13" t="s">
        <v>48</v>
      </c>
    </row>
    <row r="14" spans="1:15">
      <c r="C14" t="s">
        <v>37</v>
      </c>
      <c r="G14" s="1">
        <v>1250</v>
      </c>
      <c r="H14" t="s">
        <v>38</v>
      </c>
    </row>
    <row r="15" spans="1:15" ht="28">
      <c r="E15" s="3" t="s">
        <v>43</v>
      </c>
      <c r="G15" s="1">
        <v>1500</v>
      </c>
    </row>
    <row r="16" spans="1:15" ht="28">
      <c r="E16" s="3" t="s">
        <v>44</v>
      </c>
      <c r="G16" s="1">
        <v>1750</v>
      </c>
    </row>
    <row r="17" spans="2:17">
      <c r="B17">
        <v>0</v>
      </c>
      <c r="G17" s="1">
        <v>2000</v>
      </c>
      <c r="J17">
        <v>0</v>
      </c>
      <c r="K17" s="124" t="s">
        <v>51</v>
      </c>
      <c r="M17" t="s">
        <v>78</v>
      </c>
      <c r="Q17">
        <v>0</v>
      </c>
    </row>
    <row r="18" spans="2:17">
      <c r="B18">
        <v>750</v>
      </c>
      <c r="J18">
        <v>1</v>
      </c>
      <c r="K18" s="124" t="s">
        <v>52</v>
      </c>
      <c r="M18" t="s">
        <v>79</v>
      </c>
      <c r="Q18">
        <v>1</v>
      </c>
    </row>
    <row r="19" spans="2:17">
      <c r="B19">
        <v>1000</v>
      </c>
      <c r="J19">
        <v>2</v>
      </c>
      <c r="K19">
        <v>10</v>
      </c>
      <c r="Q19">
        <v>2</v>
      </c>
    </row>
    <row r="20" spans="2:17">
      <c r="B20">
        <v>1250</v>
      </c>
      <c r="J20">
        <v>3</v>
      </c>
      <c r="K20">
        <v>15</v>
      </c>
      <c r="M20" t="s">
        <v>174</v>
      </c>
      <c r="Q20">
        <v>3</v>
      </c>
    </row>
    <row r="21" spans="2:17">
      <c r="B21">
        <v>1500</v>
      </c>
      <c r="E21" t="s">
        <v>64</v>
      </c>
      <c r="J21">
        <v>4</v>
      </c>
      <c r="K21">
        <v>20</v>
      </c>
      <c r="M21" t="s">
        <v>175</v>
      </c>
      <c r="Q21">
        <v>4</v>
      </c>
    </row>
    <row r="22" spans="2:17">
      <c r="B22">
        <v>1750</v>
      </c>
      <c r="E22" t="s">
        <v>65</v>
      </c>
      <c r="J22">
        <v>5</v>
      </c>
      <c r="K22">
        <v>25</v>
      </c>
      <c r="M22" t="s">
        <v>176</v>
      </c>
      <c r="Q22">
        <v>5</v>
      </c>
    </row>
    <row r="23" spans="2:17">
      <c r="B23">
        <v>2000</v>
      </c>
      <c r="J23">
        <v>6</v>
      </c>
      <c r="K23">
        <v>30</v>
      </c>
      <c r="M23" t="s">
        <v>177</v>
      </c>
      <c r="Q23">
        <v>6</v>
      </c>
    </row>
    <row r="24" spans="2:17">
      <c r="B24">
        <v>2500</v>
      </c>
      <c r="D24" t="s">
        <v>83</v>
      </c>
      <c r="G24" s="1" t="s">
        <v>122</v>
      </c>
      <c r="J24">
        <v>7</v>
      </c>
      <c r="K24">
        <v>35</v>
      </c>
      <c r="Q24">
        <v>7</v>
      </c>
    </row>
    <row r="25" spans="2:17">
      <c r="B25">
        <v>3000</v>
      </c>
      <c r="D25" t="s">
        <v>111</v>
      </c>
      <c r="G25" s="1" t="s">
        <v>123</v>
      </c>
      <c r="J25">
        <v>8</v>
      </c>
      <c r="K25">
        <v>40</v>
      </c>
      <c r="M25" t="s">
        <v>179</v>
      </c>
      <c r="Q25">
        <v>8</v>
      </c>
    </row>
    <row r="26" spans="2:17">
      <c r="G26" s="1" t="s">
        <v>124</v>
      </c>
      <c r="J26">
        <v>9</v>
      </c>
      <c r="K26">
        <v>45</v>
      </c>
      <c r="M26" t="s">
        <v>180</v>
      </c>
      <c r="Q26">
        <v>9</v>
      </c>
    </row>
    <row r="27" spans="2:17">
      <c r="D27" t="s">
        <v>112</v>
      </c>
      <c r="J27">
        <v>10</v>
      </c>
      <c r="K27">
        <v>50</v>
      </c>
      <c r="M27" t="s">
        <v>181</v>
      </c>
      <c r="Q27">
        <v>10</v>
      </c>
    </row>
    <row r="28" spans="2:17">
      <c r="D28" t="s">
        <v>113</v>
      </c>
      <c r="J28">
        <v>11</v>
      </c>
      <c r="K28">
        <v>55</v>
      </c>
      <c r="M28" t="s">
        <v>182</v>
      </c>
      <c r="Q28">
        <v>11</v>
      </c>
    </row>
    <row r="29" spans="2:17">
      <c r="J29">
        <v>12</v>
      </c>
      <c r="Q29">
        <v>12</v>
      </c>
    </row>
    <row r="30" spans="2:17">
      <c r="B30" t="s">
        <v>134</v>
      </c>
      <c r="G30" s="1" t="s">
        <v>117</v>
      </c>
      <c r="J30">
        <v>13</v>
      </c>
      <c r="Q30">
        <v>13</v>
      </c>
    </row>
    <row r="31" spans="2:17">
      <c r="B31" t="s">
        <v>135</v>
      </c>
      <c r="G31" s="1" t="s">
        <v>118</v>
      </c>
      <c r="J31">
        <v>14</v>
      </c>
      <c r="M31" t="s">
        <v>26</v>
      </c>
      <c r="Q31">
        <v>14</v>
      </c>
    </row>
    <row r="32" spans="2:17">
      <c r="J32">
        <v>15</v>
      </c>
      <c r="M32" t="s">
        <v>27</v>
      </c>
      <c r="Q32">
        <v>15</v>
      </c>
    </row>
    <row r="33" spans="2:17">
      <c r="B33" t="s">
        <v>136</v>
      </c>
      <c r="J33">
        <v>16</v>
      </c>
      <c r="M33" t="s">
        <v>28</v>
      </c>
      <c r="Q33">
        <v>16</v>
      </c>
    </row>
    <row r="34" spans="2:17">
      <c r="B34" t="s">
        <v>137</v>
      </c>
      <c r="J34">
        <v>17</v>
      </c>
      <c r="M34" t="s">
        <v>29</v>
      </c>
      <c r="Q34">
        <v>17</v>
      </c>
    </row>
    <row r="35" spans="2:17">
      <c r="E35" t="s">
        <v>140</v>
      </c>
      <c r="F35">
        <v>250</v>
      </c>
      <c r="J35">
        <v>18</v>
      </c>
      <c r="M35" t="s">
        <v>30</v>
      </c>
      <c r="Q35">
        <v>18</v>
      </c>
    </row>
    <row r="36" spans="2:17">
      <c r="B36">
        <v>1000</v>
      </c>
      <c r="E36" t="s">
        <v>141</v>
      </c>
      <c r="F36">
        <v>500</v>
      </c>
      <c r="J36">
        <v>19</v>
      </c>
      <c r="Q36">
        <v>19</v>
      </c>
    </row>
    <row r="37" spans="2:17">
      <c r="B37">
        <v>900</v>
      </c>
      <c r="E37" t="s">
        <v>142</v>
      </c>
      <c r="F37">
        <v>750</v>
      </c>
      <c r="J37">
        <v>20</v>
      </c>
      <c r="M37" t="s">
        <v>189</v>
      </c>
      <c r="Q37">
        <v>20</v>
      </c>
    </row>
    <row r="38" spans="2:17">
      <c r="B38">
        <v>800</v>
      </c>
      <c r="E38" t="s">
        <v>143</v>
      </c>
      <c r="F38">
        <v>1000</v>
      </c>
      <c r="J38">
        <v>21</v>
      </c>
      <c r="M38" t="s">
        <v>190</v>
      </c>
      <c r="Q38">
        <v>21</v>
      </c>
    </row>
    <row r="39" spans="2:17">
      <c r="B39">
        <v>700</v>
      </c>
      <c r="F39">
        <v>1250</v>
      </c>
      <c r="J39">
        <v>22</v>
      </c>
      <c r="Q39">
        <v>22</v>
      </c>
    </row>
    <row r="40" spans="2:17">
      <c r="B40">
        <v>600</v>
      </c>
      <c r="F40">
        <v>1500</v>
      </c>
      <c r="J40">
        <v>23</v>
      </c>
      <c r="Q40">
        <v>23</v>
      </c>
    </row>
    <row r="41" spans="2:17">
      <c r="B41">
        <v>500</v>
      </c>
      <c r="F41">
        <v>1750</v>
      </c>
      <c r="Q41">
        <v>24</v>
      </c>
    </row>
    <row r="42" spans="2:17">
      <c r="B42">
        <v>400</v>
      </c>
      <c r="E42" t="s">
        <v>203</v>
      </c>
      <c r="M42" t="s">
        <v>191</v>
      </c>
      <c r="Q42">
        <v>25</v>
      </c>
    </row>
    <row r="43" spans="2:17">
      <c r="B43">
        <v>300</v>
      </c>
      <c r="E43" t="s">
        <v>217</v>
      </c>
      <c r="H43" t="s">
        <v>230</v>
      </c>
      <c r="M43" t="s">
        <v>193</v>
      </c>
      <c r="Q43">
        <v>26</v>
      </c>
    </row>
    <row r="44" spans="2:17">
      <c r="E44" t="s">
        <v>205</v>
      </c>
      <c r="H44" t="s">
        <v>228</v>
      </c>
      <c r="M44" t="s">
        <v>192</v>
      </c>
      <c r="Q44">
        <v>27</v>
      </c>
    </row>
    <row r="45" spans="2:17">
      <c r="E45" t="s">
        <v>218</v>
      </c>
      <c r="H45" t="s">
        <v>229</v>
      </c>
      <c r="Q45">
        <v>28</v>
      </c>
    </row>
    <row r="46" spans="2:17">
      <c r="E46" t="s">
        <v>204</v>
      </c>
      <c r="Q46">
        <v>29</v>
      </c>
    </row>
    <row r="47" spans="2:17">
      <c r="E47" t="s">
        <v>206</v>
      </c>
      <c r="Q47">
        <v>30</v>
      </c>
    </row>
    <row r="48" spans="2:17">
      <c r="E48" t="s">
        <v>207</v>
      </c>
      <c r="Q48">
        <v>31</v>
      </c>
    </row>
    <row r="49" spans="5:17">
      <c r="E49" t="s">
        <v>208</v>
      </c>
      <c r="Q49">
        <v>32</v>
      </c>
    </row>
    <row r="50" spans="5:17">
      <c r="E50" t="s">
        <v>209</v>
      </c>
      <c r="Q50">
        <v>33</v>
      </c>
    </row>
    <row r="51" spans="5:17">
      <c r="E51" t="s">
        <v>210</v>
      </c>
      <c r="Q51">
        <v>34</v>
      </c>
    </row>
    <row r="52" spans="5:17">
      <c r="E52" t="s">
        <v>211</v>
      </c>
      <c r="Q52">
        <v>35</v>
      </c>
    </row>
    <row r="53" spans="5:17">
      <c r="Q53">
        <v>36</v>
      </c>
    </row>
    <row r="54" spans="5:17">
      <c r="Q54">
        <v>37</v>
      </c>
    </row>
    <row r="55" spans="5:17">
      <c r="Q55">
        <v>38</v>
      </c>
    </row>
    <row r="56" spans="5:17">
      <c r="Q56">
        <v>39</v>
      </c>
    </row>
    <row r="57" spans="5:17">
      <c r="Q57">
        <v>40</v>
      </c>
    </row>
    <row r="58" spans="5:17">
      <c r="Q58">
        <v>41</v>
      </c>
    </row>
    <row r="59" spans="5:17">
      <c r="Q59">
        <v>42</v>
      </c>
    </row>
    <row r="60" spans="5:17">
      <c r="Q60">
        <v>43</v>
      </c>
    </row>
    <row r="61" spans="5:17">
      <c r="Q61">
        <v>44</v>
      </c>
    </row>
    <row r="62" spans="5:17">
      <c r="Q62">
        <v>45</v>
      </c>
    </row>
    <row r="63" spans="5:17">
      <c r="Q63">
        <v>46</v>
      </c>
    </row>
    <row r="64" spans="5:17">
      <c r="Q64">
        <v>47</v>
      </c>
    </row>
    <row r="65" spans="17:17">
      <c r="Q65">
        <v>48</v>
      </c>
    </row>
  </sheetData>
  <pageMargins left="0.7" right="0.7" top="0.75" bottom="0.75" header="0.3" footer="0.3"/>
  <pageSetup orientation="portrait"/>
  <ignoredErrors>
    <ignoredError sqref="K17:K1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>
      <selection activeCell="C7" sqref="C7"/>
    </sheetView>
  </sheetViews>
  <sheetFormatPr baseColWidth="10" defaultColWidth="8.83203125" defaultRowHeight="14" x14ac:dyDescent="0"/>
  <cols>
    <col min="2" max="2" width="17.83203125" bestFit="1" customWidth="1"/>
    <col min="6" max="6" width="10.5" customWidth="1"/>
    <col min="7" max="7" width="10.1640625" customWidth="1"/>
  </cols>
  <sheetData>
    <row r="1" spans="2:14">
      <c r="E1" t="s">
        <v>97</v>
      </c>
      <c r="F1" t="s">
        <v>98</v>
      </c>
      <c r="G1" t="s">
        <v>100</v>
      </c>
      <c r="H1" t="s">
        <v>101</v>
      </c>
    </row>
    <row r="2" spans="2:14">
      <c r="E2">
        <v>0</v>
      </c>
      <c r="F2">
        <v>20.9</v>
      </c>
    </row>
    <row r="3" spans="2:14">
      <c r="B3" s="129" t="s">
        <v>2</v>
      </c>
      <c r="C3" s="130">
        <v>5.1999999999999998E-2</v>
      </c>
      <c r="E3">
        <v>1</v>
      </c>
      <c r="F3" s="128">
        <f>F2*(EXP(-C3))</f>
        <v>19.840973317016388</v>
      </c>
      <c r="G3" s="127">
        <f>(F2+F3)/2</f>
        <v>20.370486658508192</v>
      </c>
    </row>
    <row r="4" spans="2:14">
      <c r="B4" s="129" t="s">
        <v>1</v>
      </c>
      <c r="C4" s="130">
        <v>44</v>
      </c>
      <c r="E4">
        <v>2</v>
      </c>
      <c r="F4" s="128">
        <f>F3*(EXP(-C3))</f>
        <v>18.835608716103174</v>
      </c>
      <c r="G4" s="127">
        <f>(F3+F4)/2</f>
        <v>19.338291016559779</v>
      </c>
      <c r="N4" t="s">
        <v>105</v>
      </c>
    </row>
    <row r="5" spans="2:14">
      <c r="B5" s="129" t="s">
        <v>18</v>
      </c>
      <c r="C5" s="130">
        <v>1000</v>
      </c>
      <c r="E5">
        <v>3</v>
      </c>
      <c r="F5" s="128">
        <f>F4*(EXP(-C3))</f>
        <v>17.88118707875428</v>
      </c>
      <c r="G5" s="127">
        <f t="shared" ref="G5:G67" si="0">(F4+F5)/2</f>
        <v>18.358397897428727</v>
      </c>
      <c r="N5" t="s">
        <v>106</v>
      </c>
    </row>
    <row r="6" spans="2:14">
      <c r="B6" s="129" t="s">
        <v>99</v>
      </c>
      <c r="C6" s="130"/>
      <c r="E6">
        <v>4</v>
      </c>
      <c r="F6" s="128">
        <f>F5*(EXP(-C3))</f>
        <v>16.975127067279519</v>
      </c>
      <c r="G6" s="127">
        <f t="shared" si="0"/>
        <v>17.428157073016898</v>
      </c>
    </row>
    <row r="7" spans="2:14">
      <c r="B7" s="129" t="s">
        <v>32</v>
      </c>
      <c r="C7" s="130"/>
      <c r="E7">
        <v>5</v>
      </c>
      <c r="F7" s="128">
        <f>F6*(EXP(-C3))</f>
        <v>16.114978143294529</v>
      </c>
      <c r="G7" s="127">
        <f t="shared" si="0"/>
        <v>16.545052605287026</v>
      </c>
    </row>
    <row r="8" spans="2:14">
      <c r="E8">
        <v>6</v>
      </c>
      <c r="F8" s="128">
        <f>F7*(EXP(-C3))</f>
        <v>15.298413939971727</v>
      </c>
      <c r="G8" s="127">
        <f t="shared" si="0"/>
        <v>15.706696041633128</v>
      </c>
    </row>
    <row r="9" spans="2:14">
      <c r="E9">
        <v>7</v>
      </c>
      <c r="F9" s="128">
        <f>F8*(EXP(-C3))</f>
        <v>14.523225970126825</v>
      </c>
      <c r="G9" s="127">
        <f t="shared" si="0"/>
        <v>14.910819955049277</v>
      </c>
    </row>
    <row r="10" spans="2:14">
      <c r="E10">
        <v>8</v>
      </c>
      <c r="F10" s="128">
        <f>F9*(EXP(-C3))</f>
        <v>13.787317653123724</v>
      </c>
      <c r="G10" s="127">
        <f t="shared" si="0"/>
        <v>14.155271811625274</v>
      </c>
    </row>
    <row r="11" spans="2:14">
      <c r="E11">
        <v>9</v>
      </c>
      <c r="F11" s="128">
        <f>F10*(EXP(-C3))</f>
        <v>13.088698644442912</v>
      </c>
      <c r="G11" s="127">
        <f t="shared" si="0"/>
        <v>13.438008148783318</v>
      </c>
    </row>
    <row r="12" spans="2:14">
      <c r="E12">
        <v>10</v>
      </c>
      <c r="F12" s="128">
        <f>F11*(EXP(-C3))</f>
        <v>12.425479452577054</v>
      </c>
      <c r="G12" s="127">
        <f t="shared" si="0"/>
        <v>12.757089048509982</v>
      </c>
    </row>
    <row r="13" spans="2:14">
      <c r="E13">
        <v>11</v>
      </c>
      <c r="F13" s="128">
        <f>F12*(EXP(-C3))</f>
        <v>11.795866328694583</v>
      </c>
      <c r="G13" s="127">
        <f t="shared" si="0"/>
        <v>12.110672890635819</v>
      </c>
    </row>
    <row r="14" spans="2:14">
      <c r="E14">
        <v>12</v>
      </c>
      <c r="F14" s="128">
        <f>F13*(EXP(-C3))</f>
        <v>11.198156415249823</v>
      </c>
      <c r="G14" s="127">
        <f t="shared" si="0"/>
        <v>11.497011371972203</v>
      </c>
    </row>
    <row r="15" spans="2:14">
      <c r="E15">
        <v>13</v>
      </c>
      <c r="F15" s="128">
        <f>F14*(EXP(-C3))</f>
        <v>10.630733140418549</v>
      </c>
      <c r="G15" s="127">
        <f t="shared" si="0"/>
        <v>10.914444777834186</v>
      </c>
    </row>
    <row r="16" spans="2:14">
      <c r="E16">
        <v>14</v>
      </c>
      <c r="F16" s="128">
        <f>F15*(EXP(-C3))</f>
        <v>10.092061845902693</v>
      </c>
      <c r="G16" s="127">
        <f t="shared" si="0"/>
        <v>10.36139749316062</v>
      </c>
    </row>
    <row r="17" spans="5:9">
      <c r="E17">
        <v>15</v>
      </c>
      <c r="F17" s="128">
        <f>F16*(EXP(-C17))</f>
        <v>10.092061845902693</v>
      </c>
      <c r="G17" s="127">
        <f t="shared" si="0"/>
        <v>10.092061845902693</v>
      </c>
    </row>
    <row r="18" spans="5:9">
      <c r="E18">
        <v>16</v>
      </c>
      <c r="F18" s="128">
        <f>F17*(EXP(-C3))</f>
        <v>9.5806856362791635</v>
      </c>
      <c r="G18" s="127">
        <f t="shared" si="0"/>
        <v>9.8363737410909273</v>
      </c>
    </row>
    <row r="19" spans="5:9">
      <c r="E19">
        <v>17</v>
      </c>
      <c r="F19" s="128">
        <f>F18*(EXP(-C3))</f>
        <v>9.0952214386668455</v>
      </c>
      <c r="G19" s="127">
        <f t="shared" si="0"/>
        <v>9.3379535374730054</v>
      </c>
    </row>
    <row r="20" spans="5:9">
      <c r="E20">
        <v>18</v>
      </c>
      <c r="F20" s="128">
        <f>F19*(EXP(-C3))</f>
        <v>8.6343562620547516</v>
      </c>
      <c r="G20" s="127">
        <f t="shared" si="0"/>
        <v>8.8647888503607994</v>
      </c>
    </row>
    <row r="21" spans="5:9">
      <c r="E21">
        <v>19</v>
      </c>
      <c r="F21" s="128">
        <f>F20*(EXP(-C3))</f>
        <v>8.1968436461742442</v>
      </c>
      <c r="G21" s="127">
        <f t="shared" si="0"/>
        <v>8.4155999541144979</v>
      </c>
    </row>
    <row r="22" spans="5:9">
      <c r="E22">
        <v>20</v>
      </c>
      <c r="F22" s="128">
        <f>F21*(EXP(-C3))</f>
        <v>7.7815002903109338</v>
      </c>
      <c r="G22" s="127">
        <f t="shared" si="0"/>
        <v>7.989171968242589</v>
      </c>
    </row>
    <row r="23" spans="5:9">
      <c r="E23">
        <v>21</v>
      </c>
      <c r="F23" s="128">
        <f>F22*(EXP(-C3))</f>
        <v>7.3872028529384943</v>
      </c>
      <c r="G23" s="127">
        <f t="shared" si="0"/>
        <v>7.5843515716247136</v>
      </c>
    </row>
    <row r="24" spans="5:9">
      <c r="E24">
        <v>22</v>
      </c>
      <c r="F24" s="128">
        <f>F23*(EXP(-C3))</f>
        <v>7.0128849135186613</v>
      </c>
      <c r="G24" s="127">
        <f t="shared" si="0"/>
        <v>7.2000438832285774</v>
      </c>
    </row>
    <row r="25" spans="5:9">
      <c r="E25">
        <v>23</v>
      </c>
      <c r="F25" s="128">
        <f>F24*(EXP(-C3))</f>
        <v>6.6575340882502658</v>
      </c>
      <c r="G25" s="127">
        <f t="shared" si="0"/>
        <v>6.8352095008844636</v>
      </c>
    </row>
    <row r="26" spans="5:9">
      <c r="E26">
        <v>24</v>
      </c>
      <c r="F26" s="128">
        <f>F25*(EXP(-C3))</f>
        <v>6.3201892919665346</v>
      </c>
      <c r="G26" s="127">
        <f t="shared" si="0"/>
        <v>6.4888616901084006</v>
      </c>
      <c r="H26" s="131">
        <f>SUM(G3:G26)</f>
        <v>290.53621333303511</v>
      </c>
      <c r="I26" t="s">
        <v>102</v>
      </c>
    </row>
    <row r="27" spans="5:9">
      <c r="E27">
        <v>25</v>
      </c>
      <c r="F27" s="128">
        <f>F26*(EXP(-C3))</f>
        <v>5.9999381387751543</v>
      </c>
      <c r="G27" s="127">
        <f>(F26+F27)/2</f>
        <v>6.1600637153708444</v>
      </c>
    </row>
    <row r="28" spans="5:9">
      <c r="E28">
        <v>26</v>
      </c>
      <c r="F28" s="128">
        <f>F27*(EXP(-C3))</f>
        <v>5.695914474410853</v>
      </c>
      <c r="G28" s="127">
        <f>(F27+F28)/2</f>
        <v>5.8479263065930036</v>
      </c>
    </row>
    <row r="29" spans="5:9">
      <c r="E29">
        <v>27</v>
      </c>
      <c r="F29" s="128">
        <f>F28*(EXP(-C3))</f>
        <v>5.4072960336264675</v>
      </c>
      <c r="G29" s="127">
        <f>(F28+F29)/2</f>
        <v>5.5516052540186607</v>
      </c>
    </row>
    <row r="30" spans="5:9">
      <c r="E30">
        <v>28</v>
      </c>
      <c r="F30" s="128">
        <f>F29*(EXP(-C3))</f>
        <v>5.1333022162866655</v>
      </c>
      <c r="G30" s="127">
        <f t="shared" si="0"/>
        <v>5.2702991249565665</v>
      </c>
    </row>
    <row r="31" spans="5:9">
      <c r="E31">
        <v>29</v>
      </c>
      <c r="F31" s="128">
        <f>F30*(EXP(-C3))</f>
        <v>4.8731919761495135</v>
      </c>
      <c r="G31" s="127">
        <f t="shared" si="0"/>
        <v>5.0032470962180895</v>
      </c>
    </row>
    <row r="32" spans="5:9">
      <c r="E32">
        <v>30</v>
      </c>
      <c r="F32" s="128">
        <f>F31*(EXP(-C3))</f>
        <v>4.6262618166258793</v>
      </c>
      <c r="G32" s="127">
        <f t="shared" si="0"/>
        <v>4.7497268963876964</v>
      </c>
    </row>
    <row r="33" spans="5:8">
      <c r="E33">
        <v>31</v>
      </c>
      <c r="F33" s="128">
        <f>F32*(EXP(-C3))</f>
        <v>4.3918438880959734</v>
      </c>
      <c r="G33" s="127">
        <f t="shared" si="0"/>
        <v>4.5090528523609263</v>
      </c>
    </row>
    <row r="34" spans="5:8">
      <c r="E34">
        <v>32</v>
      </c>
      <c r="F34" s="128">
        <f>F33*(EXP(-C3))</f>
        <v>4.1693041816370204</v>
      </c>
      <c r="G34" s="127">
        <f t="shared" si="0"/>
        <v>4.2805740348664969</v>
      </c>
    </row>
    <row r="35" spans="5:8">
      <c r="E35">
        <v>33</v>
      </c>
      <c r="F35" s="128">
        <f>F34*(EXP(-C3))</f>
        <v>3.9580408142767936</v>
      </c>
      <c r="G35" s="127">
        <f t="shared" si="0"/>
        <v>4.0636724979569072</v>
      </c>
    </row>
    <row r="36" spans="5:8">
      <c r="E36">
        <v>34</v>
      </c>
      <c r="F36" s="128">
        <f>F35*(EXP(-C3))</f>
        <v>3.7574824011352961</v>
      </c>
      <c r="G36" s="127">
        <f t="shared" si="0"/>
        <v>3.8577616077060446</v>
      </c>
    </row>
    <row r="37" spans="5:8">
      <c r="E37">
        <v>35</v>
      </c>
      <c r="F37" s="128">
        <f>F36*(EXP(-C3))</f>
        <v>3.5670865100518703</v>
      </c>
      <c r="G37" s="127">
        <f t="shared" si="0"/>
        <v>3.662284455593583</v>
      </c>
    </row>
    <row r="38" spans="5:8">
      <c r="E38">
        <v>36</v>
      </c>
      <c r="F38" s="128">
        <f>F37*(EXP(-C3))</f>
        <v>3.3863381945180997</v>
      </c>
      <c r="G38" s="127">
        <f t="shared" si="0"/>
        <v>3.4767123522849852</v>
      </c>
      <c r="H38" s="127"/>
    </row>
    <row r="39" spans="5:8">
      <c r="E39">
        <v>37</v>
      </c>
      <c r="F39" s="128">
        <f>F38*(EXP(-C3))</f>
        <v>3.2147486009486639</v>
      </c>
      <c r="G39" s="127">
        <f t="shared" si="0"/>
        <v>3.3005433977333816</v>
      </c>
    </row>
    <row r="40" spans="5:8">
      <c r="E40">
        <v>38</v>
      </c>
      <c r="F40" s="128">
        <f>F39*(EXP(-C3))</f>
        <v>3.0518536465233597</v>
      </c>
      <c r="G40" s="127">
        <f t="shared" si="0"/>
        <v>3.133301123736012</v>
      </c>
    </row>
    <row r="41" spans="5:8">
      <c r="E41">
        <v>39</v>
      </c>
      <c r="F41" s="128">
        <f>F40*(EXP(-C3))</f>
        <v>2.8972127640243612</v>
      </c>
      <c r="G41" s="127">
        <f t="shared" si="0"/>
        <v>2.9745332052738602</v>
      </c>
    </row>
    <row r="42" spans="5:8">
      <c r="E42">
        <v>40</v>
      </c>
      <c r="F42" s="128">
        <f>F41*(EXP(-C3))</f>
        <v>2.7504077102740028</v>
      </c>
      <c r="G42" s="127">
        <f t="shared" si="0"/>
        <v>2.823810237149182</v>
      </c>
    </row>
    <row r="43" spans="5:8">
      <c r="E43">
        <v>41</v>
      </c>
      <c r="F43" s="128">
        <f>F42*(EXP(-C3))</f>
        <v>2.6110414349503657</v>
      </c>
      <c r="G43" s="127">
        <f t="shared" si="0"/>
        <v>2.680724572612184</v>
      </c>
    </row>
    <row r="44" spans="5:8">
      <c r="E44">
        <v>42</v>
      </c>
      <c r="F44" s="128">
        <f>F43*(EXP(-C3))</f>
        <v>2.4787370067212628</v>
      </c>
      <c r="G44" s="127">
        <f t="shared" si="0"/>
        <v>2.544889220835814</v>
      </c>
    </row>
    <row r="45" spans="5:8">
      <c r="E45">
        <v>43</v>
      </c>
      <c r="F45" s="128">
        <f>F44*(EXP(-C3))</f>
        <v>2.3531365937922324</v>
      </c>
      <c r="G45" s="127">
        <f t="shared" si="0"/>
        <v>2.4159368002567474</v>
      </c>
    </row>
    <row r="46" spans="5:8">
      <c r="E46">
        <v>44</v>
      </c>
      <c r="F46" s="128">
        <f>F45*(EXP(-C3))</f>
        <v>2.2339004961113167</v>
      </c>
      <c r="G46" s="127">
        <f t="shared" si="0"/>
        <v>2.2935185449517745</v>
      </c>
    </row>
    <row r="47" spans="5:8">
      <c r="E47">
        <v>45</v>
      </c>
      <c r="F47" s="128">
        <f>F46*(EXP(-C3))</f>
        <v>2.1207062266131249</v>
      </c>
      <c r="G47" s="127">
        <f t="shared" si="0"/>
        <v>2.1773033613622208</v>
      </c>
    </row>
    <row r="48" spans="5:8">
      <c r="E48">
        <v>46</v>
      </c>
      <c r="F48" s="128">
        <f>F47*(EXP(-C3))</f>
        <v>2.013247639017298</v>
      </c>
      <c r="G48" s="127">
        <f t="shared" si="0"/>
        <v>2.0669769328152112</v>
      </c>
      <c r="H48" s="127"/>
    </row>
    <row r="49" spans="5:9">
      <c r="E49">
        <v>47</v>
      </c>
      <c r="F49" s="128">
        <f>F48*(EXP(-C3))</f>
        <v>1.9112340998224142</v>
      </c>
      <c r="G49" s="127">
        <f t="shared" si="0"/>
        <v>1.9622408694198561</v>
      </c>
    </row>
    <row r="50" spans="5:9">
      <c r="E50">
        <v>48</v>
      </c>
      <c r="F50" s="128">
        <f>F49*(EXP(-C3))</f>
        <v>1.8143897022559026</v>
      </c>
      <c r="G50" s="127">
        <f t="shared" si="0"/>
        <v>1.8628119010391584</v>
      </c>
      <c r="H50" s="131">
        <f>SUM(G27:G50)</f>
        <v>86.669516361499205</v>
      </c>
      <c r="I50" t="s">
        <v>103</v>
      </c>
    </row>
    <row r="51" spans="5:9">
      <c r="E51">
        <v>49</v>
      </c>
      <c r="F51" s="128">
        <f>F50*(EXP(-C3))</f>
        <v>1.7224525200540037</v>
      </c>
      <c r="G51" s="127">
        <f t="shared" si="0"/>
        <v>1.7684211111549533</v>
      </c>
    </row>
    <row r="52" spans="5:9">
      <c r="E52">
        <v>50</v>
      </c>
      <c r="F52" s="128">
        <f>F51*(EXP(-C3))</f>
        <v>1.6351738990535467</v>
      </c>
      <c r="G52" s="127">
        <f t="shared" si="0"/>
        <v>1.6788132095537751</v>
      </c>
    </row>
    <row r="53" spans="5:9">
      <c r="E53">
        <v>51</v>
      </c>
      <c r="F53" s="128">
        <f>F52*(EXP(-C3))</f>
        <v>1.5523177846795728</v>
      </c>
      <c r="G53" s="127">
        <f t="shared" si="0"/>
        <v>1.5937458418665598</v>
      </c>
    </row>
    <row r="54" spans="5:9">
      <c r="E54">
        <v>52</v>
      </c>
      <c r="F54" s="128">
        <f>F53*(EXP(-C3))</f>
        <v>1.4736600835099234</v>
      </c>
      <c r="G54" s="127">
        <f t="shared" si="0"/>
        <v>1.5129889340947482</v>
      </c>
    </row>
    <row r="55" spans="5:9">
      <c r="E55">
        <v>53</v>
      </c>
      <c r="F55" s="128">
        <f>F54*(EXP(-C3))</f>
        <v>1.3989880571900735</v>
      </c>
      <c r="G55" s="127">
        <f t="shared" si="0"/>
        <v>1.4363240703499984</v>
      </c>
    </row>
    <row r="56" spans="5:9">
      <c r="E56">
        <v>54</v>
      </c>
      <c r="F56" s="128">
        <f>F55*(EXP(-C3))</f>
        <v>1.3280997470589879</v>
      </c>
      <c r="G56" s="127">
        <f t="shared" si="0"/>
        <v>1.3635439021245306</v>
      </c>
    </row>
    <row r="57" spans="5:9">
      <c r="E57">
        <v>55</v>
      </c>
      <c r="F57" s="128">
        <f>F56*(EXP(-C3))</f>
        <v>1.2608034279298372</v>
      </c>
      <c r="G57" s="127">
        <f t="shared" si="0"/>
        <v>1.2944515874944127</v>
      </c>
    </row>
    <row r="58" spans="5:9">
      <c r="E58">
        <v>56</v>
      </c>
      <c r="F58" s="128">
        <f>F57*(EXP(-C3))</f>
        <v>1.196917089548263</v>
      </c>
      <c r="G58" s="127">
        <f t="shared" si="0"/>
        <v>1.2288602587390502</v>
      </c>
    </row>
    <row r="59" spans="5:9">
      <c r="E59">
        <v>57</v>
      </c>
      <c r="F59" s="128">
        <f>F58*(EXP(-C3))</f>
        <v>1.136267944325742</v>
      </c>
      <c r="G59" s="127">
        <f t="shared" si="0"/>
        <v>1.1665925169370026</v>
      </c>
    </row>
    <row r="60" spans="5:9">
      <c r="E60">
        <v>58</v>
      </c>
      <c r="F60" s="128">
        <f>F59*(EXP(-C3))</f>
        <v>1.078691960016656</v>
      </c>
      <c r="G60" s="127">
        <f t="shared" si="0"/>
        <v>1.1074799521711989</v>
      </c>
    </row>
    <row r="61" spans="5:9">
      <c r="E61">
        <v>59</v>
      </c>
      <c r="F61" s="128">
        <f>F60*(EXP(-C3))</f>
        <v>1.0240334160751476</v>
      </c>
      <c r="G61" s="127">
        <f t="shared" si="0"/>
        <v>1.0513626880459017</v>
      </c>
    </row>
    <row r="62" spans="5:9">
      <c r="E62">
        <v>60</v>
      </c>
      <c r="F62" s="128">
        <f>F61*(EXP(-C3))</f>
        <v>0.97214448249187313</v>
      </c>
      <c r="G62" s="127">
        <f t="shared" si="0"/>
        <v>0.99808894928351033</v>
      </c>
    </row>
    <row r="63" spans="5:9">
      <c r="E63">
        <v>61</v>
      </c>
      <c r="F63" s="128">
        <f>F62*(EXP(-C3))</f>
        <v>0.92288481997157723</v>
      </c>
      <c r="G63" s="127">
        <f t="shared" si="0"/>
        <v>0.94751465123172518</v>
      </c>
    </row>
    <row r="64" spans="5:9">
      <c r="E64">
        <v>62</v>
      </c>
      <c r="F64" s="128">
        <f>F63*(EXP(-C3))</f>
        <v>0.87612120037012153</v>
      </c>
      <c r="G64" s="127">
        <f t="shared" si="0"/>
        <v>0.89950301017084944</v>
      </c>
    </row>
    <row r="65" spans="5:9">
      <c r="E65">
        <v>63</v>
      </c>
      <c r="F65" s="128">
        <f>F64*(EXP(-C3))</f>
        <v>0.83172714636439959</v>
      </c>
      <c r="G65" s="127">
        <f t="shared" si="0"/>
        <v>0.85392417336726056</v>
      </c>
    </row>
    <row r="66" spans="5:9">
      <c r="E66">
        <v>64</v>
      </c>
      <c r="F66" s="128">
        <f>F65*(EXP(-C3))</f>
        <v>0.78958258938058556</v>
      </c>
      <c r="G66" s="127">
        <f t="shared" si="0"/>
        <v>0.81065486787249252</v>
      </c>
    </row>
    <row r="67" spans="5:9">
      <c r="E67">
        <v>65</v>
      </c>
      <c r="F67" s="128">
        <f>F66*(EXP(-C3))</f>
        <v>0.74957354485554584</v>
      </c>
      <c r="G67" s="127">
        <f t="shared" si="0"/>
        <v>0.76957806711806565</v>
      </c>
    </row>
    <row r="68" spans="5:9">
      <c r="E68">
        <v>66</v>
      </c>
      <c r="F68" s="128">
        <f>F67*(EXP(-C3))</f>
        <v>0.71159180395312316</v>
      </c>
      <c r="G68" s="127">
        <f t="shared" ref="G68:G74" si="1">(F67+F68)/2</f>
        <v>0.73058267440433444</v>
      </c>
    </row>
    <row r="69" spans="5:9">
      <c r="E69">
        <v>67</v>
      </c>
      <c r="F69" s="128">
        <f>F68*(EXP(-C3))</f>
        <v>0.67553464090150606</v>
      </c>
      <c r="G69" s="127">
        <f t="shared" si="1"/>
        <v>0.69356322242731461</v>
      </c>
    </row>
    <row r="70" spans="5:9">
      <c r="E70">
        <v>68</v>
      </c>
      <c r="F70" s="128">
        <f>F69*(EXP(-C3))</f>
        <v>0.64130453516014507</v>
      </c>
      <c r="G70" s="127">
        <f t="shared" si="1"/>
        <v>0.65841958803082556</v>
      </c>
    </row>
    <row r="71" spans="5:9">
      <c r="E71">
        <v>69</v>
      </c>
      <c r="F71" s="128">
        <f>F70*(EXP(-C3))</f>
        <v>0.60880890766478657</v>
      </c>
      <c r="G71" s="127">
        <f t="shared" si="1"/>
        <v>0.62505672141246582</v>
      </c>
    </row>
    <row r="72" spans="5:9">
      <c r="E72">
        <v>70</v>
      </c>
      <c r="F72" s="128">
        <f>F71*(EXP(-C3))</f>
        <v>0.57795987043726915</v>
      </c>
      <c r="G72" s="127">
        <f t="shared" si="1"/>
        <v>0.59338438905102786</v>
      </c>
    </row>
    <row r="73" spans="5:9">
      <c r="E73">
        <v>71</v>
      </c>
      <c r="F73" s="128">
        <f>F72*(EXP(-C3))</f>
        <v>0.548673988882876</v>
      </c>
      <c r="G73" s="127">
        <f t="shared" si="1"/>
        <v>0.56331692966007263</v>
      </c>
    </row>
    <row r="74" spans="5:9">
      <c r="E74">
        <v>72</v>
      </c>
      <c r="F74" s="128">
        <f>F73*(EXP(-C3))</f>
        <v>0.52087205613234888</v>
      </c>
      <c r="G74" s="127">
        <f t="shared" si="1"/>
        <v>0.53477302250761238</v>
      </c>
      <c r="H74" s="131">
        <f>SUM(G51:G74)</f>
        <v>24.880944339069689</v>
      </c>
      <c r="I74" t="s">
        <v>104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Calculators</vt:lpstr>
      <vt:lpstr>Lists</vt:lpstr>
      <vt:lpstr>auc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Ikhsan Agustian</cp:lastModifiedBy>
  <dcterms:created xsi:type="dcterms:W3CDTF">2016-01-29T15:49:40Z</dcterms:created>
  <dcterms:modified xsi:type="dcterms:W3CDTF">2018-08-11T01:31:14Z</dcterms:modified>
</cp:coreProperties>
</file>