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hontzd/Desktop/"/>
    </mc:Choice>
  </mc:AlternateContent>
  <xr:revisionPtr revIDLastSave="0" documentId="8_{B093ACBE-A67C-4446-852E-58F64B565B4C}" xr6:coauthVersionLast="34" xr6:coauthVersionMax="34" xr10:uidLastSave="{00000000-0000-0000-0000-000000000000}"/>
  <bookViews>
    <workbookView xWindow="0" yWindow="440" windowWidth="28880" windowHeight="15640" xr2:uid="{00000000-000D-0000-FFFF-FFFF00000000}"/>
  </bookViews>
  <sheets>
    <sheet name="INSTRUCTIONS - READ FIRST" sheetId="12" r:id="rId1"/>
    <sheet name="Common" sheetId="1" r:id="rId2"/>
    <sheet name="SAFEs &amp; Notes" sheetId="6" r:id="rId3"/>
    <sheet name="Pro Forma - Series A Inputs" sheetId="4" r:id="rId4"/>
    <sheet name="Post Money Cap Table" sheetId="5" r:id="rId5"/>
    <sheet name="Waterfall" sheetId="9" state="hidden" r:id="rId6"/>
    <sheet name="Waterfall - Single Scenario" sheetId="10" r:id="rId7"/>
    <sheet name="Waterfall - Three Scenarios" sheetId="11" r:id="rId8"/>
    <sheet name="Investor Contact" sheetId="7" r:id="rId9"/>
    <sheet name="Equity Plan Info." sheetId="8" r:id="rId10"/>
  </sheets>
  <externalReferences>
    <externalReference r:id="rId11"/>
  </externalReferences>
  <definedNames>
    <definedName name="CS" localSheetId="4">'Post Money Cap Table'!$C$10</definedName>
    <definedName name="CS">'[1]Cap Table Ivan'!$C$10</definedName>
    <definedName name="FDPost">'[1]Cap Table Ivan'!$C$37</definedName>
    <definedName name="FDPre">'[1]Cap Table Ivan'!$C$15</definedName>
    <definedName name="Investment" localSheetId="4">'Post Money Cap Table'!$C$22</definedName>
    <definedName name="Investment">'[1]Cap Table Ivan'!$C$21</definedName>
    <definedName name="Options" localSheetId="4">'Post Money Cap Table'!$C$11</definedName>
    <definedName name="PoolPercent">'[1]Cap Table Ivan'!$C$23</definedName>
    <definedName name="PostMoney">'[1]Cap Table Ivan'!$C$35</definedName>
    <definedName name="PostPool">'[1]Cap Table Ivan'!$C$38</definedName>
    <definedName name="PreMoney" localSheetId="4">'Post Money Cap Table'!$C$21</definedName>
    <definedName name="PreMoney">'[1]Cap Table Ivan'!$C$20</definedName>
    <definedName name="PrePool" localSheetId="4">'Post Money Cap Table'!$C$12</definedName>
    <definedName name="PrePool">'[1]Cap Table Ivan'!$C$12</definedName>
    <definedName name="_xlnm.Print_Area" localSheetId="2">'SAFEs &amp; Notes'!$A$1:$Q$32</definedName>
    <definedName name="SerA">'[1]Cap Table Ivan'!$C$39</definedName>
    <definedName name="SerAPercent">'[1]Cap Table Ivan'!$C$36</definedName>
    <definedName name="SerAPrice">'[1]Cap Table Ivan'!$C$40</definedName>
  </definedNames>
  <calcPr calcId="162913" iterate="1"/>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11" l="1"/>
  <c r="B1" i="10"/>
  <c r="A1" i="5"/>
  <c r="B1" i="4"/>
  <c r="I1" i="6"/>
  <c r="D6" i="6"/>
  <c r="D7" i="6"/>
  <c r="D8" i="6"/>
  <c r="D9" i="6"/>
  <c r="D10" i="6"/>
  <c r="D11" i="6"/>
  <c r="D12" i="6"/>
  <c r="D13" i="6"/>
  <c r="D14" i="6"/>
  <c r="D15" i="6"/>
  <c r="D16" i="6"/>
  <c r="D17" i="6"/>
  <c r="D18" i="6"/>
  <c r="D19" i="6"/>
  <c r="D20" i="6"/>
  <c r="D21" i="6"/>
  <c r="D22" i="6"/>
  <c r="D23" i="6"/>
  <c r="D24" i="6"/>
  <c r="D5" i="6"/>
  <c r="H5" i="6"/>
  <c r="H6" i="6"/>
  <c r="E13" i="11" l="1"/>
  <c r="E59" i="11" s="1"/>
  <c r="E41" i="11" l="1"/>
  <c r="E23" i="11"/>
  <c r="E13" i="10" l="1"/>
  <c r="E21" i="10" s="1"/>
  <c r="I18" i="9"/>
  <c r="B34" i="4" l="1"/>
  <c r="B32" i="4"/>
  <c r="D46" i="1"/>
  <c r="C9" i="4" s="1"/>
  <c r="G9" i="4" s="1"/>
  <c r="H9" i="4" s="1"/>
  <c r="J9" i="4" s="1"/>
  <c r="D47" i="1"/>
  <c r="D48" i="1" s="1"/>
  <c r="D20" i="1"/>
  <c r="F14" i="1"/>
  <c r="C4" i="1"/>
  <c r="H26" i="1" s="1"/>
  <c r="J26" i="1" s="1"/>
  <c r="F15" i="1"/>
  <c r="F16" i="1"/>
  <c r="F17" i="1"/>
  <c r="E13" i="9"/>
  <c r="D50" i="1"/>
  <c r="G50" i="1" s="1"/>
  <c r="G54" i="1" s="1"/>
  <c r="F22" i="4"/>
  <c r="F23" i="4"/>
  <c r="I23" i="4"/>
  <c r="B79" i="5"/>
  <c r="B80" i="5"/>
  <c r="B81" i="5"/>
  <c r="B58" i="5"/>
  <c r="D58" i="5"/>
  <c r="G58" i="5" s="1"/>
  <c r="B52" i="5"/>
  <c r="D52" i="5"/>
  <c r="G52" i="5" s="1"/>
  <c r="D50" i="5"/>
  <c r="G50" i="5"/>
  <c r="D51" i="5"/>
  <c r="G51" i="5" s="1"/>
  <c r="D53" i="5"/>
  <c r="G53" i="5"/>
  <c r="D54" i="5"/>
  <c r="G54" i="5" s="1"/>
  <c r="D55" i="5"/>
  <c r="G55" i="5"/>
  <c r="D56" i="5"/>
  <c r="G56" i="5" s="1"/>
  <c r="D57" i="5"/>
  <c r="G57" i="5" s="1"/>
  <c r="D59" i="5"/>
  <c r="G59" i="5" s="1"/>
  <c r="B53" i="5"/>
  <c r="B54" i="5"/>
  <c r="B55" i="5"/>
  <c r="B56" i="5"/>
  <c r="B57" i="5"/>
  <c r="B34" i="5"/>
  <c r="C34" i="5"/>
  <c r="G34" i="5" s="1"/>
  <c r="C35" i="5"/>
  <c r="G35" i="5"/>
  <c r="C36" i="5"/>
  <c r="G36" i="5" s="1"/>
  <c r="C37" i="5"/>
  <c r="G37" i="5"/>
  <c r="B35" i="5"/>
  <c r="B36" i="5"/>
  <c r="B37" i="5"/>
  <c r="F38" i="1"/>
  <c r="F39" i="1"/>
  <c r="F40" i="1"/>
  <c r="F41" i="1"/>
  <c r="F42" i="1"/>
  <c r="F43" i="1"/>
  <c r="C10" i="5"/>
  <c r="C8" i="4" s="1"/>
  <c r="G8" i="4" s="1"/>
  <c r="J8" i="4" s="1"/>
  <c r="C8" i="9"/>
  <c r="F18" i="1"/>
  <c r="F13" i="1"/>
  <c r="F12" i="1"/>
  <c r="F11" i="1"/>
  <c r="F10" i="1"/>
  <c r="C29" i="5"/>
  <c r="G29" i="5" s="1"/>
  <c r="C30" i="5"/>
  <c r="G30" i="5" s="1"/>
  <c r="C31" i="5"/>
  <c r="G31" i="5"/>
  <c r="C32" i="5"/>
  <c r="G32" i="5" s="1"/>
  <c r="C33" i="5"/>
  <c r="G33" i="5"/>
  <c r="C38" i="5"/>
  <c r="G38" i="5" s="1"/>
  <c r="D39" i="5"/>
  <c r="G39" i="5" s="1"/>
  <c r="D40" i="5"/>
  <c r="G40" i="5" s="1"/>
  <c r="D41" i="5"/>
  <c r="G41" i="5"/>
  <c r="D42" i="5"/>
  <c r="G42" i="5" s="1"/>
  <c r="D43" i="5"/>
  <c r="G43" i="5"/>
  <c r="D44" i="5"/>
  <c r="G44" i="5" s="1"/>
  <c r="D45" i="5"/>
  <c r="G45" i="5"/>
  <c r="D46" i="5"/>
  <c r="G46" i="5" s="1"/>
  <c r="D47" i="5"/>
  <c r="G47" i="5" s="1"/>
  <c r="D48" i="5"/>
  <c r="G48" i="5" s="1"/>
  <c r="D49" i="5"/>
  <c r="G49" i="5"/>
  <c r="B82" i="5"/>
  <c r="B78" i="5"/>
  <c r="B77" i="5"/>
  <c r="B76" i="5"/>
  <c r="B75" i="5"/>
  <c r="B74" i="5"/>
  <c r="B73" i="5"/>
  <c r="B72" i="5"/>
  <c r="B71" i="5"/>
  <c r="B70" i="5"/>
  <c r="B69" i="5"/>
  <c r="B68" i="5"/>
  <c r="B67" i="5"/>
  <c r="B66" i="5"/>
  <c r="B65" i="5"/>
  <c r="B64" i="5"/>
  <c r="B63" i="5"/>
  <c r="B59" i="5"/>
  <c r="B51" i="5"/>
  <c r="B50" i="5"/>
  <c r="B49" i="5"/>
  <c r="B48" i="5"/>
  <c r="B47" i="5"/>
  <c r="B46" i="5"/>
  <c r="B45" i="5"/>
  <c r="B44" i="5"/>
  <c r="B43" i="5"/>
  <c r="B42" i="5"/>
  <c r="B41" i="5"/>
  <c r="B40" i="5"/>
  <c r="B39" i="5"/>
  <c r="B38" i="5"/>
  <c r="B33" i="5"/>
  <c r="B32" i="5"/>
  <c r="B31" i="5"/>
  <c r="B30" i="5"/>
  <c r="F44" i="1"/>
  <c r="F37" i="1"/>
  <c r="F36" i="1"/>
  <c r="F35" i="1"/>
  <c r="F34" i="1"/>
  <c r="F33" i="1"/>
  <c r="F32" i="1"/>
  <c r="F31" i="1"/>
  <c r="F30" i="1"/>
  <c r="F29" i="1"/>
  <c r="F28" i="1"/>
  <c r="F27" i="1"/>
  <c r="F26" i="1"/>
  <c r="F25" i="1"/>
  <c r="F24" i="1"/>
  <c r="B62" i="5"/>
  <c r="B29" i="5"/>
  <c r="B14" i="5"/>
  <c r="F47" i="1"/>
  <c r="F46" i="1"/>
  <c r="F23" i="1"/>
  <c r="E26" i="6"/>
  <c r="C22" i="5"/>
  <c r="C21" i="5"/>
  <c r="C25" i="5" s="1"/>
  <c r="F14" i="4"/>
  <c r="D60" i="5"/>
  <c r="G60" i="5" s="1"/>
  <c r="C11" i="5" l="1"/>
  <c r="G8" i="6"/>
  <c r="G9" i="6"/>
  <c r="G13" i="6"/>
  <c r="G17" i="6"/>
  <c r="G21" i="6"/>
  <c r="G7" i="6"/>
  <c r="G11" i="6"/>
  <c r="G15" i="6"/>
  <c r="G19" i="6"/>
  <c r="G23" i="6"/>
  <c r="G12" i="6"/>
  <c r="G24" i="6"/>
  <c r="G6" i="6"/>
  <c r="G10" i="6"/>
  <c r="G14" i="6"/>
  <c r="G18" i="6"/>
  <c r="G22" i="6"/>
  <c r="G16" i="6"/>
  <c r="G20" i="6"/>
  <c r="C10" i="9"/>
  <c r="C9" i="11"/>
  <c r="C9" i="10"/>
  <c r="C10" i="4"/>
  <c r="C12" i="5"/>
  <c r="E14" i="1"/>
  <c r="E36" i="1"/>
  <c r="O4" i="6"/>
  <c r="E25" i="1"/>
  <c r="E9" i="1"/>
  <c r="E12" i="1"/>
  <c r="E30" i="1"/>
  <c r="E38" i="1"/>
  <c r="E40" i="1"/>
  <c r="E42" i="1"/>
  <c r="E11" i="1"/>
  <c r="E13" i="1"/>
  <c r="E16" i="1"/>
  <c r="E47" i="1"/>
  <c r="E28" i="1"/>
  <c r="E33" i="1"/>
  <c r="E10" i="1"/>
  <c r="E26" i="1"/>
  <c r="E23" i="1"/>
  <c r="E15" i="1"/>
  <c r="E17" i="1"/>
  <c r="E39" i="1"/>
  <c r="E41" i="1"/>
  <c r="E43" i="1"/>
  <c r="E34" i="1"/>
  <c r="E24" i="1"/>
  <c r="E29" i="1"/>
  <c r="E48" i="1"/>
  <c r="E44" i="1"/>
  <c r="E35" i="1"/>
  <c r="E18" i="1"/>
  <c r="E32" i="1"/>
  <c r="E37" i="1"/>
  <c r="E46" i="1"/>
  <c r="E27" i="1"/>
  <c r="E31" i="1"/>
  <c r="C8" i="11"/>
  <c r="C8" i="10"/>
  <c r="C10" i="11"/>
  <c r="C10" i="10"/>
  <c r="I9" i="1"/>
  <c r="I12" i="1"/>
  <c r="I27" i="1"/>
  <c r="I33" i="1"/>
  <c r="I26" i="1"/>
  <c r="I42" i="1"/>
  <c r="I38" i="1"/>
  <c r="H29" i="1"/>
  <c r="J29" i="1" s="1"/>
  <c r="I34" i="1"/>
  <c r="I18" i="1"/>
  <c r="I28" i="1"/>
  <c r="I43" i="1"/>
  <c r="I39" i="1"/>
  <c r="I17" i="1"/>
  <c r="I36" i="1"/>
  <c r="I44" i="1"/>
  <c r="I32" i="1"/>
  <c r="I30" i="1"/>
  <c r="I13" i="1"/>
  <c r="I40" i="1"/>
  <c r="H9" i="1"/>
  <c r="J9" i="1" s="1"/>
  <c r="I37" i="1"/>
  <c r="I31" i="1"/>
  <c r="H13" i="1"/>
  <c r="J13" i="1" s="1"/>
  <c r="I29" i="1"/>
  <c r="I10" i="1"/>
  <c r="I25" i="1"/>
  <c r="I11" i="1"/>
  <c r="I35" i="1"/>
  <c r="I41" i="1"/>
  <c r="H37" i="1"/>
  <c r="J37" i="1" s="1"/>
  <c r="H41" i="1"/>
  <c r="J41" i="1" s="1"/>
  <c r="H25" i="1"/>
  <c r="J25" i="1" s="1"/>
  <c r="H11" i="1"/>
  <c r="J11" i="1" s="1"/>
  <c r="H33" i="1"/>
  <c r="J33" i="1" s="1"/>
  <c r="I15" i="1"/>
  <c r="H12" i="1"/>
  <c r="J12" i="1" s="1"/>
  <c r="H43" i="1"/>
  <c r="J43" i="1" s="1"/>
  <c r="H35" i="1"/>
  <c r="J35" i="1" s="1"/>
  <c r="H27" i="1"/>
  <c r="J27" i="1" s="1"/>
  <c r="I14" i="1"/>
  <c r="H18" i="1"/>
  <c r="J18" i="1" s="1"/>
  <c r="H10" i="1"/>
  <c r="J10" i="1" s="1"/>
  <c r="H39" i="1"/>
  <c r="J39" i="1" s="1"/>
  <c r="H31" i="1"/>
  <c r="J31" i="1" s="1"/>
  <c r="H24" i="1"/>
  <c r="I16" i="1"/>
  <c r="H44" i="1"/>
  <c r="J44" i="1" s="1"/>
  <c r="H40" i="1"/>
  <c r="J40" i="1" s="1"/>
  <c r="H36" i="1"/>
  <c r="J36" i="1" s="1"/>
  <c r="H32" i="1"/>
  <c r="J32" i="1" s="1"/>
  <c r="H28" i="1"/>
  <c r="J28" i="1" s="1"/>
  <c r="I24" i="1"/>
  <c r="H17" i="1"/>
  <c r="J17" i="1" s="1"/>
  <c r="H16" i="1"/>
  <c r="J16" i="1" s="1"/>
  <c r="H15" i="1"/>
  <c r="J15" i="1" s="1"/>
  <c r="H14" i="1"/>
  <c r="J14" i="1" s="1"/>
  <c r="H42" i="1"/>
  <c r="J42" i="1" s="1"/>
  <c r="H38" i="1"/>
  <c r="J38" i="1" s="1"/>
  <c r="H34" i="1"/>
  <c r="J34" i="1" s="1"/>
  <c r="H30" i="1"/>
  <c r="J30" i="1" s="1"/>
  <c r="H14" i="6" l="1"/>
  <c r="H18" i="6"/>
  <c r="H7" i="6"/>
  <c r="G5" i="6"/>
  <c r="H11" i="6"/>
  <c r="H15" i="6"/>
  <c r="H19" i="6"/>
  <c r="H23" i="6"/>
  <c r="H13" i="6"/>
  <c r="H17" i="6"/>
  <c r="H22" i="6"/>
  <c r="H8" i="6"/>
  <c r="H12" i="6"/>
  <c r="H16" i="6"/>
  <c r="H20" i="6"/>
  <c r="H24" i="6"/>
  <c r="H9" i="6"/>
  <c r="H21" i="6"/>
  <c r="H10" i="6"/>
  <c r="F33" i="4"/>
  <c r="G10" i="4"/>
  <c r="H10" i="4" s="1"/>
  <c r="J10" i="4" s="1"/>
  <c r="E20" i="1"/>
  <c r="J24" i="1"/>
  <c r="J46" i="1" s="1"/>
  <c r="J20" i="1"/>
  <c r="H26" i="6" l="1"/>
  <c r="C9" i="9"/>
  <c r="E12" i="9" l="1"/>
  <c r="E12" i="10"/>
  <c r="F13" i="4"/>
  <c r="F15" i="4" s="1"/>
  <c r="E12" i="11"/>
  <c r="E58" i="11" l="1"/>
  <c r="E14" i="11"/>
  <c r="E22" i="11"/>
  <c r="E40" i="11"/>
  <c r="E20" i="10"/>
  <c r="E14" i="10"/>
  <c r="H49" i="9"/>
  <c r="E14" i="9"/>
  <c r="H28" i="9"/>
  <c r="G13" i="10" l="1"/>
  <c r="G12" i="10"/>
  <c r="G14" i="10" s="1"/>
  <c r="G13" i="11"/>
  <c r="F13" i="9"/>
  <c r="F12" i="9"/>
  <c r="G12" i="11"/>
  <c r="G14" i="11" l="1"/>
  <c r="D52" i="1"/>
  <c r="D53" i="1"/>
  <c r="D54" i="1"/>
  <c r="D56" i="1"/>
  <c r="D58" i="1"/>
  <c r="D60" i="1"/>
  <c r="D10" i="5"/>
  <c r="D11" i="5"/>
  <c r="E11" i="5"/>
  <c r="D12" i="5"/>
  <c r="C13" i="5"/>
  <c r="D13" i="5"/>
  <c r="C14" i="5"/>
  <c r="D14" i="5"/>
  <c r="C16" i="5"/>
  <c r="D16"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D61" i="5"/>
  <c r="G61" i="5"/>
  <c r="H61" i="5"/>
  <c r="E63" i="5"/>
  <c r="G63" i="5"/>
  <c r="H63" i="5"/>
  <c r="E64" i="5"/>
  <c r="G64" i="5"/>
  <c r="H64" i="5"/>
  <c r="E65" i="5"/>
  <c r="G65" i="5"/>
  <c r="H65" i="5"/>
  <c r="E66" i="5"/>
  <c r="G66" i="5"/>
  <c r="H66" i="5"/>
  <c r="E67" i="5"/>
  <c r="G67" i="5"/>
  <c r="H67" i="5"/>
  <c r="E68" i="5"/>
  <c r="G68" i="5"/>
  <c r="H68" i="5"/>
  <c r="E69" i="5"/>
  <c r="G69" i="5"/>
  <c r="H69" i="5"/>
  <c r="E70" i="5"/>
  <c r="G70" i="5"/>
  <c r="H70" i="5"/>
  <c r="E71" i="5"/>
  <c r="G71" i="5"/>
  <c r="H71" i="5"/>
  <c r="E72" i="5"/>
  <c r="G72" i="5"/>
  <c r="H72" i="5"/>
  <c r="E73" i="5"/>
  <c r="G73" i="5"/>
  <c r="H73" i="5"/>
  <c r="E74" i="5"/>
  <c r="G74" i="5"/>
  <c r="H74" i="5"/>
  <c r="E75" i="5"/>
  <c r="G75" i="5"/>
  <c r="H75" i="5"/>
  <c r="E76" i="5"/>
  <c r="G76" i="5"/>
  <c r="H76" i="5"/>
  <c r="E77" i="5"/>
  <c r="G77" i="5"/>
  <c r="H77" i="5"/>
  <c r="E78" i="5"/>
  <c r="G78" i="5"/>
  <c r="H78" i="5"/>
  <c r="E79" i="5"/>
  <c r="G79" i="5"/>
  <c r="H79" i="5"/>
  <c r="E80" i="5"/>
  <c r="G80" i="5"/>
  <c r="H80" i="5"/>
  <c r="E81" i="5"/>
  <c r="G81" i="5"/>
  <c r="H81" i="5"/>
  <c r="E82" i="5"/>
  <c r="G82" i="5"/>
  <c r="H82" i="5"/>
  <c r="F84" i="5"/>
  <c r="G84" i="5"/>
  <c r="H84" i="5"/>
  <c r="G86" i="5"/>
  <c r="H86" i="5"/>
  <c r="D8" i="4"/>
  <c r="K8" i="4"/>
  <c r="D9" i="4"/>
  <c r="K9" i="4"/>
  <c r="D10" i="4"/>
  <c r="K10" i="4"/>
  <c r="C11" i="4"/>
  <c r="D11" i="4"/>
  <c r="G11" i="4"/>
  <c r="H11" i="4"/>
  <c r="J11" i="4"/>
  <c r="K11" i="4"/>
  <c r="H12" i="4"/>
  <c r="G13" i="4"/>
  <c r="J13" i="4"/>
  <c r="K13" i="4"/>
  <c r="G14" i="4"/>
  <c r="J14" i="4"/>
  <c r="K14" i="4"/>
  <c r="C15" i="4"/>
  <c r="D15" i="4"/>
  <c r="G15" i="4"/>
  <c r="J15" i="4"/>
  <c r="K15" i="4"/>
  <c r="M23" i="4"/>
  <c r="I24" i="4"/>
  <c r="F25" i="4"/>
  <c r="I25" i="4"/>
  <c r="M25" i="4"/>
  <c r="F26" i="4"/>
  <c r="I26" i="4"/>
  <c r="F27" i="4"/>
  <c r="F28" i="4"/>
  <c r="I28" i="4"/>
  <c r="F32" i="4"/>
  <c r="F34" i="4"/>
  <c r="F35" i="4"/>
  <c r="F37" i="4"/>
  <c r="M3" i="6"/>
  <c r="P4" i="6"/>
  <c r="K5" i="6"/>
  <c r="L5" i="6"/>
  <c r="M5" i="6"/>
  <c r="N5" i="6"/>
  <c r="O5" i="6"/>
  <c r="P5" i="6"/>
  <c r="K6" i="6"/>
  <c r="L6" i="6"/>
  <c r="M6" i="6"/>
  <c r="N6" i="6"/>
  <c r="O6" i="6"/>
  <c r="P6" i="6"/>
  <c r="K7" i="6"/>
  <c r="L7" i="6"/>
  <c r="M7" i="6"/>
  <c r="N7" i="6"/>
  <c r="O7" i="6"/>
  <c r="P7" i="6"/>
  <c r="K8" i="6"/>
  <c r="L8" i="6"/>
  <c r="M8" i="6"/>
  <c r="N8" i="6"/>
  <c r="O8" i="6"/>
  <c r="P8" i="6"/>
  <c r="K9" i="6"/>
  <c r="L9" i="6"/>
  <c r="M9" i="6"/>
  <c r="N9" i="6"/>
  <c r="O9" i="6"/>
  <c r="P9" i="6"/>
  <c r="K10" i="6"/>
  <c r="L10" i="6"/>
  <c r="M10" i="6"/>
  <c r="N10" i="6"/>
  <c r="O10" i="6"/>
  <c r="P10" i="6"/>
  <c r="K11" i="6"/>
  <c r="L11" i="6"/>
  <c r="M11" i="6"/>
  <c r="N11" i="6"/>
  <c r="O11" i="6"/>
  <c r="P11" i="6"/>
  <c r="K12" i="6"/>
  <c r="L12" i="6"/>
  <c r="M12" i="6"/>
  <c r="N12" i="6"/>
  <c r="O12" i="6"/>
  <c r="P12" i="6"/>
  <c r="K13" i="6"/>
  <c r="L13" i="6"/>
  <c r="M13" i="6"/>
  <c r="N13" i="6"/>
  <c r="O13" i="6"/>
  <c r="P13" i="6"/>
  <c r="K14" i="6"/>
  <c r="L14" i="6"/>
  <c r="M14" i="6"/>
  <c r="N14" i="6"/>
  <c r="O14" i="6"/>
  <c r="P14" i="6"/>
  <c r="K15" i="6"/>
  <c r="L15" i="6"/>
  <c r="M15" i="6"/>
  <c r="N15" i="6"/>
  <c r="O15" i="6"/>
  <c r="P15" i="6"/>
  <c r="K16" i="6"/>
  <c r="L16" i="6"/>
  <c r="M16" i="6"/>
  <c r="N16" i="6"/>
  <c r="O16" i="6"/>
  <c r="P16" i="6"/>
  <c r="K17" i="6"/>
  <c r="L17" i="6"/>
  <c r="M17" i="6"/>
  <c r="N17" i="6"/>
  <c r="O17" i="6"/>
  <c r="P17" i="6"/>
  <c r="K18" i="6"/>
  <c r="L18" i="6"/>
  <c r="M18" i="6"/>
  <c r="N18" i="6"/>
  <c r="O18" i="6"/>
  <c r="P18" i="6"/>
  <c r="K19" i="6"/>
  <c r="L19" i="6"/>
  <c r="M19" i="6"/>
  <c r="N19" i="6"/>
  <c r="O19" i="6"/>
  <c r="P19" i="6"/>
  <c r="K20" i="6"/>
  <c r="L20" i="6"/>
  <c r="M20" i="6"/>
  <c r="N20" i="6"/>
  <c r="O20" i="6"/>
  <c r="P20" i="6"/>
  <c r="K21" i="6"/>
  <c r="L21" i="6"/>
  <c r="M21" i="6"/>
  <c r="N21" i="6"/>
  <c r="O21" i="6"/>
  <c r="P21" i="6"/>
  <c r="K22" i="6"/>
  <c r="L22" i="6"/>
  <c r="M22" i="6"/>
  <c r="N22" i="6"/>
  <c r="O22" i="6"/>
  <c r="P22" i="6"/>
  <c r="K23" i="6"/>
  <c r="L23" i="6"/>
  <c r="M23" i="6"/>
  <c r="N23" i="6"/>
  <c r="O23" i="6"/>
  <c r="P23" i="6"/>
  <c r="K24" i="6"/>
  <c r="L24" i="6"/>
  <c r="M24" i="6"/>
  <c r="N24" i="6"/>
  <c r="O24" i="6"/>
  <c r="P24" i="6"/>
  <c r="N26" i="6"/>
  <c r="O27" i="6"/>
  <c r="P27" i="6"/>
  <c r="C11" i="9"/>
  <c r="C12" i="9"/>
  <c r="C13" i="9"/>
  <c r="I13" i="9"/>
  <c r="K13" i="9"/>
  <c r="C14" i="9"/>
  <c r="I15" i="9"/>
  <c r="K15" i="9"/>
  <c r="C20" i="9"/>
  <c r="C28" i="9"/>
  <c r="G28" i="9"/>
  <c r="I28" i="9"/>
  <c r="C29" i="9"/>
  <c r="K29" i="9"/>
  <c r="L29" i="9"/>
  <c r="M29" i="9"/>
  <c r="C30" i="9"/>
  <c r="C32" i="9"/>
  <c r="C33" i="9"/>
  <c r="C34" i="9"/>
  <c r="C35" i="9"/>
  <c r="C36" i="9"/>
  <c r="C38" i="9"/>
  <c r="C43" i="9"/>
  <c r="C49" i="9"/>
  <c r="G49" i="9"/>
  <c r="I49" i="9"/>
  <c r="C50" i="9"/>
  <c r="E50" i="9"/>
  <c r="K50" i="9"/>
  <c r="L50" i="9"/>
  <c r="M50" i="9"/>
  <c r="C51" i="9"/>
  <c r="C53" i="9"/>
  <c r="C54" i="9"/>
  <c r="G54" i="9"/>
  <c r="H54" i="9"/>
  <c r="C55" i="9"/>
  <c r="G55" i="9"/>
  <c r="H55" i="9"/>
  <c r="C56" i="9"/>
  <c r="G56" i="9"/>
  <c r="H56" i="9"/>
  <c r="C57" i="9"/>
  <c r="G57" i="9"/>
  <c r="H57" i="9"/>
  <c r="C59" i="9"/>
  <c r="F8" i="10"/>
  <c r="F9" i="10"/>
  <c r="F10" i="10"/>
  <c r="C11" i="10"/>
  <c r="F11" i="10"/>
  <c r="C12" i="10"/>
  <c r="C13" i="10"/>
  <c r="C14" i="10"/>
  <c r="C17" i="10"/>
  <c r="B19" i="10"/>
  <c r="C20" i="10"/>
  <c r="C21" i="10"/>
  <c r="C23" i="10"/>
  <c r="C24" i="10"/>
  <c r="C25" i="10"/>
  <c r="C26" i="10"/>
  <c r="C27" i="10"/>
  <c r="C29" i="10"/>
  <c r="E29" i="10"/>
  <c r="C30" i="10"/>
  <c r="E30" i="10"/>
  <c r="F8" i="11"/>
  <c r="F9" i="11"/>
  <c r="F10" i="11"/>
  <c r="C11" i="11"/>
  <c r="F11" i="11"/>
  <c r="C12" i="11"/>
  <c r="C13" i="11"/>
  <c r="C14" i="11"/>
  <c r="C19" i="11"/>
  <c r="B21" i="11"/>
  <c r="C22" i="11"/>
  <c r="F22" i="11"/>
  <c r="C23" i="11"/>
  <c r="F23" i="11"/>
  <c r="C25" i="11"/>
  <c r="F25" i="11"/>
  <c r="C26" i="11"/>
  <c r="F26" i="11"/>
  <c r="C27" i="11"/>
  <c r="F27" i="11"/>
  <c r="C28" i="11"/>
  <c r="F28" i="11"/>
  <c r="C29" i="11"/>
  <c r="F29" i="11"/>
  <c r="C31" i="11"/>
  <c r="E31" i="11"/>
  <c r="F31" i="11"/>
  <c r="C32" i="11"/>
  <c r="E32" i="11"/>
  <c r="F32" i="11"/>
  <c r="C37" i="11"/>
  <c r="B39" i="11"/>
  <c r="C40" i="11"/>
  <c r="F40" i="11"/>
  <c r="C41" i="11"/>
  <c r="F41" i="11"/>
  <c r="C43" i="11"/>
  <c r="F43" i="11"/>
  <c r="C44" i="11"/>
  <c r="F44" i="11"/>
  <c r="C45" i="11"/>
  <c r="F45" i="11"/>
  <c r="C46" i="11"/>
  <c r="F46" i="11"/>
  <c r="C47" i="11"/>
  <c r="F47" i="11"/>
  <c r="C49" i="11"/>
  <c r="E49" i="11"/>
  <c r="F49" i="11"/>
  <c r="C50" i="11"/>
  <c r="E50" i="11"/>
  <c r="F50" i="11"/>
  <c r="C55" i="11"/>
  <c r="B57" i="11"/>
  <c r="C58" i="11"/>
  <c r="F58" i="11"/>
  <c r="C59" i="11"/>
  <c r="F59" i="11"/>
  <c r="C61" i="11"/>
  <c r="F61" i="11"/>
  <c r="C62" i="11"/>
  <c r="F62" i="11"/>
  <c r="C63" i="11"/>
  <c r="F63" i="11"/>
  <c r="C64" i="11"/>
  <c r="F64" i="11"/>
  <c r="C65" i="11"/>
  <c r="F65" i="11"/>
  <c r="C67" i="11"/>
  <c r="E67" i="11"/>
  <c r="F67" i="11"/>
  <c r="C68" i="11"/>
  <c r="E68" i="11"/>
  <c r="F6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1" authorId="0" shapeId="0" xr:uid="{170B33DD-D8A1-4CEE-AA53-F327658EBDFE}">
      <text>
        <r>
          <rPr>
            <b/>
            <sz val="9"/>
            <color indexed="81"/>
            <rFont val="Tahoma"/>
            <family val="2"/>
          </rPr>
          <t>Rikki Singh:</t>
        </r>
        <r>
          <rPr>
            <sz val="9"/>
            <color indexed="81"/>
            <rFont val="Tahoma"/>
            <family val="2"/>
          </rPr>
          <t xml:space="preserve">
Enter Company Name Here</t>
        </r>
      </text>
    </comment>
    <comment ref="D23" authorId="0" shapeId="0" xr:uid="{75AAA97C-A2C0-42A6-9977-BC0D54C60B3B}">
      <text>
        <r>
          <rPr>
            <b/>
            <sz val="9"/>
            <color indexed="81"/>
            <rFont val="Tahoma"/>
            <family val="2"/>
          </rPr>
          <t>Rikki Singh:</t>
        </r>
        <r>
          <rPr>
            <sz val="9"/>
            <color indexed="81"/>
            <rFont val="Tahoma"/>
            <family val="2"/>
          </rPr>
          <t xml:space="preserve">
Enter Total Shares Allocated to Equity Incenive Plan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A4" authorId="0" shapeId="0" xr:uid="{00B60DDF-A3A7-4A2D-B7EF-9C0A50C71341}">
      <text>
        <r>
          <rPr>
            <b/>
            <sz val="9"/>
            <color indexed="81"/>
            <rFont val="Tahoma"/>
            <family val="2"/>
          </rPr>
          <t>Rikki Singh:</t>
        </r>
        <r>
          <rPr>
            <sz val="9"/>
            <color indexed="81"/>
            <rFont val="Tahoma"/>
            <family val="2"/>
          </rPr>
          <t xml:space="preserve">
Enter Note/SAFE Holder's Name In This Column</t>
        </r>
      </text>
    </comment>
    <comment ref="C4" authorId="0" shapeId="0" xr:uid="{A1A0094D-8A32-4B20-ACCC-4D457F957D7E}">
      <text>
        <r>
          <rPr>
            <b/>
            <sz val="9"/>
            <color indexed="81"/>
            <rFont val="Tahoma"/>
            <family val="2"/>
          </rPr>
          <t>Rikki Singh:</t>
        </r>
        <r>
          <rPr>
            <sz val="9"/>
            <color indexed="81"/>
            <rFont val="Tahoma"/>
            <family val="2"/>
          </rPr>
          <t xml:space="preserve">
Enter Note/SAFE Issue Date In This Column</t>
        </r>
      </text>
    </comment>
    <comment ref="E4" authorId="0" shapeId="0" xr:uid="{79AD0ABD-57BE-49D1-8C51-2FE34EAECB0C}">
      <text>
        <r>
          <rPr>
            <b/>
            <sz val="9"/>
            <color indexed="81"/>
            <rFont val="Tahoma"/>
            <family val="2"/>
          </rPr>
          <t>Rikki Singh:</t>
        </r>
        <r>
          <rPr>
            <sz val="9"/>
            <color indexed="81"/>
            <rFont val="Tahoma"/>
            <family val="2"/>
          </rPr>
          <t xml:space="preserve">
Enter Note/SAFE Principal In This Column</t>
        </r>
      </text>
    </comment>
    <comment ref="F4" authorId="0" shapeId="0" xr:uid="{9B183604-7C3C-42A8-857B-2FFE2F2ED2C9}">
      <text>
        <r>
          <rPr>
            <b/>
            <sz val="9"/>
            <color indexed="81"/>
            <rFont val="Tahoma"/>
            <family val="2"/>
          </rPr>
          <t>Rikki Singh:</t>
        </r>
        <r>
          <rPr>
            <sz val="9"/>
            <color indexed="81"/>
            <rFont val="Tahoma"/>
            <family val="2"/>
          </rPr>
          <t xml:space="preserve">
Enter The Interest Rate In This Column (Only Applies To Notes; Model Detects If It Is A Note)</t>
        </r>
      </text>
    </comment>
    <comment ref="I4" authorId="0" shapeId="0" xr:uid="{0056ED2C-7553-4943-8A47-277393270796}">
      <text>
        <r>
          <rPr>
            <b/>
            <sz val="9"/>
            <color indexed="81"/>
            <rFont val="Tahoma"/>
            <family val="2"/>
          </rPr>
          <t>Rikki Singh:</t>
        </r>
        <r>
          <rPr>
            <sz val="9"/>
            <color indexed="81"/>
            <rFont val="Tahoma"/>
            <family val="2"/>
          </rPr>
          <t xml:space="preserve">
Enter The Discount In This Column</t>
        </r>
      </text>
    </comment>
    <comment ref="J4" authorId="0" shapeId="0" xr:uid="{CE760F46-660F-4FAB-82CF-EFBE41207457}">
      <text>
        <r>
          <rPr>
            <b/>
            <sz val="9"/>
            <color indexed="81"/>
            <rFont val="Tahoma"/>
            <family val="2"/>
          </rPr>
          <t>Rikki Singh:</t>
        </r>
        <r>
          <rPr>
            <sz val="9"/>
            <color indexed="81"/>
            <rFont val="Tahoma"/>
            <family val="2"/>
          </rPr>
          <t xml:space="preserve">
Enter The Cap In This Column</t>
        </r>
      </text>
    </comment>
    <comment ref="B5" authorId="0" shapeId="0" xr:uid="{5383F802-0631-404E-A647-7E64ABA4BF0D}">
      <text>
        <r>
          <rPr>
            <b/>
            <sz val="9"/>
            <color indexed="81"/>
            <rFont val="Tahoma"/>
            <family val="2"/>
          </rPr>
          <t>Rikki Singh:</t>
        </r>
        <r>
          <rPr>
            <sz val="9"/>
            <color indexed="81"/>
            <rFont val="Tahoma"/>
            <family val="2"/>
          </rPr>
          <t xml:space="preserve">
Use Drop Down To Select Safe or Note Here</t>
        </r>
      </text>
    </comment>
    <comment ref="B6" authorId="0" shapeId="0" xr:uid="{BC417091-F938-40F9-AFC4-3F73815F9F7C}">
      <text>
        <r>
          <rPr>
            <b/>
            <sz val="9"/>
            <color indexed="81"/>
            <rFont val="Tahoma"/>
            <family val="2"/>
          </rPr>
          <t>Rikki Singh:</t>
        </r>
        <r>
          <rPr>
            <sz val="9"/>
            <color indexed="81"/>
            <rFont val="Tahoma"/>
            <family val="2"/>
          </rPr>
          <t xml:space="preserve">
Use Drop Down To Select Safe or Note Here</t>
        </r>
      </text>
    </comment>
    <comment ref="B7" authorId="0" shapeId="0" xr:uid="{31899706-B274-41C9-A76D-6BEAD0B661B0}">
      <text>
        <r>
          <rPr>
            <b/>
            <sz val="9"/>
            <color indexed="81"/>
            <rFont val="Tahoma"/>
            <family val="2"/>
          </rPr>
          <t>Rikki Singh:</t>
        </r>
        <r>
          <rPr>
            <sz val="9"/>
            <color indexed="81"/>
            <rFont val="Tahoma"/>
            <family val="2"/>
          </rPr>
          <t xml:space="preserve">
Use Drop Down To Select Safe or Note Here</t>
        </r>
      </text>
    </comment>
    <comment ref="B8" authorId="0" shapeId="0" xr:uid="{3D55C5D3-A285-425C-A5DD-93A402DC961A}">
      <text>
        <r>
          <rPr>
            <b/>
            <sz val="9"/>
            <color indexed="81"/>
            <rFont val="Tahoma"/>
            <family val="2"/>
          </rPr>
          <t>Rikki Singh:</t>
        </r>
        <r>
          <rPr>
            <sz val="9"/>
            <color indexed="81"/>
            <rFont val="Tahoma"/>
            <family val="2"/>
          </rPr>
          <t xml:space="preserve">
Use Drop Down To Select Safe or Note Here</t>
        </r>
      </text>
    </comment>
    <comment ref="B9" authorId="0" shapeId="0" xr:uid="{4CA6EB0F-E106-4669-B8A9-0A62F905EC23}">
      <text>
        <r>
          <rPr>
            <b/>
            <sz val="9"/>
            <color indexed="81"/>
            <rFont val="Tahoma"/>
            <family val="2"/>
          </rPr>
          <t>Rikki Singh:</t>
        </r>
        <r>
          <rPr>
            <sz val="9"/>
            <color indexed="81"/>
            <rFont val="Tahoma"/>
            <family val="2"/>
          </rPr>
          <t xml:space="preserve">
Use Drop Down To Select Safe or Note Here</t>
        </r>
      </text>
    </comment>
    <comment ref="B10" authorId="0" shapeId="0" xr:uid="{3F9FF145-3B7D-4209-8705-77DFBB5959AA}">
      <text>
        <r>
          <rPr>
            <b/>
            <sz val="9"/>
            <color indexed="81"/>
            <rFont val="Tahoma"/>
            <family val="2"/>
          </rPr>
          <t>Rikki Singh:</t>
        </r>
        <r>
          <rPr>
            <sz val="9"/>
            <color indexed="81"/>
            <rFont val="Tahoma"/>
            <family val="2"/>
          </rPr>
          <t xml:space="preserve">
Use Drop Down To Select Safe or Note Here</t>
        </r>
      </text>
    </comment>
    <comment ref="B11" authorId="0" shapeId="0" xr:uid="{DBE4BF46-7BCE-483D-9537-2E5C8BEFD117}">
      <text>
        <r>
          <rPr>
            <b/>
            <sz val="9"/>
            <color indexed="81"/>
            <rFont val="Tahoma"/>
            <family val="2"/>
          </rPr>
          <t>Rikki Singh:</t>
        </r>
        <r>
          <rPr>
            <sz val="9"/>
            <color indexed="81"/>
            <rFont val="Tahoma"/>
            <family val="2"/>
          </rPr>
          <t xml:space="preserve">
Use Drop Down To Select Safe or Note Here</t>
        </r>
      </text>
    </comment>
    <comment ref="B12" authorId="0" shapeId="0" xr:uid="{EA15C13B-D4DE-4DB7-A09F-4A9720AEF342}">
      <text>
        <r>
          <rPr>
            <b/>
            <sz val="9"/>
            <color indexed="81"/>
            <rFont val="Tahoma"/>
            <family val="2"/>
          </rPr>
          <t>Rikki Singh:</t>
        </r>
        <r>
          <rPr>
            <sz val="9"/>
            <color indexed="81"/>
            <rFont val="Tahoma"/>
            <family val="2"/>
          </rPr>
          <t xml:space="preserve">
Use Drop Down To Select Safe or Note Here</t>
        </r>
      </text>
    </comment>
    <comment ref="B13" authorId="0" shapeId="0" xr:uid="{2CB0CB74-A9A2-4E91-B31B-7CB3E37FFC15}">
      <text>
        <r>
          <rPr>
            <b/>
            <sz val="9"/>
            <color indexed="81"/>
            <rFont val="Tahoma"/>
            <family val="2"/>
          </rPr>
          <t>Rikki Singh:</t>
        </r>
        <r>
          <rPr>
            <sz val="9"/>
            <color indexed="81"/>
            <rFont val="Tahoma"/>
            <family val="2"/>
          </rPr>
          <t xml:space="preserve">
Use Drop Down To Select Safe or Note Here</t>
        </r>
      </text>
    </comment>
    <comment ref="B14" authorId="0" shapeId="0" xr:uid="{B098EFC4-44E8-47D2-BECF-C9034B68DD5E}">
      <text>
        <r>
          <rPr>
            <b/>
            <sz val="9"/>
            <color indexed="81"/>
            <rFont val="Tahoma"/>
            <family val="2"/>
          </rPr>
          <t>Rikki Singh:</t>
        </r>
        <r>
          <rPr>
            <sz val="9"/>
            <color indexed="81"/>
            <rFont val="Tahoma"/>
            <family val="2"/>
          </rPr>
          <t xml:space="preserve">
Use Drop Down To Select Safe or Note Here</t>
        </r>
      </text>
    </comment>
    <comment ref="B15" authorId="0" shapeId="0" xr:uid="{4A4C103A-7F67-40DB-9A84-002CFB232271}">
      <text>
        <r>
          <rPr>
            <b/>
            <sz val="9"/>
            <color indexed="81"/>
            <rFont val="Tahoma"/>
            <family val="2"/>
          </rPr>
          <t>Rikki Singh:</t>
        </r>
        <r>
          <rPr>
            <sz val="9"/>
            <color indexed="81"/>
            <rFont val="Tahoma"/>
            <family val="2"/>
          </rPr>
          <t xml:space="preserve">
Use Drop Down To Select Safe or Note Here</t>
        </r>
      </text>
    </comment>
    <comment ref="B16" authorId="0" shapeId="0" xr:uid="{730633A1-69CB-4586-A1BC-873256A9342A}">
      <text>
        <r>
          <rPr>
            <b/>
            <sz val="9"/>
            <color indexed="81"/>
            <rFont val="Tahoma"/>
            <family val="2"/>
          </rPr>
          <t>Rikki Singh:</t>
        </r>
        <r>
          <rPr>
            <sz val="9"/>
            <color indexed="81"/>
            <rFont val="Tahoma"/>
            <family val="2"/>
          </rPr>
          <t xml:space="preserve">
Use Drop Down To Select Safe or Note Here</t>
        </r>
      </text>
    </comment>
    <comment ref="B17" authorId="0" shapeId="0" xr:uid="{AFF218D2-63F1-4793-A263-282D160490DD}">
      <text>
        <r>
          <rPr>
            <b/>
            <sz val="9"/>
            <color indexed="81"/>
            <rFont val="Tahoma"/>
            <family val="2"/>
          </rPr>
          <t>Rikki Singh:</t>
        </r>
        <r>
          <rPr>
            <sz val="9"/>
            <color indexed="81"/>
            <rFont val="Tahoma"/>
            <family val="2"/>
          </rPr>
          <t xml:space="preserve">
Use Drop Down To Select Safe or Note Here</t>
        </r>
      </text>
    </comment>
    <comment ref="B18" authorId="0" shapeId="0" xr:uid="{B1DA921B-61DC-46ED-8446-5566E4BC417B}">
      <text>
        <r>
          <rPr>
            <b/>
            <sz val="9"/>
            <color indexed="81"/>
            <rFont val="Tahoma"/>
            <family val="2"/>
          </rPr>
          <t>Rikki Singh:</t>
        </r>
        <r>
          <rPr>
            <sz val="9"/>
            <color indexed="81"/>
            <rFont val="Tahoma"/>
            <family val="2"/>
          </rPr>
          <t xml:space="preserve">
Use Drop Down To Select Safe or Note Here</t>
        </r>
      </text>
    </comment>
    <comment ref="B19" authorId="0" shapeId="0" xr:uid="{CCD01983-DB17-4F62-9616-0F3DCF6F324F}">
      <text>
        <r>
          <rPr>
            <b/>
            <sz val="9"/>
            <color indexed="81"/>
            <rFont val="Tahoma"/>
            <family val="2"/>
          </rPr>
          <t>Rikki Singh:</t>
        </r>
        <r>
          <rPr>
            <sz val="9"/>
            <color indexed="81"/>
            <rFont val="Tahoma"/>
            <family val="2"/>
          </rPr>
          <t xml:space="preserve">
Use Drop Down To Select Safe or Note Here</t>
        </r>
      </text>
    </comment>
    <comment ref="B20" authorId="0" shapeId="0" xr:uid="{765835D8-F406-4442-B8BD-0EDE2E335123}">
      <text>
        <r>
          <rPr>
            <b/>
            <sz val="9"/>
            <color indexed="81"/>
            <rFont val="Tahoma"/>
            <family val="2"/>
          </rPr>
          <t>Rikki Singh:</t>
        </r>
        <r>
          <rPr>
            <sz val="9"/>
            <color indexed="81"/>
            <rFont val="Tahoma"/>
            <family val="2"/>
          </rPr>
          <t xml:space="preserve">
Use Drop Down To Select Safe or Note Here</t>
        </r>
      </text>
    </comment>
    <comment ref="B21" authorId="0" shapeId="0" xr:uid="{721FB8A4-4788-40EB-A4F4-21F3B5F5D885}">
      <text>
        <r>
          <rPr>
            <b/>
            <sz val="9"/>
            <color indexed="81"/>
            <rFont val="Tahoma"/>
            <family val="2"/>
          </rPr>
          <t>Rikki Singh:</t>
        </r>
        <r>
          <rPr>
            <sz val="9"/>
            <color indexed="81"/>
            <rFont val="Tahoma"/>
            <family val="2"/>
          </rPr>
          <t xml:space="preserve">
Use Drop Down To Select Safe or Note Here</t>
        </r>
      </text>
    </comment>
    <comment ref="B22" authorId="0" shapeId="0" xr:uid="{18575FB1-953D-4E4F-B80C-AFA1CEF8CECD}">
      <text>
        <r>
          <rPr>
            <b/>
            <sz val="9"/>
            <color indexed="81"/>
            <rFont val="Tahoma"/>
            <family val="2"/>
          </rPr>
          <t>Rikki Singh:</t>
        </r>
        <r>
          <rPr>
            <sz val="9"/>
            <color indexed="81"/>
            <rFont val="Tahoma"/>
            <family val="2"/>
          </rPr>
          <t xml:space="preserve">
Use Drop Down To Select Safe or Note Here</t>
        </r>
      </text>
    </comment>
    <comment ref="B23" authorId="0" shapeId="0" xr:uid="{91420036-19DE-4220-B94F-3832C2ACCEEC}">
      <text>
        <r>
          <rPr>
            <b/>
            <sz val="9"/>
            <color indexed="81"/>
            <rFont val="Tahoma"/>
            <family val="2"/>
          </rPr>
          <t>Rikki Singh:</t>
        </r>
        <r>
          <rPr>
            <sz val="9"/>
            <color indexed="81"/>
            <rFont val="Tahoma"/>
            <family val="2"/>
          </rPr>
          <t xml:space="preserve">
Use Drop Down To Select Safe or Note Here</t>
        </r>
      </text>
    </comment>
    <comment ref="B24" authorId="0" shapeId="0" xr:uid="{8B8F7D31-E967-4B23-98FB-2DDD50A13EE2}">
      <text>
        <r>
          <rPr>
            <b/>
            <sz val="9"/>
            <color indexed="81"/>
            <rFont val="Tahoma"/>
            <family val="2"/>
          </rPr>
          <t>Rikki Singh:</t>
        </r>
        <r>
          <rPr>
            <sz val="9"/>
            <color indexed="81"/>
            <rFont val="Tahoma"/>
            <family val="2"/>
          </rPr>
          <t xml:space="preserve">
Use Drop Down To Select Safe or Note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F18" authorId="0" shapeId="0" xr:uid="{08FF84A6-5C78-43D5-B4FB-4424A5837B4F}">
      <text>
        <r>
          <rPr>
            <b/>
            <sz val="9"/>
            <color indexed="81"/>
            <rFont val="Tahoma"/>
            <family val="2"/>
          </rPr>
          <t>Rikki Singh:</t>
        </r>
        <r>
          <rPr>
            <sz val="9"/>
            <color indexed="81"/>
            <rFont val="Tahoma"/>
            <family val="2"/>
          </rPr>
          <t xml:space="preserve">
Enter Pre-Money Valuation Here</t>
        </r>
      </text>
    </comment>
    <comment ref="F20" authorId="0" shapeId="0" xr:uid="{72AFCE66-B967-4488-ACB4-A13EB0800CF7}">
      <text>
        <r>
          <rPr>
            <b/>
            <sz val="9"/>
            <color indexed="81"/>
            <rFont val="Tahoma"/>
            <family val="2"/>
          </rPr>
          <t>Rikki Singh:</t>
        </r>
        <r>
          <rPr>
            <sz val="9"/>
            <color indexed="81"/>
            <rFont val="Tahoma"/>
            <family val="2"/>
          </rPr>
          <t xml:space="preserve">
Enter New Series A Money Here</t>
        </r>
      </text>
    </comment>
    <comment ref="F24" authorId="0" shapeId="0" xr:uid="{8DCC3F99-882F-4406-9724-502C3063B9C6}">
      <text>
        <r>
          <rPr>
            <b/>
            <sz val="9"/>
            <color indexed="81"/>
            <rFont val="Tahoma"/>
            <family val="2"/>
          </rPr>
          <t>Rikki Singh:</t>
        </r>
        <r>
          <rPr>
            <sz val="9"/>
            <color indexed="81"/>
            <rFont val="Tahoma"/>
            <family val="2"/>
          </rPr>
          <t xml:space="preserve">
Enter Anticipated Close Date Here</t>
        </r>
      </text>
    </comment>
    <comment ref="F30" authorId="0" shapeId="0" xr:uid="{5453EF4B-5DF5-42E2-8885-733B783770C8}">
      <text>
        <r>
          <rPr>
            <b/>
            <sz val="9"/>
            <color indexed="81"/>
            <rFont val="Tahoma"/>
            <family val="2"/>
          </rPr>
          <t>Rikki Singh:</t>
        </r>
        <r>
          <rPr>
            <sz val="9"/>
            <color indexed="81"/>
            <rFont val="Tahoma"/>
            <family val="2"/>
          </rPr>
          <t xml:space="preserve">
Enter % Option Refresh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B9" authorId="0" shapeId="0" xr:uid="{A32EE8E2-BA38-4E46-B016-31483AAE7C24}">
      <text>
        <r>
          <rPr>
            <b/>
            <sz val="9"/>
            <color indexed="81"/>
            <rFont val="Tahoma"/>
            <charset val="1"/>
          </rPr>
          <t>Rikki Singh:</t>
        </r>
        <r>
          <rPr>
            <sz val="9"/>
            <color indexed="81"/>
            <rFont val="Tahoma"/>
            <charset val="1"/>
          </rPr>
          <t xml:space="preserve">
Actual shares issued out of the standard 1M that the founders allocated</t>
        </r>
      </text>
    </comment>
    <comment ref="B10" authorId="0" shapeId="0" xr:uid="{D7BDAD17-F6E9-4991-A0F9-3F908C40CACB}">
      <text>
        <r>
          <rPr>
            <b/>
            <sz val="9"/>
            <color indexed="81"/>
            <rFont val="Tahoma"/>
            <charset val="1"/>
          </rPr>
          <t>Rikki Singh:</t>
        </r>
        <r>
          <rPr>
            <sz val="9"/>
            <color indexed="81"/>
            <rFont val="Tahoma"/>
            <charset val="1"/>
          </rPr>
          <t xml:space="preserve">
Remaining shares of the standard 1M that the founders have allocated, but have not been issued to any employees</t>
        </r>
      </text>
    </comment>
    <comment ref="E12" authorId="0" shapeId="0" xr:uid="{594BFEAB-39BA-4886-B142-92BCAAB69662}">
      <text>
        <r>
          <rPr>
            <b/>
            <sz val="9"/>
            <color indexed="81"/>
            <rFont val="Tahoma"/>
            <charset val="1"/>
          </rPr>
          <t>Rikki Singh:</t>
        </r>
        <r>
          <rPr>
            <sz val="9"/>
            <color indexed="81"/>
            <rFont val="Tahoma"/>
            <charset val="1"/>
          </rPr>
          <t xml:space="preserve">
Individual investors in the form of SAFEs &amp; Notes (their shares will be diluted by New Series A money)</t>
        </r>
      </text>
    </comment>
    <comment ref="E13" authorId="0" shapeId="0" xr:uid="{AA16A083-2A14-434D-80D9-27E8DC149C41}">
      <text>
        <r>
          <rPr>
            <b/>
            <sz val="9"/>
            <color indexed="81"/>
            <rFont val="Tahoma"/>
            <charset val="1"/>
          </rPr>
          <t>Rikki Singh:</t>
        </r>
        <r>
          <rPr>
            <sz val="9"/>
            <color indexed="81"/>
            <rFont val="Tahoma"/>
            <charset val="1"/>
          </rPr>
          <t xml:space="preserve">
Actual investment that sets the post-money valuation (their shares will NOT be diluted)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6" authorId="0" shapeId="0" xr:uid="{DD90D68E-F5F3-421A-8A8B-A6813801AF43}">
      <text>
        <r>
          <rPr>
            <b/>
            <sz val="9"/>
            <color indexed="81"/>
            <rFont val="Tahoma"/>
            <family val="2"/>
          </rPr>
          <t>Rikki Singh:</t>
        </r>
        <r>
          <rPr>
            <sz val="9"/>
            <color indexed="81"/>
            <rFont val="Tahoma"/>
            <family val="2"/>
          </rPr>
          <t xml:space="preserve">
Enter Exit Value Here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Rikki Singh</author>
  </authors>
  <commentList>
    <comment ref="C18" authorId="0" shapeId="0" xr:uid="{302F0C1B-6103-486C-985A-83FECD5D1FF0}">
      <text>
        <r>
          <rPr>
            <b/>
            <sz val="9"/>
            <color indexed="81"/>
            <rFont val="Tahoma"/>
            <family val="2"/>
          </rPr>
          <t>Rikki Singh:</t>
        </r>
        <r>
          <rPr>
            <sz val="9"/>
            <color indexed="81"/>
            <rFont val="Tahoma"/>
            <family val="2"/>
          </rPr>
          <t xml:space="preserve">
Enter Scenario 1 Exit Value Here</t>
        </r>
      </text>
    </comment>
    <comment ref="C36" authorId="0" shapeId="0" xr:uid="{0B63784E-7E55-4310-85F4-ABB77AC9E25B}">
      <text>
        <r>
          <rPr>
            <b/>
            <sz val="9"/>
            <color indexed="81"/>
            <rFont val="Tahoma"/>
            <family val="2"/>
          </rPr>
          <t>Rikki Singh:</t>
        </r>
        <r>
          <rPr>
            <sz val="9"/>
            <color indexed="81"/>
            <rFont val="Tahoma"/>
            <family val="2"/>
          </rPr>
          <t xml:space="preserve">
Enter Scenario 2 Exit Value Here</t>
        </r>
      </text>
    </comment>
    <comment ref="C54" authorId="0" shapeId="0" xr:uid="{9BAB1D73-E648-458E-86C8-6F173EE49AC4}">
      <text>
        <r>
          <rPr>
            <b/>
            <sz val="9"/>
            <color indexed="81"/>
            <rFont val="Tahoma"/>
            <family val="2"/>
          </rPr>
          <t>Rikki Singh:</t>
        </r>
        <r>
          <rPr>
            <sz val="9"/>
            <color indexed="81"/>
            <rFont val="Tahoma"/>
            <family val="2"/>
          </rPr>
          <t xml:space="preserve">
Enter Scenario 3 Exit Value Here</t>
        </r>
      </text>
    </comment>
  </commentList>
</comments>
</file>

<file path=xl/sharedStrings.xml><?xml version="1.0" encoding="utf-8"?>
<sst xmlns="http://schemas.openxmlformats.org/spreadsheetml/2006/main" count="395" uniqueCount="209">
  <si>
    <t>Name</t>
  </si>
  <si>
    <t>Price</t>
  </si>
  <si>
    <t>Notes</t>
  </si>
  <si>
    <t>Totals</t>
  </si>
  <si>
    <t>Vested</t>
  </si>
  <si>
    <t>Today</t>
  </si>
  <si>
    <t>Vest Start</t>
  </si>
  <si>
    <t>Grant Date</t>
  </si>
  <si>
    <t>Shares</t>
  </si>
  <si>
    <t>Common Stock</t>
  </si>
  <si>
    <t>Vested :</t>
  </si>
  <si>
    <t>Purchase Date</t>
  </si>
  <si>
    <t>(Used for vesting calculation)</t>
  </si>
  <si>
    <t>Months Vested</t>
  </si>
  <si>
    <t>Accrued Shares</t>
  </si>
  <si>
    <t>Shares Issued</t>
  </si>
  <si>
    <t>Fully-Diluted %</t>
  </si>
  <si>
    <t>Investment Amount</t>
  </si>
  <si>
    <t>Options Outstanding</t>
  </si>
  <si>
    <t>Options Available</t>
  </si>
  <si>
    <t>Total</t>
  </si>
  <si>
    <t>Pre-Money Valuation</t>
  </si>
  <si>
    <t>Post-Money Valuation</t>
  </si>
  <si>
    <t>Anticipated Close Date</t>
  </si>
  <si>
    <t>Cap</t>
  </si>
  <si>
    <t>Pre-Money Capitalization</t>
  </si>
  <si>
    <t>Series</t>
  </si>
  <si>
    <t>Common Stock ("CS")</t>
  </si>
  <si>
    <t>Options outstanding ("Options")</t>
  </si>
  <si>
    <t>Fully-Diluted Outstanding Shares ("FDPre")</t>
  </si>
  <si>
    <t>Assumptions:</t>
  </si>
  <si>
    <t>Pre-Money Valuation ("PreMoney")</t>
  </si>
  <si>
    <t>Aggregate Investment Amount ("Investment")</t>
  </si>
  <si>
    <t>Post-Money Capitalization</t>
  </si>
  <si>
    <t>Shares available under Stock Plan</t>
  </si>
  <si>
    <t>Principal</t>
  </si>
  <si>
    <t>Discount</t>
  </si>
  <si>
    <t>Cap Price / Share</t>
  </si>
  <si>
    <t>Discount Price / Share</t>
  </si>
  <si>
    <t>Number of Shares</t>
  </si>
  <si>
    <t xml:space="preserve"> </t>
  </si>
  <si>
    <t>Interest Rate</t>
  </si>
  <si>
    <t>Pro Forma Cap Table for Series A</t>
  </si>
  <si>
    <t>Stock Options</t>
  </si>
  <si>
    <t>%</t>
  </si>
  <si>
    <t>Series A Preferred Stock (New Money +  Conversion of SAFEs)</t>
  </si>
  <si>
    <t>Total Shares Post A</t>
  </si>
  <si>
    <t>Issued :</t>
  </si>
  <si>
    <t>New SeriesA Preferred Stock</t>
  </si>
  <si>
    <t>New Series A Money</t>
  </si>
  <si>
    <t>Shares available under Stock Plan ("Pool")</t>
  </si>
  <si>
    <t xml:space="preserve">Current Capitalization </t>
  </si>
  <si>
    <t>Number of Periods</t>
  </si>
  <si>
    <t>Accrued Principal and Interest</t>
  </si>
  <si>
    <t xml:space="preserve">CN Conversion Calculator </t>
  </si>
  <si>
    <t>Outstanding</t>
  </si>
  <si>
    <t>Unallocated</t>
  </si>
  <si>
    <t>Issue Date</t>
  </si>
  <si>
    <t>Maturity Date</t>
  </si>
  <si>
    <t>Address</t>
  </si>
  <si>
    <t>Phone #</t>
  </si>
  <si>
    <t>Email Address</t>
  </si>
  <si>
    <t xml:space="preserve">Investor Contact Information </t>
  </si>
  <si>
    <t>Name of Investor</t>
  </si>
  <si>
    <t>Individual Contact Name (if different)</t>
  </si>
  <si>
    <t>Name of Grantee</t>
  </si>
  <si>
    <t>Social Security #</t>
  </si>
  <si>
    <t>Spouse's Name (if any)</t>
  </si>
  <si>
    <t>Spouse's Address (if any)</t>
  </si>
  <si>
    <t xml:space="preserve">Equity Plan Information for 83b Election </t>
  </si>
  <si>
    <t>Spouse's email</t>
  </si>
  <si>
    <t>Stock and Vesting</t>
  </si>
  <si>
    <t>n/a</t>
  </si>
  <si>
    <t>TBD</t>
  </si>
  <si>
    <t>2017 Equity Incentive Plan</t>
  </si>
  <si>
    <t>TBD, Inc.</t>
  </si>
  <si>
    <t>Totals:</t>
  </si>
  <si>
    <t>Employee #1</t>
  </si>
  <si>
    <t>New Money Series A Shares</t>
  </si>
  <si>
    <t>Fully Diluted Shares
Without SAFEs or CNs</t>
  </si>
  <si>
    <t>Option Refresh</t>
  </si>
  <si>
    <t>Total Options</t>
  </si>
  <si>
    <t>Common A</t>
  </si>
  <si>
    <t>Common B</t>
  </si>
  <si>
    <t>Series A-1</t>
  </si>
  <si>
    <t>Series A</t>
  </si>
  <si>
    <t>Stock Plan Refresh</t>
  </si>
  <si>
    <t>Converted SAFEs to Series A-1 Shares</t>
  </si>
  <si>
    <t>Fully-Diluted Outstanding &amp; Allocated Shares</t>
  </si>
  <si>
    <t>SerAPercent</t>
  </si>
  <si>
    <t>Actual Series A Price</t>
  </si>
  <si>
    <t>% Option Refresh</t>
  </si>
  <si>
    <t>Pre-Convertible Notes Price / Share</t>
  </si>
  <si>
    <t>New A Shares</t>
  </si>
  <si>
    <t>Post-A  - FD</t>
  </si>
  <si>
    <t>Vesting Notes</t>
  </si>
  <si>
    <t>Exit Value</t>
  </si>
  <si>
    <t>Price / Share</t>
  </si>
  <si>
    <t>Series A &amp; Note</t>
  </si>
  <si>
    <t>Converted Note</t>
  </si>
  <si>
    <t>Common Stock &amp; Options</t>
  </si>
  <si>
    <t>Options Refresh</t>
  </si>
  <si>
    <t>Check</t>
  </si>
  <si>
    <t>Investment - LP</t>
  </si>
  <si>
    <t>check</t>
  </si>
  <si>
    <t>FD Post A Less Options Available</t>
  </si>
  <si>
    <t>FD Post A Shares prior to refresh</t>
  </si>
  <si>
    <t>Total With Options &amp; Options Refresh
Pre-Money</t>
  </si>
  <si>
    <t>CAP Price Per Share (Outstanding Shares &amp; Options)</t>
  </si>
  <si>
    <t>Discounted Exit Price</t>
  </si>
  <si>
    <t>Discounted Exit Price Shares</t>
  </si>
  <si>
    <t>Cap Price Per Share Shares</t>
  </si>
  <si>
    <t>Max Shares</t>
  </si>
  <si>
    <t>Founder #2</t>
  </si>
  <si>
    <t>Founder #3</t>
  </si>
  <si>
    <t>Founder #4</t>
  </si>
  <si>
    <t>Founder #5</t>
  </si>
  <si>
    <t>Founder #6</t>
  </si>
  <si>
    <t>Employee #2</t>
  </si>
  <si>
    <t>Employee #3</t>
  </si>
  <si>
    <t>Employee #4</t>
  </si>
  <si>
    <t>Employee #5</t>
  </si>
  <si>
    <t>Employee #6</t>
  </si>
  <si>
    <t>Employee #7</t>
  </si>
  <si>
    <t>Employee #8</t>
  </si>
  <si>
    <t>Employee #9</t>
  </si>
  <si>
    <t>Employee #10</t>
  </si>
  <si>
    <t>Employee #11</t>
  </si>
  <si>
    <t>Employee #12</t>
  </si>
  <si>
    <t>Employee #13</t>
  </si>
  <si>
    <t>Employee #14</t>
  </si>
  <si>
    <t>Note Holder #1</t>
  </si>
  <si>
    <t>Note Holder #2</t>
  </si>
  <si>
    <t>Note Holder #3</t>
  </si>
  <si>
    <t>Note Holder #4</t>
  </si>
  <si>
    <t>Note Holder #5</t>
  </si>
  <si>
    <t>Note Holder #6</t>
  </si>
  <si>
    <t>Note Holder #7</t>
  </si>
  <si>
    <t>Note Holder #8</t>
  </si>
  <si>
    <t>Note Holder #9</t>
  </si>
  <si>
    <t>Note Holder #10</t>
  </si>
  <si>
    <t>Note Holder #11</t>
  </si>
  <si>
    <t>Note Holder #12</t>
  </si>
  <si>
    <t>Note Holder #13</t>
  </si>
  <si>
    <t>Note Holder #14</t>
  </si>
  <si>
    <t>Note Holder #15</t>
  </si>
  <si>
    <t>Note Holder #16</t>
  </si>
  <si>
    <t>Note Holder #17</t>
  </si>
  <si>
    <t>Founder #1</t>
  </si>
  <si>
    <t>Advisor #1</t>
  </si>
  <si>
    <t>Total Fully Diluted with Options Bef OR</t>
  </si>
  <si>
    <t>Low Scenario</t>
  </si>
  <si>
    <t>High Scenario</t>
  </si>
  <si>
    <t>Employee #15</t>
  </si>
  <si>
    <t>Employee #16</t>
  </si>
  <si>
    <t>Employee #17</t>
  </si>
  <si>
    <t>Employee #18</t>
  </si>
  <si>
    <t>Employee #19</t>
  </si>
  <si>
    <t>Employee #20</t>
  </si>
  <si>
    <t>Founder #7</t>
  </si>
  <si>
    <t>Founder #8</t>
  </si>
  <si>
    <t>Founder #9</t>
  </si>
  <si>
    <t>Founder #10</t>
  </si>
  <si>
    <t>Note Holder #18</t>
  </si>
  <si>
    <t>Note Holder #19</t>
  </si>
  <si>
    <t>Note Holder #20</t>
  </si>
  <si>
    <t>New Money shares</t>
  </si>
  <si>
    <t>Alternative math validation</t>
  </si>
  <si>
    <t>remaining %</t>
  </si>
  <si>
    <t>shares at remaining %</t>
  </si>
  <si>
    <t>scaled to 100%</t>
  </si>
  <si>
    <t>remaining percent after Series A</t>
  </si>
  <si>
    <t>max of the 2</t>
  </si>
  <si>
    <t>min of part 1</t>
  </si>
  <si>
    <t>part 2</t>
  </si>
  <si>
    <t>investment</t>
  </si>
  <si>
    <t>price per share</t>
  </si>
  <si>
    <t>min of the 2</t>
  </si>
  <si>
    <t>max of part 1</t>
  </si>
  <si>
    <t>Math/Logic Check</t>
  </si>
  <si>
    <t>% Breakdown</t>
  </si>
  <si>
    <t>New Total Post A Less Options 
With Option Refresh Options</t>
  </si>
  <si>
    <t>FD Post A Less Options Available 
Plus Option Refresh Options</t>
  </si>
  <si>
    <t>Options Refresh - # of Options</t>
  </si>
  <si>
    <t>dollars</t>
  </si>
  <si>
    <t>proporton of investment</t>
  </si>
  <si>
    <t>SAFEs &amp; Notes</t>
  </si>
  <si>
    <t>Series A Money</t>
  </si>
  <si>
    <t>% of investment</t>
  </si>
  <si>
    <t>Remaining after SAFEs &amp; Notes OR Converted</t>
  </si>
  <si>
    <t>SCENARIO 1</t>
  </si>
  <si>
    <t>SCENARIO 2</t>
  </si>
  <si>
    <t>SCENARIO 3</t>
  </si>
  <si>
    <t>Exit Results</t>
  </si>
  <si>
    <t>% of Common Shares</t>
  </si>
  <si>
    <t>Accrued Options</t>
  </si>
  <si>
    <t>total shares (w/o New Money) at remaining %</t>
  </si>
  <si>
    <t>total shares  (w/o New Money) scaled to 100%</t>
  </si>
  <si>
    <t>Post-A - FD</t>
  </si>
  <si>
    <t>Post-Convertible Notes Price / Share =
Pre-Money Valuation Divided By (Common + Options Outstanding + Options Avail + Options Refresh + Converted CNS or SAFES)</t>
  </si>
  <si>
    <t>Converted CNs or SAFEs to Series A-1 Shares</t>
  </si>
  <si>
    <t>Common Capitalization Table</t>
  </si>
  <si>
    <t>Waterfall Single Scenario</t>
  </si>
  <si>
    <t>Waterfall Three Scenarios</t>
  </si>
  <si>
    <t>Series A (Post-Money) Capitalization Table</t>
  </si>
  <si>
    <t>SAFE/Note</t>
  </si>
  <si>
    <t>SAFE</t>
  </si>
  <si>
    <t>Note</t>
  </si>
  <si>
    <t>Note/SAFE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</si>
</sst>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000_);_(&quot;$&quot;* \(#,##0.000\);_(&quot;$&quot;* &quot;-&quot;??_);_(@_)"/>
    <numFmt numFmtId="166" formatCode="_(&quot;$&quot;* #,##0_);_(&quot;$&quot;* \(#,##0\);_(&quot;$&quot;* &quot;-&quot;??_);_(@_)"/>
    <numFmt numFmtId="167" formatCode="_(&quot;$&quot;* #,##0.0000_);_(&quot;$&quot;* \(#,##0.0000\);_(&quot;$&quot;* &quot;-&quot;??_);_(@_)"/>
    <numFmt numFmtId="168" formatCode="0.0%"/>
    <numFmt numFmtId="169" formatCode="0.0000"/>
    <numFmt numFmtId="170" formatCode="_(&quot;$&quot;* #,##0.00000_);_(&quot;$&quot;* \(#,##0.00000\);_(&quot;$&quot;* &quot;-&quot;??_);_(@_)"/>
    <numFmt numFmtId="171" formatCode="&quot;$&quot;#,##0"/>
    <numFmt numFmtId="172" formatCode="\ mm/dd/yy"/>
    <numFmt numFmtId="173" formatCode="_(* #,##0.0000_);_(* \(#,##0.0000\);_(* &quot;-&quot;??_);_(@_)"/>
    <numFmt numFmtId="174" formatCode="&quot;$&quot;#,##0.00000"/>
    <numFmt numFmtId="175" formatCode="_(* #,##0.0_);_(* \(#,##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6"/>
      <name val="Arial"/>
      <family val="2"/>
    </font>
    <font>
      <sz val="10"/>
      <name val="Times New Roman"/>
      <family val="1"/>
    </font>
    <font>
      <sz val="10"/>
      <color indexed="8"/>
      <name val="Arial"/>
      <family val="2"/>
    </font>
    <font>
      <b/>
      <i/>
      <sz val="12"/>
      <name val="Arial"/>
      <family val="2"/>
    </font>
    <font>
      <sz val="11"/>
      <color rgb="FFFF0000"/>
      <name val="Calibri"/>
      <family val="2"/>
      <scheme val="minor"/>
    </font>
    <font>
      <b/>
      <sz val="11"/>
      <color rgb="FFFF0000"/>
      <name val="Calibri"/>
      <family val="2"/>
      <scheme val="minor"/>
    </font>
    <font>
      <sz val="11"/>
      <color rgb="FF000000"/>
      <name val="Calibri"/>
      <family val="2"/>
      <scheme val="minor"/>
    </font>
    <font>
      <sz val="11"/>
      <color indexed="8"/>
      <name val="Calibri"/>
      <family val="2"/>
      <scheme val="minor"/>
    </font>
    <font>
      <u/>
      <sz val="11"/>
      <color theme="10"/>
      <name val="Calibri"/>
      <family val="2"/>
      <scheme val="minor"/>
    </font>
    <font>
      <b/>
      <sz val="16"/>
      <color rgb="FFFF0000"/>
      <name val="Arial"/>
      <family val="2"/>
    </font>
    <font>
      <b/>
      <sz val="11"/>
      <color rgb="FF0432FF"/>
      <name val="Calibri"/>
      <family val="2"/>
      <scheme val="minor"/>
    </font>
    <font>
      <b/>
      <sz val="11"/>
      <name val="Calibri"/>
      <family val="2"/>
      <scheme val="minor"/>
    </font>
    <font>
      <b/>
      <sz val="11"/>
      <color theme="0"/>
      <name val="Calibri"/>
      <family val="2"/>
      <scheme val="minor"/>
    </font>
    <font>
      <sz val="11"/>
      <name val="Calibri"/>
      <family val="2"/>
      <scheme val="minor"/>
    </font>
    <font>
      <b/>
      <i/>
      <sz val="11"/>
      <name val="Calibri"/>
      <family val="2"/>
      <scheme val="minor"/>
    </font>
    <font>
      <i/>
      <sz val="11"/>
      <name val="Calibri"/>
      <family val="2"/>
      <scheme val="minor"/>
    </font>
    <font>
      <b/>
      <sz val="11"/>
      <color indexed="8"/>
      <name val="Calibri"/>
      <family val="2"/>
      <scheme val="minor"/>
    </font>
    <font>
      <b/>
      <sz val="11"/>
      <color rgb="FF00B05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8">
    <fill>
      <patternFill patternType="none"/>
    </fill>
    <fill>
      <patternFill patternType="gray125"/>
    </fill>
    <fill>
      <patternFill patternType="solid">
        <fgColor rgb="FFFFC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39997558519241921"/>
        <bgColor indexed="64"/>
      </patternFill>
    </fill>
  </fills>
  <borders count="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rgb="FFD9D9D9"/>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top style="thin">
        <color auto="1"/>
      </top>
      <bottom/>
      <diagonal/>
    </border>
    <border>
      <left style="medium">
        <color indexed="64"/>
      </left>
      <right/>
      <top style="thin">
        <color auto="1"/>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44"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7" fillId="0" borderId="0">
      <alignment vertical="top"/>
    </xf>
    <xf numFmtId="9" fontId="1" fillId="0" borderId="0" applyFont="0" applyFill="0" applyBorder="0" applyAlignment="0" applyProtection="0"/>
    <xf numFmtId="42" fontId="1" fillId="0" borderId="0" applyFont="0" applyFill="0" applyBorder="0" applyAlignment="0" applyProtection="0"/>
    <xf numFmtId="0" fontId="13" fillId="0" borderId="0" applyNumberFormat="0" applyFill="0" applyBorder="0" applyAlignment="0" applyProtection="0"/>
  </cellStyleXfs>
  <cellXfs count="340">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0" xfId="0" applyFont="1"/>
    <xf numFmtId="164" fontId="3" fillId="0" borderId="0" xfId="1" applyNumberFormat="1" applyFont="1" applyAlignment="1">
      <alignment horizontal="left"/>
    </xf>
    <xf numFmtId="164" fontId="0" fillId="0" borderId="0" xfId="1" applyNumberFormat="1" applyFont="1"/>
    <xf numFmtId="165" fontId="3" fillId="0" borderId="0" xfId="2" applyNumberFormat="1" applyFont="1" applyAlignment="1">
      <alignment horizontal="left"/>
    </xf>
    <xf numFmtId="165" fontId="0" fillId="0" borderId="0" xfId="2" applyNumberFormat="1" applyFont="1"/>
    <xf numFmtId="0" fontId="3" fillId="0" borderId="0" xfId="0" applyFont="1" applyAlignment="1">
      <alignment horizontal="center"/>
    </xf>
    <xf numFmtId="0" fontId="0" fillId="0" borderId="0" xfId="0" applyFont="1" applyAlignment="1">
      <alignment horizontal="center"/>
    </xf>
    <xf numFmtId="0" fontId="0" fillId="0" borderId="0" xfId="0" applyAlignment="1">
      <alignment horizontal="center"/>
    </xf>
    <xf numFmtId="0" fontId="2" fillId="0" borderId="1" xfId="0" applyFont="1" applyBorder="1" applyAlignment="1">
      <alignment horizontal="center"/>
    </xf>
    <xf numFmtId="14" fontId="0" fillId="0" borderId="0" xfId="0" applyNumberFormat="1" applyFont="1"/>
    <xf numFmtId="44" fontId="0" fillId="0" borderId="0" xfId="2" applyNumberFormat="1" applyFont="1" applyAlignment="1">
      <alignment horizontal="center"/>
    </xf>
    <xf numFmtId="164" fontId="3" fillId="0" borderId="0" xfId="1" applyNumberFormat="1" applyFont="1" applyAlignment="1">
      <alignment horizontal="center"/>
    </xf>
    <xf numFmtId="165" fontId="3" fillId="0" borderId="0" xfId="2" applyNumberFormat="1" applyFont="1" applyAlignment="1">
      <alignment horizontal="center"/>
    </xf>
    <xf numFmtId="164" fontId="0" fillId="0" borderId="0" xfId="1" applyNumberFormat="1" applyFont="1" applyBorder="1"/>
    <xf numFmtId="17" fontId="0" fillId="0" borderId="0" xfId="0" applyNumberFormat="1" applyFont="1" applyAlignment="1">
      <alignment horizontal="center"/>
    </xf>
    <xf numFmtId="0" fontId="2" fillId="0" borderId="0" xfId="0" applyFont="1" applyBorder="1" applyAlignment="1">
      <alignment horizontal="center"/>
    </xf>
    <xf numFmtId="0" fontId="2" fillId="2" borderId="0" xfId="0" applyFont="1" applyFill="1" applyAlignment="1">
      <alignment horizontal="center"/>
    </xf>
    <xf numFmtId="0" fontId="4" fillId="0" borderId="0" xfId="3" applyFont="1"/>
    <xf numFmtId="0" fontId="4" fillId="0" borderId="0" xfId="3"/>
    <xf numFmtId="0" fontId="5" fillId="0" borderId="0" xfId="3" applyFont="1" applyAlignment="1">
      <alignment horizontal="left"/>
    </xf>
    <xf numFmtId="42" fontId="4" fillId="0" borderId="0" xfId="3" applyNumberFormat="1" applyFont="1" applyBorder="1"/>
    <xf numFmtId="0" fontId="4" fillId="0" borderId="0" xfId="3" applyFont="1" applyFill="1" applyBorder="1"/>
    <xf numFmtId="0" fontId="6" fillId="0" borderId="0" xfId="3" applyFont="1"/>
    <xf numFmtId="10" fontId="6" fillId="0" borderId="0" xfId="4" applyNumberFormat="1" applyFont="1"/>
    <xf numFmtId="10" fontId="0" fillId="0" borderId="0" xfId="10" applyNumberFormat="1" applyFont="1"/>
    <xf numFmtId="10" fontId="0" fillId="0" borderId="0" xfId="10" applyNumberFormat="1" applyFont="1" applyBorder="1"/>
    <xf numFmtId="0" fontId="8" fillId="0" borderId="0" xfId="3" applyFont="1" applyBorder="1"/>
    <xf numFmtId="10" fontId="3" fillId="0" borderId="0" xfId="10" applyNumberFormat="1" applyFont="1" applyAlignment="1">
      <alignment horizontal="center"/>
    </xf>
    <xf numFmtId="165" fontId="0" fillId="0" borderId="0" xfId="2" applyNumberFormat="1" applyFont="1" applyBorder="1"/>
    <xf numFmtId="0" fontId="0" fillId="0" borderId="0" xfId="0" applyBorder="1" applyAlignment="1">
      <alignment horizontal="center"/>
    </xf>
    <xf numFmtId="0" fontId="0" fillId="0" borderId="0" xfId="0" applyBorder="1"/>
    <xf numFmtId="164" fontId="0" fillId="0" borderId="0" xfId="1" applyNumberFormat="1" applyFont="1" applyBorder="1" applyAlignment="1">
      <alignment horizontal="center"/>
    </xf>
    <xf numFmtId="0" fontId="2" fillId="0" borderId="0" xfId="0" applyFont="1" applyFill="1" applyBorder="1" applyAlignment="1">
      <alignment horizontal="center"/>
    </xf>
    <xf numFmtId="0" fontId="8" fillId="0" borderId="0" xfId="3" applyFont="1"/>
    <xf numFmtId="164" fontId="0" fillId="0" borderId="0" xfId="1" applyNumberFormat="1" applyFont="1" applyFill="1" applyBorder="1"/>
    <xf numFmtId="10" fontId="3" fillId="0" borderId="0" xfId="10" applyNumberFormat="1" applyFont="1" applyAlignment="1">
      <alignment horizontal="left"/>
    </xf>
    <xf numFmtId="0" fontId="2" fillId="4" borderId="0" xfId="0" applyFont="1" applyFill="1"/>
    <xf numFmtId="0" fontId="2" fillId="0" borderId="0" xfId="0" applyFont="1" applyAlignment="1">
      <alignment wrapText="1"/>
    </xf>
    <xf numFmtId="0" fontId="0" fillId="0" borderId="0" xfId="0" applyAlignment="1">
      <alignment wrapText="1"/>
    </xf>
    <xf numFmtId="0" fontId="2" fillId="4" borderId="0" xfId="0" applyFont="1" applyFill="1" applyAlignment="1">
      <alignment wrapText="1"/>
    </xf>
    <xf numFmtId="0" fontId="13" fillId="0" borderId="0" xfId="12" applyAlignment="1">
      <alignment wrapText="1"/>
    </xf>
    <xf numFmtId="42" fontId="12" fillId="0" borderId="0" xfId="11" applyFont="1" applyFill="1" applyAlignment="1">
      <alignment horizontal="left" vertical="top"/>
    </xf>
    <xf numFmtId="44" fontId="4" fillId="0" borderId="0" xfId="3" applyNumberFormat="1"/>
    <xf numFmtId="164" fontId="0" fillId="0" borderId="0" xfId="1" applyNumberFormat="1" applyFont="1" applyFill="1"/>
    <xf numFmtId="10" fontId="0" fillId="0" borderId="0" xfId="10" applyNumberFormat="1" applyFont="1" applyFill="1"/>
    <xf numFmtId="0" fontId="0" fillId="0" borderId="0" xfId="0" applyFont="1" applyFill="1" applyAlignment="1">
      <alignment horizontal="center" wrapText="1"/>
    </xf>
    <xf numFmtId="14" fontId="9" fillId="0" borderId="18" xfId="0" applyNumberFormat="1" applyFont="1" applyFill="1" applyBorder="1"/>
    <xf numFmtId="0" fontId="0" fillId="0" borderId="0" xfId="0" applyFont="1" applyFill="1" applyAlignment="1">
      <alignment horizontal="center"/>
    </xf>
    <xf numFmtId="165" fontId="0" fillId="0" borderId="0" xfId="2" applyNumberFormat="1" applyFont="1" applyFill="1"/>
    <xf numFmtId="164" fontId="0" fillId="0" borderId="2" xfId="1" applyNumberFormat="1" applyFont="1" applyFill="1" applyBorder="1"/>
    <xf numFmtId="10" fontId="0" fillId="0" borderId="2" xfId="10" applyNumberFormat="1" applyFont="1" applyFill="1" applyBorder="1"/>
    <xf numFmtId="164" fontId="0" fillId="0" borderId="3" xfId="1" applyNumberFormat="1" applyFont="1" applyFill="1" applyBorder="1"/>
    <xf numFmtId="164" fontId="3" fillId="0" borderId="0" xfId="1" applyNumberFormat="1" applyFont="1" applyFill="1" applyAlignment="1">
      <alignment horizontal="center"/>
    </xf>
    <xf numFmtId="165" fontId="3" fillId="0" borderId="0" xfId="2" applyNumberFormat="1" applyFont="1" applyFill="1" applyAlignment="1">
      <alignment horizontal="center"/>
    </xf>
    <xf numFmtId="0" fontId="3" fillId="0" borderId="0" xfId="0" applyFont="1" applyFill="1" applyAlignment="1">
      <alignment horizontal="center"/>
    </xf>
    <xf numFmtId="14" fontId="9" fillId="0" borderId="0" xfId="0" applyNumberFormat="1" applyFont="1" applyFill="1" applyBorder="1"/>
    <xf numFmtId="0" fontId="14" fillId="0" borderId="0" xfId="3" applyFont="1"/>
    <xf numFmtId="14" fontId="11" fillId="0" borderId="0" xfId="0" applyNumberFormat="1" applyFont="1" applyBorder="1" applyAlignment="1">
      <alignment horizontal="center" vertical="top" wrapText="1"/>
    </xf>
    <xf numFmtId="42" fontId="11" fillId="0" borderId="0" xfId="11" applyFont="1" applyBorder="1" applyAlignment="1">
      <alignment horizontal="left" vertical="top" wrapText="1"/>
    </xf>
    <xf numFmtId="41" fontId="11" fillId="0" borderId="0" xfId="7" applyFont="1" applyBorder="1" applyAlignment="1">
      <alignment horizontal="right"/>
    </xf>
    <xf numFmtId="164" fontId="9" fillId="6" borderId="0" xfId="1" applyNumberFormat="1" applyFont="1" applyFill="1"/>
    <xf numFmtId="14" fontId="9" fillId="6" borderId="18" xfId="0" applyNumberFormat="1" applyFont="1" applyFill="1" applyBorder="1"/>
    <xf numFmtId="164" fontId="10" fillId="6" borderId="18" xfId="1" applyNumberFormat="1" applyFont="1" applyFill="1" applyBorder="1"/>
    <xf numFmtId="42" fontId="10" fillId="6" borderId="21" xfId="11" applyFont="1" applyFill="1" applyBorder="1" applyAlignment="1">
      <alignment horizontal="left" vertical="top" wrapText="1"/>
    </xf>
    <xf numFmtId="42" fontId="4" fillId="0" borderId="0" xfId="3" applyNumberFormat="1" applyFont="1" applyFill="1" applyBorder="1"/>
    <xf numFmtId="0" fontId="5" fillId="0" borderId="0" xfId="3" applyFont="1" applyFill="1" applyBorder="1" applyAlignment="1">
      <alignment horizontal="left"/>
    </xf>
    <xf numFmtId="164" fontId="2" fillId="0" borderId="22" xfId="1" applyNumberFormat="1" applyFont="1" applyBorder="1"/>
    <xf numFmtId="164" fontId="0" fillId="0" borderId="22" xfId="1" applyNumberFormat="1" applyFont="1" applyFill="1" applyBorder="1"/>
    <xf numFmtId="17" fontId="9" fillId="6" borderId="0" xfId="0" applyNumberFormat="1" applyFont="1" applyFill="1" applyAlignment="1">
      <alignment horizontal="center"/>
    </xf>
    <xf numFmtId="174" fontId="0" fillId="0" borderId="0" xfId="2" applyNumberFormat="1" applyFont="1" applyFill="1"/>
    <xf numFmtId="9" fontId="10" fillId="6" borderId="0" xfId="10" applyFont="1" applyFill="1" applyBorder="1" applyAlignment="1"/>
    <xf numFmtId="41" fontId="10" fillId="6" borderId="20" xfId="7" applyFont="1" applyFill="1" applyBorder="1" applyAlignment="1">
      <alignment horizontal="right"/>
    </xf>
    <xf numFmtId="22" fontId="0" fillId="0" borderId="0" xfId="0" applyNumberFormat="1" applyFont="1"/>
    <xf numFmtId="43" fontId="0" fillId="0" borderId="0" xfId="0" applyNumberFormat="1" applyFont="1" applyAlignment="1">
      <alignment horizontal="center"/>
    </xf>
    <xf numFmtId="2" fontId="0" fillId="0" borderId="0" xfId="0" applyNumberFormat="1" applyFont="1" applyFill="1" applyAlignment="1">
      <alignment horizontal="center"/>
    </xf>
    <xf numFmtId="0" fontId="0" fillId="0" borderId="0" xfId="0" applyFont="1" applyFill="1"/>
    <xf numFmtId="0" fontId="0" fillId="0" borderId="2" xfId="0" applyFont="1" applyFill="1" applyBorder="1" applyAlignment="1">
      <alignment horizontal="right"/>
    </xf>
    <xf numFmtId="0" fontId="0" fillId="0" borderId="0" xfId="0" applyFont="1" applyAlignment="1">
      <alignment horizontal="right"/>
    </xf>
    <xf numFmtId="43" fontId="0" fillId="0" borderId="0" xfId="0" applyNumberFormat="1" applyFont="1"/>
    <xf numFmtId="17" fontId="0" fillId="0" borderId="22" xfId="0" applyNumberFormat="1" applyFont="1" applyBorder="1" applyAlignment="1">
      <alignment horizontal="center"/>
    </xf>
    <xf numFmtId="2" fontId="0" fillId="0" borderId="0" xfId="0" applyNumberFormat="1" applyFont="1" applyAlignment="1">
      <alignment horizontal="center"/>
    </xf>
    <xf numFmtId="14" fontId="0" fillId="0" borderId="0" xfId="0" applyNumberFormat="1" applyFont="1" applyAlignment="1">
      <alignment horizontal="center" vertical="center"/>
    </xf>
    <xf numFmtId="0" fontId="0" fillId="0" borderId="0" xfId="0" applyFont="1" applyBorder="1" applyAlignment="1">
      <alignment horizontal="center"/>
    </xf>
    <xf numFmtId="0" fontId="0" fillId="0" borderId="0" xfId="0" applyFont="1" applyBorder="1" applyAlignment="1">
      <alignment horizontal="right"/>
    </xf>
    <xf numFmtId="0" fontId="0" fillId="0" borderId="0" xfId="0" applyFont="1" applyBorder="1"/>
    <xf numFmtId="0" fontId="11" fillId="0" borderId="0" xfId="0" applyFont="1" applyAlignment="1">
      <alignment vertical="center"/>
    </xf>
    <xf numFmtId="0" fontId="9" fillId="6" borderId="0" xfId="0" applyFont="1" applyFill="1" applyAlignment="1">
      <alignment vertical="center"/>
    </xf>
    <xf numFmtId="0" fontId="0" fillId="0" borderId="0" xfId="0" applyFont="1" applyAlignment="1">
      <alignment vertical="center"/>
    </xf>
    <xf numFmtId="0" fontId="0" fillId="0" borderId="2" xfId="0" applyFont="1" applyBorder="1" applyAlignment="1">
      <alignment horizontal="right" vertical="center"/>
    </xf>
    <xf numFmtId="0" fontId="0" fillId="0" borderId="0" xfId="0" applyFont="1" applyBorder="1" applyAlignment="1">
      <alignment vertical="center"/>
    </xf>
    <xf numFmtId="0" fontId="9" fillId="0" borderId="0" xfId="0" applyFont="1" applyAlignment="1">
      <alignment vertical="center"/>
    </xf>
    <xf numFmtId="0" fontId="11" fillId="0" borderId="22" xfId="0" applyFont="1" applyBorder="1" applyAlignment="1">
      <alignment vertical="center"/>
    </xf>
    <xf numFmtId="0" fontId="0" fillId="0" borderId="0" xfId="0" applyFont="1" applyBorder="1" applyAlignment="1">
      <alignment horizontal="left" vertical="center" indent="1"/>
    </xf>
    <xf numFmtId="0" fontId="2" fillId="0" borderId="22" xfId="0" applyFont="1" applyFill="1" applyBorder="1" applyAlignment="1">
      <alignment vertical="center"/>
    </xf>
    <xf numFmtId="0" fontId="0" fillId="0" borderId="0" xfId="0" applyFont="1" applyBorder="1" applyAlignment="1">
      <alignment horizontal="right" vertical="center"/>
    </xf>
    <xf numFmtId="164" fontId="1" fillId="0" borderId="0" xfId="1" applyNumberFormat="1" applyFont="1" applyBorder="1"/>
    <xf numFmtId="0" fontId="18" fillId="0" borderId="0" xfId="3" applyFont="1"/>
    <xf numFmtId="10" fontId="18" fillId="0" borderId="0" xfId="4" applyNumberFormat="1" applyFont="1"/>
    <xf numFmtId="0" fontId="18" fillId="0" borderId="5" xfId="3" applyFont="1" applyBorder="1"/>
    <xf numFmtId="0" fontId="18" fillId="0" borderId="6" xfId="3" applyFont="1" applyBorder="1"/>
    <xf numFmtId="0" fontId="18" fillId="0" borderId="7" xfId="3" applyFont="1" applyBorder="1"/>
    <xf numFmtId="0" fontId="18" fillId="0" borderId="0" xfId="3" applyFont="1" applyBorder="1"/>
    <xf numFmtId="0" fontId="19" fillId="0" borderId="8" xfId="3" applyFont="1" applyBorder="1"/>
    <xf numFmtId="0" fontId="18" fillId="0" borderId="9" xfId="3" applyFont="1" applyBorder="1"/>
    <xf numFmtId="0" fontId="18" fillId="0" borderId="8" xfId="3" applyFont="1" applyBorder="1"/>
    <xf numFmtId="0" fontId="16" fillId="0" borderId="4" xfId="3" applyFont="1" applyBorder="1" applyAlignment="1">
      <alignment horizontal="center"/>
    </xf>
    <xf numFmtId="10" fontId="16" fillId="0" borderId="10" xfId="4" applyNumberFormat="1" applyFont="1" applyBorder="1" applyAlignment="1">
      <alignment horizontal="center"/>
    </xf>
    <xf numFmtId="0" fontId="16" fillId="0" borderId="8" xfId="3" applyFont="1" applyBorder="1"/>
    <xf numFmtId="10" fontId="18" fillId="0" borderId="9" xfId="4" applyNumberFormat="1" applyFont="1" applyBorder="1"/>
    <xf numFmtId="164" fontId="18" fillId="0" borderId="0" xfId="5" applyNumberFormat="1" applyFont="1" applyFill="1" applyBorder="1"/>
    <xf numFmtId="9" fontId="18" fillId="0" borderId="0" xfId="3" applyNumberFormat="1" applyFont="1" applyBorder="1"/>
    <xf numFmtId="0" fontId="18" fillId="0" borderId="0" xfId="3" applyFont="1" applyFill="1" applyBorder="1"/>
    <xf numFmtId="10" fontId="18" fillId="0" borderId="0" xfId="3" applyNumberFormat="1" applyFont="1" applyBorder="1"/>
    <xf numFmtId="164" fontId="18" fillId="0" borderId="0" xfId="8" applyNumberFormat="1" applyFont="1" applyFill="1" applyBorder="1"/>
    <xf numFmtId="0" fontId="16" fillId="0" borderId="11" xfId="3" applyFont="1" applyBorder="1"/>
    <xf numFmtId="0" fontId="16" fillId="0" borderId="12" xfId="3" applyFont="1" applyBorder="1"/>
    <xf numFmtId="0" fontId="18" fillId="0" borderId="13" xfId="3" applyFont="1" applyBorder="1"/>
    <xf numFmtId="164" fontId="18" fillId="0" borderId="13" xfId="5" applyNumberFormat="1" applyFont="1" applyBorder="1"/>
    <xf numFmtId="10" fontId="18" fillId="0" borderId="14" xfId="4" applyNumberFormat="1" applyFont="1" applyFill="1" applyBorder="1"/>
    <xf numFmtId="0" fontId="18" fillId="0" borderId="15" xfId="3" applyFont="1" applyBorder="1"/>
    <xf numFmtId="0" fontId="18" fillId="0" borderId="16" xfId="3" applyFont="1" applyBorder="1"/>
    <xf numFmtId="0" fontId="18" fillId="0" borderId="17" xfId="3" applyFont="1" applyBorder="1"/>
    <xf numFmtId="0" fontId="16" fillId="0" borderId="0" xfId="3" applyFont="1"/>
    <xf numFmtId="0" fontId="18" fillId="0" borderId="0" xfId="3" applyFont="1" applyFill="1"/>
    <xf numFmtId="0" fontId="20" fillId="0" borderId="0" xfId="3" applyFont="1"/>
    <xf numFmtId="166" fontId="18" fillId="0" borderId="0" xfId="6" applyNumberFormat="1" applyFont="1" applyFill="1"/>
    <xf numFmtId="10" fontId="16" fillId="0" borderId="0" xfId="4" applyNumberFormat="1" applyFont="1" applyAlignment="1">
      <alignment horizontal="center"/>
    </xf>
    <xf numFmtId="0" fontId="19" fillId="0" borderId="0" xfId="3" applyFont="1" applyBorder="1"/>
    <xf numFmtId="166" fontId="18" fillId="0" borderId="0" xfId="2" applyNumberFormat="1" applyFont="1" applyBorder="1"/>
    <xf numFmtId="0" fontId="16" fillId="0" borderId="0" xfId="3" applyFont="1" applyBorder="1"/>
    <xf numFmtId="0" fontId="16" fillId="0" borderId="5" xfId="3" applyFont="1" applyBorder="1" applyAlignment="1">
      <alignment horizontal="center"/>
    </xf>
    <xf numFmtId="0" fontId="16" fillId="0" borderId="6" xfId="3" applyFont="1" applyBorder="1" applyAlignment="1">
      <alignment horizontal="center"/>
    </xf>
    <xf numFmtId="10" fontId="16" fillId="0" borderId="6" xfId="4" applyNumberFormat="1" applyFont="1" applyBorder="1" applyAlignment="1">
      <alignment horizontal="center"/>
    </xf>
    <xf numFmtId="0" fontId="16" fillId="0" borderId="6" xfId="3" applyFont="1" applyBorder="1"/>
    <xf numFmtId="10" fontId="16" fillId="0" borderId="6" xfId="4" applyNumberFormat="1" applyFont="1" applyBorder="1"/>
    <xf numFmtId="0" fontId="16" fillId="0" borderId="7" xfId="3" applyFont="1" applyBorder="1"/>
    <xf numFmtId="10" fontId="18" fillId="0" borderId="0" xfId="4" applyNumberFormat="1" applyFont="1" applyBorder="1"/>
    <xf numFmtId="164" fontId="18" fillId="0" borderId="0" xfId="4" applyNumberFormat="1" applyFont="1" applyBorder="1"/>
    <xf numFmtId="10" fontId="18" fillId="0" borderId="9" xfId="10" applyNumberFormat="1" applyFont="1" applyBorder="1"/>
    <xf numFmtId="164" fontId="18" fillId="0" borderId="0" xfId="5" applyNumberFormat="1" applyFont="1" applyBorder="1"/>
    <xf numFmtId="41" fontId="18" fillId="0" borderId="0" xfId="4" applyNumberFormat="1" applyFont="1" applyBorder="1"/>
    <xf numFmtId="41" fontId="18" fillId="0" borderId="0" xfId="3" applyNumberFormat="1" applyFont="1" applyBorder="1"/>
    <xf numFmtId="9" fontId="18" fillId="0" borderId="9" xfId="10" applyFont="1" applyBorder="1"/>
    <xf numFmtId="164" fontId="18" fillId="0" borderId="16" xfId="5" applyNumberFormat="1" applyFont="1" applyBorder="1"/>
    <xf numFmtId="10" fontId="18" fillId="0" borderId="16" xfId="4" applyNumberFormat="1" applyFont="1" applyBorder="1"/>
    <xf numFmtId="164" fontId="18" fillId="0" borderId="16" xfId="4" applyNumberFormat="1" applyFont="1" applyBorder="1"/>
    <xf numFmtId="9" fontId="18" fillId="0" borderId="17" xfId="3" applyNumberFormat="1" applyFont="1" applyBorder="1"/>
    <xf numFmtId="42" fontId="18" fillId="0" borderId="0" xfId="3" applyNumberFormat="1" applyFont="1" applyBorder="1"/>
    <xf numFmtId="42" fontId="18" fillId="0" borderId="0" xfId="3" applyNumberFormat="1" applyFont="1" applyFill="1" applyBorder="1"/>
    <xf numFmtId="0" fontId="17" fillId="3" borderId="0" xfId="3" applyFont="1" applyFill="1" applyBorder="1" applyAlignment="1">
      <alignment horizontal="center"/>
    </xf>
    <xf numFmtId="0" fontId="17" fillId="3" borderId="0" xfId="3" applyFont="1" applyFill="1" applyBorder="1" applyAlignment="1">
      <alignment horizontal="center" wrapText="1"/>
    </xf>
    <xf numFmtId="0" fontId="17" fillId="0" borderId="0" xfId="3" applyFont="1" applyFill="1" applyBorder="1" applyAlignment="1">
      <alignment horizontal="center" wrapText="1"/>
    </xf>
    <xf numFmtId="0" fontId="16" fillId="0" borderId="4" xfId="3" applyFont="1" applyBorder="1"/>
    <xf numFmtId="0" fontId="16" fillId="0" borderId="4" xfId="3" applyFont="1" applyBorder="1" applyAlignment="1">
      <alignment horizontal="center" wrapText="1"/>
    </xf>
    <xf numFmtId="0" fontId="16" fillId="0" borderId="0" xfId="3" applyFont="1" applyFill="1" applyBorder="1" applyAlignment="1">
      <alignment horizontal="center" wrapText="1"/>
    </xf>
    <xf numFmtId="164" fontId="18" fillId="0" borderId="0" xfId="1" applyNumberFormat="1" applyFont="1" applyFill="1" applyBorder="1"/>
    <xf numFmtId="166" fontId="18" fillId="0" borderId="0" xfId="2" applyNumberFormat="1" applyFont="1" applyFill="1" applyBorder="1"/>
    <xf numFmtId="164" fontId="18" fillId="0" borderId="1" xfId="1" applyNumberFormat="1" applyFont="1" applyFill="1" applyBorder="1"/>
    <xf numFmtId="164" fontId="18" fillId="0" borderId="18" xfId="1" applyNumberFormat="1" applyFont="1" applyFill="1" applyBorder="1"/>
    <xf numFmtId="166" fontId="18" fillId="0" borderId="18" xfId="2" applyNumberFormat="1" applyFont="1" applyFill="1" applyBorder="1"/>
    <xf numFmtId="166" fontId="15" fillId="6" borderId="0" xfId="2" applyNumberFormat="1" applyFont="1" applyFill="1"/>
    <xf numFmtId="166" fontId="18" fillId="0" borderId="0" xfId="2" applyNumberFormat="1" applyFont="1"/>
    <xf numFmtId="44" fontId="18" fillId="0" borderId="0" xfId="2" applyFont="1"/>
    <xf numFmtId="44" fontId="18" fillId="0" borderId="0" xfId="2" applyFont="1" applyFill="1"/>
    <xf numFmtId="166" fontId="18" fillId="0" borderId="0" xfId="3" applyNumberFormat="1" applyFont="1" applyFill="1"/>
    <xf numFmtId="166" fontId="18" fillId="0" borderId="0" xfId="2" applyNumberFormat="1" applyFont="1" applyFill="1"/>
    <xf numFmtId="0" fontId="18" fillId="0" borderId="0" xfId="3" applyFont="1" applyFill="1" applyAlignment="1">
      <alignment horizontal="left" indent="1"/>
    </xf>
    <xf numFmtId="0" fontId="18" fillId="0" borderId="0" xfId="3" applyFont="1" applyAlignment="1">
      <alignment horizontal="left" indent="1"/>
    </xf>
    <xf numFmtId="164" fontId="18" fillId="0" borderId="0" xfId="1" applyNumberFormat="1" applyFont="1"/>
    <xf numFmtId="166" fontId="18" fillId="0" borderId="0" xfId="3" applyNumberFormat="1" applyFont="1"/>
    <xf numFmtId="164" fontId="18" fillId="0" borderId="0" xfId="3" applyNumberFormat="1" applyFont="1"/>
    <xf numFmtId="43" fontId="18" fillId="0" borderId="0" xfId="3" applyNumberFormat="1" applyFont="1"/>
    <xf numFmtId="168" fontId="1" fillId="0" borderId="0" xfId="4" applyNumberFormat="1" applyFont="1" applyFill="1" applyBorder="1"/>
    <xf numFmtId="0" fontId="17" fillId="3" borderId="0" xfId="3" applyFont="1" applyFill="1" applyBorder="1" applyAlignment="1">
      <alignment horizontal="centerContinuous"/>
    </xf>
    <xf numFmtId="0" fontId="17" fillId="3" borderId="0" xfId="3" applyFont="1" applyFill="1" applyBorder="1" applyAlignment="1">
      <alignment horizontal="centerContinuous" wrapText="1"/>
    </xf>
    <xf numFmtId="9" fontId="18" fillId="0" borderId="0" xfId="4" applyNumberFormat="1" applyFont="1" applyFill="1" applyBorder="1"/>
    <xf numFmtId="168" fontId="18" fillId="0" borderId="0" xfId="4" applyNumberFormat="1" applyFont="1" applyFill="1" applyBorder="1"/>
    <xf numFmtId="10" fontId="18" fillId="0" borderId="0" xfId="10" applyNumberFormat="1" applyFont="1" applyBorder="1"/>
    <xf numFmtId="10" fontId="18" fillId="0" borderId="0" xfId="3" applyNumberFormat="1" applyFont="1"/>
    <xf numFmtId="10" fontId="18" fillId="0" borderId="0" xfId="4" applyNumberFormat="1" applyFont="1" applyFill="1" applyBorder="1"/>
    <xf numFmtId="10" fontId="18" fillId="0" borderId="0" xfId="10" applyNumberFormat="1" applyFont="1"/>
    <xf numFmtId="9" fontId="18" fillId="0" borderId="0" xfId="10" applyFont="1" applyBorder="1"/>
    <xf numFmtId="41" fontId="18" fillId="0" borderId="0" xfId="10" applyNumberFormat="1" applyFont="1" applyBorder="1"/>
    <xf numFmtId="44" fontId="18" fillId="0" borderId="0" xfId="2" applyFont="1" applyFill="1" applyBorder="1"/>
    <xf numFmtId="168" fontId="18" fillId="0" borderId="2" xfId="4" applyNumberFormat="1" applyFont="1" applyFill="1" applyBorder="1"/>
    <xf numFmtId="0" fontId="18" fillId="0" borderId="2" xfId="3" applyFont="1" applyFill="1" applyBorder="1"/>
    <xf numFmtId="166" fontId="18" fillId="5" borderId="2" xfId="2" applyNumberFormat="1" applyFont="1" applyFill="1" applyBorder="1"/>
    <xf numFmtId="164" fontId="18" fillId="0" borderId="2" xfId="5" applyNumberFormat="1" applyFont="1" applyBorder="1"/>
    <xf numFmtId="10" fontId="18" fillId="0" borderId="3" xfId="3" applyNumberFormat="1" applyFont="1" applyBorder="1"/>
    <xf numFmtId="10" fontId="18" fillId="0" borderId="0" xfId="3" applyNumberFormat="1" applyFont="1" applyFill="1" applyBorder="1"/>
    <xf numFmtId="168" fontId="18" fillId="0" borderId="0" xfId="10" applyNumberFormat="1" applyFont="1"/>
    <xf numFmtId="43" fontId="18" fillId="0" borderId="0" xfId="1" applyFont="1" applyFill="1"/>
    <xf numFmtId="9" fontId="18" fillId="0" borderId="0" xfId="10" applyFont="1"/>
    <xf numFmtId="37" fontId="18" fillId="0" borderId="0" xfId="3" applyNumberFormat="1" applyFont="1" applyFill="1"/>
    <xf numFmtId="166" fontId="10" fillId="6" borderId="18" xfId="6" applyNumberFormat="1" applyFont="1" applyFill="1" applyBorder="1"/>
    <xf numFmtId="166" fontId="10" fillId="0" borderId="0" xfId="6" applyNumberFormat="1" applyFont="1" applyFill="1" applyBorder="1"/>
    <xf numFmtId="169" fontId="18" fillId="0" borderId="0" xfId="3" applyNumberFormat="1" applyFont="1" applyFill="1"/>
    <xf numFmtId="170" fontId="18" fillId="0" borderId="0" xfId="3" applyNumberFormat="1" applyFont="1" applyFill="1" applyBorder="1"/>
    <xf numFmtId="170" fontId="18" fillId="0" borderId="0" xfId="3" applyNumberFormat="1" applyFont="1" applyBorder="1"/>
    <xf numFmtId="44" fontId="18" fillId="0" borderId="0" xfId="3" applyNumberFormat="1" applyFont="1"/>
    <xf numFmtId="167" fontId="18" fillId="0" borderId="0" xfId="3" applyNumberFormat="1" applyFont="1" applyFill="1" applyBorder="1"/>
    <xf numFmtId="166" fontId="10" fillId="6" borderId="18" xfId="3" applyNumberFormat="1" applyFont="1" applyFill="1" applyBorder="1"/>
    <xf numFmtId="166" fontId="10" fillId="0" borderId="0" xfId="3" applyNumberFormat="1" applyFont="1" applyFill="1" applyBorder="1"/>
    <xf numFmtId="171" fontId="18" fillId="0" borderId="0" xfId="3" applyNumberFormat="1" applyFont="1" applyFill="1"/>
    <xf numFmtId="10" fontId="18" fillId="0" borderId="0" xfId="4" applyNumberFormat="1" applyFont="1" applyFill="1"/>
    <xf numFmtId="43" fontId="18" fillId="0" borderId="0" xfId="1" applyFont="1"/>
    <xf numFmtId="14" fontId="10" fillId="6" borderId="18" xfId="6" applyNumberFormat="1" applyFont="1" applyFill="1" applyBorder="1"/>
    <xf numFmtId="14" fontId="10" fillId="0" borderId="0" xfId="6" applyNumberFormat="1" applyFont="1" applyFill="1" applyBorder="1"/>
    <xf numFmtId="44" fontId="18" fillId="0" borderId="18" xfId="2" applyFont="1" applyFill="1" applyBorder="1"/>
    <xf numFmtId="166" fontId="10" fillId="0" borderId="0" xfId="2" applyNumberFormat="1" applyFont="1" applyFill="1" applyBorder="1"/>
    <xf numFmtId="175" fontId="18" fillId="0" borderId="0" xfId="1" applyNumberFormat="1" applyFont="1"/>
    <xf numFmtId="9" fontId="10" fillId="0" borderId="0" xfId="6" applyNumberFormat="1" applyFont="1" applyFill="1" applyBorder="1"/>
    <xf numFmtId="164" fontId="10" fillId="0" borderId="0" xfId="1" applyNumberFormat="1" applyFont="1" applyFill="1" applyBorder="1"/>
    <xf numFmtId="0" fontId="16" fillId="6" borderId="0" xfId="3" applyFont="1" applyFill="1"/>
    <xf numFmtId="14" fontId="9" fillId="6" borderId="0" xfId="0" applyNumberFormat="1" applyFont="1" applyFill="1" applyAlignment="1">
      <alignment horizontal="center"/>
    </xf>
    <xf numFmtId="44" fontId="1" fillId="0" borderId="0" xfId="6" applyFont="1"/>
    <xf numFmtId="164" fontId="1" fillId="0" borderId="0" xfId="5" applyNumberFormat="1" applyFont="1" applyBorder="1"/>
    <xf numFmtId="44" fontId="1" fillId="0" borderId="0" xfId="2" applyFont="1" applyFill="1" applyBorder="1"/>
    <xf numFmtId="164" fontId="1" fillId="0" borderId="0" xfId="5" applyNumberFormat="1" applyFont="1"/>
    <xf numFmtId="168" fontId="1" fillId="0" borderId="0" xfId="10" applyNumberFormat="1" applyFont="1"/>
    <xf numFmtId="9" fontId="1" fillId="0" borderId="0" xfId="10" applyFont="1" applyBorder="1" applyAlignment="1"/>
    <xf numFmtId="9" fontId="1" fillId="0" borderId="0" xfId="4" applyFont="1"/>
    <xf numFmtId="166" fontId="1" fillId="0" borderId="0" xfId="6" applyNumberFormat="1" applyFont="1"/>
    <xf numFmtId="164" fontId="1" fillId="0" borderId="0" xfId="1" applyNumberFormat="1" applyFont="1" applyFill="1" applyBorder="1"/>
    <xf numFmtId="0" fontId="18" fillId="0" borderId="1" xfId="3" applyFont="1" applyBorder="1"/>
    <xf numFmtId="44" fontId="18" fillId="0" borderId="3" xfId="3" applyNumberFormat="1" applyFont="1" applyFill="1" applyBorder="1"/>
    <xf numFmtId="0" fontId="3" fillId="0" borderId="0" xfId="3" applyFont="1" applyAlignment="1">
      <alignment horizontal="center" vertical="center" wrapText="1"/>
    </xf>
    <xf numFmtId="0" fontId="3" fillId="0" borderId="4" xfId="3" applyFont="1" applyBorder="1" applyAlignment="1">
      <alignment horizontal="center" vertical="center" wrapText="1"/>
    </xf>
    <xf numFmtId="0" fontId="9" fillId="6" borderId="0" xfId="9" applyFont="1" applyFill="1" applyAlignment="1">
      <alignment horizontal="left" vertical="top"/>
    </xf>
    <xf numFmtId="9" fontId="18" fillId="0" borderId="0" xfId="10" applyFont="1" applyFill="1" applyBorder="1" applyAlignment="1">
      <alignment horizontal="center" vertical="top"/>
    </xf>
    <xf numFmtId="173" fontId="12" fillId="0" borderId="0" xfId="5" applyNumberFormat="1" applyFont="1" applyBorder="1" applyAlignment="1">
      <alignment horizontal="center" vertical="top"/>
    </xf>
    <xf numFmtId="0" fontId="12" fillId="0" borderId="0" xfId="9" applyFont="1" applyAlignment="1">
      <alignment horizontal="left" vertical="top"/>
    </xf>
    <xf numFmtId="172" fontId="12" fillId="0" borderId="0" xfId="9" applyNumberFormat="1" applyFont="1" applyAlignment="1">
      <alignment horizontal="center" vertical="top"/>
    </xf>
    <xf numFmtId="166" fontId="12" fillId="0" borderId="0" xfId="6" applyNumberFormat="1" applyFont="1" applyAlignment="1">
      <alignment horizontal="center" vertical="top"/>
    </xf>
    <xf numFmtId="173" fontId="12" fillId="0" borderId="0" xfId="5" applyNumberFormat="1" applyFont="1" applyAlignment="1">
      <alignment horizontal="center" vertical="top"/>
    </xf>
    <xf numFmtId="166" fontId="21" fillId="0" borderId="0" xfId="4" applyNumberFormat="1" applyFont="1" applyAlignment="1">
      <alignment horizontal="center" vertical="top"/>
    </xf>
    <xf numFmtId="168" fontId="18" fillId="0" borderId="0" xfId="3" applyNumberFormat="1" applyFont="1"/>
    <xf numFmtId="0" fontId="18" fillId="0" borderId="0" xfId="3" applyFont="1" applyAlignment="1">
      <alignment horizontal="center"/>
    </xf>
    <xf numFmtId="0" fontId="12" fillId="0" borderId="0" xfId="9" applyFont="1" applyFill="1" applyAlignment="1">
      <alignment horizontal="left" vertical="top"/>
    </xf>
    <xf numFmtId="14" fontId="12" fillId="0" borderId="0" xfId="9" applyNumberFormat="1" applyFont="1" applyFill="1" applyAlignment="1">
      <alignment horizontal="center" vertical="top"/>
    </xf>
    <xf numFmtId="0" fontId="12" fillId="0" borderId="0" xfId="9" applyFont="1" applyAlignment="1">
      <alignment horizontal="center" vertical="top"/>
    </xf>
    <xf numFmtId="164" fontId="18" fillId="0" borderId="0" xfId="3" applyNumberFormat="1" applyFont="1" applyFill="1" applyBorder="1"/>
    <xf numFmtId="9" fontId="18" fillId="0" borderId="0" xfId="3" applyNumberFormat="1" applyFont="1"/>
    <xf numFmtId="42" fontId="10" fillId="0" borderId="0" xfId="11" applyFont="1" applyFill="1" applyAlignment="1">
      <alignment horizontal="left" vertical="top"/>
    </xf>
    <xf numFmtId="17" fontId="0" fillId="7" borderId="0" xfId="0" applyNumberFormat="1" applyFont="1" applyFill="1" applyAlignment="1">
      <alignment horizontal="center"/>
    </xf>
    <xf numFmtId="164" fontId="2" fillId="0" borderId="2" xfId="1" applyNumberFormat="1" applyFont="1" applyFill="1" applyBorder="1"/>
    <xf numFmtId="164" fontId="22" fillId="0" borderId="0" xfId="1" applyNumberFormat="1" applyFont="1"/>
    <xf numFmtId="0" fontId="18" fillId="8" borderId="8" xfId="3" applyFont="1" applyFill="1" applyBorder="1"/>
    <xf numFmtId="0" fontId="18" fillId="9" borderId="8" xfId="3" applyFont="1" applyFill="1" applyBorder="1"/>
    <xf numFmtId="0" fontId="18" fillId="10" borderId="8" xfId="3" applyFont="1" applyFill="1" applyBorder="1"/>
    <xf numFmtId="0" fontId="18" fillId="11" borderId="8" xfId="3" applyFont="1" applyFill="1" applyBorder="1"/>
    <xf numFmtId="0" fontId="0" fillId="6" borderId="0" xfId="0" applyFont="1" applyFill="1" applyAlignment="1">
      <alignment vertical="center"/>
    </xf>
    <xf numFmtId="164" fontId="0" fillId="0" borderId="0" xfId="10" applyNumberFormat="1" applyFont="1" applyBorder="1"/>
    <xf numFmtId="164" fontId="1" fillId="10" borderId="0" xfId="5" applyNumberFormat="1" applyFont="1" applyFill="1" applyBorder="1"/>
    <xf numFmtId="41" fontId="18" fillId="10" borderId="0" xfId="3" applyNumberFormat="1" applyFont="1" applyFill="1" applyBorder="1"/>
    <xf numFmtId="164" fontId="18" fillId="10" borderId="0" xfId="1" applyNumberFormat="1" applyFont="1" applyFill="1" applyBorder="1"/>
    <xf numFmtId="41" fontId="18" fillId="12" borderId="0" xfId="3" applyNumberFormat="1" applyFont="1" applyFill="1" applyBorder="1"/>
    <xf numFmtId="164" fontId="18" fillId="12" borderId="0" xfId="1" applyNumberFormat="1" applyFont="1" applyFill="1" applyBorder="1"/>
    <xf numFmtId="164" fontId="18" fillId="12" borderId="0" xfId="3" applyNumberFormat="1" applyFont="1" applyFill="1"/>
    <xf numFmtId="9" fontId="0" fillId="0" borderId="0" xfId="0" applyNumberFormat="1" applyFont="1" applyAlignment="1">
      <alignment horizontal="center"/>
    </xf>
    <xf numFmtId="164" fontId="0" fillId="13" borderId="0" xfId="1" applyNumberFormat="1" applyFont="1" applyFill="1"/>
    <xf numFmtId="164" fontId="0" fillId="13" borderId="0" xfId="0" applyNumberFormat="1" applyFont="1" applyFill="1" applyBorder="1" applyAlignment="1">
      <alignment horizontal="center"/>
    </xf>
    <xf numFmtId="164" fontId="0" fillId="13" borderId="0" xfId="1" applyNumberFormat="1" applyFont="1" applyFill="1" applyBorder="1"/>
    <xf numFmtId="164" fontId="0" fillId="0" borderId="0" xfId="0" applyNumberFormat="1" applyFont="1" applyAlignment="1">
      <alignment horizontal="center"/>
    </xf>
    <xf numFmtId="44" fontId="12" fillId="14" borderId="0" xfId="4" applyNumberFormat="1" applyFont="1" applyFill="1" applyAlignment="1">
      <alignment horizontal="center" vertical="top"/>
    </xf>
    <xf numFmtId="166" fontId="18" fillId="10" borderId="0" xfId="3" applyNumberFormat="1" applyFont="1" applyFill="1"/>
    <xf numFmtId="166" fontId="18" fillId="8" borderId="0" xfId="3" applyNumberFormat="1" applyFont="1" applyFill="1"/>
    <xf numFmtId="166" fontId="18" fillId="9" borderId="0" xfId="3" applyNumberFormat="1" applyFont="1" applyFill="1"/>
    <xf numFmtId="166" fontId="18" fillId="8" borderId="0" xfId="2" applyNumberFormat="1" applyFont="1" applyFill="1"/>
    <xf numFmtId="166" fontId="18" fillId="5" borderId="0" xfId="2" applyNumberFormat="1" applyFont="1" applyFill="1" applyBorder="1"/>
    <xf numFmtId="166" fontId="18" fillId="0" borderId="0" xfId="3" applyNumberFormat="1" applyFont="1" applyFill="1" applyBorder="1"/>
    <xf numFmtId="166" fontId="18" fillId="9" borderId="0" xfId="3" applyNumberFormat="1" applyFont="1" applyFill="1" applyBorder="1"/>
    <xf numFmtId="166" fontId="18" fillId="8" borderId="0" xfId="2" applyNumberFormat="1" applyFont="1" applyFill="1" applyBorder="1"/>
    <xf numFmtId="0" fontId="16" fillId="0" borderId="0" xfId="3" applyFont="1" applyFill="1"/>
    <xf numFmtId="166" fontId="18" fillId="10" borderId="0" xfId="2" applyNumberFormat="1" applyFont="1" applyFill="1" applyBorder="1"/>
    <xf numFmtId="0" fontId="17" fillId="3" borderId="0" xfId="3" applyFont="1" applyFill="1" applyBorder="1" applyAlignment="1">
      <alignment horizontal="center" wrapText="1"/>
    </xf>
    <xf numFmtId="0" fontId="0" fillId="0" borderId="0" xfId="0" applyFont="1" applyBorder="1" applyAlignment="1">
      <alignment horizontal="left" vertical="center" wrapText="1" indent="1"/>
    </xf>
    <xf numFmtId="9" fontId="15" fillId="5" borderId="0" xfId="10" applyFont="1" applyFill="1"/>
    <xf numFmtId="164" fontId="18" fillId="0" borderId="7" xfId="3" applyNumberFormat="1" applyFont="1" applyBorder="1"/>
    <xf numFmtId="164" fontId="18" fillId="0" borderId="9" xfId="3" applyNumberFormat="1" applyFont="1" applyBorder="1"/>
    <xf numFmtId="0" fontId="18" fillId="0" borderId="8" xfId="3" applyFont="1" applyBorder="1" applyAlignment="1">
      <alignment wrapText="1"/>
    </xf>
    <xf numFmtId="164" fontId="18" fillId="0" borderId="9" xfId="1" applyNumberFormat="1" applyFont="1" applyBorder="1"/>
    <xf numFmtId="0" fontId="2" fillId="0" borderId="23" xfId="0" applyFont="1" applyFill="1" applyBorder="1" applyAlignment="1">
      <alignment vertical="center"/>
    </xf>
    <xf numFmtId="164" fontId="18" fillId="0" borderId="17" xfId="3" applyNumberFormat="1" applyFont="1" applyBorder="1"/>
    <xf numFmtId="164" fontId="18" fillId="2" borderId="0" xfId="1" applyNumberFormat="1" applyFont="1" applyFill="1" applyBorder="1"/>
    <xf numFmtId="0" fontId="17" fillId="3" borderId="0" xfId="3" applyFont="1" applyFill="1" applyBorder="1" applyAlignment="1">
      <alignment horizontal="center" wrapText="1"/>
    </xf>
    <xf numFmtId="164" fontId="18" fillId="0" borderId="0" xfId="3" applyNumberFormat="1" applyFont="1" applyBorder="1"/>
    <xf numFmtId="43" fontId="18" fillId="0" borderId="0" xfId="3" applyNumberFormat="1" applyFont="1" applyBorder="1"/>
    <xf numFmtId="9" fontId="18" fillId="0" borderId="0" xfId="10" applyNumberFormat="1" applyFont="1" applyBorder="1"/>
    <xf numFmtId="0" fontId="18" fillId="0" borderId="24" xfId="3" applyFont="1" applyBorder="1"/>
    <xf numFmtId="0" fontId="16" fillId="0" borderId="24" xfId="3" applyFont="1" applyBorder="1"/>
    <xf numFmtId="0" fontId="16" fillId="0" borderId="26" xfId="3" applyFont="1" applyBorder="1"/>
    <xf numFmtId="44" fontId="16" fillId="0" borderId="27" xfId="3" applyNumberFormat="1" applyFont="1" applyBorder="1"/>
    <xf numFmtId="166" fontId="18" fillId="8" borderId="25" xfId="3" applyNumberFormat="1" applyFont="1" applyFill="1" applyBorder="1"/>
    <xf numFmtId="0" fontId="18" fillId="0" borderId="28" xfId="3" applyFont="1" applyBorder="1"/>
    <xf numFmtId="166" fontId="18" fillId="8" borderId="29" xfId="3" applyNumberFormat="1" applyFont="1" applyFill="1" applyBorder="1"/>
    <xf numFmtId="0" fontId="18" fillId="0" borderId="29" xfId="3" applyFont="1" applyBorder="1"/>
    <xf numFmtId="44" fontId="18" fillId="0" borderId="29" xfId="3" applyNumberFormat="1" applyFont="1" applyBorder="1"/>
    <xf numFmtId="0" fontId="18" fillId="0" borderId="28" xfId="3" applyFont="1" applyFill="1" applyBorder="1"/>
    <xf numFmtId="166" fontId="18" fillId="2" borderId="29" xfId="3" applyNumberFormat="1" applyFont="1" applyFill="1" applyBorder="1"/>
    <xf numFmtId="0" fontId="18" fillId="0" borderId="26" xfId="3" applyFont="1" applyFill="1" applyBorder="1"/>
    <xf numFmtId="166" fontId="18" fillId="2" borderId="27" xfId="3" applyNumberFormat="1" applyFont="1" applyFill="1" applyBorder="1"/>
    <xf numFmtId="166" fontId="18" fillId="0" borderId="29" xfId="3" applyNumberFormat="1" applyFont="1" applyBorder="1"/>
    <xf numFmtId="166" fontId="18" fillId="10" borderId="29" xfId="3" applyNumberFormat="1" applyFont="1" applyFill="1" applyBorder="1"/>
    <xf numFmtId="166" fontId="16" fillId="0" borderId="29" xfId="3" applyNumberFormat="1" applyFont="1" applyBorder="1"/>
    <xf numFmtId="0" fontId="16" fillId="15" borderId="0" xfId="3" applyFont="1" applyFill="1"/>
    <xf numFmtId="0" fontId="18" fillId="11" borderId="0" xfId="3" applyFont="1" applyFill="1" applyBorder="1"/>
    <xf numFmtId="164" fontId="18" fillId="11" borderId="0" xfId="1" applyNumberFormat="1" applyFont="1" applyFill="1" applyBorder="1"/>
    <xf numFmtId="166" fontId="18" fillId="11" borderId="0" xfId="2" applyNumberFormat="1" applyFont="1" applyFill="1" applyBorder="1"/>
    <xf numFmtId="0" fontId="18" fillId="16" borderId="0" xfId="3" applyFont="1" applyFill="1" applyBorder="1"/>
    <xf numFmtId="164" fontId="18" fillId="16" borderId="0" xfId="1" applyNumberFormat="1" applyFont="1" applyFill="1" applyBorder="1"/>
    <xf numFmtId="166" fontId="18" fillId="16" borderId="0" xfId="2" applyNumberFormat="1" applyFont="1" applyFill="1" applyBorder="1"/>
    <xf numFmtId="0" fontId="18" fillId="17" borderId="0" xfId="3" applyFont="1" applyFill="1" applyBorder="1"/>
    <xf numFmtId="164" fontId="18" fillId="17" borderId="0" xfId="1" applyNumberFormat="1" applyFont="1" applyFill="1" applyBorder="1"/>
    <xf numFmtId="166" fontId="18" fillId="17" borderId="0" xfId="2" applyNumberFormat="1" applyFont="1" applyFill="1" applyBorder="1"/>
    <xf numFmtId="0" fontId="18" fillId="0" borderId="30" xfId="3" applyFont="1" applyBorder="1"/>
    <xf numFmtId="166" fontId="18" fillId="0" borderId="31" xfId="3" applyNumberFormat="1" applyFont="1" applyBorder="1"/>
    <xf numFmtId="0" fontId="18" fillId="0" borderId="31" xfId="3" applyFont="1" applyBorder="1"/>
    <xf numFmtId="166" fontId="18" fillId="0" borderId="31" xfId="2" applyNumberFormat="1" applyFont="1" applyBorder="1"/>
    <xf numFmtId="166" fontId="18" fillId="0" borderId="32" xfId="2" applyNumberFormat="1" applyFont="1" applyBorder="1"/>
    <xf numFmtId="166" fontId="18" fillId="0" borderId="28" xfId="3" applyNumberFormat="1" applyFont="1" applyBorder="1"/>
    <xf numFmtId="166" fontId="18" fillId="0" borderId="28" xfId="2" applyNumberFormat="1" applyFont="1" applyBorder="1"/>
    <xf numFmtId="166" fontId="18" fillId="0" borderId="26" xfId="2" applyNumberFormat="1" applyFont="1" applyBorder="1"/>
    <xf numFmtId="0" fontId="18" fillId="0" borderId="33" xfId="3" applyFont="1" applyBorder="1"/>
    <xf numFmtId="41" fontId="18" fillId="0" borderId="0" xfId="3" applyNumberFormat="1" applyFont="1" applyFill="1" applyBorder="1"/>
    <xf numFmtId="164" fontId="18" fillId="0" borderId="2" xfId="5" applyNumberFormat="1" applyFont="1" applyFill="1" applyBorder="1"/>
    <xf numFmtId="0" fontId="20" fillId="0" borderId="0" xfId="3" applyFont="1" applyAlignment="1">
      <alignment wrapText="1"/>
    </xf>
    <xf numFmtId="14" fontId="9" fillId="6" borderId="19" xfId="0" applyNumberFormat="1" applyFont="1" applyFill="1" applyBorder="1" applyAlignment="1">
      <alignment horizontal="center" vertical="top" wrapText="1"/>
    </xf>
    <xf numFmtId="9" fontId="10" fillId="6" borderId="0" xfId="10" applyFont="1" applyFill="1" applyBorder="1" applyAlignment="1">
      <alignment horizontal="center" vertical="top"/>
    </xf>
    <xf numFmtId="9" fontId="10" fillId="6" borderId="18" xfId="10" applyFont="1" applyFill="1" applyBorder="1"/>
    <xf numFmtId="166" fontId="10" fillId="6" borderId="18" xfId="2" applyNumberFormat="1" applyFont="1" applyFill="1" applyBorder="1"/>
    <xf numFmtId="14" fontId="18" fillId="0" borderId="19" xfId="0" applyNumberFormat="1" applyFont="1" applyFill="1" applyBorder="1" applyAlignment="1">
      <alignment horizontal="center" vertical="top" wrapText="1"/>
    </xf>
    <xf numFmtId="14" fontId="18" fillId="0" borderId="0" xfId="9" applyNumberFormat="1" applyFont="1" applyFill="1" applyAlignment="1">
      <alignment horizontal="center" vertical="top"/>
    </xf>
    <xf numFmtId="9" fontId="18" fillId="0" borderId="0" xfId="3" applyNumberFormat="1" applyFont="1" applyFill="1"/>
    <xf numFmtId="0" fontId="14" fillId="6" borderId="18" xfId="3" applyFont="1" applyFill="1" applyBorder="1"/>
    <xf numFmtId="0" fontId="17" fillId="3" borderId="0" xfId="3" applyFont="1" applyFill="1" applyBorder="1" applyAlignment="1">
      <alignment horizontal="center" wrapText="1"/>
    </xf>
    <xf numFmtId="0" fontId="17" fillId="0" borderId="0" xfId="3" applyFont="1" applyFill="1" applyBorder="1" applyAlignment="1">
      <alignment horizontal="center"/>
    </xf>
  </cellXfs>
  <cellStyles count="13">
    <cellStyle name="Comma" xfId="1" builtinId="3"/>
    <cellStyle name="Comma [0] 2" xfId="7" xr:uid="{00000000-0005-0000-0000-000001000000}"/>
    <cellStyle name="Comma 2" xfId="5" xr:uid="{00000000-0005-0000-0000-000002000000}"/>
    <cellStyle name="Comma 6" xfId="8" xr:uid="{00000000-0005-0000-0000-000003000000}"/>
    <cellStyle name="Currency" xfId="2" builtinId="4"/>
    <cellStyle name="Currency [0]" xfId="11" builtinId="7"/>
    <cellStyle name="Currency 2" xfId="6" xr:uid="{00000000-0005-0000-0000-000006000000}"/>
    <cellStyle name="Hyperlink" xfId="12" builtinId="8"/>
    <cellStyle name="Normal" xfId="0" builtinId="0"/>
    <cellStyle name="Normal 2" xfId="3" xr:uid="{00000000-0005-0000-0000-000009000000}"/>
    <cellStyle name="Normal 2 2" xfId="9" xr:uid="{00000000-0005-0000-0000-00000A000000}"/>
    <cellStyle name="Percent" xfId="10" builtinId="5"/>
    <cellStyle name="Percent 2" xfId="4" xr:uid="{00000000-0005-0000-0000-00000C00000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409575</xdr:colOff>
      <xdr:row>1</xdr:row>
      <xdr:rowOff>66674</xdr:rowOff>
    </xdr:from>
    <xdr:to>
      <xdr:col>25</xdr:col>
      <xdr:colOff>0</xdr:colOff>
      <xdr:row>76</xdr:row>
      <xdr:rowOff>38099</xdr:rowOff>
    </xdr:to>
    <xdr:sp macro="" textlink="">
      <xdr:nvSpPr>
        <xdr:cNvPr id="2" name="TextBox 1">
          <a:extLst>
            <a:ext uri="{FF2B5EF4-FFF2-40B4-BE49-F238E27FC236}">
              <a16:creationId xmlns:a16="http://schemas.microsoft.com/office/drawing/2014/main" id="{6ADD559E-3F0A-4083-B81C-CD717158DA22}"/>
            </a:ext>
          </a:extLst>
        </xdr:cNvPr>
        <xdr:cNvSpPr txBox="1"/>
      </xdr:nvSpPr>
      <xdr:spPr>
        <a:xfrm>
          <a:off x="409575" y="257174"/>
          <a:ext cx="16417925" cy="14258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Debt-Equity Model is an Excel spreadsheet for venture capital-funded startups.  This Model enables founders to model and track their company’s common stock grants, stock options, convertible notes, and SAFEs, visualize and anticipate how the convertible notes and SAFEs convert on a Series A, pre-money Series A valuation, and post-money Series A valuation, and understand the post-money Series A cap table for all equity holders, as well as exit or waterfall scenarios.  Founders can model option refreshes, dilution, and fully diluted capitalization, as well as conceptualize how much equity they will hang onto after a Series A financing.  The Model was created by angel investment firm, Blue Heron Ventures, for its own angel investments and has since been implemented as a proprietary tool by venture and startup law firm, O&amp;A, P.C.  The Model is intended for use prior to Carta or Capshare and will then enable the tracking of Carta’s and Capshare’s accuracy on a going forward basis.  Blue Heron Ventures is now open-sourcing the Debt-Equity Model under the creative commons license under CCO 1.0 http://creativecommons.org/publicdomain/zero/1.0/.  For more info https://www.startupcaptables.com</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Note to Reader: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workbook contains the complete Equity Debt Model.  These are the instructions to filling out the model.  There are 6 key tabs (listed in order as provided in the model):</a:t>
          </a:r>
        </a:p>
        <a:p>
          <a:r>
            <a:rPr lang="en-US" sz="1100">
              <a:solidFill>
                <a:schemeClr val="dk1"/>
              </a:solidFill>
              <a:effectLst/>
              <a:latin typeface="+mn-lt"/>
              <a:ea typeface="+mn-ea"/>
              <a:cs typeface="+mn-cs"/>
            </a:rPr>
            <a:t> </a:t>
          </a:r>
        </a:p>
        <a:p>
          <a:pPr marL="228600" lvl="0" indent="-228600">
            <a:buFont typeface="+mj-lt"/>
            <a:buAutoNum type="arabicPeriod"/>
          </a:pPr>
          <a:r>
            <a:rPr lang="en-US" sz="1100">
              <a:solidFill>
                <a:schemeClr val="dk1"/>
              </a:solidFill>
              <a:effectLst/>
              <a:latin typeface="+mn-lt"/>
              <a:ea typeface="+mn-ea"/>
              <a:cs typeface="+mn-cs"/>
            </a:rPr>
            <a:t>Common</a:t>
          </a:r>
        </a:p>
        <a:p>
          <a:pPr marL="228600" lvl="0" indent="-228600">
            <a:buFont typeface="+mj-lt"/>
            <a:buAutoNum type="arabicPeriod"/>
          </a:pPr>
          <a:r>
            <a:rPr lang="en-US" sz="1100">
              <a:solidFill>
                <a:schemeClr val="dk1"/>
              </a:solidFill>
              <a:effectLst/>
              <a:latin typeface="+mn-lt"/>
              <a:ea typeface="+mn-ea"/>
              <a:cs typeface="+mn-cs"/>
            </a:rPr>
            <a:t>SAFEs &amp; Notes</a:t>
          </a:r>
        </a:p>
        <a:p>
          <a:pPr marL="228600" lvl="0" indent="-228600">
            <a:buFont typeface="+mj-lt"/>
            <a:buAutoNum type="arabicPeriod"/>
          </a:pPr>
          <a:r>
            <a:rPr lang="en-US" sz="1100">
              <a:solidFill>
                <a:schemeClr val="dk1"/>
              </a:solidFill>
              <a:effectLst/>
              <a:latin typeface="+mn-lt"/>
              <a:ea typeface="+mn-ea"/>
              <a:cs typeface="+mn-cs"/>
            </a:rPr>
            <a:t>Pro Forma – Series A Inputs</a:t>
          </a:r>
        </a:p>
        <a:p>
          <a:pPr marL="228600" lvl="0" indent="-228600">
            <a:buFont typeface="+mj-lt"/>
            <a:buAutoNum type="arabicPeriod"/>
          </a:pPr>
          <a:r>
            <a:rPr lang="en-US" sz="1100">
              <a:solidFill>
                <a:schemeClr val="dk1"/>
              </a:solidFill>
              <a:effectLst/>
              <a:latin typeface="+mn-lt"/>
              <a:ea typeface="+mn-ea"/>
              <a:cs typeface="+mn-cs"/>
            </a:rPr>
            <a:t>Post Money Cap Table</a:t>
          </a:r>
        </a:p>
        <a:p>
          <a:pPr marL="228600" lvl="0" indent="-228600">
            <a:buFont typeface="+mj-lt"/>
            <a:buAutoNum type="arabicPeriod"/>
          </a:pPr>
          <a:r>
            <a:rPr lang="en-US" sz="1100">
              <a:solidFill>
                <a:schemeClr val="dk1"/>
              </a:solidFill>
              <a:effectLst/>
              <a:latin typeface="+mn-lt"/>
              <a:ea typeface="+mn-ea"/>
              <a:cs typeface="+mn-cs"/>
            </a:rPr>
            <a:t>Waterfall – Single Scenario</a:t>
          </a:r>
        </a:p>
        <a:p>
          <a:pPr marL="228600" lvl="0" indent="-228600">
            <a:buFont typeface="+mj-lt"/>
            <a:buAutoNum type="arabicPeriod"/>
          </a:pPr>
          <a:r>
            <a:rPr lang="en-US" sz="1100">
              <a:solidFill>
                <a:schemeClr val="dk1"/>
              </a:solidFill>
              <a:effectLst/>
              <a:latin typeface="+mn-lt"/>
              <a:ea typeface="+mn-ea"/>
              <a:cs typeface="+mn-cs"/>
            </a:rPr>
            <a:t>Waterfall – Three Scenarios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Each tab will be discussed individually in the order above.  As you become more familiar with the model, you will fill it out in the order you want.  For the purposes of these instructions and for the sake of organization, we will stick with order provided.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a general rule, anything that is highlighted in yellow with red text can be changed.  These are the model inputs.  DO NOT modify the format of the cells (e.g. change something “general” to “text” or “number” to “text”, etc.).  This will inevitably result in cascading impacts that can break the model.  Leave all cell formats as-is.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Common</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Cell A1 is the name of your company.  Enter the name in this cell</a:t>
          </a:r>
        </a:p>
        <a:p>
          <a:pPr marL="171450" lvl="0" indent="-171450">
            <a:buFont typeface="Arial" panose="020B0604020202020204" pitchFamily="34" charset="0"/>
            <a:buChar char="•"/>
          </a:pPr>
          <a:r>
            <a:rPr lang="en-US" sz="1100">
              <a:solidFill>
                <a:schemeClr val="dk1"/>
              </a:solidFill>
              <a:effectLst/>
              <a:latin typeface="+mn-lt"/>
              <a:ea typeface="+mn-ea"/>
              <a:cs typeface="+mn-cs"/>
            </a:rPr>
            <a:t>In the Common Stock section (rows 8:18), you will enter in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Name of the person receiving the stock, the purchase date of the stock, the number of shares, and the vest start date</a:t>
          </a:r>
        </a:p>
        <a:p>
          <a:pPr marL="171450" lvl="0" indent="-171450">
            <a:buFont typeface="Arial" panose="020B0604020202020204" pitchFamily="34" charset="0"/>
            <a:buChar char="•"/>
          </a:pPr>
          <a:r>
            <a:rPr lang="en-US" sz="1100">
              <a:solidFill>
                <a:schemeClr val="dk1"/>
              </a:solidFill>
              <a:effectLst/>
              <a:latin typeface="+mn-lt"/>
              <a:ea typeface="+mn-ea"/>
              <a:cs typeface="+mn-cs"/>
            </a:rPr>
            <a:t>In the Stock Options sections (rows 23:44), you will enter the following:</a:t>
          </a:r>
        </a:p>
        <a:p>
          <a:pPr marL="628650" lvl="1" indent="-171450">
            <a:buFont typeface="Arial" panose="020B0604020202020204" pitchFamily="34" charset="0"/>
            <a:buChar char="•"/>
          </a:pPr>
          <a:r>
            <a:rPr lang="en-US" sz="1100">
              <a:solidFill>
                <a:schemeClr val="dk1"/>
              </a:solidFill>
              <a:effectLst/>
              <a:latin typeface="+mn-lt"/>
              <a:ea typeface="+mn-ea"/>
              <a:cs typeface="+mn-cs"/>
            </a:rPr>
            <a:t>Cell D23 is the total Equity Incentive Plan – this is the total pool of stock you have set aside for your employees</a:t>
          </a:r>
        </a:p>
        <a:p>
          <a:pPr marL="1085850" lvl="2" indent="-171450">
            <a:buFont typeface="Arial" panose="020B0604020202020204" pitchFamily="34" charset="0"/>
            <a:buChar char="•"/>
          </a:pPr>
          <a:r>
            <a:rPr lang="en-US" sz="1100">
              <a:solidFill>
                <a:schemeClr val="dk1"/>
              </a:solidFill>
              <a:effectLst/>
              <a:latin typeface="+mn-lt"/>
              <a:ea typeface="+mn-ea"/>
              <a:cs typeface="+mn-cs"/>
            </a:rPr>
            <a:t>There is no grant date or vest start date for this number</a:t>
          </a:r>
        </a:p>
        <a:p>
          <a:pPr marL="628650" lvl="1" indent="-171450">
            <a:buFont typeface="Arial" panose="020B0604020202020204" pitchFamily="34" charset="0"/>
            <a:buChar char="•"/>
          </a:pPr>
          <a:r>
            <a:rPr lang="en-US" sz="1100">
              <a:solidFill>
                <a:schemeClr val="dk1"/>
              </a:solidFill>
              <a:effectLst/>
              <a:latin typeface="+mn-lt"/>
              <a:ea typeface="+mn-ea"/>
              <a:cs typeface="+mn-cs"/>
            </a:rPr>
            <a:t>For the rest of the rows you will fill out the employee name, the grant date, the shares (which cannot be more than the Equity Incentive Plan), and the vest start date</a:t>
          </a:r>
        </a:p>
        <a:p>
          <a:r>
            <a:rPr lang="en-US" sz="1100">
              <a:solidFill>
                <a:schemeClr val="dk1"/>
              </a:solidFill>
              <a:effectLst/>
              <a:latin typeface="+mn-lt"/>
              <a:ea typeface="+mn-ea"/>
              <a:cs typeface="+mn-cs"/>
            </a:rPr>
            <a:t> </a:t>
          </a: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SAFEs &amp; Notes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 rows (5:24)</a:t>
          </a:r>
        </a:p>
        <a:p>
          <a:pPr marL="171450" lvl="0" indent="-171450">
            <a:buFont typeface="Arial" panose="020B0604020202020204" pitchFamily="34" charset="0"/>
            <a:buChar char="•"/>
          </a:pPr>
          <a:r>
            <a:rPr lang="en-US" sz="1100">
              <a:solidFill>
                <a:schemeClr val="dk1"/>
              </a:solidFill>
              <a:effectLst/>
              <a:latin typeface="+mn-lt"/>
              <a:ea typeface="+mn-ea"/>
              <a:cs typeface="+mn-cs"/>
            </a:rPr>
            <a:t>Enter the note/SAFE holder name, select with a dropdown SAFE or Note, the issue date, the principal, interest rate, discount, and cap.</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should be touched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Pro-Forma – Series A Inputs</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4 cells:</a:t>
          </a:r>
        </a:p>
        <a:p>
          <a:pPr marL="628650" lvl="1" indent="-171450">
            <a:buFont typeface="Arial" panose="020B0604020202020204" pitchFamily="34" charset="0"/>
            <a:buChar char="•"/>
          </a:pPr>
          <a:r>
            <a:rPr lang="en-US" sz="1100">
              <a:solidFill>
                <a:schemeClr val="dk1"/>
              </a:solidFill>
              <a:effectLst/>
              <a:latin typeface="+mn-lt"/>
              <a:ea typeface="+mn-ea"/>
              <a:cs typeface="+mn-cs"/>
            </a:rPr>
            <a:t>F18, the Pre-Money Valuation</a:t>
          </a:r>
        </a:p>
        <a:p>
          <a:pPr marL="628650" lvl="1" indent="-171450">
            <a:buFont typeface="Arial" panose="020B0604020202020204" pitchFamily="34" charset="0"/>
            <a:buChar char="•"/>
          </a:pPr>
          <a:r>
            <a:rPr lang="en-US" sz="1100">
              <a:solidFill>
                <a:schemeClr val="dk1"/>
              </a:solidFill>
              <a:effectLst/>
              <a:latin typeface="+mn-lt"/>
              <a:ea typeface="+mn-ea"/>
              <a:cs typeface="+mn-cs"/>
            </a:rPr>
            <a:t>F20, the New Series A Money</a:t>
          </a:r>
        </a:p>
        <a:p>
          <a:pPr marL="628650" lvl="1" indent="-171450">
            <a:buFont typeface="Arial" panose="020B0604020202020204" pitchFamily="34" charset="0"/>
            <a:buChar char="•"/>
          </a:pPr>
          <a:r>
            <a:rPr lang="en-US" sz="1100">
              <a:solidFill>
                <a:schemeClr val="dk1"/>
              </a:solidFill>
              <a:effectLst/>
              <a:latin typeface="+mn-lt"/>
              <a:ea typeface="+mn-ea"/>
              <a:cs typeface="+mn-cs"/>
            </a:rPr>
            <a:t>F24, the Anticipated Close Date (this is the Maturity Date on the SAFEs &amp; Notes tab)</a:t>
          </a:r>
        </a:p>
        <a:p>
          <a:pPr marL="628650" lvl="1" indent="-171450">
            <a:buFont typeface="Arial" panose="020B0604020202020204" pitchFamily="34" charset="0"/>
            <a:buChar char="•"/>
          </a:pPr>
          <a:r>
            <a:rPr lang="en-US" sz="1100">
              <a:solidFill>
                <a:schemeClr val="dk1"/>
              </a:solidFill>
              <a:effectLst/>
              <a:latin typeface="+mn-lt"/>
              <a:ea typeface="+mn-ea"/>
              <a:cs typeface="+mn-cs"/>
            </a:rPr>
            <a:t>F30, the % Option Refresh</a:t>
          </a:r>
        </a:p>
        <a:p>
          <a:pPr marL="628650" lvl="1"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Post Money Cap Table</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There is nothing to edit on this tab</a:t>
          </a:r>
        </a:p>
        <a:p>
          <a:pPr marL="171450" lvl="0" indent="-171450">
            <a:buFont typeface="Arial" panose="020B0604020202020204" pitchFamily="34" charset="0"/>
            <a:buChar char="•"/>
          </a:pPr>
          <a:r>
            <a:rPr lang="en-US" sz="1100">
              <a:solidFill>
                <a:schemeClr val="dk1"/>
              </a:solidFill>
              <a:effectLst/>
              <a:latin typeface="+mn-lt"/>
              <a:ea typeface="+mn-ea"/>
              <a:cs typeface="+mn-cs"/>
            </a:rPr>
            <a:t>This tab shows the outcome from the inputs on the other tabs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Single Scenario</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On this tab you will only input data into 1 cell:</a:t>
          </a:r>
        </a:p>
        <a:p>
          <a:pPr marL="628650" lvl="1" indent="-171450">
            <a:buFont typeface="Arial" panose="020B0604020202020204" pitchFamily="34" charset="0"/>
            <a:buChar char="•"/>
          </a:pPr>
          <a:r>
            <a:rPr lang="en-US" sz="1100">
              <a:solidFill>
                <a:schemeClr val="dk1"/>
              </a:solidFill>
              <a:effectLst/>
              <a:latin typeface="+mn-lt"/>
              <a:ea typeface="+mn-ea"/>
              <a:cs typeface="+mn-cs"/>
            </a:rPr>
            <a:t>C16, the Exit Value</a:t>
          </a:r>
        </a:p>
        <a:p>
          <a:pPr marL="171450" lvl="0" indent="-171450">
            <a:buFont typeface="Arial" panose="020B0604020202020204" pitchFamily="34" charset="0"/>
            <a:buChar char="•"/>
          </a:pPr>
          <a:r>
            <a:rPr lang="en-US" sz="1100">
              <a:solidFill>
                <a:schemeClr val="dk1"/>
              </a:solidFill>
              <a:effectLst/>
              <a:latin typeface="+mn-lt"/>
              <a:ea typeface="+mn-ea"/>
              <a:cs typeface="+mn-cs"/>
            </a:rPr>
            <a:t>This allows for a quick evaluation of price/share and gives a quick overview of the exit strategy</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Waterfall – Three Scenarios </a:t>
          </a: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tab is like the Waterfall – Single Scenario, but gives a more detailed breakdown of the logic behind the exit strategy</a:t>
          </a:r>
        </a:p>
        <a:p>
          <a:pPr marL="171450" lvl="0" indent="-171450">
            <a:buFont typeface="Arial" panose="020B0604020202020204" pitchFamily="34" charset="0"/>
            <a:buChar char="•"/>
          </a:pPr>
          <a:r>
            <a:rPr lang="en-US" sz="1100">
              <a:solidFill>
                <a:schemeClr val="dk1"/>
              </a:solidFill>
              <a:effectLst/>
              <a:latin typeface="+mn-lt"/>
              <a:ea typeface="+mn-ea"/>
              <a:cs typeface="+mn-cs"/>
            </a:rPr>
            <a:t>It allows you to put in three different exit values and will produce the price/share and the logic behind the exit results</a:t>
          </a:r>
        </a:p>
        <a:p>
          <a:pPr marL="171450" lvl="0" indent="-171450">
            <a:buFont typeface="Arial" panose="020B0604020202020204" pitchFamily="34" charset="0"/>
            <a:buChar char="•"/>
          </a:pPr>
          <a:r>
            <a:rPr lang="en-US" sz="1100">
              <a:solidFill>
                <a:schemeClr val="dk1"/>
              </a:solidFill>
              <a:effectLst/>
              <a:latin typeface="+mn-lt"/>
              <a:ea typeface="+mn-ea"/>
              <a:cs typeface="+mn-cs"/>
            </a:rPr>
            <a:t>You will only enter data into 3 cells:</a:t>
          </a:r>
        </a:p>
        <a:p>
          <a:pPr marL="628650" lvl="1" indent="-171450">
            <a:buFont typeface="Arial" panose="020B0604020202020204" pitchFamily="34" charset="0"/>
            <a:buChar char="•"/>
          </a:pPr>
          <a:r>
            <a:rPr lang="en-US" sz="1100">
              <a:solidFill>
                <a:schemeClr val="dk1"/>
              </a:solidFill>
              <a:effectLst/>
              <a:latin typeface="+mn-lt"/>
              <a:ea typeface="+mn-ea"/>
              <a:cs typeface="+mn-cs"/>
            </a:rPr>
            <a:t>C18, Exit Value (Scenario 1)</a:t>
          </a:r>
        </a:p>
        <a:p>
          <a:pPr marL="628650" lvl="1" indent="-171450">
            <a:buFont typeface="Arial" panose="020B0604020202020204" pitchFamily="34" charset="0"/>
            <a:buChar char="•"/>
          </a:pPr>
          <a:r>
            <a:rPr lang="en-US" sz="1100">
              <a:solidFill>
                <a:schemeClr val="dk1"/>
              </a:solidFill>
              <a:effectLst/>
              <a:latin typeface="+mn-lt"/>
              <a:ea typeface="+mn-ea"/>
              <a:cs typeface="+mn-cs"/>
            </a:rPr>
            <a:t>C36, Exit Value (Scenario 2)</a:t>
          </a:r>
        </a:p>
        <a:p>
          <a:pPr marL="628650" lvl="1" indent="-171450">
            <a:buFont typeface="Arial" panose="020B0604020202020204" pitchFamily="34" charset="0"/>
            <a:buChar char="•"/>
          </a:pPr>
          <a:r>
            <a:rPr lang="en-US" sz="1100">
              <a:solidFill>
                <a:schemeClr val="dk1"/>
              </a:solidFill>
              <a:effectLst/>
              <a:latin typeface="+mn-lt"/>
              <a:ea typeface="+mn-ea"/>
              <a:cs typeface="+mn-cs"/>
            </a:rPr>
            <a:t>C54, Exit Value (Scenario 3)</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r>
            <a:rPr lang="en-US" sz="1100">
              <a:solidFill>
                <a:schemeClr val="dk1"/>
              </a:solidFill>
              <a:effectLst/>
              <a:latin typeface="+mn-lt"/>
              <a:ea typeface="+mn-ea"/>
              <a:cs typeface="+mn-cs"/>
            </a:rPr>
            <a:t>This is everything you need to input on this tab, nothing else needs to be touched</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Final Note:</a:t>
          </a:r>
          <a:r>
            <a:rPr lang="en-US" sz="1100">
              <a:solidFill>
                <a:schemeClr val="dk1"/>
              </a:solidFill>
              <a:effectLst/>
              <a:latin typeface="+mn-lt"/>
              <a:ea typeface="+mn-ea"/>
              <a:cs typeface="+mn-cs"/>
            </a:rPr>
            <a:t> If you do not have an input for a cell that allows for an input, make sure to leave it as-is.  DO NOT delete any of the input place holders.  You can alter them with a different input (e.g. on the Common tab, change the Equity Incentive plan from 1,000,000 to 0 or 1,000,000 to 500,00, but DO NOT DELETE the input. </a:t>
          </a: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Debt Equity Model is open sourced under CCO 1.0 </a:t>
          </a:r>
          <a:r>
            <a:rPr lang="en-US" sz="1100" u="sng">
              <a:solidFill>
                <a:schemeClr val="dk1"/>
              </a:solidFill>
              <a:effectLst/>
              <a:latin typeface="+mn-lt"/>
              <a:ea typeface="+mn-ea"/>
              <a:cs typeface="+mn-cs"/>
              <a:hlinkClick xmlns:r="http://schemas.openxmlformats.org/officeDocument/2006/relationships" r:id=""/>
            </a:rPr>
            <a:t>http://creativecommons.org/publicdomain/zero/1.0/</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DISCLAIMER:</a:t>
          </a:r>
          <a:r>
            <a:rPr lang="en-US" sz="1100">
              <a:solidFill>
                <a:schemeClr val="dk1"/>
              </a:solidFill>
              <a:effectLst/>
              <a:latin typeface="+mn-lt"/>
              <a:ea typeface="+mn-ea"/>
              <a:cs typeface="+mn-cs"/>
            </a:rPr>
            <a:t> The Debt Equity Model and any content related thereto (“Content”) is provided for general informational purposes only and is not intended to and does not constitute legal advice, legal opinion, legal services, create an attorney client relationship, or act as advertising or solicitation of any type under any circumstances. Because legal advice cannot be given without consideration of all relevant information relating to your circumstances, you should never consider the Debt Equity Model or any of the Content obtained herein as a substitute for advice from qualified counsel or a basis for any decision, action, or inaction whatsoever. Further, Blue Heron Ventures, Inc. and O&amp;A, P.C., together with their respective shareholders, officers, employees, contractors and agents do not warrant or guarantee that the Debt Equity Model or Content is accurate, comprehensive, or up-to-date, and expressly disclaim any warranties with respect to the Debt Equity Model and the Content. The Debt Equity Model and any Content may not reflect recent developments in the law or apply to your specific jurisdiction or set of facts or circumstances. Your use of the Debt Equity Model or any information contained in the Content is entirely at your own risk. </a:t>
          </a:r>
        </a:p>
        <a:p>
          <a:r>
            <a:rPr lang="en-US" sz="1100">
              <a:solidFill>
                <a:schemeClr val="dk1"/>
              </a:solidFill>
              <a:effectLst/>
              <a:latin typeface="+mn-lt"/>
              <a:ea typeface="+mn-ea"/>
              <a:cs typeface="+mn-cs"/>
            </a:rPr>
            <a:t> </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sers/johnschaffer/Dropbox/FullStack%20Finance/Vadio/C:/Users/johnschaffer/Dropbox/FullStack%20Finance/MVMT/C:/Users/Dan/OandAPC/VidMob/Corporate/Cap%20Table/Dan%2010.16.2015/VidMob%20Cap%20Table%202015-09-10%20v7%20Dan's%20Edits%2010.18.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 Table Iva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92E9-F370-42AF-A8A1-4EB7DC2223A3}">
  <sheetPr>
    <tabColor rgb="FFFF0000"/>
  </sheetPr>
  <dimension ref="A1"/>
  <sheetViews>
    <sheetView tabSelected="1" workbookViewId="0">
      <selection activeCell="B29" sqref="B29"/>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workbookViewId="0">
      <selection activeCell="A10" sqref="A10"/>
    </sheetView>
  </sheetViews>
  <sheetFormatPr baseColWidth="10" defaultColWidth="8.6640625" defaultRowHeight="15" x14ac:dyDescent="0.2"/>
  <cols>
    <col min="1" max="2" width="21.5" style="41" customWidth="1"/>
    <col min="3" max="3" width="18" style="41" customWidth="1"/>
    <col min="4" max="4" width="23.33203125" style="41" customWidth="1"/>
    <col min="5" max="5" width="24.5" style="41" customWidth="1"/>
    <col min="6" max="6" width="23" style="41" customWidth="1"/>
    <col min="7" max="7" width="22.5" style="41" customWidth="1"/>
    <col min="8" max="8" width="18.33203125" customWidth="1"/>
  </cols>
  <sheetData>
    <row r="1" spans="1:8" ht="30" x14ac:dyDescent="0.2">
      <c r="A1" s="40" t="s">
        <v>69</v>
      </c>
    </row>
    <row r="4" spans="1:8" s="39" customFormat="1" x14ac:dyDescent="0.2">
      <c r="A4" s="42" t="s">
        <v>65</v>
      </c>
      <c r="B4" s="42" t="s">
        <v>66</v>
      </c>
      <c r="C4" s="42" t="s">
        <v>60</v>
      </c>
      <c r="D4" s="42" t="s">
        <v>61</v>
      </c>
      <c r="E4" s="42" t="s">
        <v>59</v>
      </c>
      <c r="F4" s="42" t="s">
        <v>67</v>
      </c>
      <c r="G4" s="42" t="s">
        <v>68</v>
      </c>
      <c r="H4" s="39" t="s">
        <v>70</v>
      </c>
    </row>
    <row r="5" spans="1:8" x14ac:dyDescent="0.2">
      <c r="D5" s="43"/>
    </row>
    <row r="6" spans="1:8" x14ac:dyDescent="0.2">
      <c r="D6" s="43"/>
    </row>
    <row r="7" spans="1:8" x14ac:dyDescent="0.2">
      <c r="D7" s="43"/>
    </row>
    <row r="8" spans="1:8" x14ac:dyDescent="0.2">
      <c r="D8" s="43"/>
    </row>
    <row r="9" spans="1:8" x14ac:dyDescent="0.2">
      <c r="D9" s="43"/>
      <c r="H9" s="4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5"/>
  <sheetViews>
    <sheetView topLeftCell="A10" workbookViewId="0">
      <selection activeCell="D11" sqref="D11"/>
    </sheetView>
  </sheetViews>
  <sheetFormatPr baseColWidth="10" defaultColWidth="8.6640625" defaultRowHeight="15" x14ac:dyDescent="0.2"/>
  <cols>
    <col min="1" max="1" width="15.6640625" customWidth="1"/>
    <col min="2" max="2" width="14.5" style="1" customWidth="1"/>
    <col min="3" max="3" width="36.5" bestFit="1" customWidth="1"/>
    <col min="4" max="4" width="15.33203125" style="5" customWidth="1"/>
    <col min="5" max="5" width="15.33203125" style="27" customWidth="1"/>
    <col min="6" max="6" width="22.5" style="7" customWidth="1"/>
    <col min="7" max="7" width="18.5" style="10" customWidth="1"/>
    <col min="8" max="9" width="15.5" style="10" customWidth="1"/>
    <col min="10" max="10" width="11.5" customWidth="1"/>
    <col min="11" max="11" width="10.6640625" customWidth="1"/>
    <col min="12" max="12" width="55" customWidth="1"/>
  </cols>
  <sheetData>
    <row r="1" spans="1:12" ht="21" thickBot="1" x14ac:dyDescent="0.25">
      <c r="A1" s="337" t="s">
        <v>75</v>
      </c>
      <c r="B1" s="25"/>
    </row>
    <row r="2" spans="1:12" ht="16" x14ac:dyDescent="0.2">
      <c r="A2" s="36" t="s">
        <v>201</v>
      </c>
      <c r="B2" s="25"/>
    </row>
    <row r="4" spans="1:12" s="3" customFormat="1" x14ac:dyDescent="0.2">
      <c r="B4" s="1" t="s">
        <v>5</v>
      </c>
      <c r="C4" s="75">
        <f ca="1">NOW()</f>
        <v>43308.651387615741</v>
      </c>
      <c r="D4" s="5" t="s">
        <v>12</v>
      </c>
      <c r="E4" s="27"/>
      <c r="F4" s="7"/>
      <c r="G4" s="9"/>
      <c r="H4" s="9"/>
      <c r="I4" s="9"/>
    </row>
    <row r="5" spans="1:12" s="3" customFormat="1" x14ac:dyDescent="0.2">
      <c r="B5" s="1"/>
      <c r="D5" s="5"/>
      <c r="E5" s="27"/>
      <c r="F5" s="7"/>
      <c r="G5" s="9"/>
      <c r="H5" s="9"/>
      <c r="I5" s="76"/>
    </row>
    <row r="6" spans="1:12" s="2" customFormat="1" x14ac:dyDescent="0.2">
      <c r="A6" s="2" t="s">
        <v>71</v>
      </c>
      <c r="B6" s="8"/>
      <c r="D6" s="4"/>
      <c r="E6" s="38"/>
      <c r="F6" s="6"/>
      <c r="G6" s="8"/>
      <c r="H6" s="8"/>
      <c r="I6" s="8"/>
    </row>
    <row r="7" spans="1:12" s="1" customFormat="1" x14ac:dyDescent="0.2">
      <c r="A7" s="3"/>
      <c r="C7" s="88"/>
      <c r="D7" s="5"/>
      <c r="E7" s="27"/>
      <c r="F7" s="7"/>
      <c r="G7" s="9"/>
      <c r="H7" s="9"/>
      <c r="I7" s="9"/>
      <c r="J7" s="5"/>
      <c r="K7" s="12"/>
      <c r="L7" s="3"/>
    </row>
    <row r="8" spans="1:12" s="1" customFormat="1" ht="16" thickBot="1" x14ac:dyDescent="0.25">
      <c r="A8" s="19" t="s">
        <v>9</v>
      </c>
      <c r="B8" s="8" t="s">
        <v>11</v>
      </c>
      <c r="C8" s="8" t="s">
        <v>0</v>
      </c>
      <c r="D8" s="14" t="s">
        <v>8</v>
      </c>
      <c r="E8" s="30" t="s">
        <v>44</v>
      </c>
      <c r="F8" s="15" t="s">
        <v>1</v>
      </c>
      <c r="G8" s="8" t="s">
        <v>95</v>
      </c>
      <c r="H8" s="8" t="s">
        <v>13</v>
      </c>
      <c r="I8" s="8" t="s">
        <v>14</v>
      </c>
      <c r="J8" s="8" t="s">
        <v>4</v>
      </c>
      <c r="K8" s="8" t="s">
        <v>6</v>
      </c>
      <c r="L8" s="8" t="s">
        <v>2</v>
      </c>
    </row>
    <row r="9" spans="1:12" s="3" customFormat="1" ht="16" thickBot="1" x14ac:dyDescent="0.25">
      <c r="A9" s="3">
        <v>1</v>
      </c>
      <c r="B9" s="217">
        <v>42962</v>
      </c>
      <c r="C9" s="89" t="s">
        <v>148</v>
      </c>
      <c r="D9" s="63">
        <v>4000000</v>
      </c>
      <c r="E9" s="47">
        <f t="shared" ref="E9:E18" si="0">+D9/$D$48</f>
        <v>0.4</v>
      </c>
      <c r="F9" s="72">
        <v>1.0000000000000001E-5</v>
      </c>
      <c r="G9" s="48"/>
      <c r="H9" s="77">
        <f ca="1">(_xlfn.DAYS($C$4,K9)/365)*12</f>
        <v>10.356164383561644</v>
      </c>
      <c r="I9" s="46">
        <f ca="1">IF(_xlfn.DAYS($C$4,K9)*(D9/(4*364))&gt;D9,D9,(_xlfn.DAYS($C$4,K9)*(D9/(4*365))))</f>
        <v>863013.6986301369</v>
      </c>
      <c r="J9" s="46" t="str">
        <f t="shared" ref="J9" ca="1" si="1">IF(H9&gt;12,I9,"0")</f>
        <v>0</v>
      </c>
      <c r="K9" s="64">
        <v>42993</v>
      </c>
    </row>
    <row r="10" spans="1:12" s="3" customFormat="1" ht="16" thickBot="1" x14ac:dyDescent="0.25">
      <c r="A10" s="3">
        <v>2</v>
      </c>
      <c r="B10" s="217">
        <v>42962</v>
      </c>
      <c r="C10" s="89" t="s">
        <v>113</v>
      </c>
      <c r="D10" s="63">
        <v>4000000</v>
      </c>
      <c r="E10" s="47">
        <f t="shared" si="0"/>
        <v>0.4</v>
      </c>
      <c r="F10" s="72">
        <f t="shared" ref="F10:F18" si="2">+$F$9</f>
        <v>1.0000000000000001E-5</v>
      </c>
      <c r="G10" s="48"/>
      <c r="H10" s="77">
        <f t="shared" ref="H10:H18" ca="1" si="3">(_xlfn.DAYS($C$4,K10)/365)*12</f>
        <v>10.356164383561644</v>
      </c>
      <c r="I10" s="46">
        <f t="shared" ref="I10:I18" ca="1" si="4">IF(_xlfn.DAYS($C$4,K10)*(D10/(4*364))&gt;D10,D10,(_xlfn.DAYS($C$4,K10)*(D10/(4*365))))</f>
        <v>863013.6986301369</v>
      </c>
      <c r="J10" s="46" t="str">
        <f t="shared" ref="J10:J18" ca="1" si="5">IF(H10&gt;12,I10,"0")</f>
        <v>0</v>
      </c>
      <c r="K10" s="64">
        <v>42993</v>
      </c>
    </row>
    <row r="11" spans="1:12" s="3" customFormat="1" ht="16" thickBot="1" x14ac:dyDescent="0.25">
      <c r="A11" s="3">
        <v>3</v>
      </c>
      <c r="B11" s="217">
        <v>42962</v>
      </c>
      <c r="C11" s="89" t="s">
        <v>114</v>
      </c>
      <c r="D11" s="63">
        <v>1000000</v>
      </c>
      <c r="E11" s="47">
        <f t="shared" si="0"/>
        <v>0.1</v>
      </c>
      <c r="F11" s="72">
        <f t="shared" si="2"/>
        <v>1.0000000000000001E-5</v>
      </c>
      <c r="G11" s="48"/>
      <c r="H11" s="77">
        <f t="shared" ca="1" si="3"/>
        <v>10.356164383561644</v>
      </c>
      <c r="I11" s="46">
        <f t="shared" ca="1" si="4"/>
        <v>215753.42465753423</v>
      </c>
      <c r="J11" s="46" t="str">
        <f t="shared" ca="1" si="5"/>
        <v>0</v>
      </c>
      <c r="K11" s="64">
        <v>42993</v>
      </c>
    </row>
    <row r="12" spans="1:12" s="3" customFormat="1" ht="16" thickBot="1" x14ac:dyDescent="0.25">
      <c r="A12" s="3">
        <v>4</v>
      </c>
      <c r="B12" s="71" t="s">
        <v>73</v>
      </c>
      <c r="C12" s="89" t="s">
        <v>115</v>
      </c>
      <c r="D12" s="63">
        <v>0</v>
      </c>
      <c r="E12" s="47">
        <f t="shared" si="0"/>
        <v>0</v>
      </c>
      <c r="F12" s="72">
        <f t="shared" si="2"/>
        <v>1.0000000000000001E-5</v>
      </c>
      <c r="G12" s="48"/>
      <c r="H12" s="77">
        <f t="shared" ca="1" si="3"/>
        <v>10.356164383561644</v>
      </c>
      <c r="I12" s="46">
        <f t="shared" ca="1" si="4"/>
        <v>0</v>
      </c>
      <c r="J12" s="46" t="str">
        <f t="shared" ca="1" si="5"/>
        <v>0</v>
      </c>
      <c r="K12" s="64">
        <v>42993</v>
      </c>
    </row>
    <row r="13" spans="1:12" s="3" customFormat="1" ht="16" thickBot="1" x14ac:dyDescent="0.25">
      <c r="A13" s="3">
        <v>5</v>
      </c>
      <c r="B13" s="71" t="s">
        <v>73</v>
      </c>
      <c r="C13" s="89" t="s">
        <v>116</v>
      </c>
      <c r="D13" s="63">
        <v>0</v>
      </c>
      <c r="E13" s="47">
        <f t="shared" si="0"/>
        <v>0</v>
      </c>
      <c r="F13" s="72">
        <f t="shared" si="2"/>
        <v>1.0000000000000001E-5</v>
      </c>
      <c r="G13" s="48"/>
      <c r="H13" s="77">
        <f t="shared" ca="1" si="3"/>
        <v>10.356164383561644</v>
      </c>
      <c r="I13" s="46">
        <f t="shared" ca="1" si="4"/>
        <v>0</v>
      </c>
      <c r="J13" s="46" t="str">
        <f t="shared" ca="1" si="5"/>
        <v>0</v>
      </c>
      <c r="K13" s="64">
        <v>42993</v>
      </c>
    </row>
    <row r="14" spans="1:12" s="3" customFormat="1" ht="16" thickBot="1" x14ac:dyDescent="0.25">
      <c r="A14" s="3">
        <v>6</v>
      </c>
      <c r="B14" s="71" t="s">
        <v>73</v>
      </c>
      <c r="C14" s="89" t="s">
        <v>117</v>
      </c>
      <c r="D14" s="63">
        <v>0</v>
      </c>
      <c r="E14" s="47">
        <f t="shared" ref="E14:E17" si="6">+D14/$D$48</f>
        <v>0</v>
      </c>
      <c r="F14" s="72">
        <f t="shared" si="2"/>
        <v>1.0000000000000001E-5</v>
      </c>
      <c r="G14" s="48"/>
      <c r="H14" s="77">
        <f t="shared" ref="H14:H17" ca="1" si="7">(_xlfn.DAYS($C$4,K14)/365)*12</f>
        <v>10.356164383561644</v>
      </c>
      <c r="I14" s="46">
        <f t="shared" ref="I14:I17" ca="1" si="8">IF(_xlfn.DAYS($C$4,K14)*(D14/(4*364))&gt;D14,D14,(_xlfn.DAYS($C$4,K14)*(D14/(4*365))))</f>
        <v>0</v>
      </c>
      <c r="J14" s="46" t="str">
        <f t="shared" ref="J14:J17" ca="1" si="9">IF(H14&gt;12,I14,"0")</f>
        <v>0</v>
      </c>
      <c r="K14" s="64">
        <v>42993</v>
      </c>
    </row>
    <row r="15" spans="1:12" s="3" customFormat="1" ht="16" thickBot="1" x14ac:dyDescent="0.25">
      <c r="A15" s="3">
        <v>7</v>
      </c>
      <c r="B15" s="71" t="s">
        <v>73</v>
      </c>
      <c r="C15" s="89" t="s">
        <v>159</v>
      </c>
      <c r="D15" s="63">
        <v>0</v>
      </c>
      <c r="E15" s="47">
        <f t="shared" si="6"/>
        <v>0</v>
      </c>
      <c r="F15" s="72">
        <f t="shared" si="2"/>
        <v>1.0000000000000001E-5</v>
      </c>
      <c r="G15" s="48"/>
      <c r="H15" s="77">
        <f t="shared" ca="1" si="7"/>
        <v>10.356164383561644</v>
      </c>
      <c r="I15" s="46">
        <f t="shared" ca="1" si="8"/>
        <v>0</v>
      </c>
      <c r="J15" s="46" t="str">
        <f t="shared" ca="1" si="9"/>
        <v>0</v>
      </c>
      <c r="K15" s="64">
        <v>42993</v>
      </c>
    </row>
    <row r="16" spans="1:12" s="3" customFormat="1" ht="16" thickBot="1" x14ac:dyDescent="0.25">
      <c r="A16" s="3">
        <v>8</v>
      </c>
      <c r="B16" s="71" t="s">
        <v>73</v>
      </c>
      <c r="C16" s="89" t="s">
        <v>160</v>
      </c>
      <c r="D16" s="63">
        <v>0</v>
      </c>
      <c r="E16" s="47">
        <f t="shared" si="6"/>
        <v>0</v>
      </c>
      <c r="F16" s="72">
        <f t="shared" si="2"/>
        <v>1.0000000000000001E-5</v>
      </c>
      <c r="G16" s="48"/>
      <c r="H16" s="77">
        <f t="shared" ca="1" si="7"/>
        <v>10.356164383561644</v>
      </c>
      <c r="I16" s="46">
        <f t="shared" ca="1" si="8"/>
        <v>0</v>
      </c>
      <c r="J16" s="46" t="str">
        <f t="shared" ca="1" si="9"/>
        <v>0</v>
      </c>
      <c r="K16" s="64">
        <v>42993</v>
      </c>
    </row>
    <row r="17" spans="1:12" s="3" customFormat="1" ht="16" thickBot="1" x14ac:dyDescent="0.25">
      <c r="A17" s="3">
        <v>9</v>
      </c>
      <c r="B17" s="71" t="s">
        <v>73</v>
      </c>
      <c r="C17" s="89" t="s">
        <v>161</v>
      </c>
      <c r="D17" s="63">
        <v>0</v>
      </c>
      <c r="E17" s="47">
        <f t="shared" si="6"/>
        <v>0</v>
      </c>
      <c r="F17" s="72">
        <f t="shared" si="2"/>
        <v>1.0000000000000001E-5</v>
      </c>
      <c r="G17" s="48"/>
      <c r="H17" s="77">
        <f t="shared" ca="1" si="7"/>
        <v>10.356164383561644</v>
      </c>
      <c r="I17" s="46">
        <f t="shared" ca="1" si="8"/>
        <v>0</v>
      </c>
      <c r="J17" s="46" t="str">
        <f t="shared" ca="1" si="9"/>
        <v>0</v>
      </c>
      <c r="K17" s="64">
        <v>42993</v>
      </c>
    </row>
    <row r="18" spans="1:12" s="3" customFormat="1" ht="16" thickBot="1" x14ac:dyDescent="0.25">
      <c r="A18" s="3">
        <v>10</v>
      </c>
      <c r="B18" s="71" t="s">
        <v>73</v>
      </c>
      <c r="C18" s="89" t="s">
        <v>162</v>
      </c>
      <c r="D18" s="63">
        <v>0</v>
      </c>
      <c r="E18" s="47">
        <f t="shared" si="0"/>
        <v>0</v>
      </c>
      <c r="F18" s="72">
        <f t="shared" si="2"/>
        <v>1.0000000000000001E-5</v>
      </c>
      <c r="G18" s="48"/>
      <c r="H18" s="77">
        <f t="shared" ca="1" si="3"/>
        <v>10.356164383561644</v>
      </c>
      <c r="I18" s="46">
        <f t="shared" ca="1" si="4"/>
        <v>0</v>
      </c>
      <c r="J18" s="46" t="str">
        <f t="shared" ca="1" si="5"/>
        <v>0</v>
      </c>
      <c r="K18" s="64">
        <v>42993</v>
      </c>
    </row>
    <row r="19" spans="1:12" s="3" customFormat="1" ht="16" thickBot="1" x14ac:dyDescent="0.25">
      <c r="B19" s="1"/>
      <c r="C19" s="90"/>
      <c r="D19" s="46"/>
      <c r="E19" s="47"/>
      <c r="F19" s="51"/>
      <c r="G19" s="50"/>
      <c r="H19" s="50"/>
      <c r="I19" s="50"/>
      <c r="J19" s="46"/>
      <c r="K19" s="78"/>
    </row>
    <row r="20" spans="1:12" s="3" customFormat="1" ht="16" thickBot="1" x14ac:dyDescent="0.25">
      <c r="B20" s="11" t="s">
        <v>3</v>
      </c>
      <c r="C20" s="91" t="s">
        <v>47</v>
      </c>
      <c r="D20" s="248">
        <f>SUM(D9:D18)</f>
        <v>9000000</v>
      </c>
      <c r="E20" s="53">
        <f>SUM(E9:E19)</f>
        <v>0.9</v>
      </c>
      <c r="F20" s="52"/>
      <c r="G20" s="79" t="s">
        <v>10</v>
      </c>
      <c r="H20" s="79"/>
      <c r="I20" s="79"/>
      <c r="J20" s="54">
        <f ca="1">SUM(J9:J18)</f>
        <v>0</v>
      </c>
      <c r="K20" s="78"/>
    </row>
    <row r="21" spans="1:12" s="3" customFormat="1" x14ac:dyDescent="0.2">
      <c r="B21" s="18"/>
      <c r="C21" s="92"/>
      <c r="D21" s="37"/>
      <c r="E21" s="47"/>
      <c r="F21" s="37"/>
      <c r="G21" s="37"/>
      <c r="H21" s="37"/>
      <c r="I21" s="37"/>
      <c r="J21" s="37"/>
      <c r="K21" s="78"/>
    </row>
    <row r="22" spans="1:12" s="3" customFormat="1" ht="16" thickBot="1" x14ac:dyDescent="0.25">
      <c r="A22" s="19" t="s">
        <v>43</v>
      </c>
      <c r="B22" s="8" t="s">
        <v>7</v>
      </c>
      <c r="C22" s="8" t="s">
        <v>0</v>
      </c>
      <c r="D22" s="55" t="s">
        <v>8</v>
      </c>
      <c r="E22" s="47"/>
      <c r="F22" s="56" t="s">
        <v>1</v>
      </c>
      <c r="G22" s="8" t="s">
        <v>95</v>
      </c>
      <c r="H22" s="57" t="s">
        <v>13</v>
      </c>
      <c r="I22" s="57" t="s">
        <v>195</v>
      </c>
      <c r="J22" s="57" t="s">
        <v>4</v>
      </c>
      <c r="K22" s="57" t="s">
        <v>6</v>
      </c>
      <c r="L22" s="8" t="s">
        <v>2</v>
      </c>
    </row>
    <row r="23" spans="1:12" s="3" customFormat="1" ht="16" thickBot="1" x14ac:dyDescent="0.25">
      <c r="A23" s="80"/>
      <c r="B23" s="247" t="s">
        <v>72</v>
      </c>
      <c r="C23" s="88" t="s">
        <v>74</v>
      </c>
      <c r="D23" s="65">
        <v>1000000</v>
      </c>
      <c r="E23" s="47">
        <f>+D23/$D$48</f>
        <v>0.1</v>
      </c>
      <c r="F23" s="72">
        <f>+$F$9</f>
        <v>1.0000000000000001E-5</v>
      </c>
      <c r="G23" s="48"/>
      <c r="H23" s="77"/>
      <c r="I23" s="46"/>
      <c r="J23" s="46"/>
      <c r="K23" s="49"/>
    </row>
    <row r="24" spans="1:12" s="3" customFormat="1" ht="16" thickBot="1" x14ac:dyDescent="0.25">
      <c r="A24" s="80">
        <v>1</v>
      </c>
      <c r="B24" s="71" t="s">
        <v>73</v>
      </c>
      <c r="C24" s="89" t="s">
        <v>149</v>
      </c>
      <c r="D24" s="63">
        <v>125000</v>
      </c>
      <c r="E24" s="47">
        <f t="shared" ref="E24:E44" si="10">+D24/$D$48</f>
        <v>1.2500000000000001E-2</v>
      </c>
      <c r="F24" s="72">
        <f t="shared" ref="F24:F44" si="11">+$F$9</f>
        <v>1.0000000000000001E-5</v>
      </c>
      <c r="G24" s="48"/>
      <c r="H24" s="77">
        <f t="shared" ref="H24:H44" ca="1" si="12">(_xlfn.DAYS($C$4,K24)/365)*12</f>
        <v>6.8054794520547945</v>
      </c>
      <c r="I24" s="46">
        <f t="shared" ref="I24:I44" ca="1" si="13">IF(_xlfn.DAYS($C$4,K24)*(D24/(4*364))&gt;D24,D24,(_xlfn.DAYS($C$4,K24)*(D24/(4*365))))</f>
        <v>17722.602739726026</v>
      </c>
      <c r="J24" s="46" t="str">
        <f t="shared" ref="J24:J44" ca="1" si="14">IF(H24&gt;12,I24,"0")</f>
        <v>0</v>
      </c>
      <c r="K24" s="64">
        <v>43101</v>
      </c>
      <c r="L24" s="81"/>
    </row>
    <row r="25" spans="1:12" s="3" customFormat="1" ht="16" thickBot="1" x14ac:dyDescent="0.25">
      <c r="A25" s="80">
        <v>2</v>
      </c>
      <c r="B25" s="71" t="s">
        <v>73</v>
      </c>
      <c r="C25" s="89" t="s">
        <v>77</v>
      </c>
      <c r="D25" s="63">
        <v>0</v>
      </c>
      <c r="E25" s="47">
        <f t="shared" si="10"/>
        <v>0</v>
      </c>
      <c r="F25" s="72">
        <f t="shared" si="11"/>
        <v>1.0000000000000001E-5</v>
      </c>
      <c r="G25" s="48"/>
      <c r="H25" s="77">
        <f t="shared" ca="1" si="12"/>
        <v>10.356164383561644</v>
      </c>
      <c r="I25" s="46">
        <f t="shared" ca="1" si="13"/>
        <v>0</v>
      </c>
      <c r="J25" s="46" t="str">
        <f t="shared" ca="1" si="14"/>
        <v>0</v>
      </c>
      <c r="K25" s="64">
        <v>42993</v>
      </c>
      <c r="L25" s="81"/>
    </row>
    <row r="26" spans="1:12" s="3" customFormat="1" ht="16" thickBot="1" x14ac:dyDescent="0.25">
      <c r="A26" s="80">
        <v>3</v>
      </c>
      <c r="B26" s="71" t="s">
        <v>73</v>
      </c>
      <c r="C26" s="89" t="s">
        <v>118</v>
      </c>
      <c r="D26" s="63">
        <v>0</v>
      </c>
      <c r="E26" s="47">
        <f t="shared" si="10"/>
        <v>0</v>
      </c>
      <c r="F26" s="72">
        <f t="shared" si="11"/>
        <v>1.0000000000000001E-5</v>
      </c>
      <c r="G26" s="48"/>
      <c r="H26" s="77">
        <f t="shared" ca="1" si="12"/>
        <v>10.356164383561644</v>
      </c>
      <c r="I26" s="46">
        <f t="shared" ca="1" si="13"/>
        <v>0</v>
      </c>
      <c r="J26" s="46" t="str">
        <f t="shared" ca="1" si="14"/>
        <v>0</v>
      </c>
      <c r="K26" s="64">
        <v>42993</v>
      </c>
      <c r="L26" s="81"/>
    </row>
    <row r="27" spans="1:12" s="3" customFormat="1" ht="16" thickBot="1" x14ac:dyDescent="0.25">
      <c r="A27" s="80">
        <v>4</v>
      </c>
      <c r="B27" s="71" t="s">
        <v>73</v>
      </c>
      <c r="C27" s="89" t="s">
        <v>119</v>
      </c>
      <c r="D27" s="63">
        <v>0</v>
      </c>
      <c r="E27" s="47">
        <f t="shared" si="10"/>
        <v>0</v>
      </c>
      <c r="F27" s="72">
        <f t="shared" si="11"/>
        <v>1.0000000000000001E-5</v>
      </c>
      <c r="G27" s="48"/>
      <c r="H27" s="77">
        <f t="shared" ca="1" si="12"/>
        <v>10.356164383561644</v>
      </c>
      <c r="I27" s="46">
        <f t="shared" ca="1" si="13"/>
        <v>0</v>
      </c>
      <c r="J27" s="46" t="str">
        <f t="shared" ca="1" si="14"/>
        <v>0</v>
      </c>
      <c r="K27" s="64">
        <v>42993</v>
      </c>
      <c r="L27" s="81"/>
    </row>
    <row r="28" spans="1:12" s="3" customFormat="1" ht="16" thickBot="1" x14ac:dyDescent="0.25">
      <c r="A28" s="80">
        <v>5</v>
      </c>
      <c r="B28" s="71" t="s">
        <v>73</v>
      </c>
      <c r="C28" s="89" t="s">
        <v>120</v>
      </c>
      <c r="D28" s="63">
        <v>0</v>
      </c>
      <c r="E28" s="47">
        <f t="shared" si="10"/>
        <v>0</v>
      </c>
      <c r="F28" s="72">
        <f t="shared" si="11"/>
        <v>1.0000000000000001E-5</v>
      </c>
      <c r="G28" s="48"/>
      <c r="H28" s="77">
        <f t="shared" ca="1" si="12"/>
        <v>10.356164383561644</v>
      </c>
      <c r="I28" s="46">
        <f t="shared" ca="1" si="13"/>
        <v>0</v>
      </c>
      <c r="J28" s="46" t="str">
        <f t="shared" ca="1" si="14"/>
        <v>0</v>
      </c>
      <c r="K28" s="64">
        <v>42993</v>
      </c>
      <c r="L28" s="81"/>
    </row>
    <row r="29" spans="1:12" s="3" customFormat="1" ht="16" thickBot="1" x14ac:dyDescent="0.25">
      <c r="A29" s="80">
        <v>6</v>
      </c>
      <c r="B29" s="71" t="s">
        <v>73</v>
      </c>
      <c r="C29" s="89" t="s">
        <v>121</v>
      </c>
      <c r="D29" s="63">
        <v>0</v>
      </c>
      <c r="E29" s="47">
        <f t="shared" si="10"/>
        <v>0</v>
      </c>
      <c r="F29" s="72">
        <f t="shared" si="11"/>
        <v>1.0000000000000001E-5</v>
      </c>
      <c r="G29" s="48"/>
      <c r="H29" s="77">
        <f t="shared" ca="1" si="12"/>
        <v>10.356164383561644</v>
      </c>
      <c r="I29" s="46">
        <f t="shared" ca="1" si="13"/>
        <v>0</v>
      </c>
      <c r="J29" s="46" t="str">
        <f t="shared" ca="1" si="14"/>
        <v>0</v>
      </c>
      <c r="K29" s="64">
        <v>42993</v>
      </c>
      <c r="L29" s="81"/>
    </row>
    <row r="30" spans="1:12" s="3" customFormat="1" ht="16" thickBot="1" x14ac:dyDescent="0.25">
      <c r="A30" s="80">
        <v>7</v>
      </c>
      <c r="B30" s="71" t="s">
        <v>73</v>
      </c>
      <c r="C30" s="89" t="s">
        <v>122</v>
      </c>
      <c r="D30" s="63">
        <v>0</v>
      </c>
      <c r="E30" s="47">
        <f t="shared" si="10"/>
        <v>0</v>
      </c>
      <c r="F30" s="72">
        <f t="shared" si="11"/>
        <v>1.0000000000000001E-5</v>
      </c>
      <c r="G30" s="48"/>
      <c r="H30" s="77">
        <f t="shared" ca="1" si="12"/>
        <v>10.356164383561644</v>
      </c>
      <c r="I30" s="46">
        <f t="shared" ca="1" si="13"/>
        <v>0</v>
      </c>
      <c r="J30" s="46" t="str">
        <f t="shared" ca="1" si="14"/>
        <v>0</v>
      </c>
      <c r="K30" s="64">
        <v>42993</v>
      </c>
      <c r="L30" s="81"/>
    </row>
    <row r="31" spans="1:12" s="3" customFormat="1" ht="16" thickBot="1" x14ac:dyDescent="0.25">
      <c r="A31" s="80">
        <v>8</v>
      </c>
      <c r="B31" s="71" t="s">
        <v>73</v>
      </c>
      <c r="C31" s="89" t="s">
        <v>123</v>
      </c>
      <c r="D31" s="63">
        <v>0</v>
      </c>
      <c r="E31" s="47">
        <f t="shared" si="10"/>
        <v>0</v>
      </c>
      <c r="F31" s="72">
        <f t="shared" si="11"/>
        <v>1.0000000000000001E-5</v>
      </c>
      <c r="G31" s="48"/>
      <c r="H31" s="77">
        <f t="shared" ca="1" si="12"/>
        <v>10.356164383561644</v>
      </c>
      <c r="I31" s="46">
        <f t="shared" ca="1" si="13"/>
        <v>0</v>
      </c>
      <c r="J31" s="46" t="str">
        <f t="shared" ca="1" si="14"/>
        <v>0</v>
      </c>
      <c r="K31" s="64">
        <v>42993</v>
      </c>
      <c r="L31" s="81"/>
    </row>
    <row r="32" spans="1:12" s="3" customFormat="1" ht="16" thickBot="1" x14ac:dyDescent="0.25">
      <c r="A32" s="80">
        <v>9</v>
      </c>
      <c r="B32" s="71" t="s">
        <v>73</v>
      </c>
      <c r="C32" s="89" t="s">
        <v>124</v>
      </c>
      <c r="D32" s="63">
        <v>0</v>
      </c>
      <c r="E32" s="47">
        <f t="shared" si="10"/>
        <v>0</v>
      </c>
      <c r="F32" s="72">
        <f t="shared" si="11"/>
        <v>1.0000000000000001E-5</v>
      </c>
      <c r="G32" s="48"/>
      <c r="H32" s="77">
        <f t="shared" ca="1" si="12"/>
        <v>10.356164383561644</v>
      </c>
      <c r="I32" s="46">
        <f t="shared" ca="1" si="13"/>
        <v>0</v>
      </c>
      <c r="J32" s="46" t="str">
        <f t="shared" ca="1" si="14"/>
        <v>0</v>
      </c>
      <c r="K32" s="64">
        <v>42993</v>
      </c>
      <c r="L32" s="81"/>
    </row>
    <row r="33" spans="1:12" s="3" customFormat="1" ht="16" thickBot="1" x14ac:dyDescent="0.25">
      <c r="A33" s="80">
        <v>10</v>
      </c>
      <c r="B33" s="71" t="s">
        <v>73</v>
      </c>
      <c r="C33" s="89" t="s">
        <v>125</v>
      </c>
      <c r="D33" s="63">
        <v>0</v>
      </c>
      <c r="E33" s="47">
        <f t="shared" si="10"/>
        <v>0</v>
      </c>
      <c r="F33" s="72">
        <f t="shared" si="11"/>
        <v>1.0000000000000001E-5</v>
      </c>
      <c r="G33" s="48"/>
      <c r="H33" s="77">
        <f t="shared" ca="1" si="12"/>
        <v>10.356164383561644</v>
      </c>
      <c r="I33" s="46">
        <f t="shared" ca="1" si="13"/>
        <v>0</v>
      </c>
      <c r="J33" s="46" t="str">
        <f t="shared" ca="1" si="14"/>
        <v>0</v>
      </c>
      <c r="K33" s="64">
        <v>42993</v>
      </c>
      <c r="L33" s="81"/>
    </row>
    <row r="34" spans="1:12" s="3" customFormat="1" ht="16" thickBot="1" x14ac:dyDescent="0.25">
      <c r="A34" s="80">
        <v>11</v>
      </c>
      <c r="B34" s="71" t="s">
        <v>73</v>
      </c>
      <c r="C34" s="89" t="s">
        <v>126</v>
      </c>
      <c r="D34" s="63">
        <v>0</v>
      </c>
      <c r="E34" s="47">
        <f t="shared" si="10"/>
        <v>0</v>
      </c>
      <c r="F34" s="72">
        <f t="shared" si="11"/>
        <v>1.0000000000000001E-5</v>
      </c>
      <c r="G34" s="48"/>
      <c r="H34" s="77">
        <f t="shared" ca="1" si="12"/>
        <v>10.356164383561644</v>
      </c>
      <c r="I34" s="46">
        <f t="shared" ca="1" si="13"/>
        <v>0</v>
      </c>
      <c r="J34" s="46" t="str">
        <f t="shared" ca="1" si="14"/>
        <v>0</v>
      </c>
      <c r="K34" s="64">
        <v>42993</v>
      </c>
      <c r="L34" s="81"/>
    </row>
    <row r="35" spans="1:12" s="3" customFormat="1" ht="16" thickBot="1" x14ac:dyDescent="0.25">
      <c r="A35" s="80">
        <v>12</v>
      </c>
      <c r="B35" s="71" t="s">
        <v>73</v>
      </c>
      <c r="C35" s="89" t="s">
        <v>127</v>
      </c>
      <c r="D35" s="63">
        <v>0</v>
      </c>
      <c r="E35" s="47">
        <f t="shared" si="10"/>
        <v>0</v>
      </c>
      <c r="F35" s="72">
        <f t="shared" si="11"/>
        <v>1.0000000000000001E-5</v>
      </c>
      <c r="G35" s="48"/>
      <c r="H35" s="77">
        <f t="shared" ca="1" si="12"/>
        <v>10.356164383561644</v>
      </c>
      <c r="I35" s="46">
        <f t="shared" ca="1" si="13"/>
        <v>0</v>
      </c>
      <c r="J35" s="46" t="str">
        <f t="shared" ca="1" si="14"/>
        <v>0</v>
      </c>
      <c r="K35" s="64">
        <v>42993</v>
      </c>
      <c r="L35" s="81"/>
    </row>
    <row r="36" spans="1:12" s="3" customFormat="1" ht="16" thickBot="1" x14ac:dyDescent="0.25">
      <c r="A36" s="80">
        <v>13</v>
      </c>
      <c r="B36" s="71" t="s">
        <v>73</v>
      </c>
      <c r="C36" s="89" t="s">
        <v>128</v>
      </c>
      <c r="D36" s="63">
        <v>0</v>
      </c>
      <c r="E36" s="47">
        <f t="shared" si="10"/>
        <v>0</v>
      </c>
      <c r="F36" s="72">
        <f t="shared" si="11"/>
        <v>1.0000000000000001E-5</v>
      </c>
      <c r="G36" s="48"/>
      <c r="H36" s="77">
        <f t="shared" ca="1" si="12"/>
        <v>10.356164383561644</v>
      </c>
      <c r="I36" s="46">
        <f t="shared" ca="1" si="13"/>
        <v>0</v>
      </c>
      <c r="J36" s="46" t="str">
        <f t="shared" ca="1" si="14"/>
        <v>0</v>
      </c>
      <c r="K36" s="64">
        <v>42993</v>
      </c>
      <c r="L36" s="81"/>
    </row>
    <row r="37" spans="1:12" s="3" customFormat="1" ht="16" thickBot="1" x14ac:dyDescent="0.25">
      <c r="A37" s="80">
        <v>14</v>
      </c>
      <c r="B37" s="71" t="s">
        <v>73</v>
      </c>
      <c r="C37" s="89" t="s">
        <v>129</v>
      </c>
      <c r="D37" s="63">
        <v>0</v>
      </c>
      <c r="E37" s="47">
        <f t="shared" si="10"/>
        <v>0</v>
      </c>
      <c r="F37" s="72">
        <f t="shared" si="11"/>
        <v>1.0000000000000001E-5</v>
      </c>
      <c r="G37" s="48"/>
      <c r="H37" s="77">
        <f t="shared" ca="1" si="12"/>
        <v>10.356164383561644</v>
      </c>
      <c r="I37" s="46">
        <f t="shared" ca="1" si="13"/>
        <v>0</v>
      </c>
      <c r="J37" s="46" t="str">
        <f t="shared" ca="1" si="14"/>
        <v>0</v>
      </c>
      <c r="K37" s="64">
        <v>42993</v>
      </c>
      <c r="L37" s="81"/>
    </row>
    <row r="38" spans="1:12" s="3" customFormat="1" ht="16" thickBot="1" x14ac:dyDescent="0.25">
      <c r="A38" s="80">
        <v>15</v>
      </c>
      <c r="B38" s="71" t="s">
        <v>73</v>
      </c>
      <c r="C38" s="89" t="s">
        <v>130</v>
      </c>
      <c r="D38" s="63">
        <v>0</v>
      </c>
      <c r="E38" s="47">
        <f t="shared" ref="E38:E43" si="15">+D38/$D$48</f>
        <v>0</v>
      </c>
      <c r="F38" s="72">
        <f t="shared" si="11"/>
        <v>1.0000000000000001E-5</v>
      </c>
      <c r="G38" s="48"/>
      <c r="H38" s="77">
        <f t="shared" ref="H38:H43" ca="1" si="16">(_xlfn.DAYS($C$4,K38)/365)*12</f>
        <v>10.356164383561644</v>
      </c>
      <c r="I38" s="46">
        <f t="shared" ref="I38:I43" ca="1" si="17">IF(_xlfn.DAYS($C$4,K38)*(D38/(4*364))&gt;D38,D38,(_xlfn.DAYS($C$4,K38)*(D38/(4*365))))</f>
        <v>0</v>
      </c>
      <c r="J38" s="46" t="str">
        <f t="shared" ref="J38:J43" ca="1" si="18">IF(H38&gt;12,I38,"0")</f>
        <v>0</v>
      </c>
      <c r="K38" s="64">
        <v>42993</v>
      </c>
      <c r="L38" s="81"/>
    </row>
    <row r="39" spans="1:12" s="3" customFormat="1" ht="16" thickBot="1" x14ac:dyDescent="0.25">
      <c r="A39" s="80">
        <v>16</v>
      </c>
      <c r="B39" s="71" t="s">
        <v>73</v>
      </c>
      <c r="C39" s="89" t="s">
        <v>153</v>
      </c>
      <c r="D39" s="63">
        <v>0</v>
      </c>
      <c r="E39" s="47">
        <f t="shared" si="15"/>
        <v>0</v>
      </c>
      <c r="F39" s="72">
        <f t="shared" si="11"/>
        <v>1.0000000000000001E-5</v>
      </c>
      <c r="G39" s="48"/>
      <c r="H39" s="77">
        <f t="shared" ca="1" si="16"/>
        <v>10.356164383561644</v>
      </c>
      <c r="I39" s="46">
        <f t="shared" ca="1" si="17"/>
        <v>0</v>
      </c>
      <c r="J39" s="46" t="str">
        <f t="shared" ca="1" si="18"/>
        <v>0</v>
      </c>
      <c r="K39" s="64">
        <v>42993</v>
      </c>
      <c r="L39" s="81"/>
    </row>
    <row r="40" spans="1:12" s="3" customFormat="1" ht="16" thickBot="1" x14ac:dyDescent="0.25">
      <c r="A40" s="80">
        <v>17</v>
      </c>
      <c r="B40" s="71" t="s">
        <v>73</v>
      </c>
      <c r="C40" s="89" t="s">
        <v>154</v>
      </c>
      <c r="D40" s="63">
        <v>0</v>
      </c>
      <c r="E40" s="47">
        <f t="shared" si="15"/>
        <v>0</v>
      </c>
      <c r="F40" s="72">
        <f t="shared" si="11"/>
        <v>1.0000000000000001E-5</v>
      </c>
      <c r="G40" s="48"/>
      <c r="H40" s="77">
        <f t="shared" ca="1" si="16"/>
        <v>10.356164383561644</v>
      </c>
      <c r="I40" s="46">
        <f t="shared" ca="1" si="17"/>
        <v>0</v>
      </c>
      <c r="J40" s="46" t="str">
        <f t="shared" ca="1" si="18"/>
        <v>0</v>
      </c>
      <c r="K40" s="64">
        <v>42993</v>
      </c>
      <c r="L40" s="81"/>
    </row>
    <row r="41" spans="1:12" s="3" customFormat="1" ht="16" thickBot="1" x14ac:dyDescent="0.25">
      <c r="A41" s="80">
        <v>18</v>
      </c>
      <c r="B41" s="71" t="s">
        <v>73</v>
      </c>
      <c r="C41" s="89" t="s">
        <v>155</v>
      </c>
      <c r="D41" s="63">
        <v>0</v>
      </c>
      <c r="E41" s="47">
        <f t="shared" si="15"/>
        <v>0</v>
      </c>
      <c r="F41" s="72">
        <f t="shared" si="11"/>
        <v>1.0000000000000001E-5</v>
      </c>
      <c r="G41" s="48"/>
      <c r="H41" s="77">
        <f t="shared" ca="1" si="16"/>
        <v>10.356164383561644</v>
      </c>
      <c r="I41" s="46">
        <f t="shared" ca="1" si="17"/>
        <v>0</v>
      </c>
      <c r="J41" s="46" t="str">
        <f t="shared" ca="1" si="18"/>
        <v>0</v>
      </c>
      <c r="K41" s="64">
        <v>42993</v>
      </c>
      <c r="L41" s="81"/>
    </row>
    <row r="42" spans="1:12" s="3" customFormat="1" ht="16" thickBot="1" x14ac:dyDescent="0.25">
      <c r="A42" s="80">
        <v>19</v>
      </c>
      <c r="B42" s="71" t="s">
        <v>73</v>
      </c>
      <c r="C42" s="89" t="s">
        <v>156</v>
      </c>
      <c r="D42" s="63">
        <v>0</v>
      </c>
      <c r="E42" s="47">
        <f t="shared" si="15"/>
        <v>0</v>
      </c>
      <c r="F42" s="72">
        <f t="shared" si="11"/>
        <v>1.0000000000000001E-5</v>
      </c>
      <c r="G42" s="48"/>
      <c r="H42" s="77">
        <f t="shared" ca="1" si="16"/>
        <v>10.356164383561644</v>
      </c>
      <c r="I42" s="46">
        <f t="shared" ca="1" si="17"/>
        <v>0</v>
      </c>
      <c r="J42" s="46" t="str">
        <f t="shared" ca="1" si="18"/>
        <v>0</v>
      </c>
      <c r="K42" s="64">
        <v>42993</v>
      </c>
      <c r="L42" s="81"/>
    </row>
    <row r="43" spans="1:12" s="3" customFormat="1" ht="16" thickBot="1" x14ac:dyDescent="0.25">
      <c r="A43" s="80">
        <v>20</v>
      </c>
      <c r="B43" s="71" t="s">
        <v>73</v>
      </c>
      <c r="C43" s="89" t="s">
        <v>157</v>
      </c>
      <c r="D43" s="63">
        <v>0</v>
      </c>
      <c r="E43" s="47">
        <f t="shared" si="15"/>
        <v>0</v>
      </c>
      <c r="F43" s="72">
        <f t="shared" si="11"/>
        <v>1.0000000000000001E-5</v>
      </c>
      <c r="G43" s="48"/>
      <c r="H43" s="77">
        <f t="shared" ca="1" si="16"/>
        <v>10.356164383561644</v>
      </c>
      <c r="I43" s="46">
        <f t="shared" ca="1" si="17"/>
        <v>0</v>
      </c>
      <c r="J43" s="46" t="str">
        <f t="shared" ca="1" si="18"/>
        <v>0</v>
      </c>
      <c r="K43" s="64">
        <v>42993</v>
      </c>
      <c r="L43" s="81"/>
    </row>
    <row r="44" spans="1:12" s="3" customFormat="1" ht="16" thickBot="1" x14ac:dyDescent="0.25">
      <c r="A44" s="80">
        <v>21</v>
      </c>
      <c r="B44" s="71" t="s">
        <v>73</v>
      </c>
      <c r="C44" s="89" t="s">
        <v>158</v>
      </c>
      <c r="D44" s="63">
        <v>0</v>
      </c>
      <c r="E44" s="47">
        <f t="shared" si="10"/>
        <v>0</v>
      </c>
      <c r="F44" s="72">
        <f t="shared" si="11"/>
        <v>1.0000000000000001E-5</v>
      </c>
      <c r="G44" s="48"/>
      <c r="H44" s="77">
        <f t="shared" ca="1" si="12"/>
        <v>10.356164383561644</v>
      </c>
      <c r="I44" s="46">
        <f t="shared" ca="1" si="13"/>
        <v>0</v>
      </c>
      <c r="J44" s="46" t="str">
        <f t="shared" ca="1" si="14"/>
        <v>0</v>
      </c>
      <c r="K44" s="64">
        <v>42993</v>
      </c>
      <c r="L44" s="81"/>
    </row>
    <row r="45" spans="1:12" s="3" customFormat="1" x14ac:dyDescent="0.2">
      <c r="A45" s="80"/>
      <c r="B45" s="17"/>
      <c r="C45" s="93"/>
      <c r="D45" s="46"/>
      <c r="E45" s="47"/>
      <c r="F45" s="72"/>
      <c r="G45" s="48"/>
      <c r="H45" s="77"/>
      <c r="I45" s="46"/>
      <c r="J45" s="46"/>
      <c r="K45" s="58"/>
      <c r="L45" s="81"/>
    </row>
    <row r="46" spans="1:12" s="3" customFormat="1" x14ac:dyDescent="0.2">
      <c r="A46" s="80"/>
      <c r="B46" s="82"/>
      <c r="C46" s="94" t="s">
        <v>55</v>
      </c>
      <c r="D46" s="70">
        <f>SUM(D24:D44)</f>
        <v>125000</v>
      </c>
      <c r="E46" s="47">
        <f>+D46/$D$48</f>
        <v>1.2500000000000001E-2</v>
      </c>
      <c r="F46" s="72">
        <f>+$F$9</f>
        <v>1.0000000000000001E-5</v>
      </c>
      <c r="G46" s="50"/>
      <c r="H46" s="77"/>
      <c r="I46" s="46"/>
      <c r="J46" s="46">
        <f ca="1">SUM(J24:J44)</f>
        <v>0</v>
      </c>
      <c r="K46" s="58"/>
    </row>
    <row r="47" spans="1:12" s="3" customFormat="1" x14ac:dyDescent="0.2">
      <c r="A47" s="80"/>
      <c r="B47" s="17"/>
      <c r="C47" s="88" t="s">
        <v>56</v>
      </c>
      <c r="D47" s="46">
        <f>+D23-D46</f>
        <v>875000</v>
      </c>
      <c r="E47" s="47">
        <f>+D47/$D$48</f>
        <v>8.7499999999999994E-2</v>
      </c>
      <c r="F47" s="72">
        <f>+$F$9</f>
        <v>1.0000000000000001E-5</v>
      </c>
      <c r="G47" s="50"/>
      <c r="H47" s="77"/>
      <c r="I47" s="46"/>
      <c r="J47" s="46"/>
      <c r="K47" s="58"/>
    </row>
    <row r="48" spans="1:12" s="3" customFormat="1" x14ac:dyDescent="0.2">
      <c r="A48" s="80"/>
      <c r="B48" s="17"/>
      <c r="C48" s="90" t="s">
        <v>150</v>
      </c>
      <c r="D48" s="249">
        <f>+D47+D46+D20</f>
        <v>10000000</v>
      </c>
      <c r="E48" s="27">
        <f>+D48/$D$48</f>
        <v>1</v>
      </c>
      <c r="F48" s="13"/>
      <c r="G48" s="9"/>
      <c r="H48" s="83"/>
      <c r="I48" s="5"/>
      <c r="J48" s="5"/>
      <c r="K48" s="84"/>
    </row>
    <row r="49" spans="1:12" s="1" customFormat="1" x14ac:dyDescent="0.2">
      <c r="A49" s="80"/>
      <c r="B49" s="17"/>
      <c r="C49" s="90"/>
      <c r="D49" s="5"/>
      <c r="E49" s="27"/>
      <c r="F49" s="13"/>
      <c r="G49" s="9"/>
      <c r="H49" s="83"/>
      <c r="I49" s="5"/>
      <c r="J49" s="5"/>
      <c r="K49" s="84"/>
      <c r="L49" s="3"/>
    </row>
    <row r="50" spans="1:12" s="1" customFormat="1" x14ac:dyDescent="0.2">
      <c r="A50" s="80"/>
      <c r="B50" s="17"/>
      <c r="C50" s="90" t="s">
        <v>91</v>
      </c>
      <c r="D50" s="280">
        <f>'Pro Forma - Series A Inputs'!F30</f>
        <v>0.15</v>
      </c>
      <c r="E50" s="27"/>
      <c r="F50" s="13" t="s">
        <v>168</v>
      </c>
      <c r="G50" s="262">
        <f>1-D50</f>
        <v>0.85</v>
      </c>
      <c r="H50" s="83"/>
      <c r="I50" s="5"/>
      <c r="J50" s="5"/>
      <c r="K50" s="84"/>
      <c r="L50" s="3"/>
    </row>
    <row r="51" spans="1:12" s="1" customFormat="1" x14ac:dyDescent="0.2">
      <c r="A51" s="80"/>
      <c r="B51" s="17"/>
      <c r="C51" s="90"/>
      <c r="D51" s="5"/>
      <c r="E51" s="28"/>
      <c r="F51" s="31"/>
      <c r="G51" s="85"/>
      <c r="H51" s="83"/>
      <c r="I51" s="5"/>
      <c r="J51" s="5"/>
      <c r="K51" s="84"/>
      <c r="L51" s="3"/>
    </row>
    <row r="52" spans="1:12" s="3" customFormat="1" x14ac:dyDescent="0.2">
      <c r="A52" s="80"/>
      <c r="B52" s="17"/>
      <c r="C52" s="95" t="s">
        <v>106</v>
      </c>
      <c r="D52" s="5">
        <f ca="1">'Pro Forma - Series A Inputs'!G8+'Pro Forma - Series A Inputs'!G9+'Pro Forma - Series A Inputs'!G10+'Pro Forma - Series A Inputs'!G13+'Pro Forma - Series A Inputs'!G14</f>
        <v>13500519.46153846</v>
      </c>
      <c r="E52" s="28"/>
      <c r="H52" s="83"/>
      <c r="I52" s="5"/>
      <c r="J52" s="5"/>
      <c r="K52" s="84"/>
    </row>
    <row r="53" spans="1:12" s="3" customFormat="1" x14ac:dyDescent="0.2">
      <c r="A53" s="80"/>
      <c r="B53" s="17"/>
      <c r="C53" s="95" t="s">
        <v>105</v>
      </c>
      <c r="D53" s="263">
        <f ca="1">D52-D47</f>
        <v>12625519.46153846</v>
      </c>
      <c r="E53" s="28"/>
      <c r="F53" s="31" t="s">
        <v>169</v>
      </c>
      <c r="G53" s="263">
        <v>14094747</v>
      </c>
      <c r="H53" s="83"/>
      <c r="I53" s="5"/>
      <c r="J53" s="5"/>
      <c r="K53" s="84"/>
    </row>
    <row r="54" spans="1:12" s="3" customFormat="1" ht="30" x14ac:dyDescent="0.2">
      <c r="A54" s="80"/>
      <c r="B54" s="17"/>
      <c r="C54" s="279" t="s">
        <v>181</v>
      </c>
      <c r="D54" s="265">
        <f ca="1">D53/(1-D50)</f>
        <v>14853552.307692306</v>
      </c>
      <c r="E54" s="255"/>
      <c r="F54" s="31" t="s">
        <v>170</v>
      </c>
      <c r="G54" s="264">
        <f>G53/G50</f>
        <v>16582055.294117648</v>
      </c>
      <c r="H54" s="83"/>
      <c r="I54" s="5"/>
      <c r="J54" s="5"/>
      <c r="K54" s="84"/>
    </row>
    <row r="55" spans="1:12" s="3" customFormat="1" x14ac:dyDescent="0.2">
      <c r="A55" s="80"/>
      <c r="B55" s="17"/>
      <c r="D55" s="5"/>
      <c r="E55" s="28"/>
      <c r="F55" s="31"/>
      <c r="G55" s="85"/>
      <c r="H55" s="83"/>
      <c r="I55" s="5"/>
      <c r="J55" s="5"/>
      <c r="K55" s="84"/>
    </row>
    <row r="56" spans="1:12" s="3" customFormat="1" x14ac:dyDescent="0.2">
      <c r="A56" s="80"/>
      <c r="B56" s="17"/>
      <c r="C56" s="96" t="s">
        <v>183</v>
      </c>
      <c r="D56" s="69">
        <f ca="1">MAX(D54-D52,0)</f>
        <v>1353032.846153846</v>
      </c>
      <c r="E56" s="28"/>
      <c r="F56" s="31"/>
      <c r="G56" s="85"/>
      <c r="H56" s="83"/>
      <c r="I56" s="5"/>
      <c r="J56" s="5"/>
      <c r="K56" s="84"/>
    </row>
    <row r="57" spans="1:12" s="3" customFormat="1" x14ac:dyDescent="0.2">
      <c r="A57" s="80"/>
      <c r="B57" s="17"/>
      <c r="C57" s="97"/>
      <c r="D57" s="16"/>
      <c r="E57" s="27"/>
      <c r="F57" s="7"/>
      <c r="G57" s="266"/>
      <c r="H57" s="83"/>
      <c r="I57" s="5"/>
      <c r="J57" s="5"/>
      <c r="K57" s="84"/>
    </row>
    <row r="58" spans="1:12" s="3" customFormat="1" x14ac:dyDescent="0.2">
      <c r="A58" s="80"/>
      <c r="B58" s="17"/>
      <c r="C58" s="87" t="s">
        <v>104</v>
      </c>
      <c r="D58" s="16">
        <f ca="1">D50-SUM('Pro Forma - Series A Inputs'!K10:K11)</f>
        <v>0</v>
      </c>
      <c r="E58" s="27"/>
      <c r="F58" s="7"/>
      <c r="G58" s="9"/>
      <c r="H58" s="83"/>
      <c r="I58" s="5"/>
      <c r="J58" s="5"/>
      <c r="K58" s="84"/>
    </row>
    <row r="59" spans="1:12" s="3" customFormat="1" x14ac:dyDescent="0.2">
      <c r="B59" s="1"/>
      <c r="D59" s="5"/>
      <c r="E59" s="27"/>
      <c r="F59" s="7"/>
      <c r="G59" s="9"/>
      <c r="H59" s="9"/>
      <c r="I59" s="9"/>
    </row>
    <row r="60" spans="1:12" s="3" customFormat="1" ht="30" x14ac:dyDescent="0.2">
      <c r="A60" s="86"/>
      <c r="B60" s="18"/>
      <c r="C60" s="40" t="s">
        <v>107</v>
      </c>
      <c r="D60" s="5">
        <f ca="1">+D56+D48</f>
        <v>11353032.846153846</v>
      </c>
      <c r="E60" s="27"/>
      <c r="F60" s="7"/>
      <c r="G60" s="9"/>
      <c r="H60" s="85"/>
      <c r="I60" s="85"/>
      <c r="J60" s="87"/>
      <c r="K60" s="87"/>
    </row>
    <row r="61" spans="1:12" s="3" customFormat="1" x14ac:dyDescent="0.2">
      <c r="A61" s="87"/>
      <c r="B61" s="18"/>
      <c r="D61" s="5"/>
      <c r="E61" s="27"/>
      <c r="F61" s="7"/>
      <c r="G61" s="9"/>
      <c r="H61" s="86"/>
      <c r="I61" s="86"/>
      <c r="J61" s="87"/>
      <c r="K61" s="87"/>
    </row>
    <row r="62" spans="1:12" s="3" customFormat="1" x14ac:dyDescent="0.2">
      <c r="A62" s="35"/>
      <c r="B62" s="34"/>
      <c r="D62" s="5"/>
      <c r="E62" s="27"/>
      <c r="F62" s="7"/>
      <c r="G62" s="9"/>
      <c r="H62" s="85"/>
      <c r="I62" s="85"/>
      <c r="J62" s="87"/>
      <c r="K62" s="87"/>
    </row>
    <row r="63" spans="1:12" x14ac:dyDescent="0.2">
      <c r="A63" s="33"/>
      <c r="B63" s="18"/>
      <c r="H63" s="32"/>
      <c r="I63" s="32"/>
      <c r="J63" s="33"/>
      <c r="K63" s="33"/>
    </row>
    <row r="64" spans="1:12" x14ac:dyDescent="0.2">
      <c r="A64" s="33"/>
      <c r="B64" s="18"/>
      <c r="C64" s="33"/>
      <c r="D64" s="16"/>
      <c r="H64" s="32"/>
      <c r="I64" s="32"/>
      <c r="J64" s="33"/>
      <c r="K64" s="33"/>
    </row>
    <row r="65" spans="1:11" x14ac:dyDescent="0.2">
      <c r="A65" s="33"/>
      <c r="B65" s="18"/>
      <c r="C65" s="33"/>
      <c r="D65" s="16"/>
      <c r="H65" s="32"/>
      <c r="I65" s="32"/>
      <c r="J65" s="33"/>
      <c r="K65" s="33"/>
    </row>
  </sheetData>
  <pageMargins left="0.7" right="0.7" top="0.75" bottom="0.75" header="0.3" footer="0.3"/>
  <pageSetup scale="53" fitToHeight="0" orientation="landscape" r:id="rId1"/>
  <ignoredErrors>
    <ignoredError sqref="D46"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4"/>
  <sheetViews>
    <sheetView zoomScaleNormal="100" zoomScalePageLayoutView="80" workbookViewId="0">
      <selection activeCell="F5" sqref="F5"/>
    </sheetView>
  </sheetViews>
  <sheetFormatPr baseColWidth="10" defaultColWidth="8.6640625" defaultRowHeight="13" x14ac:dyDescent="0.15"/>
  <cols>
    <col min="1" max="1" width="31.5" style="21" bestFit="1" customWidth="1"/>
    <col min="2" max="2" width="10.5" style="21" bestFit="1" customWidth="1"/>
    <col min="3" max="3" width="11.5" style="21" customWidth="1"/>
    <col min="4" max="4" width="17.83203125" style="21" bestFit="1" customWidth="1"/>
    <col min="5" max="5" width="12.33203125" style="21" customWidth="1"/>
    <col min="6" max="6" width="11.5" style="21" customWidth="1"/>
    <col min="7" max="7" width="8.5" style="21" customWidth="1"/>
    <col min="8" max="8" width="15.1640625" style="21" customWidth="1"/>
    <col min="9" max="9" width="9.1640625" style="21" customWidth="1"/>
    <col min="10" max="10" width="12.33203125" style="21" customWidth="1"/>
    <col min="11" max="11" width="11.33203125" style="21" customWidth="1"/>
    <col min="12" max="12" width="18.6640625" style="21" bestFit="1" customWidth="1"/>
    <col min="13" max="13" width="8.5" style="21" customWidth="1"/>
    <col min="14" max="14" width="12.1640625" style="21" customWidth="1"/>
    <col min="15" max="15" width="11.33203125" style="21" customWidth="1"/>
    <col min="16" max="16" width="16.1640625" style="21" customWidth="1"/>
    <col min="17" max="17" width="12.5" style="21" customWidth="1"/>
    <col min="18" max="18" width="13.1640625" style="21" bestFit="1" customWidth="1"/>
    <col min="19" max="19" width="13.6640625" style="21" bestFit="1" customWidth="1"/>
    <col min="20" max="21" width="8.6640625" style="21"/>
    <col min="22" max="22" width="0" style="21" hidden="1" customWidth="1"/>
    <col min="23" max="16384" width="8.6640625" style="21"/>
  </cols>
  <sheetData>
    <row r="1" spans="1:22" ht="20" x14ac:dyDescent="0.2">
      <c r="I1" s="59" t="str">
        <f>Common!A1</f>
        <v>TBD, Inc.</v>
      </c>
      <c r="J1" s="25"/>
    </row>
    <row r="2" spans="1:22" ht="17" thickBot="1" x14ac:dyDescent="0.25">
      <c r="I2" s="36" t="s">
        <v>54</v>
      </c>
      <c r="J2" s="25"/>
    </row>
    <row r="3" spans="1:22" s="99" customFormat="1" ht="16" thickBot="1" x14ac:dyDescent="0.25">
      <c r="I3" s="127"/>
      <c r="L3" s="227" t="s">
        <v>90</v>
      </c>
      <c r="M3" s="228">
        <f ca="1">'Pro Forma - Series A Inputs'!F25</f>
        <v>1.7616438066393469</v>
      </c>
    </row>
    <row r="4" spans="1:22" s="99" customFormat="1" ht="60" x14ac:dyDescent="0.2">
      <c r="A4" s="229" t="s">
        <v>208</v>
      </c>
      <c r="B4" s="229" t="s">
        <v>205</v>
      </c>
      <c r="C4" s="230" t="s">
        <v>57</v>
      </c>
      <c r="D4" s="230" t="s">
        <v>58</v>
      </c>
      <c r="E4" s="230" t="s">
        <v>35</v>
      </c>
      <c r="F4" s="230" t="s">
        <v>41</v>
      </c>
      <c r="G4" s="230" t="s">
        <v>52</v>
      </c>
      <c r="H4" s="230" t="s">
        <v>53</v>
      </c>
      <c r="I4" s="230" t="s">
        <v>36</v>
      </c>
      <c r="J4" s="230" t="s">
        <v>24</v>
      </c>
      <c r="K4" s="230" t="s">
        <v>79</v>
      </c>
      <c r="L4" s="230" t="s">
        <v>37</v>
      </c>
      <c r="M4" s="230" t="s">
        <v>38</v>
      </c>
      <c r="N4" s="230" t="s">
        <v>39</v>
      </c>
      <c r="O4" s="249">
        <f>+Common!D48</f>
        <v>10000000</v>
      </c>
      <c r="P4" s="193">
        <f ca="1">+O4/O27</f>
        <v>0.94968484233664641</v>
      </c>
    </row>
    <row r="5" spans="1:22" s="99" customFormat="1" ht="15" x14ac:dyDescent="0.2">
      <c r="A5" s="231" t="s">
        <v>131</v>
      </c>
      <c r="B5" s="231" t="s">
        <v>206</v>
      </c>
      <c r="C5" s="330">
        <v>42979</v>
      </c>
      <c r="D5" s="334">
        <f>'Pro Forma - Series A Inputs'!$F$24</f>
        <v>43313</v>
      </c>
      <c r="E5" s="66">
        <v>20000</v>
      </c>
      <c r="F5" s="331">
        <v>0.05</v>
      </c>
      <c r="G5" s="233">
        <f>DAYS360(C5,D5)/365</f>
        <v>0.90410958904109584</v>
      </c>
      <c r="H5" s="218">
        <f>IF($B5="Note",E5+(E5*F5)/360*($D$5-C5),E5)</f>
        <v>20000</v>
      </c>
      <c r="I5" s="73">
        <v>0.2</v>
      </c>
      <c r="J5" s="74">
        <v>3000000</v>
      </c>
      <c r="K5" s="219">
        <f ca="1">+Common!$D$60</f>
        <v>11353032.846153846</v>
      </c>
      <c r="L5" s="220">
        <f t="shared" ref="L5" ca="1" si="0">(J5/K5)</f>
        <v>0.26424657099590204</v>
      </c>
      <c r="M5" s="186">
        <f ca="1">(1-I5)*$M$3</f>
        <v>1.4093150453114776</v>
      </c>
      <c r="N5" s="221">
        <f ca="1">ROUNDUP(((H5/MIN(L5,M5))),0)</f>
        <v>75687</v>
      </c>
      <c r="O5" s="222">
        <f ca="1">+N5/$O$27</f>
        <v>7.1878796661933751E-3</v>
      </c>
      <c r="P5" s="193">
        <f t="shared" ref="P5:P24" ca="1" si="1">+N5/$O$27</f>
        <v>7.1878796661933751E-3</v>
      </c>
      <c r="V5" s="99" t="s">
        <v>206</v>
      </c>
    </row>
    <row r="6" spans="1:22" s="99" customFormat="1" ht="15" x14ac:dyDescent="0.2">
      <c r="A6" s="231" t="s">
        <v>132</v>
      </c>
      <c r="B6" s="231" t="s">
        <v>206</v>
      </c>
      <c r="C6" s="330">
        <v>42979</v>
      </c>
      <c r="D6" s="334">
        <f>'Pro Forma - Series A Inputs'!$F$24</f>
        <v>43313</v>
      </c>
      <c r="E6" s="66">
        <v>200000</v>
      </c>
      <c r="F6" s="331">
        <v>0.05</v>
      </c>
      <c r="G6" s="233">
        <f t="shared" ref="G6:G24" si="2">DAYS360(C6,D6)/365</f>
        <v>0.90410958904109584</v>
      </c>
      <c r="H6" s="218">
        <f t="shared" ref="H6:H24" si="3">IF($B6="Note",E6+(E6*F6)/360*($D$5-C6),E6)</f>
        <v>200000</v>
      </c>
      <c r="I6" s="73">
        <v>0.2</v>
      </c>
      <c r="J6" s="74">
        <v>5000000</v>
      </c>
      <c r="K6" s="219">
        <f ca="1">+Common!$D$60</f>
        <v>11353032.846153846</v>
      </c>
      <c r="L6" s="220">
        <f t="shared" ref="L6:L20" ca="1" si="4">(J6/K6)</f>
        <v>0.44041095165983674</v>
      </c>
      <c r="M6" s="186">
        <f t="shared" ref="M6:M24" ca="1" si="5">(1-I6)*$M$3</f>
        <v>1.4093150453114776</v>
      </c>
      <c r="N6" s="221">
        <f ca="1">ROUNDUP(((H6/MIN(L6,M6))),0)</f>
        <v>454122</v>
      </c>
      <c r="O6" s="222">
        <f t="shared" ref="O6:O24" ca="1" si="6">+N6/$O$27</f>
        <v>4.3127277997160256E-2</v>
      </c>
      <c r="P6" s="193">
        <f t="shared" ca="1" si="1"/>
        <v>4.3127277997160256E-2</v>
      </c>
      <c r="V6" s="99" t="s">
        <v>207</v>
      </c>
    </row>
    <row r="7" spans="1:22" s="99" customFormat="1" ht="15" x14ac:dyDescent="0.2">
      <c r="A7" s="231" t="s">
        <v>133</v>
      </c>
      <c r="B7" s="231" t="s">
        <v>207</v>
      </c>
      <c r="C7" s="330">
        <v>42979</v>
      </c>
      <c r="D7" s="334">
        <f>'Pro Forma - Series A Inputs'!$F$24</f>
        <v>43313</v>
      </c>
      <c r="E7" s="66">
        <v>0</v>
      </c>
      <c r="F7" s="331">
        <v>0.05</v>
      </c>
      <c r="G7" s="233">
        <f t="shared" si="2"/>
        <v>0.90410958904109584</v>
      </c>
      <c r="H7" s="218">
        <f t="shared" si="3"/>
        <v>0</v>
      </c>
      <c r="I7" s="73">
        <v>0.2</v>
      </c>
      <c r="J7" s="74">
        <v>3000000</v>
      </c>
      <c r="K7" s="219">
        <f ca="1">+Common!$D$60</f>
        <v>11353032.846153846</v>
      </c>
      <c r="L7" s="220">
        <f t="shared" ref="L7" ca="1" si="7">(J7/K7)</f>
        <v>0.26424657099590204</v>
      </c>
      <c r="M7" s="186">
        <f t="shared" ca="1" si="5"/>
        <v>1.4093150453114776</v>
      </c>
      <c r="N7" s="221">
        <f t="shared" ref="N7" ca="1" si="8">ROUNDUP(((H7/MIN(L7,M7))),0)</f>
        <v>0</v>
      </c>
      <c r="O7" s="222">
        <f t="shared" ca="1" si="6"/>
        <v>0</v>
      </c>
      <c r="P7" s="193">
        <f t="shared" ca="1" si="1"/>
        <v>0</v>
      </c>
    </row>
    <row r="8" spans="1:22" s="99" customFormat="1" ht="15" x14ac:dyDescent="0.2">
      <c r="A8" s="231" t="s">
        <v>134</v>
      </c>
      <c r="B8" s="231" t="s">
        <v>207</v>
      </c>
      <c r="C8" s="330">
        <v>42979</v>
      </c>
      <c r="D8" s="334">
        <f>'Pro Forma - Series A Inputs'!$F$24</f>
        <v>43313</v>
      </c>
      <c r="E8" s="66">
        <v>0</v>
      </c>
      <c r="F8" s="331">
        <v>0.05</v>
      </c>
      <c r="G8" s="233">
        <f t="shared" si="2"/>
        <v>0.90410958904109584</v>
      </c>
      <c r="H8" s="218">
        <f t="shared" si="3"/>
        <v>0</v>
      </c>
      <c r="I8" s="73">
        <v>0.2</v>
      </c>
      <c r="J8" s="74">
        <v>3000000</v>
      </c>
      <c r="K8" s="219">
        <f ca="1">+Common!$D$60</f>
        <v>11353032.846153846</v>
      </c>
      <c r="L8" s="220">
        <f t="shared" ca="1" si="4"/>
        <v>0.26424657099590204</v>
      </c>
      <c r="M8" s="186">
        <f t="shared" ca="1" si="5"/>
        <v>1.4093150453114776</v>
      </c>
      <c r="N8" s="221">
        <f t="shared" ref="N8:N20" ca="1" si="9">ROUNDUP(((H8/MIN(L8,M8))),0)</f>
        <v>0</v>
      </c>
      <c r="O8" s="222">
        <f t="shared" ca="1" si="6"/>
        <v>0</v>
      </c>
      <c r="P8" s="193">
        <f t="shared" ca="1" si="1"/>
        <v>0</v>
      </c>
    </row>
    <row r="9" spans="1:22" s="99" customFormat="1" ht="15" x14ac:dyDescent="0.2">
      <c r="A9" s="231" t="s">
        <v>135</v>
      </c>
      <c r="B9" s="231" t="s">
        <v>207</v>
      </c>
      <c r="C9" s="330">
        <v>42979</v>
      </c>
      <c r="D9" s="334">
        <f>'Pro Forma - Series A Inputs'!$F$24</f>
        <v>43313</v>
      </c>
      <c r="E9" s="66">
        <v>0</v>
      </c>
      <c r="F9" s="331">
        <v>0.05</v>
      </c>
      <c r="G9" s="233">
        <f t="shared" si="2"/>
        <v>0.90410958904109584</v>
      </c>
      <c r="H9" s="218">
        <f t="shared" si="3"/>
        <v>0</v>
      </c>
      <c r="I9" s="73">
        <v>0.2</v>
      </c>
      <c r="J9" s="74">
        <v>3000000</v>
      </c>
      <c r="K9" s="219">
        <f ca="1">+Common!$D$60</f>
        <v>11353032.846153846</v>
      </c>
      <c r="L9" s="220">
        <f t="shared" ca="1" si="4"/>
        <v>0.26424657099590204</v>
      </c>
      <c r="M9" s="186">
        <f t="shared" ca="1" si="5"/>
        <v>1.4093150453114776</v>
      </c>
      <c r="N9" s="221">
        <f t="shared" ca="1" si="9"/>
        <v>0</v>
      </c>
      <c r="O9" s="222">
        <f t="shared" ca="1" si="6"/>
        <v>0</v>
      </c>
      <c r="P9" s="193">
        <f t="shared" ca="1" si="1"/>
        <v>0</v>
      </c>
    </row>
    <row r="10" spans="1:22" s="99" customFormat="1" ht="15" x14ac:dyDescent="0.2">
      <c r="A10" s="231" t="s">
        <v>136</v>
      </c>
      <c r="B10" s="231" t="s">
        <v>207</v>
      </c>
      <c r="C10" s="330">
        <v>42979</v>
      </c>
      <c r="D10" s="334">
        <f>'Pro Forma - Series A Inputs'!$F$24</f>
        <v>43313</v>
      </c>
      <c r="E10" s="66">
        <v>0</v>
      </c>
      <c r="F10" s="331">
        <v>0.05</v>
      </c>
      <c r="G10" s="233">
        <f t="shared" si="2"/>
        <v>0.90410958904109584</v>
      </c>
      <c r="H10" s="218">
        <f t="shared" si="3"/>
        <v>0</v>
      </c>
      <c r="I10" s="73">
        <v>0.2</v>
      </c>
      <c r="J10" s="74">
        <v>3000000</v>
      </c>
      <c r="K10" s="219">
        <f ca="1">+Common!$D$60</f>
        <v>11353032.846153846</v>
      </c>
      <c r="L10" s="220">
        <f t="shared" ca="1" si="4"/>
        <v>0.26424657099590204</v>
      </c>
      <c r="M10" s="186">
        <f t="shared" ca="1" si="5"/>
        <v>1.4093150453114776</v>
      </c>
      <c r="N10" s="221">
        <f t="shared" ca="1" si="9"/>
        <v>0</v>
      </c>
      <c r="O10" s="222">
        <f t="shared" ca="1" si="6"/>
        <v>0</v>
      </c>
      <c r="P10" s="193">
        <f t="shared" ca="1" si="1"/>
        <v>0</v>
      </c>
    </row>
    <row r="11" spans="1:22" s="99" customFormat="1" ht="15" x14ac:dyDescent="0.2">
      <c r="A11" s="231" t="s">
        <v>137</v>
      </c>
      <c r="B11" s="231" t="s">
        <v>207</v>
      </c>
      <c r="C11" s="330">
        <v>42979</v>
      </c>
      <c r="D11" s="334">
        <f>'Pro Forma - Series A Inputs'!$F$24</f>
        <v>43313</v>
      </c>
      <c r="E11" s="66">
        <v>0</v>
      </c>
      <c r="F11" s="331">
        <v>0.05</v>
      </c>
      <c r="G11" s="233">
        <f t="shared" si="2"/>
        <v>0.90410958904109584</v>
      </c>
      <c r="H11" s="218">
        <f t="shared" si="3"/>
        <v>0</v>
      </c>
      <c r="I11" s="73">
        <v>0.2</v>
      </c>
      <c r="J11" s="74">
        <v>3000000</v>
      </c>
      <c r="K11" s="219">
        <f ca="1">+Common!$D$60</f>
        <v>11353032.846153846</v>
      </c>
      <c r="L11" s="220">
        <f t="shared" ca="1" si="4"/>
        <v>0.26424657099590204</v>
      </c>
      <c r="M11" s="186">
        <f t="shared" ca="1" si="5"/>
        <v>1.4093150453114776</v>
      </c>
      <c r="N11" s="221">
        <f t="shared" ca="1" si="9"/>
        <v>0</v>
      </c>
      <c r="O11" s="222">
        <f t="shared" ca="1" si="6"/>
        <v>0</v>
      </c>
      <c r="P11" s="193">
        <f t="shared" ca="1" si="1"/>
        <v>0</v>
      </c>
    </row>
    <row r="12" spans="1:22" s="99" customFormat="1" ht="15" x14ac:dyDescent="0.2">
      <c r="A12" s="231" t="s">
        <v>138</v>
      </c>
      <c r="B12" s="231" t="s">
        <v>207</v>
      </c>
      <c r="C12" s="330">
        <v>42979</v>
      </c>
      <c r="D12" s="334">
        <f>'Pro Forma - Series A Inputs'!$F$24</f>
        <v>43313</v>
      </c>
      <c r="E12" s="66">
        <v>0</v>
      </c>
      <c r="F12" s="331">
        <v>0.05</v>
      </c>
      <c r="G12" s="233">
        <f t="shared" si="2"/>
        <v>0.90410958904109584</v>
      </c>
      <c r="H12" s="218">
        <f t="shared" si="3"/>
        <v>0</v>
      </c>
      <c r="I12" s="73">
        <v>0.2</v>
      </c>
      <c r="J12" s="74">
        <v>3000000</v>
      </c>
      <c r="K12" s="219">
        <f ca="1">+Common!$D$60</f>
        <v>11353032.846153846</v>
      </c>
      <c r="L12" s="220">
        <f t="shared" ca="1" si="4"/>
        <v>0.26424657099590204</v>
      </c>
      <c r="M12" s="186">
        <f t="shared" ca="1" si="5"/>
        <v>1.4093150453114776</v>
      </c>
      <c r="N12" s="221">
        <f t="shared" ca="1" si="9"/>
        <v>0</v>
      </c>
      <c r="O12" s="222">
        <f t="shared" ca="1" si="6"/>
        <v>0</v>
      </c>
      <c r="P12" s="193">
        <f t="shared" ca="1" si="1"/>
        <v>0</v>
      </c>
    </row>
    <row r="13" spans="1:22" s="99" customFormat="1" ht="15" x14ac:dyDescent="0.2">
      <c r="A13" s="231" t="s">
        <v>139</v>
      </c>
      <c r="B13" s="231" t="s">
        <v>207</v>
      </c>
      <c r="C13" s="330">
        <v>42979</v>
      </c>
      <c r="D13" s="334">
        <f>'Pro Forma - Series A Inputs'!$F$24</f>
        <v>43313</v>
      </c>
      <c r="E13" s="66">
        <v>0</v>
      </c>
      <c r="F13" s="331">
        <v>0.05</v>
      </c>
      <c r="G13" s="233">
        <f t="shared" si="2"/>
        <v>0.90410958904109584</v>
      </c>
      <c r="H13" s="218">
        <f t="shared" si="3"/>
        <v>0</v>
      </c>
      <c r="I13" s="73">
        <v>0.2</v>
      </c>
      <c r="J13" s="74">
        <v>3000000</v>
      </c>
      <c r="K13" s="219">
        <f ca="1">+Common!$D$60</f>
        <v>11353032.846153846</v>
      </c>
      <c r="L13" s="220">
        <f t="shared" ca="1" si="4"/>
        <v>0.26424657099590204</v>
      </c>
      <c r="M13" s="186">
        <f t="shared" ca="1" si="5"/>
        <v>1.4093150453114776</v>
      </c>
      <c r="N13" s="221">
        <f t="shared" ca="1" si="9"/>
        <v>0</v>
      </c>
      <c r="O13" s="222">
        <f t="shared" ca="1" si="6"/>
        <v>0</v>
      </c>
      <c r="P13" s="193">
        <f t="shared" ca="1" si="1"/>
        <v>0</v>
      </c>
    </row>
    <row r="14" spans="1:22" s="99" customFormat="1" ht="15" x14ac:dyDescent="0.2">
      <c r="A14" s="231" t="s">
        <v>140</v>
      </c>
      <c r="B14" s="231" t="s">
        <v>207</v>
      </c>
      <c r="C14" s="330">
        <v>42979</v>
      </c>
      <c r="D14" s="334">
        <f>'Pro Forma - Series A Inputs'!$F$24</f>
        <v>43313</v>
      </c>
      <c r="E14" s="66">
        <v>0</v>
      </c>
      <c r="F14" s="331">
        <v>0.05</v>
      </c>
      <c r="G14" s="233">
        <f t="shared" si="2"/>
        <v>0.90410958904109584</v>
      </c>
      <c r="H14" s="218">
        <f t="shared" si="3"/>
        <v>0</v>
      </c>
      <c r="I14" s="73">
        <v>0.2</v>
      </c>
      <c r="J14" s="74">
        <v>3000000</v>
      </c>
      <c r="K14" s="219">
        <f ca="1">+Common!$D$60</f>
        <v>11353032.846153846</v>
      </c>
      <c r="L14" s="220">
        <f t="shared" ca="1" si="4"/>
        <v>0.26424657099590204</v>
      </c>
      <c r="M14" s="186">
        <f t="shared" ca="1" si="5"/>
        <v>1.4093150453114776</v>
      </c>
      <c r="N14" s="221">
        <f t="shared" ca="1" si="9"/>
        <v>0</v>
      </c>
      <c r="O14" s="222">
        <f t="shared" ca="1" si="6"/>
        <v>0</v>
      </c>
      <c r="P14" s="193">
        <f t="shared" ca="1" si="1"/>
        <v>0</v>
      </c>
    </row>
    <row r="15" spans="1:22" s="99" customFormat="1" ht="15" x14ac:dyDescent="0.2">
      <c r="A15" s="231" t="s">
        <v>141</v>
      </c>
      <c r="B15" s="231" t="s">
        <v>207</v>
      </c>
      <c r="C15" s="330">
        <v>42979</v>
      </c>
      <c r="D15" s="334">
        <f>'Pro Forma - Series A Inputs'!$F$24</f>
        <v>43313</v>
      </c>
      <c r="E15" s="66">
        <v>0</v>
      </c>
      <c r="F15" s="331">
        <v>0.05</v>
      </c>
      <c r="G15" s="233">
        <f t="shared" si="2"/>
        <v>0.90410958904109584</v>
      </c>
      <c r="H15" s="218">
        <f t="shared" si="3"/>
        <v>0</v>
      </c>
      <c r="I15" s="73">
        <v>0.2</v>
      </c>
      <c r="J15" s="74">
        <v>3000000</v>
      </c>
      <c r="K15" s="219">
        <f ca="1">+Common!$D$60</f>
        <v>11353032.846153846</v>
      </c>
      <c r="L15" s="220">
        <f t="shared" ca="1" si="4"/>
        <v>0.26424657099590204</v>
      </c>
      <c r="M15" s="186">
        <f t="shared" ca="1" si="5"/>
        <v>1.4093150453114776</v>
      </c>
      <c r="N15" s="221">
        <f t="shared" ca="1" si="9"/>
        <v>0</v>
      </c>
      <c r="O15" s="222">
        <f t="shared" ca="1" si="6"/>
        <v>0</v>
      </c>
      <c r="P15" s="193">
        <f t="shared" ca="1" si="1"/>
        <v>0</v>
      </c>
    </row>
    <row r="16" spans="1:22" s="99" customFormat="1" ht="15" x14ac:dyDescent="0.2">
      <c r="A16" s="231" t="s">
        <v>142</v>
      </c>
      <c r="B16" s="231" t="s">
        <v>207</v>
      </c>
      <c r="C16" s="330">
        <v>42979</v>
      </c>
      <c r="D16" s="334">
        <f>'Pro Forma - Series A Inputs'!$F$24</f>
        <v>43313</v>
      </c>
      <c r="E16" s="66">
        <v>0</v>
      </c>
      <c r="F16" s="331">
        <v>0.05</v>
      </c>
      <c r="G16" s="233">
        <f t="shared" si="2"/>
        <v>0.90410958904109584</v>
      </c>
      <c r="H16" s="218">
        <f t="shared" si="3"/>
        <v>0</v>
      </c>
      <c r="I16" s="73">
        <v>0.2</v>
      </c>
      <c r="J16" s="74">
        <v>3000000</v>
      </c>
      <c r="K16" s="219">
        <f ca="1">+Common!$D$60</f>
        <v>11353032.846153846</v>
      </c>
      <c r="L16" s="220">
        <f t="shared" ca="1" si="4"/>
        <v>0.26424657099590204</v>
      </c>
      <c r="M16" s="186">
        <f t="shared" ca="1" si="5"/>
        <v>1.4093150453114776</v>
      </c>
      <c r="N16" s="221">
        <f t="shared" ca="1" si="9"/>
        <v>0</v>
      </c>
      <c r="O16" s="222">
        <f t="shared" ca="1" si="6"/>
        <v>0</v>
      </c>
      <c r="P16" s="193">
        <f t="shared" ca="1" si="1"/>
        <v>0</v>
      </c>
    </row>
    <row r="17" spans="1:23" s="99" customFormat="1" ht="15" x14ac:dyDescent="0.2">
      <c r="A17" s="231" t="s">
        <v>143</v>
      </c>
      <c r="B17" s="231" t="s">
        <v>207</v>
      </c>
      <c r="C17" s="330">
        <v>42979</v>
      </c>
      <c r="D17" s="334">
        <f>'Pro Forma - Series A Inputs'!$F$24</f>
        <v>43313</v>
      </c>
      <c r="E17" s="66">
        <v>0</v>
      </c>
      <c r="F17" s="331">
        <v>0.05</v>
      </c>
      <c r="G17" s="233">
        <f t="shared" si="2"/>
        <v>0.90410958904109584</v>
      </c>
      <c r="H17" s="218">
        <f t="shared" si="3"/>
        <v>0</v>
      </c>
      <c r="I17" s="73">
        <v>0.2</v>
      </c>
      <c r="J17" s="74">
        <v>3000000</v>
      </c>
      <c r="K17" s="219">
        <f ca="1">+Common!$D$60</f>
        <v>11353032.846153846</v>
      </c>
      <c r="L17" s="220">
        <f t="shared" ca="1" si="4"/>
        <v>0.26424657099590204</v>
      </c>
      <c r="M17" s="186">
        <f t="shared" ca="1" si="5"/>
        <v>1.4093150453114776</v>
      </c>
      <c r="N17" s="221">
        <f t="shared" ca="1" si="9"/>
        <v>0</v>
      </c>
      <c r="O17" s="222">
        <f t="shared" ca="1" si="6"/>
        <v>0</v>
      </c>
      <c r="P17" s="193">
        <f t="shared" ca="1" si="1"/>
        <v>0</v>
      </c>
    </row>
    <row r="18" spans="1:23" s="99" customFormat="1" ht="15" x14ac:dyDescent="0.2">
      <c r="A18" s="231" t="s">
        <v>144</v>
      </c>
      <c r="B18" s="231" t="s">
        <v>207</v>
      </c>
      <c r="C18" s="330">
        <v>42979</v>
      </c>
      <c r="D18" s="334">
        <f>'Pro Forma - Series A Inputs'!$F$24</f>
        <v>43313</v>
      </c>
      <c r="E18" s="66">
        <v>0</v>
      </c>
      <c r="F18" s="331">
        <v>0.05</v>
      </c>
      <c r="G18" s="233">
        <f t="shared" si="2"/>
        <v>0.90410958904109584</v>
      </c>
      <c r="H18" s="218">
        <f t="shared" si="3"/>
        <v>0</v>
      </c>
      <c r="I18" s="73">
        <v>0.2</v>
      </c>
      <c r="J18" s="74">
        <v>3000000</v>
      </c>
      <c r="K18" s="219">
        <f ca="1">+Common!$D$60</f>
        <v>11353032.846153846</v>
      </c>
      <c r="L18" s="220">
        <f t="shared" ca="1" si="4"/>
        <v>0.26424657099590204</v>
      </c>
      <c r="M18" s="186">
        <f t="shared" ca="1" si="5"/>
        <v>1.4093150453114776</v>
      </c>
      <c r="N18" s="221">
        <f t="shared" ca="1" si="9"/>
        <v>0</v>
      </c>
      <c r="O18" s="222">
        <f t="shared" ca="1" si="6"/>
        <v>0</v>
      </c>
      <c r="P18" s="193">
        <f t="shared" ca="1" si="1"/>
        <v>0</v>
      </c>
    </row>
    <row r="19" spans="1:23" s="99" customFormat="1" ht="15" x14ac:dyDescent="0.2">
      <c r="A19" s="231" t="s">
        <v>145</v>
      </c>
      <c r="B19" s="231" t="s">
        <v>207</v>
      </c>
      <c r="C19" s="330">
        <v>42979</v>
      </c>
      <c r="D19" s="334">
        <f>'Pro Forma - Series A Inputs'!$F$24</f>
        <v>43313</v>
      </c>
      <c r="E19" s="66">
        <v>0</v>
      </c>
      <c r="F19" s="331">
        <v>0.05</v>
      </c>
      <c r="G19" s="233">
        <f t="shared" si="2"/>
        <v>0.90410958904109584</v>
      </c>
      <c r="H19" s="218">
        <f t="shared" si="3"/>
        <v>0</v>
      </c>
      <c r="I19" s="73">
        <v>0.2</v>
      </c>
      <c r="J19" s="74">
        <v>3000000</v>
      </c>
      <c r="K19" s="219">
        <f ca="1">+Common!$D$60</f>
        <v>11353032.846153846</v>
      </c>
      <c r="L19" s="220">
        <f t="shared" ca="1" si="4"/>
        <v>0.26424657099590204</v>
      </c>
      <c r="M19" s="186">
        <f t="shared" ca="1" si="5"/>
        <v>1.4093150453114776</v>
      </c>
      <c r="N19" s="221">
        <f t="shared" ca="1" si="9"/>
        <v>0</v>
      </c>
      <c r="O19" s="222">
        <f t="shared" ca="1" si="6"/>
        <v>0</v>
      </c>
      <c r="P19" s="193">
        <f t="shared" ca="1" si="1"/>
        <v>0</v>
      </c>
    </row>
    <row r="20" spans="1:23" s="99" customFormat="1" ht="15" x14ac:dyDescent="0.2">
      <c r="A20" s="231" t="s">
        <v>146</v>
      </c>
      <c r="B20" s="231" t="s">
        <v>207</v>
      </c>
      <c r="C20" s="330">
        <v>42979</v>
      </c>
      <c r="D20" s="334">
        <f>'Pro Forma - Series A Inputs'!$F$24</f>
        <v>43313</v>
      </c>
      <c r="E20" s="66">
        <v>0</v>
      </c>
      <c r="F20" s="331">
        <v>0.05</v>
      </c>
      <c r="G20" s="233">
        <f t="shared" si="2"/>
        <v>0.90410958904109584</v>
      </c>
      <c r="H20" s="218">
        <f t="shared" si="3"/>
        <v>0</v>
      </c>
      <c r="I20" s="73">
        <v>0.2</v>
      </c>
      <c r="J20" s="74">
        <v>3000000</v>
      </c>
      <c r="K20" s="219">
        <f ca="1">+Common!$D$60</f>
        <v>11353032.846153846</v>
      </c>
      <c r="L20" s="220">
        <f t="shared" ca="1" si="4"/>
        <v>0.26424657099590204</v>
      </c>
      <c r="M20" s="186">
        <f t="shared" ca="1" si="5"/>
        <v>1.4093150453114776</v>
      </c>
      <c r="N20" s="221">
        <f t="shared" ca="1" si="9"/>
        <v>0</v>
      </c>
      <c r="O20" s="222">
        <f t="shared" ca="1" si="6"/>
        <v>0</v>
      </c>
      <c r="P20" s="193">
        <f t="shared" ca="1" si="1"/>
        <v>0</v>
      </c>
    </row>
    <row r="21" spans="1:23" s="99" customFormat="1" ht="15" x14ac:dyDescent="0.2">
      <c r="A21" s="231" t="s">
        <v>147</v>
      </c>
      <c r="B21" s="231" t="s">
        <v>207</v>
      </c>
      <c r="C21" s="330">
        <v>42979</v>
      </c>
      <c r="D21" s="334">
        <f>'Pro Forma - Series A Inputs'!$F$24</f>
        <v>43313</v>
      </c>
      <c r="E21" s="66">
        <v>0</v>
      </c>
      <c r="F21" s="331">
        <v>0.05</v>
      </c>
      <c r="G21" s="233">
        <f t="shared" si="2"/>
        <v>0.90410958904109584</v>
      </c>
      <c r="H21" s="218">
        <f t="shared" si="3"/>
        <v>0</v>
      </c>
      <c r="I21" s="73">
        <v>0.2</v>
      </c>
      <c r="J21" s="74">
        <v>3000000</v>
      </c>
      <c r="K21" s="219">
        <f ca="1">+Common!$D$60</f>
        <v>11353032.846153846</v>
      </c>
      <c r="L21" s="220">
        <f t="shared" ref="L21:L23" ca="1" si="10">(J21/K21)</f>
        <v>0.26424657099590204</v>
      </c>
      <c r="M21" s="186">
        <f t="shared" ref="M21:M23" ca="1" si="11">(1-I21)*$M$3</f>
        <v>1.4093150453114776</v>
      </c>
      <c r="N21" s="221">
        <f t="shared" ref="N21:N23" ca="1" si="12">ROUNDUP(((H21/MIN(L21,M21))),0)</f>
        <v>0</v>
      </c>
      <c r="O21" s="222">
        <f t="shared" ref="O21:O23" ca="1" si="13">+N21/$O$27</f>
        <v>0</v>
      </c>
      <c r="P21" s="193">
        <f t="shared" ref="P21:P23" ca="1" si="14">+N21/$O$27</f>
        <v>0</v>
      </c>
    </row>
    <row r="22" spans="1:23" s="99" customFormat="1" ht="15" x14ac:dyDescent="0.2">
      <c r="A22" s="231" t="s">
        <v>163</v>
      </c>
      <c r="B22" s="231" t="s">
        <v>207</v>
      </c>
      <c r="C22" s="330">
        <v>42979</v>
      </c>
      <c r="D22" s="334">
        <f>'Pro Forma - Series A Inputs'!$F$24</f>
        <v>43313</v>
      </c>
      <c r="E22" s="66">
        <v>0</v>
      </c>
      <c r="F22" s="331">
        <v>0.05</v>
      </c>
      <c r="G22" s="233">
        <f t="shared" si="2"/>
        <v>0.90410958904109584</v>
      </c>
      <c r="H22" s="218">
        <f t="shared" si="3"/>
        <v>0</v>
      </c>
      <c r="I22" s="73">
        <v>0.2</v>
      </c>
      <c r="J22" s="74">
        <v>3000000</v>
      </c>
      <c r="K22" s="219">
        <f ca="1">+Common!$D$60</f>
        <v>11353032.846153846</v>
      </c>
      <c r="L22" s="220">
        <f t="shared" ca="1" si="10"/>
        <v>0.26424657099590204</v>
      </c>
      <c r="M22" s="186">
        <f t="shared" ca="1" si="11"/>
        <v>1.4093150453114776</v>
      </c>
      <c r="N22" s="221">
        <f t="shared" ca="1" si="12"/>
        <v>0</v>
      </c>
      <c r="O22" s="222">
        <f t="shared" ca="1" si="13"/>
        <v>0</v>
      </c>
      <c r="P22" s="193">
        <f t="shared" ca="1" si="14"/>
        <v>0</v>
      </c>
    </row>
    <row r="23" spans="1:23" s="127" customFormat="1" ht="15" x14ac:dyDescent="0.2">
      <c r="A23" s="231" t="s">
        <v>164</v>
      </c>
      <c r="B23" s="231" t="s">
        <v>207</v>
      </c>
      <c r="C23" s="330">
        <v>42979</v>
      </c>
      <c r="D23" s="334">
        <f>'Pro Forma - Series A Inputs'!$F$24</f>
        <v>43313</v>
      </c>
      <c r="E23" s="66">
        <v>0</v>
      </c>
      <c r="F23" s="331">
        <v>0.05</v>
      </c>
      <c r="G23" s="233">
        <f t="shared" si="2"/>
        <v>0.90410958904109584</v>
      </c>
      <c r="H23" s="218">
        <f t="shared" si="3"/>
        <v>0</v>
      </c>
      <c r="I23" s="73">
        <v>0.2</v>
      </c>
      <c r="J23" s="74">
        <v>3000000</v>
      </c>
      <c r="K23" s="219">
        <f ca="1">+Common!$D$60</f>
        <v>11353032.846153846</v>
      </c>
      <c r="L23" s="220">
        <f t="shared" ca="1" si="10"/>
        <v>0.26424657099590204</v>
      </c>
      <c r="M23" s="186">
        <f t="shared" ca="1" si="11"/>
        <v>1.4093150453114776</v>
      </c>
      <c r="N23" s="221">
        <f t="shared" ca="1" si="12"/>
        <v>0</v>
      </c>
      <c r="O23" s="222">
        <f t="shared" ca="1" si="13"/>
        <v>0</v>
      </c>
      <c r="P23" s="193">
        <f t="shared" ca="1" si="14"/>
        <v>0</v>
      </c>
    </row>
    <row r="24" spans="1:23" s="99" customFormat="1" ht="15" x14ac:dyDescent="0.2">
      <c r="A24" s="231" t="s">
        <v>165</v>
      </c>
      <c r="B24" s="231" t="s">
        <v>207</v>
      </c>
      <c r="C24" s="330">
        <v>42979</v>
      </c>
      <c r="D24" s="334">
        <f>'Pro Forma - Series A Inputs'!$F$24</f>
        <v>43313</v>
      </c>
      <c r="E24" s="66">
        <v>0</v>
      </c>
      <c r="F24" s="331">
        <v>0.05</v>
      </c>
      <c r="G24" s="233">
        <f t="shared" si="2"/>
        <v>0.90410958904109584</v>
      </c>
      <c r="H24" s="218">
        <f t="shared" si="3"/>
        <v>0</v>
      </c>
      <c r="I24" s="73">
        <v>0.2</v>
      </c>
      <c r="J24" s="74">
        <v>3000000</v>
      </c>
      <c r="K24" s="219">
        <f ca="1">+Common!$D$60</f>
        <v>11353032.846153846</v>
      </c>
      <c r="L24" s="220">
        <f t="shared" ref="L24" ca="1" si="15">(J24/K24)</f>
        <v>0.26424657099590204</v>
      </c>
      <c r="M24" s="186">
        <f t="shared" ca="1" si="5"/>
        <v>1.4093150453114776</v>
      </c>
      <c r="N24" s="221">
        <f t="shared" ref="N24" ca="1" si="16">(H24/MIN(L24,M24))</f>
        <v>0</v>
      </c>
      <c r="O24" s="222">
        <f t="shared" ca="1" si="6"/>
        <v>0</v>
      </c>
      <c r="P24" s="193">
        <f t="shared" ca="1" si="1"/>
        <v>0</v>
      </c>
    </row>
    <row r="25" spans="1:23" s="99" customFormat="1" ht="15" x14ac:dyDescent="0.2">
      <c r="A25" s="234"/>
      <c r="B25" s="234"/>
      <c r="C25" s="60"/>
      <c r="D25" s="60"/>
      <c r="E25" s="61"/>
      <c r="F25" s="232"/>
      <c r="G25" s="233"/>
      <c r="H25" s="218"/>
      <c r="I25" s="223"/>
      <c r="J25" s="62"/>
      <c r="K25" s="219"/>
      <c r="L25" s="220"/>
      <c r="M25" s="186"/>
      <c r="N25" s="221"/>
      <c r="O25" s="221"/>
      <c r="P25" s="193"/>
    </row>
    <row r="26" spans="1:23" s="99" customFormat="1" ht="15" x14ac:dyDescent="0.2">
      <c r="A26" s="241" t="s">
        <v>76</v>
      </c>
      <c r="B26" s="241"/>
      <c r="C26" s="235"/>
      <c r="D26" s="235"/>
      <c r="E26" s="246">
        <f>SUM(E5:E25)</f>
        <v>220000</v>
      </c>
      <c r="F26" s="44"/>
      <c r="G26" s="236"/>
      <c r="H26" s="267">
        <f>SUM(H5:H25)</f>
        <v>220000</v>
      </c>
      <c r="I26" s="237"/>
      <c r="J26" s="238"/>
      <c r="K26" s="224"/>
      <c r="L26" s="225"/>
      <c r="M26" s="221"/>
      <c r="N26" s="256">
        <f ca="1">SUM(N5:N25)</f>
        <v>529809</v>
      </c>
      <c r="P26" s="239"/>
      <c r="Q26" s="239"/>
      <c r="W26" s="99" t="s">
        <v>40</v>
      </c>
    </row>
    <row r="27" spans="1:23" s="99" customFormat="1" ht="15" x14ac:dyDescent="0.2">
      <c r="A27" s="234"/>
      <c r="B27" s="234"/>
      <c r="E27" s="172"/>
      <c r="F27" s="172"/>
      <c r="G27" s="172"/>
      <c r="I27" s="240"/>
      <c r="J27" s="172"/>
      <c r="M27" s="99" t="s">
        <v>40</v>
      </c>
      <c r="O27" s="226">
        <f ca="1">+N26+O4</f>
        <v>10529809</v>
      </c>
      <c r="P27" s="239">
        <f ca="1">SUM(P4:P26)</f>
        <v>1</v>
      </c>
      <c r="Q27" s="104"/>
    </row>
    <row r="28" spans="1:23" s="99" customFormat="1" ht="15" x14ac:dyDescent="0.2">
      <c r="A28" s="241"/>
      <c r="B28" s="241"/>
      <c r="C28" s="126"/>
      <c r="D28" s="126"/>
      <c r="E28" s="335"/>
      <c r="F28" s="242"/>
      <c r="G28" s="242"/>
      <c r="H28" s="243"/>
      <c r="I28" s="243"/>
      <c r="J28" s="243"/>
      <c r="Q28" s="244"/>
    </row>
    <row r="29" spans="1:23" s="99" customFormat="1" ht="15" x14ac:dyDescent="0.2">
      <c r="A29" s="234"/>
      <c r="B29" s="234"/>
      <c r="E29" s="165"/>
      <c r="F29" s="165"/>
      <c r="G29" s="165"/>
      <c r="I29" s="99" t="s">
        <v>40</v>
      </c>
    </row>
    <row r="30" spans="1:23" s="99" customFormat="1" ht="15" x14ac:dyDescent="0.2">
      <c r="E30" s="336"/>
      <c r="F30" s="245"/>
      <c r="G30" s="245"/>
    </row>
    <row r="31" spans="1:23" s="99" customFormat="1" ht="15" x14ac:dyDescent="0.2"/>
    <row r="32" spans="1:23" s="99" customFormat="1" ht="15" x14ac:dyDescent="0.2">
      <c r="U32" s="99" t="s">
        <v>40</v>
      </c>
    </row>
    <row r="33" spans="4:10" x14ac:dyDescent="0.15">
      <c r="D33" s="45"/>
    </row>
    <row r="34" spans="4:10" x14ac:dyDescent="0.15">
      <c r="J34" s="21" t="s">
        <v>40</v>
      </c>
    </row>
  </sheetData>
  <dataValidations count="1">
    <dataValidation type="list" allowBlank="1" showInputMessage="1" showErrorMessage="1" sqref="B5:B24" xr:uid="{00995419-A8C2-4E55-B275-63A5DF255781}">
      <formula1>$V$5:$V$6</formula1>
    </dataValidation>
  </dataValidations>
  <pageMargins left="0.25" right="0.25" top="0.75" bottom="0.75" header="0.3" footer="0.3"/>
  <pageSetup scale="5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Q38"/>
  <sheetViews>
    <sheetView topLeftCell="A7" workbookViewId="0">
      <selection activeCell="B2" sqref="B2"/>
    </sheetView>
  </sheetViews>
  <sheetFormatPr baseColWidth="10" defaultColWidth="11.5" defaultRowHeight="13" x14ac:dyDescent="0.15"/>
  <cols>
    <col min="1" max="1" width="2.5" style="20" customWidth="1"/>
    <col min="2" max="2" width="39" style="20" customWidth="1"/>
    <col min="3" max="4" width="15.6640625" style="20" customWidth="1"/>
    <col min="5" max="5" width="1.6640625" style="21" customWidth="1"/>
    <col min="6" max="7" width="16.33203125" style="20" customWidth="1"/>
    <col min="8" max="8" width="41.83203125" style="20" customWidth="1"/>
    <col min="9" max="9" width="19.5" style="20" bestFit="1" customWidth="1"/>
    <col min="10" max="10" width="14.33203125" style="20" bestFit="1" customWidth="1"/>
    <col min="11" max="11" width="13.33203125" style="21" bestFit="1" customWidth="1"/>
    <col min="12" max="12" width="13.33203125" style="20" customWidth="1"/>
    <col min="13" max="13" width="14.33203125" style="20" bestFit="1" customWidth="1"/>
    <col min="14" max="14" width="13.33203125" style="20" customWidth="1"/>
    <col min="15" max="16384" width="11.5" style="20"/>
  </cols>
  <sheetData>
    <row r="1" spans="2:17" ht="20" x14ac:dyDescent="0.2">
      <c r="B1" s="59" t="str">
        <f>Common!A1</f>
        <v>TBD, Inc.</v>
      </c>
    </row>
    <row r="2" spans="2:17" ht="20" x14ac:dyDescent="0.2">
      <c r="B2" s="29" t="s">
        <v>42</v>
      </c>
      <c r="C2" s="22"/>
      <c r="D2" s="22"/>
      <c r="F2" s="22"/>
      <c r="G2" s="22"/>
      <c r="H2" s="22"/>
      <c r="I2" s="22"/>
      <c r="J2" s="22"/>
    </row>
    <row r="3" spans="2:17" s="99" customFormat="1" ht="15" x14ac:dyDescent="0.2">
      <c r="C3" s="150"/>
    </row>
    <row r="4" spans="2:17" s="99" customFormat="1" ht="15" x14ac:dyDescent="0.2">
      <c r="C4" s="150"/>
    </row>
    <row r="5" spans="2:17" s="99" customFormat="1" ht="15" x14ac:dyDescent="0.2">
      <c r="C5" s="150"/>
    </row>
    <row r="6" spans="2:17" s="99" customFormat="1" ht="15" x14ac:dyDescent="0.2">
      <c r="B6" s="176"/>
      <c r="C6" s="177" t="s">
        <v>51</v>
      </c>
      <c r="D6" s="176"/>
      <c r="E6" s="104"/>
      <c r="F6" s="338" t="s">
        <v>45</v>
      </c>
      <c r="G6" s="338"/>
      <c r="H6" s="338"/>
      <c r="I6" s="338"/>
      <c r="J6" s="338"/>
      <c r="K6" s="153"/>
      <c r="L6" s="104"/>
      <c r="M6" s="339"/>
      <c r="N6" s="339"/>
      <c r="O6" s="339"/>
    </row>
    <row r="7" spans="2:17" s="99" customFormat="1" ht="30" x14ac:dyDescent="0.2">
      <c r="B7" s="155"/>
      <c r="C7" s="156" t="s">
        <v>15</v>
      </c>
      <c r="D7" s="156" t="s">
        <v>16</v>
      </c>
      <c r="F7" s="156" t="s">
        <v>17</v>
      </c>
      <c r="G7" s="156" t="s">
        <v>15</v>
      </c>
      <c r="H7" s="156"/>
      <c r="I7" s="156"/>
      <c r="J7" s="156"/>
      <c r="K7" s="156" t="s">
        <v>16</v>
      </c>
      <c r="N7" s="157"/>
      <c r="O7" s="157"/>
      <c r="P7" s="157"/>
      <c r="Q7" s="157"/>
    </row>
    <row r="8" spans="2:17" s="104" customFormat="1" ht="15" x14ac:dyDescent="0.2">
      <c r="B8" s="104" t="s">
        <v>9</v>
      </c>
      <c r="C8" s="158">
        <f>+'Post Money Cap Table'!CS</f>
        <v>9000000</v>
      </c>
      <c r="D8" s="178">
        <f ca="1">C8/$C$15</f>
        <v>0.79273971298770607</v>
      </c>
      <c r="E8" s="126"/>
      <c r="F8" s="179"/>
      <c r="G8" s="142">
        <f>C8</f>
        <v>9000000</v>
      </c>
      <c r="H8" s="142"/>
      <c r="I8" s="142"/>
      <c r="J8" s="142">
        <f>+G8</f>
        <v>9000000</v>
      </c>
      <c r="K8" s="180">
        <f ca="1">+J8/J$15</f>
        <v>0.60591566337562974</v>
      </c>
      <c r="M8" s="181"/>
      <c r="N8" s="179"/>
      <c r="O8" s="112"/>
      <c r="P8" s="182"/>
      <c r="Q8" s="175"/>
    </row>
    <row r="9" spans="2:17" s="104" customFormat="1" ht="15" x14ac:dyDescent="0.2">
      <c r="B9" s="114" t="s">
        <v>18</v>
      </c>
      <c r="C9" s="158">
        <f>+Common!D46</f>
        <v>125000</v>
      </c>
      <c r="D9" s="178">
        <f ca="1">C9/$C$15</f>
        <v>1.1010273791495918E-2</v>
      </c>
      <c r="E9" s="126"/>
      <c r="F9" s="179"/>
      <c r="G9" s="142">
        <f>C9</f>
        <v>125000</v>
      </c>
      <c r="H9" s="142">
        <f>+G9</f>
        <v>125000</v>
      </c>
      <c r="I9" s="142"/>
      <c r="J9" s="142">
        <f>+H9</f>
        <v>125000</v>
      </c>
      <c r="K9" s="180">
        <f ca="1">+J9/J$15</f>
        <v>8.4154953246615236E-3</v>
      </c>
      <c r="M9" s="183"/>
      <c r="N9" s="179"/>
      <c r="O9" s="112"/>
      <c r="P9" s="182"/>
      <c r="Q9" s="175"/>
    </row>
    <row r="10" spans="2:17" s="104" customFormat="1" ht="15" x14ac:dyDescent="0.2">
      <c r="B10" s="114" t="s">
        <v>19</v>
      </c>
      <c r="C10" s="158">
        <f>+Common!D47</f>
        <v>875000</v>
      </c>
      <c r="D10" s="178">
        <f ca="1">C10/$C$15</f>
        <v>7.7071916540471422E-2</v>
      </c>
      <c r="E10" s="126"/>
      <c r="F10" s="179"/>
      <c r="G10" s="144">
        <f>C10</f>
        <v>875000</v>
      </c>
      <c r="H10" s="144">
        <f>+G10</f>
        <v>875000</v>
      </c>
      <c r="I10" s="144"/>
      <c r="J10" s="144">
        <f>+H10</f>
        <v>875000</v>
      </c>
      <c r="K10" s="180">
        <f ca="1">+J10/J$15</f>
        <v>5.8908467272630674E-2</v>
      </c>
      <c r="M10" s="183"/>
      <c r="N10" s="179"/>
      <c r="O10" s="112"/>
      <c r="P10" s="182"/>
      <c r="Q10" s="175"/>
    </row>
    <row r="11" spans="2:17" s="104" customFormat="1" ht="15" x14ac:dyDescent="0.2">
      <c r="B11" s="114" t="s">
        <v>80</v>
      </c>
      <c r="C11" s="158">
        <f ca="1">+G11</f>
        <v>1353032.846153846</v>
      </c>
      <c r="D11" s="178">
        <f ca="1">C11/$C$15</f>
        <v>0.11917809668032656</v>
      </c>
      <c r="E11" s="126"/>
      <c r="F11" s="179"/>
      <c r="G11" s="327">
        <f ca="1">+F37</f>
        <v>1353032.846153846</v>
      </c>
      <c r="H11" s="144">
        <f ca="1">+G11</f>
        <v>1353032.846153846</v>
      </c>
      <c r="I11" s="144"/>
      <c r="J11" s="144">
        <f ca="1">+H11</f>
        <v>1353032.846153846</v>
      </c>
      <c r="K11" s="180">
        <f ca="1">+J11/J$15</f>
        <v>9.1091532727369334E-2</v>
      </c>
      <c r="M11" s="99"/>
      <c r="N11" s="179"/>
      <c r="O11" s="112"/>
      <c r="P11" s="182"/>
      <c r="Q11" s="175"/>
    </row>
    <row r="12" spans="2:17" s="104" customFormat="1" ht="15" x14ac:dyDescent="0.2">
      <c r="B12" s="114" t="s">
        <v>81</v>
      </c>
      <c r="C12" s="158"/>
      <c r="D12" s="178"/>
      <c r="E12" s="126"/>
      <c r="F12" s="179"/>
      <c r="G12" s="144"/>
      <c r="H12" s="144">
        <f ca="1">SUM(H9:H11)</f>
        <v>2353032.846153846</v>
      </c>
      <c r="I12" s="184"/>
      <c r="J12" s="185"/>
      <c r="K12" s="180"/>
      <c r="M12" s="99"/>
      <c r="N12" s="179"/>
      <c r="O12" s="112"/>
      <c r="P12" s="182"/>
      <c r="Q12" s="175"/>
    </row>
    <row r="13" spans="2:17" s="104" customFormat="1" ht="15" x14ac:dyDescent="0.2">
      <c r="B13" s="114" t="s">
        <v>200</v>
      </c>
      <c r="C13" s="158"/>
      <c r="D13" s="179"/>
      <c r="E13" s="126"/>
      <c r="F13" s="186">
        <f>+'SAFEs &amp; Notes'!H26</f>
        <v>220000</v>
      </c>
      <c r="G13" s="257">
        <f ca="1">'SAFEs &amp; Notes'!N26</f>
        <v>529809</v>
      </c>
      <c r="H13" s="144"/>
      <c r="I13" s="144"/>
      <c r="J13" s="144">
        <f ca="1">+G13</f>
        <v>529809</v>
      </c>
      <c r="K13" s="180">
        <f ca="1">+J13/J$15</f>
        <v>3.5668841299708778E-2</v>
      </c>
      <c r="M13" s="183"/>
      <c r="N13" s="179"/>
      <c r="O13" s="112"/>
      <c r="P13" s="182"/>
      <c r="Q13" s="175"/>
    </row>
    <row r="14" spans="2:17" s="104" customFormat="1" ht="16" thickBot="1" x14ac:dyDescent="0.25">
      <c r="B14" s="114" t="s">
        <v>78</v>
      </c>
      <c r="C14" s="158"/>
      <c r="D14" s="179"/>
      <c r="E14" s="126"/>
      <c r="F14" s="186">
        <f>+F20</f>
        <v>5000000</v>
      </c>
      <c r="G14" s="259">
        <f ca="1">F28</f>
        <v>2970710.4615384601</v>
      </c>
      <c r="H14" s="144"/>
      <c r="I14" s="144"/>
      <c r="J14" s="144">
        <f ca="1">+G14</f>
        <v>2970710.4615384601</v>
      </c>
      <c r="K14" s="180">
        <f ca="1">+J14/J$15</f>
        <v>0.19999999999999993</v>
      </c>
      <c r="M14" s="183"/>
      <c r="N14" s="179"/>
      <c r="O14" s="112"/>
      <c r="P14" s="182"/>
      <c r="Q14" s="175"/>
    </row>
    <row r="15" spans="2:17" s="104" customFormat="1" ht="16" thickBot="1" x14ac:dyDescent="0.25">
      <c r="B15" s="104" t="s">
        <v>20</v>
      </c>
      <c r="C15" s="160">
        <f ca="1">SUM(C8:C14)</f>
        <v>11353032.846153846</v>
      </c>
      <c r="D15" s="187">
        <f ca="1">ROUND(SUM(D8:D14),1)</f>
        <v>1</v>
      </c>
      <c r="E15" s="188"/>
      <c r="F15" s="189">
        <f>SUM(F8:F14)</f>
        <v>5220000</v>
      </c>
      <c r="G15" s="328">
        <f ca="1">SUM(G8:G14)</f>
        <v>14853552.307692306</v>
      </c>
      <c r="H15" s="190"/>
      <c r="I15" s="190"/>
      <c r="J15" s="190">
        <f ca="1">SUM(J8:J14)</f>
        <v>14853552.307692306</v>
      </c>
      <c r="K15" s="191">
        <f ca="1">SUM(K8:K14)</f>
        <v>1</v>
      </c>
      <c r="M15" s="181"/>
      <c r="N15" s="112"/>
      <c r="O15" s="112"/>
      <c r="P15" s="192"/>
      <c r="Q15" s="114"/>
    </row>
    <row r="16" spans="2:17" s="104" customFormat="1" ht="15" x14ac:dyDescent="0.2">
      <c r="C16" s="114"/>
      <c r="D16" s="179"/>
      <c r="E16" s="126"/>
      <c r="F16" s="128"/>
      <c r="G16" s="128"/>
      <c r="H16" s="142"/>
      <c r="I16" s="193"/>
      <c r="K16" s="99"/>
      <c r="L16" s="112"/>
      <c r="M16" s="192"/>
      <c r="N16" s="114"/>
    </row>
    <row r="17" spans="2:14" s="104" customFormat="1" ht="16" thickBot="1" x14ac:dyDescent="0.25">
      <c r="B17" s="114"/>
      <c r="C17" s="158"/>
      <c r="D17" s="179"/>
      <c r="E17" s="126"/>
      <c r="F17" s="128"/>
      <c r="G17" s="194"/>
      <c r="H17" s="142"/>
      <c r="I17" s="115"/>
      <c r="J17" s="195"/>
      <c r="K17" s="99"/>
      <c r="L17" s="112"/>
      <c r="M17" s="192"/>
      <c r="N17" s="114"/>
    </row>
    <row r="18" spans="2:14" s="99" customFormat="1" ht="16" thickBot="1" x14ac:dyDescent="0.25">
      <c r="B18" s="127" t="s">
        <v>21</v>
      </c>
      <c r="C18" s="196"/>
      <c r="D18" s="126"/>
      <c r="E18" s="126"/>
      <c r="F18" s="197">
        <v>20000000</v>
      </c>
      <c r="G18" s="198"/>
      <c r="H18" s="172"/>
      <c r="L18" s="198"/>
      <c r="M18" s="114"/>
      <c r="N18" s="114"/>
    </row>
    <row r="19" spans="2:14" s="99" customFormat="1" ht="16" thickBot="1" x14ac:dyDescent="0.25">
      <c r="B19" s="127"/>
      <c r="C19" s="196"/>
      <c r="D19" s="199"/>
      <c r="E19" s="126"/>
      <c r="F19" s="200"/>
      <c r="G19" s="200"/>
      <c r="H19" s="201"/>
      <c r="I19" s="202"/>
      <c r="L19" s="203"/>
      <c r="M19" s="114"/>
      <c r="N19" s="114"/>
    </row>
    <row r="20" spans="2:14" s="99" customFormat="1" ht="16" thickBot="1" x14ac:dyDescent="0.25">
      <c r="B20" s="127" t="s">
        <v>49</v>
      </c>
      <c r="C20" s="126"/>
      <c r="D20" s="199"/>
      <c r="E20" s="126"/>
      <c r="F20" s="204">
        <v>5000000</v>
      </c>
      <c r="G20" s="205"/>
      <c r="H20" s="183"/>
      <c r="I20" s="202"/>
      <c r="L20" s="205"/>
      <c r="M20" s="114"/>
      <c r="N20" s="114"/>
    </row>
    <row r="21" spans="2:14" s="99" customFormat="1" ht="15" x14ac:dyDescent="0.2">
      <c r="B21" s="127"/>
      <c r="C21" s="126"/>
      <c r="D21" s="199"/>
      <c r="E21" s="126"/>
      <c r="F21" s="205"/>
      <c r="G21" s="205"/>
      <c r="H21" s="202"/>
      <c r="I21" s="202"/>
      <c r="L21" s="205"/>
      <c r="M21" s="114"/>
      <c r="N21" s="114"/>
    </row>
    <row r="22" spans="2:14" s="99" customFormat="1" ht="15" x14ac:dyDescent="0.2">
      <c r="B22" s="127" t="s">
        <v>22</v>
      </c>
      <c r="C22" s="126"/>
      <c r="D22" s="206"/>
      <c r="E22" s="126"/>
      <c r="F22" s="128">
        <f>F18+F20</f>
        <v>25000000</v>
      </c>
      <c r="G22" s="128"/>
      <c r="H22" s="202"/>
      <c r="I22" s="202"/>
      <c r="L22" s="205"/>
      <c r="M22" s="114"/>
      <c r="N22" s="114"/>
    </row>
    <row r="23" spans="2:14" s="99" customFormat="1" ht="16" thickBot="1" x14ac:dyDescent="0.25">
      <c r="B23" s="127" t="s">
        <v>89</v>
      </c>
      <c r="C23" s="126"/>
      <c r="D23" s="206"/>
      <c r="E23" s="126"/>
      <c r="F23" s="207">
        <f>F20/F22</f>
        <v>0.2</v>
      </c>
      <c r="G23" s="207"/>
      <c r="H23" s="99" t="s">
        <v>171</v>
      </c>
      <c r="I23" s="181">
        <f>1-F23</f>
        <v>0.8</v>
      </c>
      <c r="L23" s="205"/>
      <c r="M23" s="208">
        <f ca="1">+G13+C15</f>
        <v>11882841.846153846</v>
      </c>
      <c r="N23" s="195">
        <v>0.9</v>
      </c>
    </row>
    <row r="24" spans="2:14" s="99" customFormat="1" ht="16" thickBot="1" x14ac:dyDescent="0.25">
      <c r="B24" s="127" t="s">
        <v>23</v>
      </c>
      <c r="C24" s="126"/>
      <c r="D24" s="206"/>
      <c r="E24" s="126"/>
      <c r="F24" s="209">
        <v>43313</v>
      </c>
      <c r="G24" s="210"/>
      <c r="H24" s="99" t="s">
        <v>196</v>
      </c>
      <c r="I24" s="173">
        <f ca="1">SUM(G8:G13)</f>
        <v>11882841.846153846</v>
      </c>
      <c r="L24" s="205"/>
      <c r="M24" s="202"/>
      <c r="N24" s="202"/>
    </row>
    <row r="25" spans="2:14" s="99" customFormat="1" ht="16" thickBot="1" x14ac:dyDescent="0.25">
      <c r="B25" s="127" t="s">
        <v>92</v>
      </c>
      <c r="C25" s="126"/>
      <c r="D25" s="206"/>
      <c r="E25" s="126"/>
      <c r="F25" s="211">
        <f ca="1">F18/C15</f>
        <v>1.7616438066393469</v>
      </c>
      <c r="G25" s="212"/>
      <c r="H25" s="99" t="s">
        <v>197</v>
      </c>
      <c r="I25" s="173">
        <f ca="1">I24/I23</f>
        <v>14853552.307692306</v>
      </c>
      <c r="L25" s="205"/>
      <c r="M25" s="213">
        <f ca="1">+M23/N23</f>
        <v>13203157.606837606</v>
      </c>
      <c r="N25" s="202"/>
    </row>
    <row r="26" spans="2:14" s="99" customFormat="1" ht="61" thickBot="1" x14ac:dyDescent="0.25">
      <c r="B26" s="329" t="s">
        <v>199</v>
      </c>
      <c r="C26" s="126"/>
      <c r="D26" s="206"/>
      <c r="E26" s="126"/>
      <c r="F26" s="211">
        <f ca="1">F18/SUM(G8:G13)</f>
        <v>1.6830990649323048</v>
      </c>
      <c r="G26" s="214"/>
      <c r="H26" s="99" t="s">
        <v>166</v>
      </c>
      <c r="I26" s="261">
        <f ca="1">I25-I24</f>
        <v>2970710.4615384601</v>
      </c>
      <c r="L26" s="205"/>
      <c r="M26" s="114"/>
      <c r="N26" s="114"/>
    </row>
    <row r="27" spans="2:14" s="99" customFormat="1" ht="15" x14ac:dyDescent="0.2">
      <c r="B27" s="127" t="s">
        <v>46</v>
      </c>
      <c r="C27" s="126"/>
      <c r="D27" s="206"/>
      <c r="E27" s="126"/>
      <c r="F27" s="158">
        <f ca="1">SUM(G8:G13)/(1-F23)</f>
        <v>14853552.307692306</v>
      </c>
      <c r="G27" s="214"/>
      <c r="H27" s="202"/>
      <c r="I27" s="202"/>
      <c r="L27" s="205"/>
      <c r="M27" s="114"/>
      <c r="N27" s="114"/>
    </row>
    <row r="28" spans="2:14" s="99" customFormat="1" ht="15" x14ac:dyDescent="0.2">
      <c r="B28" s="127" t="s">
        <v>93</v>
      </c>
      <c r="C28" s="126"/>
      <c r="D28" s="206"/>
      <c r="E28" s="126"/>
      <c r="F28" s="260">
        <f ca="1">F27-SUM(G8:G13)</f>
        <v>2970710.4615384601</v>
      </c>
      <c r="H28" s="99" t="s">
        <v>167</v>
      </c>
      <c r="I28" s="215">
        <f ca="1">+F20/F26</f>
        <v>2970710.4615384615</v>
      </c>
      <c r="J28" s="213"/>
      <c r="K28" s="213"/>
      <c r="L28" s="205"/>
      <c r="M28" s="114"/>
      <c r="N28" s="114"/>
    </row>
    <row r="29" spans="2:14" s="99" customFormat="1" ht="16" thickBot="1" x14ac:dyDescent="0.25">
      <c r="B29" s="127"/>
      <c r="C29" s="126"/>
      <c r="D29" s="199"/>
      <c r="E29" s="126"/>
      <c r="F29" s="205"/>
      <c r="G29" s="205"/>
      <c r="H29" s="202"/>
      <c r="I29" s="202"/>
      <c r="J29" s="181"/>
      <c r="K29" s="245"/>
      <c r="L29" s="205"/>
      <c r="M29" s="114"/>
      <c r="N29" s="114"/>
    </row>
    <row r="30" spans="2:14" s="99" customFormat="1" ht="16" thickBot="1" x14ac:dyDescent="0.25">
      <c r="B30" s="254" t="s">
        <v>91</v>
      </c>
      <c r="C30" s="126"/>
      <c r="D30" s="199"/>
      <c r="E30" s="126"/>
      <c r="F30" s="332">
        <v>0.15</v>
      </c>
      <c r="G30" s="205"/>
      <c r="H30" s="202"/>
      <c r="I30" s="202"/>
      <c r="J30" s="174"/>
      <c r="L30" s="205"/>
      <c r="M30" s="114"/>
      <c r="N30" s="114"/>
    </row>
    <row r="31" spans="2:14" s="99" customFormat="1" ht="16" thickBot="1" x14ac:dyDescent="0.25"/>
    <row r="32" spans="2:14" s="99" customFormat="1" ht="15" x14ac:dyDescent="0.2">
      <c r="B32" s="101" t="str">
        <f>+Common!C52</f>
        <v>FD Post A Shares prior to refresh</v>
      </c>
      <c r="C32" s="102"/>
      <c r="D32" s="102"/>
      <c r="E32" s="102"/>
      <c r="F32" s="281">
        <f ca="1">+G8+G9+G10+G13+G14</f>
        <v>13500519.46153846</v>
      </c>
    </row>
    <row r="33" spans="2:6" s="99" customFormat="1" ht="15" x14ac:dyDescent="0.2">
      <c r="B33" s="107"/>
      <c r="C33" s="104"/>
      <c r="D33" s="104"/>
      <c r="E33" s="104"/>
      <c r="F33" s="282">
        <f>-C10</f>
        <v>-875000</v>
      </c>
    </row>
    <row r="34" spans="2:6" s="99" customFormat="1" ht="15" x14ac:dyDescent="0.2">
      <c r="B34" s="107" t="str">
        <f>+Common!C53</f>
        <v>FD Post A Less Options Available</v>
      </c>
      <c r="C34" s="104"/>
      <c r="D34" s="104"/>
      <c r="E34" s="104"/>
      <c r="F34" s="282">
        <f ca="1">SUM(F32:F33)</f>
        <v>12625519.46153846</v>
      </c>
    </row>
    <row r="35" spans="2:6" s="99" customFormat="1" ht="30" x14ac:dyDescent="0.2">
      <c r="B35" s="283" t="s">
        <v>182</v>
      </c>
      <c r="C35" s="104"/>
      <c r="D35" s="104"/>
      <c r="E35" s="104"/>
      <c r="F35" s="284">
        <f ca="1">+F34/(1-F30)</f>
        <v>14853552.307692306</v>
      </c>
    </row>
    <row r="36" spans="2:6" s="99" customFormat="1" ht="15" x14ac:dyDescent="0.2">
      <c r="B36" s="107"/>
      <c r="C36" s="104"/>
      <c r="D36" s="104"/>
      <c r="E36" s="104"/>
      <c r="F36" s="106"/>
    </row>
    <row r="37" spans="2:6" s="99" customFormat="1" ht="16" thickBot="1" x14ac:dyDescent="0.25">
      <c r="B37" s="285" t="s">
        <v>183</v>
      </c>
      <c r="C37" s="123"/>
      <c r="D37" s="123"/>
      <c r="E37" s="123"/>
      <c r="F37" s="286">
        <f ca="1">MAX(F35-F32,0)</f>
        <v>1353032.846153846</v>
      </c>
    </row>
    <row r="38" spans="2:6" s="99" customFormat="1" ht="15" x14ac:dyDescent="0.2"/>
  </sheetData>
  <mergeCells count="2">
    <mergeCell ref="F6:J6"/>
    <mergeCell ref="M6:O6"/>
  </mergeCells>
  <pageMargins left="0.7" right="0.7" top="0.75" bottom="0.75" header="0.3" footer="0.3"/>
  <pageSetup scale="64"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1"/>
  <sheetViews>
    <sheetView zoomScaleNormal="100" zoomScalePageLayoutView="110" workbookViewId="0">
      <selection activeCell="A2" sqref="A2"/>
    </sheetView>
  </sheetViews>
  <sheetFormatPr baseColWidth="10" defaultColWidth="8.6640625" defaultRowHeight="15" x14ac:dyDescent="0.2"/>
  <cols>
    <col min="1" max="1" width="6.33203125" style="99" customWidth="1"/>
    <col min="2" max="2" width="50.5" style="99" customWidth="1"/>
    <col min="3" max="3" width="15.5" style="99" customWidth="1"/>
    <col min="4" max="4" width="18" style="99" customWidth="1"/>
    <col min="5" max="5" width="21.5" style="99" bestFit="1" customWidth="1"/>
    <col min="6" max="6" width="10.5" style="99" bestFit="1" customWidth="1"/>
    <col min="7" max="7" width="12.33203125" style="100" customWidth="1"/>
    <col min="8" max="8" width="11.1640625" style="99" bestFit="1" customWidth="1"/>
    <col min="9" max="9" width="8.6640625" style="99"/>
    <col min="10" max="10" width="12.6640625" style="99" bestFit="1" customWidth="1"/>
    <col min="11" max="16384" width="8.6640625" style="99"/>
  </cols>
  <sheetData>
    <row r="1" spans="1:8" s="21" customFormat="1" ht="20" x14ac:dyDescent="0.2">
      <c r="A1" s="59" t="str">
        <f>Common!A1</f>
        <v>TBD, Inc.</v>
      </c>
      <c r="B1" s="20"/>
      <c r="C1" s="25"/>
      <c r="D1" s="25"/>
      <c r="E1" s="25"/>
      <c r="F1" s="25"/>
      <c r="G1" s="26"/>
      <c r="H1" s="25"/>
    </row>
    <row r="2" spans="1:8" s="21" customFormat="1" ht="16" x14ac:dyDescent="0.2">
      <c r="A2" s="36" t="s">
        <v>204</v>
      </c>
      <c r="B2" s="20"/>
      <c r="C2" s="25"/>
      <c r="D2" s="25"/>
      <c r="E2" s="25"/>
      <c r="F2" s="25"/>
      <c r="G2" s="26"/>
      <c r="H2" s="25"/>
    </row>
    <row r="3" spans="1:8" ht="51" customHeight="1" x14ac:dyDescent="0.2"/>
    <row r="4" spans="1:8" ht="16" thickBot="1" x14ac:dyDescent="0.25"/>
    <row r="5" spans="1:8" x14ac:dyDescent="0.2">
      <c r="A5" s="101"/>
      <c r="B5" s="102"/>
      <c r="C5" s="102"/>
      <c r="D5" s="103"/>
      <c r="E5" s="104"/>
    </row>
    <row r="6" spans="1:8" x14ac:dyDescent="0.2">
      <c r="A6" s="105" t="s">
        <v>25</v>
      </c>
      <c r="B6" s="104"/>
      <c r="C6" s="104"/>
      <c r="D6" s="106"/>
      <c r="E6" s="104"/>
    </row>
    <row r="7" spans="1:8" x14ac:dyDescent="0.2">
      <c r="A7" s="105"/>
      <c r="B7" s="104"/>
      <c r="C7" s="104"/>
      <c r="D7" s="106"/>
      <c r="E7" s="104"/>
    </row>
    <row r="8" spans="1:8" x14ac:dyDescent="0.2">
      <c r="A8" s="107"/>
      <c r="B8" s="108" t="s">
        <v>26</v>
      </c>
      <c r="C8" s="108" t="s">
        <v>8</v>
      </c>
      <c r="D8" s="109" t="s">
        <v>16</v>
      </c>
      <c r="E8" s="104"/>
    </row>
    <row r="9" spans="1:8" x14ac:dyDescent="0.2">
      <c r="A9" s="110"/>
      <c r="C9" s="104"/>
      <c r="D9" s="111"/>
      <c r="E9" s="104"/>
    </row>
    <row r="10" spans="1:8" x14ac:dyDescent="0.2">
      <c r="A10" s="107"/>
      <c r="B10" s="104" t="s">
        <v>27</v>
      </c>
      <c r="C10" s="112">
        <f>+Common!D20</f>
        <v>9000000</v>
      </c>
      <c r="D10" s="111">
        <f ca="1">C10/$C$16</f>
        <v>0.75739457921953712</v>
      </c>
    </row>
    <row r="11" spans="1:8" x14ac:dyDescent="0.2">
      <c r="A11" s="107"/>
      <c r="B11" s="104" t="s">
        <v>28</v>
      </c>
      <c r="C11" s="112">
        <f>+Common!D46</f>
        <v>125000</v>
      </c>
      <c r="D11" s="111">
        <f ca="1">C11/$C$16</f>
        <v>1.0519369155826904E-2</v>
      </c>
      <c r="E11" s="113">
        <f ca="1">+D11+D12+D13</f>
        <v>0.19801936915582691</v>
      </c>
    </row>
    <row r="12" spans="1:8" x14ac:dyDescent="0.2">
      <c r="A12" s="107"/>
      <c r="B12" s="114" t="s">
        <v>50</v>
      </c>
      <c r="C12" s="112">
        <f>+Common!D47</f>
        <v>875000</v>
      </c>
      <c r="D12" s="111">
        <f ca="1">C12/$C$16</f>
        <v>7.3635584090788339E-2</v>
      </c>
      <c r="E12" s="115"/>
    </row>
    <row r="13" spans="1:8" x14ac:dyDescent="0.2">
      <c r="A13" s="107"/>
      <c r="B13" s="114" t="s">
        <v>80</v>
      </c>
      <c r="C13" s="112">
        <f ca="1">Common!D56</f>
        <v>1353032.846153846</v>
      </c>
      <c r="D13" s="111">
        <f ca="1">C13/$C$16</f>
        <v>0.11386441590921166</v>
      </c>
      <c r="E13" s="115"/>
    </row>
    <row r="14" spans="1:8" x14ac:dyDescent="0.2">
      <c r="A14" s="107"/>
      <c r="B14" s="104" t="str">
        <f>+'Pro Forma - Series A Inputs'!B13</f>
        <v>Converted CNs or SAFEs to Series A-1 Shares</v>
      </c>
      <c r="C14" s="116">
        <f ca="1">+'SAFEs &amp; Notes'!N26</f>
        <v>529809</v>
      </c>
      <c r="D14" s="111">
        <f ca="1">C14/$C$16</f>
        <v>4.4586051624635969E-2</v>
      </c>
      <c r="E14" s="115"/>
    </row>
    <row r="15" spans="1:8" x14ac:dyDescent="0.2">
      <c r="A15" s="117"/>
      <c r="B15" s="104"/>
      <c r="C15" s="112"/>
      <c r="D15" s="111"/>
      <c r="E15" s="104"/>
    </row>
    <row r="16" spans="1:8" x14ac:dyDescent="0.2">
      <c r="A16" s="118" t="s">
        <v>29</v>
      </c>
      <c r="B16" s="119"/>
      <c r="C16" s="120">
        <f ca="1">SUM(C10:C14)</f>
        <v>11882841.846153846</v>
      </c>
      <c r="D16" s="121">
        <f ca="1">SUM(D10:D14)</f>
        <v>1</v>
      </c>
      <c r="E16" s="104"/>
    </row>
    <row r="17" spans="1:8" ht="16" thickBot="1" x14ac:dyDescent="0.25">
      <c r="A17" s="122"/>
      <c r="B17" s="123"/>
      <c r="C17" s="123"/>
      <c r="D17" s="124"/>
    </row>
    <row r="19" spans="1:8" x14ac:dyDescent="0.2">
      <c r="A19" s="125" t="s">
        <v>30</v>
      </c>
    </row>
    <row r="20" spans="1:8" ht="13.5" customHeight="1" x14ac:dyDescent="0.2">
      <c r="C20" s="126"/>
      <c r="D20" s="126"/>
    </row>
    <row r="21" spans="1:8" x14ac:dyDescent="0.2">
      <c r="A21" s="127" t="s">
        <v>31</v>
      </c>
      <c r="C21" s="128">
        <f>+'Pro Forma - Series A Inputs'!F18</f>
        <v>20000000</v>
      </c>
      <c r="D21" s="126"/>
      <c r="E21" s="129"/>
      <c r="F21" s="129"/>
      <c r="G21" s="129"/>
      <c r="H21" s="129"/>
    </row>
    <row r="22" spans="1:8" x14ac:dyDescent="0.2">
      <c r="A22" s="127" t="s">
        <v>32</v>
      </c>
      <c r="C22" s="128">
        <f>+'Pro Forma - Series A Inputs'!F20</f>
        <v>5000000</v>
      </c>
      <c r="D22" s="126"/>
    </row>
    <row r="23" spans="1:8" x14ac:dyDescent="0.2">
      <c r="E23" s="104"/>
    </row>
    <row r="24" spans="1:8" x14ac:dyDescent="0.2">
      <c r="A24" s="104"/>
      <c r="B24" s="104"/>
      <c r="C24" s="104"/>
      <c r="D24" s="104"/>
      <c r="E24" s="104"/>
    </row>
    <row r="25" spans="1:8" x14ac:dyDescent="0.2">
      <c r="A25" s="130" t="s">
        <v>33</v>
      </c>
      <c r="B25" s="104"/>
      <c r="C25" s="131">
        <f>+Investment+PreMoney</f>
        <v>25000000</v>
      </c>
      <c r="D25" s="104"/>
      <c r="E25" s="104"/>
    </row>
    <row r="26" spans="1:8" ht="16" thickBot="1" x14ac:dyDescent="0.25">
      <c r="A26" s="130"/>
      <c r="B26" s="132" t="s">
        <v>88</v>
      </c>
      <c r="C26" s="104"/>
      <c r="D26" s="104"/>
    </row>
    <row r="27" spans="1:8" x14ac:dyDescent="0.2">
      <c r="A27" s="104"/>
      <c r="B27" s="133" t="s">
        <v>26</v>
      </c>
      <c r="C27" s="134" t="s">
        <v>82</v>
      </c>
      <c r="D27" s="135" t="s">
        <v>83</v>
      </c>
      <c r="E27" s="136" t="s">
        <v>84</v>
      </c>
      <c r="F27" s="136" t="s">
        <v>85</v>
      </c>
      <c r="G27" s="137" t="s">
        <v>20</v>
      </c>
      <c r="H27" s="138" t="s">
        <v>44</v>
      </c>
    </row>
    <row r="28" spans="1:8" x14ac:dyDescent="0.2">
      <c r="A28" s="132"/>
      <c r="B28" s="107"/>
      <c r="C28" s="104"/>
      <c r="D28" s="139"/>
      <c r="E28" s="104"/>
      <c r="F28" s="104"/>
      <c r="G28" s="139"/>
      <c r="H28" s="106"/>
    </row>
    <row r="29" spans="1:8" x14ac:dyDescent="0.2">
      <c r="A29" s="104"/>
      <c r="B29" s="250" t="str">
        <f>+Common!C9</f>
        <v>Founder #1</v>
      </c>
      <c r="C29" s="98">
        <f>+Common!D9</f>
        <v>4000000</v>
      </c>
      <c r="D29" s="104"/>
      <c r="E29" s="104"/>
      <c r="F29" s="104"/>
      <c r="G29" s="140">
        <f>+C29</f>
        <v>4000000</v>
      </c>
      <c r="H29" s="141">
        <f ca="1">+G29/G$86</f>
        <v>0.26929585038916876</v>
      </c>
    </row>
    <row r="30" spans="1:8" x14ac:dyDescent="0.2">
      <c r="A30" s="104"/>
      <c r="B30" s="250" t="str">
        <f>+Common!C10</f>
        <v>Founder #2</v>
      </c>
      <c r="C30" s="98">
        <f>+Common!D10</f>
        <v>4000000</v>
      </c>
      <c r="D30" s="104"/>
      <c r="E30" s="104"/>
      <c r="F30" s="104"/>
      <c r="G30" s="140">
        <f t="shared" ref="G30:G38" si="0">+C30</f>
        <v>4000000</v>
      </c>
      <c r="H30" s="141">
        <f ca="1">+G30/G$86</f>
        <v>0.26929585038916876</v>
      </c>
    </row>
    <row r="31" spans="1:8" x14ac:dyDescent="0.2">
      <c r="A31" s="104"/>
      <c r="B31" s="250" t="str">
        <f>+Common!C11</f>
        <v>Founder #3</v>
      </c>
      <c r="C31" s="98">
        <f>+Common!D11</f>
        <v>1000000</v>
      </c>
      <c r="D31" s="104"/>
      <c r="E31" s="104"/>
      <c r="F31" s="104"/>
      <c r="G31" s="140">
        <f t="shared" si="0"/>
        <v>1000000</v>
      </c>
      <c r="H31" s="141">
        <f ca="1">+G31/G$86</f>
        <v>6.7323962597292189E-2</v>
      </c>
    </row>
    <row r="32" spans="1:8" x14ac:dyDescent="0.2">
      <c r="A32" s="104"/>
      <c r="B32" s="250" t="str">
        <f>+Common!C12</f>
        <v>Founder #4</v>
      </c>
      <c r="C32" s="98">
        <f>+Common!D12</f>
        <v>0</v>
      </c>
      <c r="D32" s="104"/>
      <c r="E32" s="104"/>
      <c r="F32" s="104"/>
      <c r="G32" s="140">
        <f t="shared" si="0"/>
        <v>0</v>
      </c>
      <c r="H32" s="141">
        <f ca="1">+G32/G$86</f>
        <v>0</v>
      </c>
    </row>
    <row r="33" spans="1:8" x14ac:dyDescent="0.2">
      <c r="A33" s="104"/>
      <c r="B33" s="250" t="str">
        <f>+Common!C13</f>
        <v>Founder #5</v>
      </c>
      <c r="C33" s="98">
        <f>+Common!D13</f>
        <v>0</v>
      </c>
      <c r="D33" s="104"/>
      <c r="E33" s="104"/>
      <c r="F33" s="104"/>
      <c r="G33" s="140">
        <f t="shared" si="0"/>
        <v>0</v>
      </c>
      <c r="H33" s="141">
        <f ca="1">+G33/G$86</f>
        <v>0</v>
      </c>
    </row>
    <row r="34" spans="1:8" x14ac:dyDescent="0.2">
      <c r="A34" s="104"/>
      <c r="B34" s="250" t="str">
        <f>+Common!C14</f>
        <v>Founder #6</v>
      </c>
      <c r="C34" s="98">
        <f>+Common!D14</f>
        <v>0</v>
      </c>
      <c r="D34" s="104"/>
      <c r="E34" s="104"/>
      <c r="F34" s="104"/>
      <c r="G34" s="140">
        <f t="shared" ref="G34:G37" si="1">+C34</f>
        <v>0</v>
      </c>
      <c r="H34" s="141">
        <f t="shared" ref="H34:H37" ca="1" si="2">+G34/G$86</f>
        <v>0</v>
      </c>
    </row>
    <row r="35" spans="1:8" x14ac:dyDescent="0.2">
      <c r="A35" s="104"/>
      <c r="B35" s="250" t="str">
        <f>+Common!C15</f>
        <v>Founder #7</v>
      </c>
      <c r="C35" s="98">
        <f>+Common!D15</f>
        <v>0</v>
      </c>
      <c r="D35" s="104"/>
      <c r="E35" s="104"/>
      <c r="F35" s="104"/>
      <c r="G35" s="140">
        <f t="shared" si="1"/>
        <v>0</v>
      </c>
      <c r="H35" s="141">
        <f t="shared" ca="1" si="2"/>
        <v>0</v>
      </c>
    </row>
    <row r="36" spans="1:8" x14ac:dyDescent="0.2">
      <c r="A36" s="104"/>
      <c r="B36" s="250" t="str">
        <f>+Common!C16</f>
        <v>Founder #8</v>
      </c>
      <c r="C36" s="98">
        <f>+Common!D16</f>
        <v>0</v>
      </c>
      <c r="D36" s="104"/>
      <c r="E36" s="104"/>
      <c r="F36" s="104"/>
      <c r="G36" s="140">
        <f t="shared" si="1"/>
        <v>0</v>
      </c>
      <c r="H36" s="141">
        <f t="shared" ca="1" si="2"/>
        <v>0</v>
      </c>
    </row>
    <row r="37" spans="1:8" x14ac:dyDescent="0.2">
      <c r="A37" s="104"/>
      <c r="B37" s="250" t="str">
        <f>+Common!C17</f>
        <v>Founder #9</v>
      </c>
      <c r="C37" s="98">
        <f>+Common!D17</f>
        <v>0</v>
      </c>
      <c r="D37" s="104"/>
      <c r="E37" s="104"/>
      <c r="F37" s="104"/>
      <c r="G37" s="140">
        <f t="shared" si="1"/>
        <v>0</v>
      </c>
      <c r="H37" s="141">
        <f t="shared" ca="1" si="2"/>
        <v>0</v>
      </c>
    </row>
    <row r="38" spans="1:8" x14ac:dyDescent="0.2">
      <c r="A38" s="104"/>
      <c r="B38" s="250" t="str">
        <f>+Common!C18</f>
        <v>Founder #10</v>
      </c>
      <c r="C38" s="98">
        <f>+Common!D18</f>
        <v>0</v>
      </c>
      <c r="D38" s="104"/>
      <c r="E38" s="104"/>
      <c r="F38" s="104"/>
      <c r="G38" s="140">
        <f t="shared" si="0"/>
        <v>0</v>
      </c>
      <c r="H38" s="141">
        <f t="shared" ref="H38:H51" ca="1" si="3">+G38/G$86</f>
        <v>0</v>
      </c>
    </row>
    <row r="39" spans="1:8" x14ac:dyDescent="0.2">
      <c r="A39" s="104"/>
      <c r="B39" s="253" t="str">
        <f>+Common!C24</f>
        <v>Advisor #1</v>
      </c>
      <c r="C39" s="104"/>
      <c r="D39" s="142">
        <f>+Common!D24</f>
        <v>125000</v>
      </c>
      <c r="E39" s="104"/>
      <c r="F39" s="104"/>
      <c r="G39" s="140">
        <f t="shared" ref="G39:G49" si="4">+D39</f>
        <v>125000</v>
      </c>
      <c r="H39" s="141">
        <f t="shared" ca="1" si="3"/>
        <v>8.4154953246615236E-3</v>
      </c>
    </row>
    <row r="40" spans="1:8" x14ac:dyDescent="0.2">
      <c r="A40" s="104"/>
      <c r="B40" s="252" t="str">
        <f>+Common!C25</f>
        <v>Employee #1</v>
      </c>
      <c r="C40" s="104"/>
      <c r="D40" s="142">
        <f>+Common!D25</f>
        <v>0</v>
      </c>
      <c r="E40" s="104"/>
      <c r="F40" s="104"/>
      <c r="G40" s="140">
        <f t="shared" si="4"/>
        <v>0</v>
      </c>
      <c r="H40" s="141">
        <f t="shared" ca="1" si="3"/>
        <v>0</v>
      </c>
    </row>
    <row r="41" spans="1:8" x14ac:dyDescent="0.2">
      <c r="A41" s="104"/>
      <c r="B41" s="252" t="str">
        <f>+Common!C26</f>
        <v>Employee #2</v>
      </c>
      <c r="C41" s="104"/>
      <c r="D41" s="142">
        <f>+Common!D26</f>
        <v>0</v>
      </c>
      <c r="E41" s="104"/>
      <c r="F41" s="104"/>
      <c r="G41" s="140">
        <f t="shared" si="4"/>
        <v>0</v>
      </c>
      <c r="H41" s="141">
        <f t="shared" ca="1" si="3"/>
        <v>0</v>
      </c>
    </row>
    <row r="42" spans="1:8" x14ac:dyDescent="0.2">
      <c r="A42" s="104"/>
      <c r="B42" s="252" t="str">
        <f>+Common!C27</f>
        <v>Employee #3</v>
      </c>
      <c r="C42" s="104"/>
      <c r="D42" s="142">
        <f>+Common!D27</f>
        <v>0</v>
      </c>
      <c r="E42" s="104"/>
      <c r="F42" s="104"/>
      <c r="G42" s="140">
        <f t="shared" si="4"/>
        <v>0</v>
      </c>
      <c r="H42" s="141">
        <f t="shared" ca="1" si="3"/>
        <v>0</v>
      </c>
    </row>
    <row r="43" spans="1:8" x14ac:dyDescent="0.2">
      <c r="A43" s="104"/>
      <c r="B43" s="252" t="str">
        <f>+Common!C28</f>
        <v>Employee #4</v>
      </c>
      <c r="C43" s="104"/>
      <c r="D43" s="142">
        <f>+Common!D28</f>
        <v>0</v>
      </c>
      <c r="E43" s="104"/>
      <c r="F43" s="104"/>
      <c r="G43" s="140">
        <f t="shared" si="4"/>
        <v>0</v>
      </c>
      <c r="H43" s="141">
        <f t="shared" ca="1" si="3"/>
        <v>0</v>
      </c>
    </row>
    <row r="44" spans="1:8" x14ac:dyDescent="0.2">
      <c r="A44" s="104"/>
      <c r="B44" s="252" t="str">
        <f>+Common!C29</f>
        <v>Employee #5</v>
      </c>
      <c r="C44" s="104"/>
      <c r="D44" s="142">
        <f>+Common!D29</f>
        <v>0</v>
      </c>
      <c r="E44" s="104"/>
      <c r="F44" s="104"/>
      <c r="G44" s="140">
        <f t="shared" si="4"/>
        <v>0</v>
      </c>
      <c r="H44" s="141">
        <f t="shared" ca="1" si="3"/>
        <v>0</v>
      </c>
    </row>
    <row r="45" spans="1:8" x14ac:dyDescent="0.2">
      <c r="A45" s="104"/>
      <c r="B45" s="252" t="str">
        <f>+Common!C30</f>
        <v>Employee #6</v>
      </c>
      <c r="C45" s="104"/>
      <c r="D45" s="142">
        <f>+Common!D30</f>
        <v>0</v>
      </c>
      <c r="E45" s="104"/>
      <c r="F45" s="104"/>
      <c r="G45" s="140">
        <f t="shared" si="4"/>
        <v>0</v>
      </c>
      <c r="H45" s="141">
        <f t="shared" ca="1" si="3"/>
        <v>0</v>
      </c>
    </row>
    <row r="46" spans="1:8" x14ac:dyDescent="0.2">
      <c r="A46" s="104"/>
      <c r="B46" s="252" t="str">
        <f>+Common!C31</f>
        <v>Employee #7</v>
      </c>
      <c r="C46" s="104"/>
      <c r="D46" s="142">
        <f>+Common!D31</f>
        <v>0</v>
      </c>
      <c r="E46" s="104"/>
      <c r="F46" s="104"/>
      <c r="G46" s="140">
        <f t="shared" si="4"/>
        <v>0</v>
      </c>
      <c r="H46" s="141">
        <f t="shared" ca="1" si="3"/>
        <v>0</v>
      </c>
    </row>
    <row r="47" spans="1:8" x14ac:dyDescent="0.2">
      <c r="A47" s="104"/>
      <c r="B47" s="252" t="str">
        <f>+Common!C32</f>
        <v>Employee #8</v>
      </c>
      <c r="C47" s="104"/>
      <c r="D47" s="142">
        <f>+Common!D32</f>
        <v>0</v>
      </c>
      <c r="E47" s="104"/>
      <c r="F47" s="104"/>
      <c r="G47" s="140">
        <f t="shared" si="4"/>
        <v>0</v>
      </c>
      <c r="H47" s="141">
        <f t="shared" ca="1" si="3"/>
        <v>0</v>
      </c>
    </row>
    <row r="48" spans="1:8" x14ac:dyDescent="0.2">
      <c r="A48" s="104"/>
      <c r="B48" s="252" t="str">
        <f>+Common!C33</f>
        <v>Employee #9</v>
      </c>
      <c r="C48" s="104"/>
      <c r="D48" s="142">
        <f>+Common!D33</f>
        <v>0</v>
      </c>
      <c r="E48" s="104"/>
      <c r="F48" s="104"/>
      <c r="G48" s="140">
        <f t="shared" si="4"/>
        <v>0</v>
      </c>
      <c r="H48" s="141">
        <f t="shared" ca="1" si="3"/>
        <v>0</v>
      </c>
    </row>
    <row r="49" spans="1:8" x14ac:dyDescent="0.2">
      <c r="A49" s="104"/>
      <c r="B49" s="252" t="str">
        <f>+Common!C34</f>
        <v>Employee #10</v>
      </c>
      <c r="C49" s="104"/>
      <c r="D49" s="142">
        <f>+Common!D34</f>
        <v>0</v>
      </c>
      <c r="E49" s="104"/>
      <c r="F49" s="104"/>
      <c r="G49" s="140">
        <f t="shared" si="4"/>
        <v>0</v>
      </c>
      <c r="H49" s="141">
        <f t="shared" ca="1" si="3"/>
        <v>0</v>
      </c>
    </row>
    <row r="50" spans="1:8" x14ac:dyDescent="0.2">
      <c r="A50" s="104"/>
      <c r="B50" s="252" t="str">
        <f>+Common!C35</f>
        <v>Employee #11</v>
      </c>
      <c r="C50" s="104"/>
      <c r="D50" s="142">
        <f>+Common!D35</f>
        <v>0</v>
      </c>
      <c r="E50" s="104"/>
      <c r="F50" s="104"/>
      <c r="G50" s="140">
        <f t="shared" ref="G50:G59" si="5">+D50</f>
        <v>0</v>
      </c>
      <c r="H50" s="141">
        <f t="shared" ca="1" si="3"/>
        <v>0</v>
      </c>
    </row>
    <row r="51" spans="1:8" x14ac:dyDescent="0.2">
      <c r="A51" s="104"/>
      <c r="B51" s="252" t="str">
        <f>+Common!C36</f>
        <v>Employee #12</v>
      </c>
      <c r="C51" s="104"/>
      <c r="D51" s="142">
        <f>+Common!D36</f>
        <v>0</v>
      </c>
      <c r="E51" s="104"/>
      <c r="F51" s="104"/>
      <c r="G51" s="140">
        <f t="shared" si="5"/>
        <v>0</v>
      </c>
      <c r="H51" s="141">
        <f t="shared" ca="1" si="3"/>
        <v>0</v>
      </c>
    </row>
    <row r="52" spans="1:8" x14ac:dyDescent="0.2">
      <c r="A52" s="104"/>
      <c r="B52" s="252" t="str">
        <f>+Common!C37</f>
        <v>Employee #13</v>
      </c>
      <c r="C52" s="104"/>
      <c r="D52" s="142">
        <f>+Common!D37</f>
        <v>0</v>
      </c>
      <c r="E52" s="104"/>
      <c r="F52" s="104"/>
      <c r="G52" s="140">
        <f t="shared" ref="G52:G57" si="6">+D52</f>
        <v>0</v>
      </c>
      <c r="H52" s="141">
        <f t="shared" ref="H52:H57" ca="1" si="7">+G52/G$86</f>
        <v>0</v>
      </c>
    </row>
    <row r="53" spans="1:8" x14ac:dyDescent="0.2">
      <c r="A53" s="104"/>
      <c r="B53" s="252" t="str">
        <f>+Common!C38</f>
        <v>Employee #14</v>
      </c>
      <c r="C53" s="104"/>
      <c r="D53" s="142">
        <f>+Common!D38</f>
        <v>0</v>
      </c>
      <c r="E53" s="104"/>
      <c r="F53" s="104"/>
      <c r="G53" s="140">
        <f t="shared" si="6"/>
        <v>0</v>
      </c>
      <c r="H53" s="141">
        <f t="shared" ca="1" si="7"/>
        <v>0</v>
      </c>
    </row>
    <row r="54" spans="1:8" x14ac:dyDescent="0.2">
      <c r="A54" s="104"/>
      <c r="B54" s="252" t="str">
        <f>+Common!C39</f>
        <v>Employee #15</v>
      </c>
      <c r="C54" s="104"/>
      <c r="D54" s="142">
        <f>+Common!D39</f>
        <v>0</v>
      </c>
      <c r="E54" s="104"/>
      <c r="F54" s="104"/>
      <c r="G54" s="140">
        <f t="shared" si="6"/>
        <v>0</v>
      </c>
      <c r="H54" s="141">
        <f t="shared" ca="1" si="7"/>
        <v>0</v>
      </c>
    </row>
    <row r="55" spans="1:8" x14ac:dyDescent="0.2">
      <c r="A55" s="104"/>
      <c r="B55" s="252" t="str">
        <f>+Common!C40</f>
        <v>Employee #16</v>
      </c>
      <c r="C55" s="104"/>
      <c r="D55" s="142">
        <f>+Common!D40</f>
        <v>0</v>
      </c>
      <c r="E55" s="104"/>
      <c r="F55" s="104"/>
      <c r="G55" s="140">
        <f t="shared" si="6"/>
        <v>0</v>
      </c>
      <c r="H55" s="141">
        <f t="shared" ca="1" si="7"/>
        <v>0</v>
      </c>
    </row>
    <row r="56" spans="1:8" x14ac:dyDescent="0.2">
      <c r="A56" s="104"/>
      <c r="B56" s="252" t="str">
        <f>+Common!C41</f>
        <v>Employee #17</v>
      </c>
      <c r="C56" s="104"/>
      <c r="D56" s="142">
        <f>+Common!D41</f>
        <v>0</v>
      </c>
      <c r="E56" s="104"/>
      <c r="F56" s="104"/>
      <c r="G56" s="140">
        <f t="shared" si="6"/>
        <v>0</v>
      </c>
      <c r="H56" s="141">
        <f t="shared" ca="1" si="7"/>
        <v>0</v>
      </c>
    </row>
    <row r="57" spans="1:8" x14ac:dyDescent="0.2">
      <c r="A57" s="104"/>
      <c r="B57" s="252" t="str">
        <f>+Common!C42</f>
        <v>Employee #18</v>
      </c>
      <c r="C57" s="104"/>
      <c r="D57" s="142">
        <f>+Common!D42</f>
        <v>0</v>
      </c>
      <c r="E57" s="104"/>
      <c r="F57" s="104"/>
      <c r="G57" s="140">
        <f t="shared" si="6"/>
        <v>0</v>
      </c>
      <c r="H57" s="141">
        <f t="shared" ca="1" si="7"/>
        <v>0</v>
      </c>
    </row>
    <row r="58" spans="1:8" x14ac:dyDescent="0.2">
      <c r="A58" s="104"/>
      <c r="B58" s="252" t="str">
        <f>+Common!C43</f>
        <v>Employee #19</v>
      </c>
      <c r="C58" s="104"/>
      <c r="D58" s="142">
        <f>+Common!D43</f>
        <v>0</v>
      </c>
      <c r="E58" s="104"/>
      <c r="F58" s="104"/>
      <c r="G58" s="140">
        <f t="shared" ref="G58" si="8">+D58</f>
        <v>0</v>
      </c>
      <c r="H58" s="141">
        <f t="shared" ref="H58" ca="1" si="9">+G58/G$86</f>
        <v>0</v>
      </c>
    </row>
    <row r="59" spans="1:8" x14ac:dyDescent="0.2">
      <c r="A59" s="104"/>
      <c r="B59" s="252" t="str">
        <f>+Common!C44</f>
        <v>Employee #20</v>
      </c>
      <c r="C59" s="104"/>
      <c r="D59" s="142">
        <f>+Common!D44</f>
        <v>0</v>
      </c>
      <c r="E59" s="104"/>
      <c r="F59" s="104"/>
      <c r="G59" s="140">
        <f t="shared" si="5"/>
        <v>0</v>
      </c>
      <c r="H59" s="141">
        <f ca="1">+G59/G$86</f>
        <v>0</v>
      </c>
    </row>
    <row r="60" spans="1:8" x14ac:dyDescent="0.2">
      <c r="A60" s="104"/>
      <c r="B60" s="107" t="s">
        <v>34</v>
      </c>
      <c r="C60" s="142"/>
      <c r="D60" s="142">
        <f>+Common!D47</f>
        <v>875000</v>
      </c>
      <c r="E60" s="104"/>
      <c r="F60" s="104"/>
      <c r="G60" s="140">
        <f>+D60</f>
        <v>875000</v>
      </c>
      <c r="H60" s="141">
        <f ca="1">+G60/G$86</f>
        <v>5.8908467272630674E-2</v>
      </c>
    </row>
    <row r="61" spans="1:8" x14ac:dyDescent="0.2">
      <c r="A61" s="104"/>
      <c r="B61" s="107" t="s">
        <v>86</v>
      </c>
      <c r="C61" s="142"/>
      <c r="D61" s="143">
        <f ca="1">+'Pro Forma - Series A Inputs'!J11</f>
        <v>1353032.846153846</v>
      </c>
      <c r="E61" s="104"/>
      <c r="F61" s="104"/>
      <c r="G61" s="143">
        <f ca="1">+D61</f>
        <v>1353032.846153846</v>
      </c>
      <c r="H61" s="141">
        <f ca="1">+G61/G$86</f>
        <v>9.1091532727369334E-2</v>
      </c>
    </row>
    <row r="62" spans="1:8" x14ac:dyDescent="0.2">
      <c r="A62" s="104"/>
      <c r="B62" s="110" t="str">
        <f>+'Pro Forma - Series A Inputs'!B13</f>
        <v>Converted CNs or SAFEs to Series A-1 Shares</v>
      </c>
      <c r="C62" s="142"/>
      <c r="D62" s="139"/>
      <c r="E62" s="144"/>
      <c r="F62" s="104"/>
      <c r="G62" s="143"/>
      <c r="H62" s="141"/>
    </row>
    <row r="63" spans="1:8" x14ac:dyDescent="0.2">
      <c r="A63" s="104"/>
      <c r="B63" s="251" t="str">
        <f>'SAFEs &amp; Notes'!A5</f>
        <v>Note Holder #1</v>
      </c>
      <c r="C63" s="142"/>
      <c r="D63" s="139"/>
      <c r="E63" s="144">
        <f ca="1">'SAFEs &amp; Notes'!N5</f>
        <v>75687</v>
      </c>
      <c r="F63" s="104"/>
      <c r="G63" s="143">
        <f ca="1">+E63</f>
        <v>75687</v>
      </c>
      <c r="H63" s="141">
        <f t="shared" ref="H63:H82" ca="1" si="10">+G63/G$86</f>
        <v>5.0955487571012542E-3</v>
      </c>
    </row>
    <row r="64" spans="1:8" x14ac:dyDescent="0.2">
      <c r="A64" s="104"/>
      <c r="B64" s="251" t="str">
        <f>'SAFEs &amp; Notes'!A6</f>
        <v>Note Holder #2</v>
      </c>
      <c r="C64" s="142"/>
      <c r="D64" s="139"/>
      <c r="E64" s="144">
        <f ca="1">'SAFEs &amp; Notes'!N6</f>
        <v>454122</v>
      </c>
      <c r="F64" s="104"/>
      <c r="G64" s="143">
        <f t="shared" ref="G64:G74" ca="1" si="11">+E64</f>
        <v>454122</v>
      </c>
      <c r="H64" s="141">
        <f t="shared" ca="1" si="10"/>
        <v>3.0573292542607527E-2</v>
      </c>
    </row>
    <row r="65" spans="1:8" x14ac:dyDescent="0.2">
      <c r="A65" s="104"/>
      <c r="B65" s="251" t="str">
        <f>'SAFEs &amp; Notes'!A7</f>
        <v>Note Holder #3</v>
      </c>
      <c r="C65" s="142"/>
      <c r="D65" s="139"/>
      <c r="E65" s="144">
        <f ca="1">'SAFEs &amp; Notes'!N7</f>
        <v>0</v>
      </c>
      <c r="F65" s="104"/>
      <c r="G65" s="143">
        <f t="shared" ca="1" si="11"/>
        <v>0</v>
      </c>
      <c r="H65" s="141">
        <f t="shared" ca="1" si="10"/>
        <v>0</v>
      </c>
    </row>
    <row r="66" spans="1:8" x14ac:dyDescent="0.2">
      <c r="A66" s="104"/>
      <c r="B66" s="251" t="str">
        <f>'SAFEs &amp; Notes'!A8</f>
        <v>Note Holder #4</v>
      </c>
      <c r="C66" s="142"/>
      <c r="D66" s="139"/>
      <c r="E66" s="144">
        <f ca="1">'SAFEs &amp; Notes'!N8</f>
        <v>0</v>
      </c>
      <c r="F66" s="104"/>
      <c r="G66" s="143">
        <f t="shared" ca="1" si="11"/>
        <v>0</v>
      </c>
      <c r="H66" s="141">
        <f t="shared" ca="1" si="10"/>
        <v>0</v>
      </c>
    </row>
    <row r="67" spans="1:8" x14ac:dyDescent="0.2">
      <c r="A67" s="104"/>
      <c r="B67" s="251" t="str">
        <f>'SAFEs &amp; Notes'!A9</f>
        <v>Note Holder #5</v>
      </c>
      <c r="C67" s="142"/>
      <c r="D67" s="139"/>
      <c r="E67" s="144">
        <f ca="1">'SAFEs &amp; Notes'!N9</f>
        <v>0</v>
      </c>
      <c r="F67" s="104"/>
      <c r="G67" s="143">
        <f t="shared" ca="1" si="11"/>
        <v>0</v>
      </c>
      <c r="H67" s="141">
        <f t="shared" ca="1" si="10"/>
        <v>0</v>
      </c>
    </row>
    <row r="68" spans="1:8" x14ac:dyDescent="0.2">
      <c r="A68" s="104"/>
      <c r="B68" s="251" t="str">
        <f>'SAFEs &amp; Notes'!A10</f>
        <v>Note Holder #6</v>
      </c>
      <c r="C68" s="142"/>
      <c r="D68" s="139"/>
      <c r="E68" s="144">
        <f ca="1">'SAFEs &amp; Notes'!N10</f>
        <v>0</v>
      </c>
      <c r="F68" s="104"/>
      <c r="G68" s="143">
        <f t="shared" ca="1" si="11"/>
        <v>0</v>
      </c>
      <c r="H68" s="141">
        <f t="shared" ca="1" si="10"/>
        <v>0</v>
      </c>
    </row>
    <row r="69" spans="1:8" x14ac:dyDescent="0.2">
      <c r="A69" s="104"/>
      <c r="B69" s="251" t="str">
        <f>'SAFEs &amp; Notes'!A11</f>
        <v>Note Holder #7</v>
      </c>
      <c r="C69" s="142"/>
      <c r="D69" s="139"/>
      <c r="E69" s="144">
        <f ca="1">'SAFEs &amp; Notes'!N11</f>
        <v>0</v>
      </c>
      <c r="F69" s="104"/>
      <c r="G69" s="143">
        <f t="shared" ca="1" si="11"/>
        <v>0</v>
      </c>
      <c r="H69" s="141">
        <f t="shared" ca="1" si="10"/>
        <v>0</v>
      </c>
    </row>
    <row r="70" spans="1:8" x14ac:dyDescent="0.2">
      <c r="A70" s="104"/>
      <c r="B70" s="251" t="str">
        <f>'SAFEs &amp; Notes'!A12</f>
        <v>Note Holder #8</v>
      </c>
      <c r="C70" s="142"/>
      <c r="D70" s="139"/>
      <c r="E70" s="144">
        <f ca="1">'SAFEs &amp; Notes'!N12</f>
        <v>0</v>
      </c>
      <c r="F70" s="104"/>
      <c r="G70" s="143">
        <f t="shared" ca="1" si="11"/>
        <v>0</v>
      </c>
      <c r="H70" s="141">
        <f t="shared" ca="1" si="10"/>
        <v>0</v>
      </c>
    </row>
    <row r="71" spans="1:8" x14ac:dyDescent="0.2">
      <c r="A71" s="104"/>
      <c r="B71" s="251" t="str">
        <f>'SAFEs &amp; Notes'!A13</f>
        <v>Note Holder #9</v>
      </c>
      <c r="C71" s="142"/>
      <c r="D71" s="139"/>
      <c r="E71" s="144">
        <f ca="1">'SAFEs &amp; Notes'!N13</f>
        <v>0</v>
      </c>
      <c r="F71" s="104"/>
      <c r="G71" s="143">
        <f t="shared" ca="1" si="11"/>
        <v>0</v>
      </c>
      <c r="H71" s="141">
        <f t="shared" ca="1" si="10"/>
        <v>0</v>
      </c>
    </row>
    <row r="72" spans="1:8" x14ac:dyDescent="0.2">
      <c r="A72" s="104"/>
      <c r="B72" s="251" t="str">
        <f>'SAFEs &amp; Notes'!A14</f>
        <v>Note Holder #10</v>
      </c>
      <c r="C72" s="142"/>
      <c r="D72" s="139"/>
      <c r="E72" s="144">
        <f ca="1">'SAFEs &amp; Notes'!N14</f>
        <v>0</v>
      </c>
      <c r="F72" s="104"/>
      <c r="G72" s="143">
        <f t="shared" ca="1" si="11"/>
        <v>0</v>
      </c>
      <c r="H72" s="141">
        <f t="shared" ca="1" si="10"/>
        <v>0</v>
      </c>
    </row>
    <row r="73" spans="1:8" x14ac:dyDescent="0.2">
      <c r="A73" s="104"/>
      <c r="B73" s="251" t="str">
        <f>'SAFEs &amp; Notes'!A15</f>
        <v>Note Holder #11</v>
      </c>
      <c r="C73" s="142"/>
      <c r="D73" s="139"/>
      <c r="E73" s="144">
        <f ca="1">'SAFEs &amp; Notes'!N15</f>
        <v>0</v>
      </c>
      <c r="F73" s="104"/>
      <c r="G73" s="143">
        <f t="shared" ca="1" si="11"/>
        <v>0</v>
      </c>
      <c r="H73" s="141">
        <f t="shared" ca="1" si="10"/>
        <v>0</v>
      </c>
    </row>
    <row r="74" spans="1:8" x14ac:dyDescent="0.2">
      <c r="A74" s="104"/>
      <c r="B74" s="251" t="str">
        <f>'SAFEs &amp; Notes'!A16</f>
        <v>Note Holder #12</v>
      </c>
      <c r="C74" s="142"/>
      <c r="D74" s="139"/>
      <c r="E74" s="144">
        <f ca="1">'SAFEs &amp; Notes'!N16</f>
        <v>0</v>
      </c>
      <c r="F74" s="104"/>
      <c r="G74" s="143">
        <f t="shared" ca="1" si="11"/>
        <v>0</v>
      </c>
      <c r="H74" s="141">
        <f t="shared" ca="1" si="10"/>
        <v>0</v>
      </c>
    </row>
    <row r="75" spans="1:8" x14ac:dyDescent="0.2">
      <c r="A75" s="104"/>
      <c r="B75" s="251" t="str">
        <f>'SAFEs &amp; Notes'!A17</f>
        <v>Note Holder #13</v>
      </c>
      <c r="C75" s="142"/>
      <c r="D75" s="139"/>
      <c r="E75" s="144">
        <f ca="1">'SAFEs &amp; Notes'!N17</f>
        <v>0</v>
      </c>
      <c r="F75" s="104"/>
      <c r="G75" s="143">
        <f t="shared" ref="G75:G82" ca="1" si="12">+E75</f>
        <v>0</v>
      </c>
      <c r="H75" s="141">
        <f t="shared" ca="1" si="10"/>
        <v>0</v>
      </c>
    </row>
    <row r="76" spans="1:8" x14ac:dyDescent="0.2">
      <c r="A76" s="104"/>
      <c r="B76" s="251" t="str">
        <f>'SAFEs &amp; Notes'!A18</f>
        <v>Note Holder #14</v>
      </c>
      <c r="C76" s="142"/>
      <c r="D76" s="139"/>
      <c r="E76" s="144">
        <f ca="1">'SAFEs &amp; Notes'!N18</f>
        <v>0</v>
      </c>
      <c r="F76" s="104"/>
      <c r="G76" s="143">
        <f t="shared" ca="1" si="12"/>
        <v>0</v>
      </c>
      <c r="H76" s="141">
        <f t="shared" ca="1" si="10"/>
        <v>0</v>
      </c>
    </row>
    <row r="77" spans="1:8" x14ac:dyDescent="0.2">
      <c r="A77" s="104"/>
      <c r="B77" s="251" t="str">
        <f>'SAFEs &amp; Notes'!A19</f>
        <v>Note Holder #15</v>
      </c>
      <c r="C77" s="142"/>
      <c r="D77" s="139"/>
      <c r="E77" s="144">
        <f ca="1">'SAFEs &amp; Notes'!N19</f>
        <v>0</v>
      </c>
      <c r="F77" s="104"/>
      <c r="G77" s="143">
        <f t="shared" ca="1" si="12"/>
        <v>0</v>
      </c>
      <c r="H77" s="141">
        <f t="shared" ca="1" si="10"/>
        <v>0</v>
      </c>
    </row>
    <row r="78" spans="1:8" x14ac:dyDescent="0.2">
      <c r="A78" s="104"/>
      <c r="B78" s="251" t="str">
        <f>'SAFEs &amp; Notes'!A20</f>
        <v>Note Holder #16</v>
      </c>
      <c r="C78" s="142"/>
      <c r="D78" s="139"/>
      <c r="E78" s="144">
        <f ca="1">'SAFEs &amp; Notes'!N20</f>
        <v>0</v>
      </c>
      <c r="F78" s="104"/>
      <c r="G78" s="143">
        <f t="shared" ca="1" si="12"/>
        <v>0</v>
      </c>
      <c r="H78" s="141">
        <f t="shared" ca="1" si="10"/>
        <v>0</v>
      </c>
    </row>
    <row r="79" spans="1:8" x14ac:dyDescent="0.2">
      <c r="A79" s="104"/>
      <c r="B79" s="251" t="str">
        <f>'SAFEs &amp; Notes'!A21</f>
        <v>Note Holder #17</v>
      </c>
      <c r="C79" s="142"/>
      <c r="D79" s="139"/>
      <c r="E79" s="144">
        <f ca="1">'SAFEs &amp; Notes'!N21</f>
        <v>0</v>
      </c>
      <c r="F79" s="104"/>
      <c r="G79" s="143">
        <f t="shared" ref="G79:G81" ca="1" si="13">+E79</f>
        <v>0</v>
      </c>
      <c r="H79" s="141">
        <f t="shared" ref="H79:H81" ca="1" si="14">+G79/G$86</f>
        <v>0</v>
      </c>
    </row>
    <row r="80" spans="1:8" x14ac:dyDescent="0.2">
      <c r="A80" s="104"/>
      <c r="B80" s="251" t="str">
        <f>'SAFEs &amp; Notes'!A22</f>
        <v>Note Holder #18</v>
      </c>
      <c r="C80" s="142"/>
      <c r="D80" s="139"/>
      <c r="E80" s="144">
        <f ca="1">'SAFEs &amp; Notes'!N22</f>
        <v>0</v>
      </c>
      <c r="F80" s="104"/>
      <c r="G80" s="143">
        <f t="shared" ca="1" si="13"/>
        <v>0</v>
      </c>
      <c r="H80" s="141">
        <f t="shared" ca="1" si="14"/>
        <v>0</v>
      </c>
    </row>
    <row r="81" spans="1:8" x14ac:dyDescent="0.2">
      <c r="A81" s="104"/>
      <c r="B81" s="251" t="str">
        <f>'SAFEs &amp; Notes'!A23</f>
        <v>Note Holder #19</v>
      </c>
      <c r="C81" s="142"/>
      <c r="D81" s="139"/>
      <c r="E81" s="144">
        <f ca="1">'SAFEs &amp; Notes'!N23</f>
        <v>0</v>
      </c>
      <c r="F81" s="104"/>
      <c r="G81" s="143">
        <f t="shared" ca="1" si="13"/>
        <v>0</v>
      </c>
      <c r="H81" s="141">
        <f t="shared" ca="1" si="14"/>
        <v>0</v>
      </c>
    </row>
    <row r="82" spans="1:8" x14ac:dyDescent="0.2">
      <c r="A82" s="104"/>
      <c r="B82" s="251" t="str">
        <f>'SAFEs &amp; Notes'!A24</f>
        <v>Note Holder #20</v>
      </c>
      <c r="C82" s="142"/>
      <c r="D82" s="139"/>
      <c r="E82" s="144">
        <f ca="1">'SAFEs &amp; Notes'!N24</f>
        <v>0</v>
      </c>
      <c r="F82" s="104"/>
      <c r="G82" s="143">
        <f t="shared" ca="1" si="12"/>
        <v>0</v>
      </c>
      <c r="H82" s="141">
        <f t="shared" ca="1" si="10"/>
        <v>0</v>
      </c>
    </row>
    <row r="83" spans="1:8" x14ac:dyDescent="0.2">
      <c r="A83" s="132"/>
      <c r="B83" s="110" t="s">
        <v>48</v>
      </c>
      <c r="C83" s="142"/>
      <c r="D83" s="139"/>
      <c r="E83" s="104"/>
      <c r="F83" s="144"/>
      <c r="G83" s="143"/>
      <c r="H83" s="141"/>
    </row>
    <row r="84" spans="1:8" x14ac:dyDescent="0.2">
      <c r="A84" s="132"/>
      <c r="B84" s="107" t="s">
        <v>85</v>
      </c>
      <c r="C84" s="142"/>
      <c r="D84" s="139"/>
      <c r="E84" s="104"/>
      <c r="F84" s="144">
        <f ca="1">+'Pro Forma - Series A Inputs'!J14</f>
        <v>2970710.4615384601</v>
      </c>
      <c r="G84" s="143">
        <f ca="1">+F84</f>
        <v>2970710.4615384601</v>
      </c>
      <c r="H84" s="141">
        <f ca="1">+G84/G$86</f>
        <v>0.19999999999999993</v>
      </c>
    </row>
    <row r="85" spans="1:8" x14ac:dyDescent="0.2">
      <c r="A85" s="132"/>
      <c r="B85" s="110"/>
      <c r="C85" s="142"/>
      <c r="D85" s="139"/>
      <c r="E85" s="104"/>
      <c r="F85" s="144"/>
      <c r="G85" s="143"/>
      <c r="H85" s="145"/>
    </row>
    <row r="86" spans="1:8" ht="16" thickBot="1" x14ac:dyDescent="0.25">
      <c r="A86" s="132"/>
      <c r="B86" s="122" t="s">
        <v>20</v>
      </c>
      <c r="C86" s="146"/>
      <c r="D86" s="147"/>
      <c r="E86" s="123"/>
      <c r="F86" s="123"/>
      <c r="G86" s="148">
        <f ca="1">SUM(G29:G84)</f>
        <v>14853552.307692306</v>
      </c>
      <c r="H86" s="149">
        <f ca="1">SUM(H29:H84)</f>
        <v>1</v>
      </c>
    </row>
    <row r="87" spans="1:8" x14ac:dyDescent="0.2">
      <c r="C87" s="142"/>
      <c r="D87" s="139"/>
    </row>
    <row r="88" spans="1:8" x14ac:dyDescent="0.2">
      <c r="A88" s="104"/>
      <c r="B88" s="104"/>
      <c r="C88" s="104"/>
      <c r="D88" s="104"/>
      <c r="E88" s="104"/>
    </row>
    <row r="89" spans="1:8" x14ac:dyDescent="0.2">
      <c r="A89" s="104"/>
      <c r="B89" s="104"/>
      <c r="C89" s="104"/>
      <c r="D89" s="104"/>
      <c r="E89" s="104"/>
    </row>
    <row r="90" spans="1:8" x14ac:dyDescent="0.2">
      <c r="A90" s="104"/>
      <c r="B90" s="104"/>
      <c r="C90" s="104"/>
      <c r="D90" s="104"/>
      <c r="E90" s="104"/>
    </row>
    <row r="91" spans="1:8" x14ac:dyDescent="0.2">
      <c r="E91" s="104"/>
    </row>
  </sheetData>
  <pageMargins left="0.75" right="0.75" top="0.5" bottom="1" header="0.2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B1:M59"/>
  <sheetViews>
    <sheetView zoomScaleNormal="100" workbookViewId="0">
      <selection activeCell="G54" sqref="G54"/>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15.1640625" style="99" bestFit="1" customWidth="1"/>
    <col min="7" max="7" width="18" style="99" bestFit="1" customWidth="1"/>
    <col min="8" max="8" width="16.33203125" style="99" bestFit="1" customWidth="1"/>
    <col min="9" max="9" width="14.33203125" style="99" bestFit="1" customWidth="1"/>
    <col min="10" max="10" width="13.33203125" style="99" bestFit="1" customWidth="1"/>
    <col min="11" max="12" width="12.5" style="99" bestFit="1" customWidth="1"/>
    <col min="13" max="13" width="14.1640625" style="99" customWidth="1"/>
    <col min="14" max="16384" width="11.5" style="99"/>
  </cols>
  <sheetData>
    <row r="1" spans="2:12" s="20" customFormat="1" ht="20" x14ac:dyDescent="0.2">
      <c r="B1" s="59" t="s">
        <v>75</v>
      </c>
      <c r="D1" s="24"/>
    </row>
    <row r="2" spans="2:12" s="20" customFormat="1" ht="20" x14ac:dyDescent="0.2">
      <c r="B2" s="29" t="s">
        <v>42</v>
      </c>
      <c r="C2" s="22"/>
      <c r="D2" s="68"/>
      <c r="E2" s="22"/>
    </row>
    <row r="3" spans="2:12" s="20" customFormat="1" ht="13" x14ac:dyDescent="0.15">
      <c r="C3" s="23"/>
      <c r="D3" s="67"/>
      <c r="E3" s="23"/>
    </row>
    <row r="4" spans="2:12" x14ac:dyDescent="0.2">
      <c r="C4" s="150"/>
      <c r="D4" s="151"/>
      <c r="E4" s="150"/>
    </row>
    <row r="5" spans="2:12" x14ac:dyDescent="0.2">
      <c r="C5" s="150"/>
      <c r="D5" s="151"/>
      <c r="E5" s="150"/>
    </row>
    <row r="6" spans="2:12" ht="13.25" customHeight="1" x14ac:dyDescent="0.2">
      <c r="B6" s="152"/>
      <c r="C6" s="153" t="s">
        <v>94</v>
      </c>
      <c r="D6" s="154"/>
      <c r="E6" s="153" t="s">
        <v>103</v>
      </c>
    </row>
    <row r="7" spans="2:12" x14ac:dyDescent="0.2">
      <c r="B7" s="155"/>
      <c r="C7" s="156" t="s">
        <v>15</v>
      </c>
      <c r="D7" s="157"/>
      <c r="E7" s="156"/>
    </row>
    <row r="8" spans="2:12" s="104" customFormat="1" x14ac:dyDescent="0.2">
      <c r="B8" s="104" t="s">
        <v>9</v>
      </c>
      <c r="C8" s="158">
        <f>Common!D20</f>
        <v>9000000</v>
      </c>
      <c r="D8" s="158"/>
      <c r="E8" s="158"/>
    </row>
    <row r="9" spans="2:12" s="104" customFormat="1" x14ac:dyDescent="0.2">
      <c r="B9" s="114" t="s">
        <v>18</v>
      </c>
      <c r="C9" s="158">
        <f ca="1">Common!J46</f>
        <v>0</v>
      </c>
      <c r="D9" s="158"/>
      <c r="E9" s="158"/>
    </row>
    <row r="10" spans="2:12" s="104" customFormat="1" x14ac:dyDescent="0.2">
      <c r="B10" s="114" t="s">
        <v>19</v>
      </c>
      <c r="C10" s="158">
        <f>Common!D47</f>
        <v>875000</v>
      </c>
      <c r="D10" s="158"/>
      <c r="E10" s="158"/>
    </row>
    <row r="11" spans="2:12" s="104" customFormat="1" x14ac:dyDescent="0.2">
      <c r="B11" s="114" t="s">
        <v>80</v>
      </c>
      <c r="C11" s="258">
        <f ca="1">'Pro Forma - Series A Inputs'!J11</f>
        <v>1353032.846153846</v>
      </c>
      <c r="D11" s="158"/>
      <c r="E11" s="158"/>
      <c r="F11" s="104" t="s">
        <v>185</v>
      </c>
    </row>
    <row r="12" spans="2:12" s="104" customFormat="1" x14ac:dyDescent="0.2">
      <c r="B12" s="114" t="s">
        <v>87</v>
      </c>
      <c r="C12" s="287">
        <f ca="1">'Pro Forma - Series A Inputs'!G13</f>
        <v>529809</v>
      </c>
      <c r="D12" s="158"/>
      <c r="E12" s="159">
        <f>'SAFEs &amp; Notes'!H26</f>
        <v>220000</v>
      </c>
      <c r="F12" s="291">
        <f>E12/E14</f>
        <v>4.2145593869731802E-2</v>
      </c>
    </row>
    <row r="13" spans="2:12" s="104" customFormat="1" ht="16" thickBot="1" x14ac:dyDescent="0.25">
      <c r="B13" s="114" t="s">
        <v>78</v>
      </c>
      <c r="C13" s="287">
        <f ca="1">'Pro Forma - Series A Inputs'!G14</f>
        <v>2970710.4615384601</v>
      </c>
      <c r="D13" s="158"/>
      <c r="E13" s="159">
        <f>'Pro Forma - Series A Inputs'!F20</f>
        <v>5000000</v>
      </c>
      <c r="F13" s="291">
        <f>E13/E14</f>
        <v>0.95785440613026818</v>
      </c>
      <c r="I13" s="289">
        <f ca="1">C13+C12</f>
        <v>3500519.4615384601</v>
      </c>
      <c r="J13" s="104">
        <v>1.2</v>
      </c>
      <c r="K13" s="290">
        <f ca="1">I13*J13</f>
        <v>4200623.3538461523</v>
      </c>
      <c r="L13" s="104" t="s">
        <v>184</v>
      </c>
    </row>
    <row r="14" spans="2:12" s="104" customFormat="1" ht="16" thickBot="1" x14ac:dyDescent="0.25">
      <c r="B14" s="104" t="s">
        <v>20</v>
      </c>
      <c r="C14" s="161">
        <f ca="1">SUM(C8:C13)</f>
        <v>14728552.307692306</v>
      </c>
      <c r="D14" s="158"/>
      <c r="E14" s="162">
        <f>SUM(E8:E13)</f>
        <v>5220000</v>
      </c>
    </row>
    <row r="15" spans="2:12" x14ac:dyDescent="0.2">
      <c r="I15" s="173">
        <f ca="1">C14</f>
        <v>14728552.307692306</v>
      </c>
      <c r="J15" s="99">
        <v>0.1</v>
      </c>
      <c r="K15" s="173">
        <f ca="1">I15*J15</f>
        <v>1472855.2307692308</v>
      </c>
      <c r="L15" s="99" t="s">
        <v>184</v>
      </c>
    </row>
    <row r="17" spans="2:13" x14ac:dyDescent="0.2">
      <c r="B17" s="216" t="s">
        <v>151</v>
      </c>
      <c r="H17" s="165">
        <v>200000</v>
      </c>
    </row>
    <row r="18" spans="2:13" x14ac:dyDescent="0.2">
      <c r="B18" s="99" t="s">
        <v>96</v>
      </c>
      <c r="C18" s="163">
        <v>2100000</v>
      </c>
      <c r="H18" s="208">
        <v>10000000</v>
      </c>
      <c r="I18" s="165">
        <f>H17/H18</f>
        <v>0.02</v>
      </c>
    </row>
    <row r="20" spans="2:13" x14ac:dyDescent="0.2">
      <c r="B20" s="99" t="s">
        <v>97</v>
      </c>
      <c r="C20" s="165">
        <f t="shared" ref="C20" ca="1" si="0">C18/C14</f>
        <v>0.14258020449866138</v>
      </c>
    </row>
    <row r="21" spans="2:13" s="126" customFormat="1" x14ac:dyDescent="0.2">
      <c r="B21" s="126" t="s">
        <v>108</v>
      </c>
      <c r="C21" s="166"/>
      <c r="D21" s="114"/>
    </row>
    <row r="22" spans="2:13" s="126" customFormat="1" x14ac:dyDescent="0.2">
      <c r="B22" s="126" t="s">
        <v>111</v>
      </c>
      <c r="C22" s="166"/>
      <c r="D22" s="114"/>
    </row>
    <row r="23" spans="2:13" s="126" customFormat="1" x14ac:dyDescent="0.2">
      <c r="B23" s="126" t="s">
        <v>36</v>
      </c>
      <c r="C23" s="166"/>
      <c r="D23" s="114"/>
    </row>
    <row r="24" spans="2:13" s="126" customFormat="1" x14ac:dyDescent="0.2">
      <c r="B24" s="126" t="s">
        <v>109</v>
      </c>
      <c r="C24" s="166"/>
      <c r="D24" s="114"/>
    </row>
    <row r="25" spans="2:13" s="126" customFormat="1" x14ac:dyDescent="0.2">
      <c r="B25" s="126" t="s">
        <v>110</v>
      </c>
      <c r="D25" s="114"/>
      <c r="G25" s="276" t="s">
        <v>179</v>
      </c>
    </row>
    <row r="26" spans="2:13" s="126" customFormat="1" x14ac:dyDescent="0.2">
      <c r="B26" s="126" t="s">
        <v>112</v>
      </c>
      <c r="D26" s="114"/>
      <c r="H26" s="126" t="s">
        <v>175</v>
      </c>
      <c r="I26" s="126" t="s">
        <v>176</v>
      </c>
    </row>
    <row r="27" spans="2:13" s="126" customFormat="1" x14ac:dyDescent="0.2">
      <c r="D27" s="114"/>
      <c r="G27" s="126" t="s">
        <v>172</v>
      </c>
      <c r="H27" s="126" t="s">
        <v>173</v>
      </c>
      <c r="I27" s="126" t="s">
        <v>174</v>
      </c>
    </row>
    <row r="28" spans="2:13" s="126" customFormat="1" x14ac:dyDescent="0.2">
      <c r="B28" s="126" t="s">
        <v>98</v>
      </c>
      <c r="C28" s="270">
        <f ca="1">MAX(MIN(C18,SUM(E12,$E13)),C20*SUM(C12:C13))</f>
        <v>2100000</v>
      </c>
      <c r="D28" s="114"/>
      <c r="E28" s="168"/>
      <c r="G28" s="270">
        <f ca="1">MAX(H28:I28)</f>
        <v>2100000</v>
      </c>
      <c r="H28" s="172">
        <f>MIN(C18,SUM(E12,$E13))</f>
        <v>2100000</v>
      </c>
      <c r="I28" s="172">
        <f ca="1">C20*SUM(C12:C13)</f>
        <v>499104.78067769768</v>
      </c>
      <c r="K28" s="126" t="s">
        <v>177</v>
      </c>
      <c r="L28" s="126" t="s">
        <v>178</v>
      </c>
      <c r="M28" s="126" t="s">
        <v>174</v>
      </c>
    </row>
    <row r="29" spans="2:13" s="126" customFormat="1" x14ac:dyDescent="0.2">
      <c r="B29" s="169" t="s">
        <v>85</v>
      </c>
      <c r="C29" s="271">
        <f ca="1">MIN(MAX(C28*(C13/SUM(C12:C13)),$E$13),C28)</f>
        <v>2100000</v>
      </c>
      <c r="D29" s="114"/>
      <c r="K29" s="269">
        <f ca="1">MIN(L29,M29)</f>
        <v>2100000</v>
      </c>
      <c r="L29" s="159">
        <f ca="1">MAX(C28*(C13/SUM(C12:C13)),$E$13)</f>
        <v>5000000</v>
      </c>
      <c r="M29" s="167">
        <f ca="1">C28</f>
        <v>2100000</v>
      </c>
    </row>
    <row r="30" spans="2:13" s="126" customFormat="1" x14ac:dyDescent="0.2">
      <c r="B30" s="169" t="s">
        <v>99</v>
      </c>
      <c r="C30" s="168">
        <f ca="1">C28-C29</f>
        <v>0</v>
      </c>
      <c r="D30" s="114"/>
    </row>
    <row r="31" spans="2:13" s="126" customFormat="1" x14ac:dyDescent="0.2">
      <c r="D31" s="114"/>
    </row>
    <row r="32" spans="2:13" s="126" customFormat="1" x14ac:dyDescent="0.2">
      <c r="B32" s="126" t="s">
        <v>100</v>
      </c>
      <c r="C32" s="167">
        <f ca="1">(C18-C28)</f>
        <v>0</v>
      </c>
      <c r="D32" s="114"/>
    </row>
    <row r="33" spans="2:9" x14ac:dyDescent="0.2">
      <c r="B33" s="170" t="s">
        <v>9</v>
      </c>
      <c r="C33" s="164">
        <f t="shared" ref="C33:C36" ca="1" si="1">C$32*C8/SUM(C$8:C$11)</f>
        <v>0</v>
      </c>
    </row>
    <row r="34" spans="2:9" x14ac:dyDescent="0.2">
      <c r="B34" s="170" t="s">
        <v>18</v>
      </c>
      <c r="C34" s="164">
        <f ca="1">C$32*C9/SUM(C$8:C$11)</f>
        <v>0</v>
      </c>
    </row>
    <row r="35" spans="2:9" x14ac:dyDescent="0.2">
      <c r="B35" s="170" t="s">
        <v>19</v>
      </c>
      <c r="C35" s="164">
        <f t="shared" ca="1" si="1"/>
        <v>0</v>
      </c>
    </row>
    <row r="36" spans="2:9" x14ac:dyDescent="0.2">
      <c r="B36" s="170" t="s">
        <v>101</v>
      </c>
      <c r="C36" s="164">
        <f t="shared" ca="1" si="1"/>
        <v>0</v>
      </c>
    </row>
    <row r="38" spans="2:9" x14ac:dyDescent="0.2">
      <c r="B38" s="99" t="s">
        <v>102</v>
      </c>
      <c r="C38" s="171">
        <f ca="1">C32+C28-C18</f>
        <v>0</v>
      </c>
    </row>
    <row r="40" spans="2:9" x14ac:dyDescent="0.2">
      <c r="B40" s="216" t="s">
        <v>152</v>
      </c>
    </row>
    <row r="41" spans="2:9" x14ac:dyDescent="0.2">
      <c r="B41" s="99" t="s">
        <v>96</v>
      </c>
      <c r="C41" s="163">
        <v>2000000</v>
      </c>
    </row>
    <row r="43" spans="2:9" x14ac:dyDescent="0.2">
      <c r="B43" s="99" t="s">
        <v>97</v>
      </c>
      <c r="C43" s="165">
        <f ca="1">C41/C14</f>
        <v>0.13579067095110608</v>
      </c>
    </row>
    <row r="44" spans="2:9" s="126" customFormat="1" x14ac:dyDescent="0.2">
      <c r="B44" s="126" t="s">
        <v>111</v>
      </c>
      <c r="D44" s="114"/>
    </row>
    <row r="45" spans="2:9" s="126" customFormat="1" x14ac:dyDescent="0.2">
      <c r="B45" s="126" t="s">
        <v>109</v>
      </c>
      <c r="D45" s="114"/>
    </row>
    <row r="46" spans="2:9" s="126" customFormat="1" x14ac:dyDescent="0.2">
      <c r="B46" s="126" t="s">
        <v>110</v>
      </c>
      <c r="D46" s="114"/>
      <c r="G46" s="276" t="s">
        <v>179</v>
      </c>
    </row>
    <row r="47" spans="2:9" s="126" customFormat="1" x14ac:dyDescent="0.2">
      <c r="B47" s="126" t="s">
        <v>112</v>
      </c>
      <c r="D47" s="114"/>
      <c r="H47" s="126" t="s">
        <v>175</v>
      </c>
      <c r="I47" s="126" t="s">
        <v>176</v>
      </c>
    </row>
    <row r="48" spans="2:9" x14ac:dyDescent="0.2">
      <c r="C48" s="104"/>
      <c r="G48" s="126" t="s">
        <v>172</v>
      </c>
      <c r="H48" s="126" t="s">
        <v>173</v>
      </c>
      <c r="I48" s="126" t="s">
        <v>174</v>
      </c>
    </row>
    <row r="49" spans="2:13" x14ac:dyDescent="0.2">
      <c r="B49" s="99" t="s">
        <v>98</v>
      </c>
      <c r="C49" s="274">
        <f ca="1">MAX(MIN(C41,SUM(E12,$E13)),C43*SUM(C12:C13))</f>
        <v>2000000</v>
      </c>
      <c r="G49" s="270">
        <f ca="1">MAX(H49:I49)</f>
        <v>2000000</v>
      </c>
      <c r="H49" s="172">
        <f>MIN(C41,SUM(E12,$E13))</f>
        <v>2000000</v>
      </c>
      <c r="I49" s="172">
        <f ca="1">C43*SUM(C12:C13)</f>
        <v>475337.88635971211</v>
      </c>
      <c r="K49" s="126" t="s">
        <v>177</v>
      </c>
      <c r="L49" s="126" t="s">
        <v>178</v>
      </c>
      <c r="M49" s="126" t="s">
        <v>174</v>
      </c>
    </row>
    <row r="50" spans="2:13" x14ac:dyDescent="0.2">
      <c r="B50" s="170" t="s">
        <v>85</v>
      </c>
      <c r="C50" s="275">
        <f ca="1">MIN(MAX(IFERROR(C$49*(C13/SUM(C$12:C$13)),0),$E$13),C$49)</f>
        <v>2000000</v>
      </c>
      <c r="E50" s="173">
        <f ca="1">+C43*C13</f>
        <v>403394.76677377755</v>
      </c>
      <c r="K50" s="269">
        <f ca="1">MIN(L50,M50)</f>
        <v>2000000</v>
      </c>
      <c r="L50" s="159">
        <f ca="1">MAX(IFERROR(C$49*(C13/SUM(C$12:C$13)),0),$E$13)</f>
        <v>5000000</v>
      </c>
      <c r="M50" s="167">
        <f ca="1">C$49</f>
        <v>2000000</v>
      </c>
    </row>
    <row r="51" spans="2:13" x14ac:dyDescent="0.2">
      <c r="B51" s="170" t="s">
        <v>99</v>
      </c>
      <c r="C51" s="272">
        <f ca="1">C49-C50</f>
        <v>0</v>
      </c>
      <c r="E51" s="174"/>
    </row>
    <row r="52" spans="2:13" x14ac:dyDescent="0.2">
      <c r="C52" s="104"/>
      <c r="G52" s="276" t="s">
        <v>179</v>
      </c>
    </row>
    <row r="53" spans="2:13" x14ac:dyDescent="0.2">
      <c r="B53" s="99" t="s">
        <v>100</v>
      </c>
      <c r="C53" s="273">
        <f ca="1">(C41-C49)</f>
        <v>0</v>
      </c>
      <c r="G53" s="99" t="s">
        <v>180</v>
      </c>
    </row>
    <row r="54" spans="2:13" x14ac:dyDescent="0.2">
      <c r="B54" s="170" t="s">
        <v>9</v>
      </c>
      <c r="C54" s="277">
        <f t="shared" ref="C54:C57" ca="1" si="2">C$53*C8/SUM(C$8:C$11)</f>
        <v>0</v>
      </c>
      <c r="G54" s="183">
        <f ca="1">C8/SUM($C$8:$C$11)</f>
        <v>0.8015651649151474</v>
      </c>
      <c r="H54" s="268">
        <f ca="1">G54*$C$53</f>
        <v>0</v>
      </c>
    </row>
    <row r="55" spans="2:13" x14ac:dyDescent="0.2">
      <c r="B55" s="170" t="s">
        <v>18</v>
      </c>
      <c r="C55" s="277">
        <f ca="1">C$53*C9/SUM(C$8:C$11)</f>
        <v>0</v>
      </c>
      <c r="G55" s="183">
        <f t="shared" ref="G55:G57" ca="1" si="3">C9/SUM($C$8:$C$11)</f>
        <v>0</v>
      </c>
      <c r="H55" s="268">
        <f t="shared" ref="H55:H57" ca="1" si="4">G55*$C$53</f>
        <v>0</v>
      </c>
    </row>
    <row r="56" spans="2:13" x14ac:dyDescent="0.2">
      <c r="B56" s="170" t="s">
        <v>19</v>
      </c>
      <c r="C56" s="277">
        <f t="shared" ca="1" si="2"/>
        <v>0</v>
      </c>
      <c r="G56" s="183">
        <f t="shared" ca="1" si="3"/>
        <v>7.7929946588972662E-2</v>
      </c>
      <c r="H56" s="268">
        <f t="shared" ca="1" si="4"/>
        <v>0</v>
      </c>
    </row>
    <row r="57" spans="2:13" x14ac:dyDescent="0.2">
      <c r="B57" s="170" t="s">
        <v>101</v>
      </c>
      <c r="C57" s="277">
        <f t="shared" ca="1" si="2"/>
        <v>0</v>
      </c>
      <c r="G57" s="183">
        <f t="shared" ca="1" si="3"/>
        <v>0.12050488849587988</v>
      </c>
      <c r="H57" s="268">
        <f t="shared" ca="1" si="4"/>
        <v>0</v>
      </c>
    </row>
    <row r="58" spans="2:13" x14ac:dyDescent="0.2">
      <c r="C58" s="126"/>
    </row>
    <row r="59" spans="2:13" x14ac:dyDescent="0.2">
      <c r="B59" s="99" t="s">
        <v>102</v>
      </c>
      <c r="C59" s="171">
        <f ca="1">C53+C49-C41</f>
        <v>0</v>
      </c>
    </row>
  </sheetData>
  <pageMargins left="0.7" right="0.7" top="0.75" bottom="0.75" header="0.3" footer="0.3"/>
  <pageSetup scale="64"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B983-1A70-442D-80D0-B726BDD32438}">
  <sheetPr>
    <tabColor rgb="FFFFC000"/>
    <pageSetUpPr fitToPage="1"/>
  </sheetPr>
  <dimension ref="B1:Q31"/>
  <sheetViews>
    <sheetView zoomScaleNormal="100" workbookViewId="0">
      <selection activeCell="G20" sqref="G20"/>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20.8320312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5" style="99" bestFit="1" customWidth="1"/>
    <col min="13" max="13" width="14.1640625" style="99" customWidth="1"/>
    <col min="14" max="16384" width="11.5" style="99"/>
  </cols>
  <sheetData>
    <row r="1" spans="2:17" s="20" customFormat="1" ht="20" x14ac:dyDescent="0.2">
      <c r="B1" s="59" t="str">
        <f>Common!A1</f>
        <v>TBD, Inc.</v>
      </c>
      <c r="D1" s="24"/>
    </row>
    <row r="2" spans="2:17" s="20" customFormat="1" ht="20" x14ac:dyDescent="0.2">
      <c r="B2" s="29" t="s">
        <v>202</v>
      </c>
      <c r="C2" s="22"/>
      <c r="D2" s="68"/>
      <c r="E2" s="22"/>
    </row>
    <row r="3" spans="2:17" s="20" customFormat="1" ht="13" x14ac:dyDescent="0.15">
      <c r="C3" s="23"/>
      <c r="D3" s="67"/>
      <c r="E3" s="23"/>
    </row>
    <row r="4" spans="2:17" x14ac:dyDescent="0.2">
      <c r="C4" s="150"/>
      <c r="D4" s="151"/>
      <c r="E4" s="150"/>
    </row>
    <row r="5" spans="2:17" x14ac:dyDescent="0.2">
      <c r="C5" s="150"/>
      <c r="D5" s="151"/>
      <c r="E5" s="150"/>
    </row>
    <row r="6" spans="2:17" ht="13.25" customHeight="1" x14ac:dyDescent="0.2">
      <c r="B6" s="152"/>
      <c r="C6" s="278" t="s">
        <v>198</v>
      </c>
      <c r="D6" s="154"/>
      <c r="E6" s="278" t="s">
        <v>103</v>
      </c>
      <c r="F6" s="99" t="s">
        <v>194</v>
      </c>
      <c r="G6" s="104" t="s">
        <v>188</v>
      </c>
    </row>
    <row r="7" spans="2:17" x14ac:dyDescent="0.2">
      <c r="B7" s="155"/>
      <c r="C7" s="156" t="s">
        <v>15</v>
      </c>
      <c r="D7" s="157"/>
      <c r="E7" s="156"/>
      <c r="M7" s="20"/>
      <c r="N7" s="20"/>
      <c r="O7" s="20"/>
      <c r="P7" s="20"/>
      <c r="Q7" s="20"/>
    </row>
    <row r="8" spans="2:17" s="104" customFormat="1" x14ac:dyDescent="0.2">
      <c r="B8" s="104" t="s">
        <v>9</v>
      </c>
      <c r="C8" s="158">
        <f>Common!D20</f>
        <v>9000000</v>
      </c>
      <c r="D8" s="158"/>
      <c r="E8" s="158"/>
      <c r="F8" s="180">
        <f ca="1">C8/SUM($C$8:$C$11)</f>
        <v>0.79273971298770607</v>
      </c>
      <c r="M8" s="165"/>
      <c r="N8" s="99"/>
      <c r="O8" s="99"/>
      <c r="P8" s="99"/>
      <c r="Q8" s="99"/>
    </row>
    <row r="9" spans="2:17" s="104" customFormat="1" x14ac:dyDescent="0.2">
      <c r="B9" s="114" t="s">
        <v>18</v>
      </c>
      <c r="C9" s="158">
        <f>+Common!D46</f>
        <v>125000</v>
      </c>
      <c r="D9" s="158"/>
      <c r="E9" s="158"/>
      <c r="F9" s="180">
        <f t="shared" ref="F9:F11" ca="1" si="0">C9/SUM($C$8:$C$11)</f>
        <v>1.1010273791495918E-2</v>
      </c>
      <c r="M9" s="208"/>
      <c r="N9" s="165"/>
      <c r="O9" s="99"/>
      <c r="P9" s="99"/>
      <c r="Q9" s="99"/>
    </row>
    <row r="10" spans="2:17" s="104" customFormat="1" x14ac:dyDescent="0.2">
      <c r="B10" s="114" t="s">
        <v>19</v>
      </c>
      <c r="C10" s="158">
        <f>Common!D47</f>
        <v>875000</v>
      </c>
      <c r="D10" s="158"/>
      <c r="E10" s="158"/>
      <c r="F10" s="180">
        <f t="shared" ca="1" si="0"/>
        <v>7.7071916540471422E-2</v>
      </c>
      <c r="M10" s="99"/>
      <c r="N10" s="99"/>
      <c r="O10" s="99"/>
      <c r="P10" s="99"/>
      <c r="Q10" s="99"/>
    </row>
    <row r="11" spans="2:17" s="104" customFormat="1" x14ac:dyDescent="0.2">
      <c r="B11" s="114" t="s">
        <v>80</v>
      </c>
      <c r="C11" s="258">
        <f ca="1">'Pro Forma - Series A Inputs'!J11</f>
        <v>1353032.846153846</v>
      </c>
      <c r="D11" s="158"/>
      <c r="E11" s="158"/>
      <c r="F11" s="180">
        <f t="shared" ca="1" si="0"/>
        <v>0.11917809668032656</v>
      </c>
      <c r="M11" s="99"/>
      <c r="N11" s="289"/>
      <c r="P11" s="290"/>
    </row>
    <row r="12" spans="2:17" s="104" customFormat="1" x14ac:dyDescent="0.2">
      <c r="B12" s="114" t="s">
        <v>87</v>
      </c>
      <c r="C12" s="287">
        <f ca="1">'Pro Forma - Series A Inputs'!G13</f>
        <v>529809</v>
      </c>
      <c r="D12" s="158"/>
      <c r="E12" s="275">
        <f>'SAFEs &amp; Notes'!H26</f>
        <v>220000</v>
      </c>
      <c r="G12" s="180">
        <f>E12/E14</f>
        <v>4.2145593869731802E-2</v>
      </c>
    </row>
    <row r="13" spans="2:17" s="104" customFormat="1" ht="16" thickBot="1" x14ac:dyDescent="0.25">
      <c r="B13" s="114" t="s">
        <v>78</v>
      </c>
      <c r="C13" s="287">
        <f ca="1">'Pro Forma - Series A Inputs'!G14</f>
        <v>2970710.4615384601</v>
      </c>
      <c r="D13" s="158"/>
      <c r="E13" s="275">
        <f>'Pro Forma - Series A Inputs'!F20</f>
        <v>5000000</v>
      </c>
      <c r="G13" s="180">
        <f>E13/E14</f>
        <v>0.95785440613026818</v>
      </c>
      <c r="N13" s="173"/>
      <c r="O13" s="99"/>
      <c r="P13" s="173"/>
      <c r="Q13" s="99"/>
    </row>
    <row r="14" spans="2:17" s="104" customFormat="1" ht="16" thickBot="1" x14ac:dyDescent="0.25">
      <c r="B14" s="104" t="s">
        <v>20</v>
      </c>
      <c r="C14" s="161">
        <f ca="1">SUM(C8:C13)</f>
        <v>14853552.307692306</v>
      </c>
      <c r="D14" s="158"/>
      <c r="E14" s="162">
        <f>SUM(E8:E13)</f>
        <v>5220000</v>
      </c>
      <c r="G14" s="115">
        <f>SUM(G12:G13)</f>
        <v>1</v>
      </c>
    </row>
    <row r="15" spans="2:17" ht="16" thickBot="1" x14ac:dyDescent="0.25">
      <c r="M15" s="104"/>
      <c r="N15" s="104"/>
      <c r="O15" s="104"/>
      <c r="P15" s="104"/>
      <c r="Q15" s="104"/>
    </row>
    <row r="16" spans="2:17" ht="16" thickBot="1" x14ac:dyDescent="0.25">
      <c r="B16" s="293" t="s">
        <v>96</v>
      </c>
      <c r="C16" s="333">
        <v>50000000</v>
      </c>
      <c r="M16" s="104"/>
      <c r="N16" s="104"/>
      <c r="O16" s="104"/>
      <c r="P16" s="104"/>
      <c r="Q16" s="104"/>
    </row>
    <row r="17" spans="2:17" x14ac:dyDescent="0.2">
      <c r="B17" s="294" t="s">
        <v>97</v>
      </c>
      <c r="C17" s="295">
        <f ca="1">C16/C14</f>
        <v>3.36619812986461</v>
      </c>
      <c r="M17" s="104"/>
      <c r="N17" s="104"/>
      <c r="O17" s="104"/>
      <c r="P17" s="104"/>
      <c r="Q17" s="104"/>
    </row>
    <row r="18" spans="2:17" x14ac:dyDescent="0.2">
      <c r="M18" s="104"/>
      <c r="N18" s="104"/>
      <c r="O18" s="104"/>
      <c r="P18" s="104"/>
      <c r="Q18" s="104"/>
    </row>
    <row r="19" spans="2:17" x14ac:dyDescent="0.2">
      <c r="B19" s="308" t="str">
        <f ca="1">IF(AND(C20&gt;0,C21&gt;0),"Below Liquid Preference",IF(AND(C29&gt;0,C30&gt;0),"As Converted","Liquid Preference Up To As Converted"))</f>
        <v>As Converted</v>
      </c>
      <c r="I19" s="173"/>
      <c r="K19" s="173"/>
      <c r="M19" s="104"/>
    </row>
    <row r="20" spans="2:17" x14ac:dyDescent="0.2">
      <c r="B20" s="292" t="s">
        <v>186</v>
      </c>
      <c r="C20" s="296">
        <f ca="1">IF(IF($C$16&lt;$E$14,$C$16*$G$12,$E$12)&lt;$C$29,0,IF($C$16&lt;$E$14,$C$16*$G$12,$E$12))</f>
        <v>0</v>
      </c>
      <c r="E20" s="172">
        <f>E12</f>
        <v>220000</v>
      </c>
      <c r="I20" s="173"/>
      <c r="K20" s="173"/>
      <c r="M20" s="104"/>
    </row>
    <row r="21" spans="2:17" x14ac:dyDescent="0.2">
      <c r="B21" s="297" t="s">
        <v>187</v>
      </c>
      <c r="C21" s="298">
        <f ca="1">IF(IF($C$16&lt;$E$14,$C$16*$G$13,$E$13)&lt;$C$30,0,IF($C$16&lt;$E$14,$C$16*$G$13,$E$13))</f>
        <v>0</v>
      </c>
      <c r="E21" s="172">
        <f>E13</f>
        <v>5000000</v>
      </c>
      <c r="I21" s="173"/>
      <c r="K21" s="173"/>
    </row>
    <row r="22" spans="2:17" x14ac:dyDescent="0.2">
      <c r="B22" s="297"/>
      <c r="C22" s="299"/>
      <c r="I22" s="173"/>
      <c r="K22" s="173"/>
      <c r="N22" s="173"/>
      <c r="P22" s="173"/>
    </row>
    <row r="23" spans="2:17" x14ac:dyDescent="0.2">
      <c r="B23" s="297" t="s">
        <v>189</v>
      </c>
      <c r="C23" s="307">
        <f ca="1">C16-SUM(MAX(C20,C29),MAX(C21,C30))</f>
        <v>38216557.935014561</v>
      </c>
      <c r="E23" s="172"/>
      <c r="I23" s="173"/>
      <c r="K23" s="173"/>
      <c r="N23" s="173"/>
      <c r="P23" s="173"/>
    </row>
    <row r="24" spans="2:17" x14ac:dyDescent="0.2">
      <c r="B24" s="297" t="s">
        <v>9</v>
      </c>
      <c r="C24" s="305">
        <f ca="1">$C$23*F8</f>
        <v>30295783.168781485</v>
      </c>
      <c r="E24" s="164"/>
      <c r="F24" s="172"/>
      <c r="G24" s="202"/>
      <c r="I24" s="173"/>
      <c r="K24" s="173"/>
      <c r="N24" s="173"/>
      <c r="P24" s="173"/>
    </row>
    <row r="25" spans="2:17" x14ac:dyDescent="0.2">
      <c r="B25" s="301" t="s">
        <v>18</v>
      </c>
      <c r="C25" s="305">
        <f ca="1">$C$23*F9</f>
        <v>420774.76623307617</v>
      </c>
      <c r="I25" s="173"/>
      <c r="K25" s="173"/>
      <c r="N25" s="173"/>
      <c r="P25" s="173"/>
    </row>
    <row r="26" spans="2:17" x14ac:dyDescent="0.2">
      <c r="B26" s="301" t="s">
        <v>19</v>
      </c>
      <c r="C26" s="305">
        <f ca="1">$C$23*F10</f>
        <v>2945423.363631533</v>
      </c>
      <c r="I26" s="173"/>
      <c r="K26" s="173"/>
    </row>
    <row r="27" spans="2:17" x14ac:dyDescent="0.2">
      <c r="B27" s="301" t="s">
        <v>80</v>
      </c>
      <c r="C27" s="306">
        <f ca="1">$C$23*F11</f>
        <v>4554576.6363684665</v>
      </c>
      <c r="I27" s="173"/>
      <c r="K27" s="173"/>
    </row>
    <row r="28" spans="2:17" x14ac:dyDescent="0.2">
      <c r="B28" s="301"/>
      <c r="C28" s="300"/>
      <c r="I28" s="173"/>
      <c r="K28" s="173"/>
    </row>
    <row r="29" spans="2:17" x14ac:dyDescent="0.2">
      <c r="B29" s="301" t="s">
        <v>87</v>
      </c>
      <c r="C29" s="302">
        <f ca="1">IF($C$12*$C$17&lt;C20,0,$C$12*$C$17)</f>
        <v>1783442.0649854392</v>
      </c>
      <c r="E29" s="164">
        <f ca="1">C12*C17</f>
        <v>1783442.0649854392</v>
      </c>
      <c r="I29" s="173"/>
      <c r="K29" s="173"/>
    </row>
    <row r="30" spans="2:17" x14ac:dyDescent="0.2">
      <c r="B30" s="303" t="s">
        <v>78</v>
      </c>
      <c r="C30" s="304">
        <f ca="1">IF($C$13*$C$17&lt;C21,0,$C$13*$C$17)</f>
        <v>9999999.9999999963</v>
      </c>
      <c r="E30" s="164">
        <f ca="1">C13*C17</f>
        <v>9999999.9999999963</v>
      </c>
      <c r="I30" s="173"/>
      <c r="K30" s="173"/>
    </row>
    <row r="31" spans="2:17" x14ac:dyDescent="0.2">
      <c r="I31" s="173"/>
      <c r="K31" s="173"/>
    </row>
  </sheetData>
  <pageMargins left="0.7" right="0.7" top="0.75" bottom="0.75" header="0.3" footer="0.3"/>
  <pageSetup scale="64"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58C6-EA35-44F5-843B-F45EC80E714C}">
  <sheetPr>
    <tabColor rgb="FF00B050"/>
    <pageSetUpPr fitToPage="1"/>
  </sheetPr>
  <dimension ref="B1:N68"/>
  <sheetViews>
    <sheetView topLeftCell="B1" zoomScaleNormal="100" workbookViewId="0">
      <selection activeCell="F22" sqref="F22"/>
    </sheetView>
  </sheetViews>
  <sheetFormatPr baseColWidth="10" defaultColWidth="11.5" defaultRowHeight="15" x14ac:dyDescent="0.2"/>
  <cols>
    <col min="1" max="1" width="2.5" style="99" customWidth="1"/>
    <col min="2" max="2" width="45.6640625" style="99" bestFit="1" customWidth="1"/>
    <col min="3" max="3" width="18.5" style="99" customWidth="1"/>
    <col min="4" max="4" width="2.6640625" style="114" customWidth="1"/>
    <col min="5" max="5" width="18.5" style="99" customWidth="1"/>
    <col min="6" max="6" width="20.83203125" style="99" customWidth="1"/>
    <col min="7" max="7" width="18" style="99" bestFit="1" customWidth="1"/>
    <col min="8" max="8" width="16.33203125" style="99" bestFit="1" customWidth="1"/>
    <col min="9" max="9" width="14.33203125" style="99" bestFit="1" customWidth="1"/>
    <col min="10" max="11" width="13.33203125" style="99" bestFit="1" customWidth="1"/>
    <col min="12" max="12" width="12.5" style="99" bestFit="1" customWidth="1"/>
    <col min="13" max="13" width="14.1640625" style="99" customWidth="1"/>
    <col min="14" max="16384" width="11.5" style="99"/>
  </cols>
  <sheetData>
    <row r="1" spans="2:7" s="20" customFormat="1" ht="20" x14ac:dyDescent="0.2">
      <c r="B1" s="59" t="str">
        <f>Common!A1</f>
        <v>TBD, Inc.</v>
      </c>
      <c r="D1" s="24"/>
    </row>
    <row r="2" spans="2:7" s="20" customFormat="1" ht="20" x14ac:dyDescent="0.2">
      <c r="B2" s="29" t="s">
        <v>203</v>
      </c>
      <c r="C2" s="22"/>
      <c r="D2" s="68"/>
      <c r="E2" s="22"/>
    </row>
    <row r="3" spans="2:7" s="20" customFormat="1" ht="13" x14ac:dyDescent="0.15">
      <c r="C3" s="23"/>
      <c r="D3" s="67"/>
      <c r="E3" s="23"/>
    </row>
    <row r="4" spans="2:7" x14ac:dyDescent="0.2">
      <c r="C4" s="150"/>
      <c r="D4" s="151"/>
      <c r="E4" s="150"/>
    </row>
    <row r="5" spans="2:7" x14ac:dyDescent="0.2">
      <c r="C5" s="150"/>
      <c r="D5" s="151"/>
      <c r="E5" s="150"/>
    </row>
    <row r="6" spans="2:7" ht="13.25" customHeight="1" x14ac:dyDescent="0.2">
      <c r="B6" s="152"/>
      <c r="C6" s="288" t="s">
        <v>198</v>
      </c>
      <c r="D6" s="154"/>
      <c r="E6" s="288" t="s">
        <v>103</v>
      </c>
      <c r="F6" s="99" t="s">
        <v>194</v>
      </c>
      <c r="G6" s="104" t="s">
        <v>188</v>
      </c>
    </row>
    <row r="7" spans="2:7" x14ac:dyDescent="0.2">
      <c r="B7" s="155"/>
      <c r="C7" s="156" t="s">
        <v>15</v>
      </c>
      <c r="D7" s="157"/>
      <c r="E7" s="156"/>
    </row>
    <row r="8" spans="2:7" s="104" customFormat="1" x14ac:dyDescent="0.2">
      <c r="B8" s="104" t="s">
        <v>9</v>
      </c>
      <c r="C8" s="158">
        <f>Common!D20</f>
        <v>9000000</v>
      </c>
      <c r="D8" s="158"/>
      <c r="E8" s="158"/>
      <c r="F8" s="180">
        <f ca="1">C8/SUM($C$8:$C$11)</f>
        <v>0.79273971298770607</v>
      </c>
    </row>
    <row r="9" spans="2:7" s="104" customFormat="1" x14ac:dyDescent="0.2">
      <c r="B9" s="114" t="s">
        <v>18</v>
      </c>
      <c r="C9" s="158">
        <f>Common!D46</f>
        <v>125000</v>
      </c>
      <c r="D9" s="158"/>
      <c r="E9" s="158"/>
      <c r="F9" s="180">
        <f t="shared" ref="F9:F11" ca="1" si="0">C9/SUM($C$8:$C$11)</f>
        <v>1.1010273791495918E-2</v>
      </c>
    </row>
    <row r="10" spans="2:7" s="104" customFormat="1" x14ac:dyDescent="0.2">
      <c r="B10" s="114" t="s">
        <v>19</v>
      </c>
      <c r="C10" s="158">
        <f>Common!D47</f>
        <v>875000</v>
      </c>
      <c r="D10" s="158"/>
      <c r="E10" s="158"/>
      <c r="F10" s="180">
        <f t="shared" ca="1" si="0"/>
        <v>7.7071916540471422E-2</v>
      </c>
    </row>
    <row r="11" spans="2:7" s="104" customFormat="1" x14ac:dyDescent="0.2">
      <c r="B11" s="114" t="s">
        <v>80</v>
      </c>
      <c r="C11" s="258">
        <f ca="1">'Pro Forma - Series A Inputs'!J11</f>
        <v>1353032.846153846</v>
      </c>
      <c r="D11" s="158"/>
      <c r="E11" s="158"/>
      <c r="F11" s="180">
        <f t="shared" ca="1" si="0"/>
        <v>0.11917809668032656</v>
      </c>
    </row>
    <row r="12" spans="2:7" s="104" customFormat="1" x14ac:dyDescent="0.2">
      <c r="B12" s="114" t="s">
        <v>87</v>
      </c>
      <c r="C12" s="287">
        <f ca="1">'Pro Forma - Series A Inputs'!G13</f>
        <v>529809</v>
      </c>
      <c r="D12" s="158"/>
      <c r="E12" s="275">
        <f>'SAFEs &amp; Notes'!H26</f>
        <v>220000</v>
      </c>
      <c r="G12" s="180">
        <f>E12/E14</f>
        <v>4.2145593869731802E-2</v>
      </c>
    </row>
    <row r="13" spans="2:7" s="104" customFormat="1" ht="16" thickBot="1" x14ac:dyDescent="0.25">
      <c r="B13" s="114" t="s">
        <v>78</v>
      </c>
      <c r="C13" s="287">
        <f ca="1">'Pro Forma - Series A Inputs'!G14</f>
        <v>2970710.4615384601</v>
      </c>
      <c r="D13" s="158"/>
      <c r="E13" s="275">
        <f>'Pro Forma - Series A Inputs'!F20</f>
        <v>5000000</v>
      </c>
      <c r="G13" s="180">
        <f>E13/E14</f>
        <v>0.95785440613026818</v>
      </c>
    </row>
    <row r="14" spans="2:7" s="104" customFormat="1" ht="16" thickBot="1" x14ac:dyDescent="0.25">
      <c r="B14" s="104" t="s">
        <v>20</v>
      </c>
      <c r="C14" s="161">
        <f ca="1">SUM(C8:C13)</f>
        <v>14853552.307692306</v>
      </c>
      <c r="D14" s="158"/>
      <c r="E14" s="162">
        <f>SUM(E8:E13)</f>
        <v>5220000</v>
      </c>
      <c r="G14" s="115">
        <f>SUM(G12:G13)</f>
        <v>1</v>
      </c>
    </row>
    <row r="15" spans="2:7" s="104" customFormat="1" x14ac:dyDescent="0.2">
      <c r="C15" s="158"/>
      <c r="D15" s="158"/>
      <c r="E15" s="159"/>
      <c r="G15" s="115"/>
    </row>
    <row r="16" spans="2:7" s="104" customFormat="1" x14ac:dyDescent="0.2">
      <c r="B16" s="309" t="s">
        <v>190</v>
      </c>
      <c r="C16" s="310"/>
      <c r="D16" s="310"/>
      <c r="E16" s="311"/>
      <c r="F16" s="311"/>
      <c r="G16" s="115"/>
    </row>
    <row r="17" spans="2:14" ht="16" thickBot="1" x14ac:dyDescent="0.25"/>
    <row r="18" spans="2:14" ht="16" thickBot="1" x14ac:dyDescent="0.25">
      <c r="B18" s="293" t="s">
        <v>96</v>
      </c>
      <c r="C18" s="333">
        <v>2100000</v>
      </c>
    </row>
    <row r="19" spans="2:14" x14ac:dyDescent="0.2">
      <c r="B19" s="294" t="s">
        <v>97</v>
      </c>
      <c r="C19" s="295">
        <f ca="1">C18/$C$14</f>
        <v>0.14138032145431362</v>
      </c>
    </row>
    <row r="21" spans="2:14" x14ac:dyDescent="0.2">
      <c r="B21" s="308" t="str">
        <f ca="1">IF(AND(C22&gt;0,C23&gt;0),"Below Liquid Preference",IF(AND(C31&gt;0,C32&gt;0),"As Converted","Liquid Preference Up To As Converted"))</f>
        <v>Below Liquid Preference</v>
      </c>
      <c r="C21" s="318" t="s">
        <v>193</v>
      </c>
      <c r="E21" s="318" t="s">
        <v>102</v>
      </c>
      <c r="F21" s="318" t="s">
        <v>2</v>
      </c>
      <c r="I21" s="173"/>
      <c r="K21" s="173"/>
    </row>
    <row r="22" spans="2:14" x14ac:dyDescent="0.2">
      <c r="B22" s="292" t="s">
        <v>186</v>
      </c>
      <c r="C22" s="296">
        <f ca="1">IF(IF($C$18&lt;$E$14,$C$18*$G$12,$E$12)&lt;$C$31,0,IF($C$18&lt;$E$14,$C$18*$G$12,$E$12))</f>
        <v>88505.747126436792</v>
      </c>
      <c r="E22" s="319">
        <f>$E$12</f>
        <v>220000</v>
      </c>
      <c r="F22" s="99" t="str">
        <f ca="1">IF(AND(C22&gt;0,C22&gt;C31,C22&lt;E22),"Exit price is less than investment; return is the exit price split in proportion to the initial investment","Exit price is more than the investment AND the price per share provides a better return than the liquidation")</f>
        <v>Exit price is less than investment; return is the exit price split in proportion to the initial investment</v>
      </c>
      <c r="I22" s="173"/>
      <c r="K22" s="173"/>
    </row>
    <row r="23" spans="2:14" x14ac:dyDescent="0.2">
      <c r="B23" s="297" t="s">
        <v>187</v>
      </c>
      <c r="C23" s="298">
        <f ca="1">IF(IF($C$18&lt;$E$14,$C$18*$G$13,$E$13)&lt;$C$32,0,IF($C$18&lt;$E$14,$C$18*$G$13,$E$13))</f>
        <v>2011494.2528735632</v>
      </c>
      <c r="E23" s="319">
        <f>$E$13</f>
        <v>5000000</v>
      </c>
      <c r="F23" s="99" t="str">
        <f ca="1">IF(AND(C23&gt;0,C23&lt;E23),"Exit price is less than investment; return is the exit price split in proportion to the initial investment",IF(AND(C23&gt;C32,C41&gt;=E41),"Exit price is more than the investment BUT the price per share DOES NOT provide a better return than the liquidation","Exit price is more than the investment AND the price per share provides a better return than the liquidation"))</f>
        <v>Exit price is less than investment; return is the exit price split in proportion to the initial investment</v>
      </c>
      <c r="I23" s="173"/>
      <c r="K23" s="173"/>
    </row>
    <row r="24" spans="2:14" x14ac:dyDescent="0.2">
      <c r="B24" s="297"/>
      <c r="C24" s="299"/>
      <c r="E24" s="320"/>
      <c r="I24" s="173"/>
      <c r="K24" s="173"/>
    </row>
    <row r="25" spans="2:14" x14ac:dyDescent="0.2">
      <c r="B25" s="297" t="s">
        <v>189</v>
      </c>
      <c r="C25" s="307">
        <f ca="1">C18-SUM(MAX(C22,C31),MAX(C23,C32))</f>
        <v>0</v>
      </c>
      <c r="E25" s="319"/>
      <c r="F25" s="99" t="str">
        <f ca="1">IF(C25&gt;0,"Money that remains after the initial investors are paid out and is to be divided in proportion to their shares","No remaining money after the initial investors are paid out and impacts all stock and options")</f>
        <v>No remaining money after the initial investors are paid out and impacts all stock and options</v>
      </c>
      <c r="I25" s="173"/>
      <c r="K25" s="173"/>
    </row>
    <row r="26" spans="2:14" x14ac:dyDescent="0.2">
      <c r="B26" s="297" t="s">
        <v>9</v>
      </c>
      <c r="C26" s="305">
        <f ca="1">$C$25*$F$8</f>
        <v>0</v>
      </c>
      <c r="E26" s="321"/>
      <c r="F26" s="99" t="str">
        <f ca="1">IF(C26&gt;0,"The proportion of shares that common makes up multiplied by the money that remains","No remaining money to be paid to common stock")</f>
        <v>No remaining money to be paid to common stock</v>
      </c>
      <c r="G26" s="202"/>
      <c r="I26" s="173"/>
      <c r="K26" s="173"/>
    </row>
    <row r="27" spans="2:14" x14ac:dyDescent="0.2">
      <c r="B27" s="301" t="s">
        <v>18</v>
      </c>
      <c r="C27" s="305">
        <f ca="1">$C$25*$F$9</f>
        <v>0</v>
      </c>
      <c r="E27" s="320"/>
      <c r="F27" s="99" t="str">
        <f ca="1">IF(C27&gt;0,"The proportion of shares that outstanding options makes up multiplied by the money that remains","No remaining money to be paid to outstanding options")</f>
        <v>No remaining money to be paid to outstanding options</v>
      </c>
      <c r="I27" s="173"/>
      <c r="K27" s="173"/>
      <c r="N27" s="173"/>
    </row>
    <row r="28" spans="2:14" x14ac:dyDescent="0.2">
      <c r="B28" s="301" t="s">
        <v>19</v>
      </c>
      <c r="C28" s="305">
        <f ca="1">$C$25*$F$10</f>
        <v>0</v>
      </c>
      <c r="E28" s="320"/>
      <c r="F28" s="99" t="str">
        <f ca="1">IF(C28&gt;0,"The proportion of shares that options available makes up multiplied by the money that remains","No remaining money to be paid to options available")</f>
        <v>No remaining money to be paid to options available</v>
      </c>
      <c r="I28" s="173"/>
      <c r="K28" s="173"/>
    </row>
    <row r="29" spans="2:14" x14ac:dyDescent="0.2">
      <c r="B29" s="301" t="s">
        <v>80</v>
      </c>
      <c r="C29" s="306">
        <f ca="1">$C$25*$F$11</f>
        <v>0</v>
      </c>
      <c r="E29" s="320"/>
      <c r="F29" s="99" t="str">
        <f ca="1">IF(C29&gt;0,"The proportion of shares that option refresh makes up multiplied by the money that remains","No remaining money to be paid to option refresh")</f>
        <v>No remaining money to be paid to option refresh</v>
      </c>
      <c r="I29" s="173"/>
      <c r="K29" s="173"/>
    </row>
    <row r="30" spans="2:14" x14ac:dyDescent="0.2">
      <c r="B30" s="301"/>
      <c r="C30" s="300"/>
      <c r="E30" s="320"/>
      <c r="I30" s="173"/>
      <c r="K30" s="173"/>
    </row>
    <row r="31" spans="2:14" x14ac:dyDescent="0.2">
      <c r="B31" s="301" t="s">
        <v>87</v>
      </c>
      <c r="C31" s="302">
        <f ca="1">IF($C$12*$C$19&lt;C22,0,$C$12*$C$19)</f>
        <v>0</v>
      </c>
      <c r="E31" s="321">
        <f ca="1">$C$12*$C$19</f>
        <v>74904.566729388447</v>
      </c>
      <c r="F31" s="99" t="str">
        <f ca="1">IF(C31&lt;C22,"Total equity conversion based on price per share is less than liquidation value so liquidation value is used","Exit price is more than the investment AND the price per share provides a better return than the liquidation")</f>
        <v>Total equity conversion based on price per share is less than liquidation value so liquidation value is used</v>
      </c>
      <c r="I31" s="173"/>
      <c r="K31" s="173"/>
    </row>
    <row r="32" spans="2:14" x14ac:dyDescent="0.2">
      <c r="B32" s="303" t="s">
        <v>78</v>
      </c>
      <c r="C32" s="304">
        <f ca="1">IF($C$13*$C$19&lt;C23,0,$C$13*$C$19)</f>
        <v>0</v>
      </c>
      <c r="E32" s="322">
        <f ca="1">$C$13*$C$19</f>
        <v>419999.99999999988</v>
      </c>
      <c r="F32" s="99" t="str">
        <f ca="1">IF(AND(C32&lt;C23,C23&lt;E23),"Total equity conversion based on price per share is less than liquidation value so liquidation value is used",IF(AND(C23&gt;C32,C23&gt;=E23),"Exit price is more than the investment BUT the price per share DOES NOT provide a better return than the liquidation","Exit price is more than the investment AND the price per share provides a better return than the liquidation"))</f>
        <v>Total equity conversion based on price per share is less than liquidation value so liquidation value is used</v>
      </c>
      <c r="I32" s="173"/>
      <c r="K32" s="173"/>
    </row>
    <row r="33" spans="2:11" x14ac:dyDescent="0.2">
      <c r="I33" s="173"/>
      <c r="K33" s="173"/>
    </row>
    <row r="34" spans="2:11" x14ac:dyDescent="0.2">
      <c r="B34" s="312" t="s">
        <v>191</v>
      </c>
      <c r="C34" s="313"/>
      <c r="D34" s="313"/>
      <c r="E34" s="314"/>
      <c r="F34" s="314"/>
    </row>
    <row r="35" spans="2:11" ht="16" thickBot="1" x14ac:dyDescent="0.25"/>
    <row r="36" spans="2:11" ht="16" thickBot="1" x14ac:dyDescent="0.25">
      <c r="B36" s="293" t="s">
        <v>96</v>
      </c>
      <c r="C36" s="333">
        <v>8000000</v>
      </c>
    </row>
    <row r="37" spans="2:11" x14ac:dyDescent="0.2">
      <c r="B37" s="294" t="s">
        <v>97</v>
      </c>
      <c r="C37" s="295">
        <f ca="1">C36/$C$14</f>
        <v>0.53859170077833751</v>
      </c>
    </row>
    <row r="39" spans="2:11" x14ac:dyDescent="0.2">
      <c r="B39" s="308" t="str">
        <f ca="1">IF(AND(C40&gt;0,C41&gt;0),"Below Liquid Preference",IF(AND(C49&gt;0,C50&gt;0),"As Converted","Liquid Preference Up To As Converted"))</f>
        <v>Liquid Preference Up To As Converted</v>
      </c>
      <c r="C39" s="318" t="s">
        <v>193</v>
      </c>
      <c r="E39" s="318" t="s">
        <v>102</v>
      </c>
      <c r="F39" s="318" t="s">
        <v>2</v>
      </c>
    </row>
    <row r="40" spans="2:11" x14ac:dyDescent="0.2">
      <c r="B40" s="292" t="s">
        <v>186</v>
      </c>
      <c r="C40" s="296">
        <f ca="1">IF(IF($C$36&lt;$E$14,$C$36*$G$12,$E$12)&lt;$C$49,0,IF($C$36&lt;$E$14,$C$36*$G$12,$E$12))</f>
        <v>0</v>
      </c>
      <c r="E40" s="323">
        <f>$E$12</f>
        <v>220000</v>
      </c>
      <c r="F40" s="99" t="str">
        <f ca="1">IF(AND(C40&gt;0,C40&gt;C49,C40&lt;E40),"Exit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41" spans="2:11" x14ac:dyDescent="0.2">
      <c r="B41" s="297" t="s">
        <v>187</v>
      </c>
      <c r="C41" s="298">
        <f ca="1">IF(IF($C$36&lt;$E$14,$C$36*$G$13,$E$13)&lt;$C$50,0,IF($C$36&lt;$E$14,$C$36*$G$13,$E$13))</f>
        <v>5000000</v>
      </c>
      <c r="E41" s="323">
        <f>$E$13</f>
        <v>5000000</v>
      </c>
      <c r="F41" s="99" t="str">
        <f ca="1">IF(AND(C41&gt;0,C41&lt;E41),"Exit price is less than investment; return is the exit price split in proportion to the initial investment",IF(AND(C41&gt;C50,C59&gt;=E59),"Exit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42" spans="2:11" x14ac:dyDescent="0.2">
      <c r="B42" s="297"/>
      <c r="C42" s="299"/>
      <c r="E42" s="297"/>
    </row>
    <row r="43" spans="2:11" x14ac:dyDescent="0.2">
      <c r="B43" s="297" t="s">
        <v>189</v>
      </c>
      <c r="C43" s="307">
        <f ca="1">C36-SUM(MAX(C40,C49),MAX(C41,C50))</f>
        <v>2714649.2696023295</v>
      </c>
      <c r="E43" s="323"/>
      <c r="F43" s="99" t="str">
        <f ca="1">IF(C43&gt;0,"Money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44" spans="2:11" x14ac:dyDescent="0.2">
      <c r="B44" s="297" t="s">
        <v>9</v>
      </c>
      <c r="C44" s="305">
        <f ca="1">$C$43*$F$8</f>
        <v>2152010.2828468364</v>
      </c>
      <c r="E44" s="324"/>
      <c r="F44" s="99" t="str">
        <f ca="1">IF(C44&gt;0,"The proportion of shares that common makes up multiplied by the money that remains","No remaining money to be paid to common stock")</f>
        <v>The proportion of shares that common makes up multiplied by the money that remains</v>
      </c>
    </row>
    <row r="45" spans="2:11" x14ac:dyDescent="0.2">
      <c r="B45" s="301" t="s">
        <v>18</v>
      </c>
      <c r="C45" s="305">
        <f ca="1">$C$43*$F$9</f>
        <v>29889.031706206064</v>
      </c>
      <c r="E45" s="297"/>
      <c r="F45" s="99" t="str">
        <f ca="1">IF(C45&gt;0,"The proportion of shares that outstanding options makes up multiplied by the money that remains","No remaining money to be paid to outstanding options")</f>
        <v>The proportion of shares that outstanding options makes up multiplied by the money that remains</v>
      </c>
    </row>
    <row r="46" spans="2:11" x14ac:dyDescent="0.2">
      <c r="B46" s="301" t="s">
        <v>19</v>
      </c>
      <c r="C46" s="305">
        <f ca="1">$C$43*$F$10</f>
        <v>209223.22194344245</v>
      </c>
      <c r="E46" s="297"/>
      <c r="F46" s="99" t="str">
        <f ca="1">IF(C46&gt;0,"The proportion of shares that options available makes up multiplied by the money that remains","No remaining money to be paid to options available")</f>
        <v>The proportion of shares that options available makes up multiplied by the money that remains</v>
      </c>
    </row>
    <row r="47" spans="2:11" x14ac:dyDescent="0.2">
      <c r="B47" s="301" t="s">
        <v>80</v>
      </c>
      <c r="C47" s="306">
        <f ca="1">$C$43*$F$11</f>
        <v>323526.73310584429</v>
      </c>
      <c r="E47" s="297"/>
      <c r="F47" s="99" t="str">
        <f ca="1">IF(C47&gt;0,"The proportion of shares that option refresh makes up multiplied by the money that remains","No remaining money to be paid to option refresh")</f>
        <v>The proportion of shares that option refresh makes up multiplied by the money that remains</v>
      </c>
    </row>
    <row r="48" spans="2:11" x14ac:dyDescent="0.2">
      <c r="B48" s="301"/>
      <c r="C48" s="300"/>
      <c r="E48" s="297"/>
    </row>
    <row r="49" spans="2:6" x14ac:dyDescent="0.2">
      <c r="B49" s="301" t="s">
        <v>87</v>
      </c>
      <c r="C49" s="302">
        <f ca="1">IF($C$12*$C$37&lt;C40,0,$C$12*$C$37)</f>
        <v>285350.73039767024</v>
      </c>
      <c r="E49" s="324">
        <f ca="1">$C$12*$C$37</f>
        <v>285350.73039767024</v>
      </c>
      <c r="F49" s="99" t="str">
        <f ca="1">IF(C49&lt;C40,"Total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50" spans="2:6" x14ac:dyDescent="0.2">
      <c r="B50" s="303" t="s">
        <v>78</v>
      </c>
      <c r="C50" s="304">
        <f ca="1">IF($C$13*$C$37&lt;C41,0,$C$13*$C$37)</f>
        <v>0</v>
      </c>
      <c r="E50" s="325">
        <f ca="1">$C$13*$C$37</f>
        <v>1599999.9999999993</v>
      </c>
      <c r="F50" s="99" t="str">
        <f ca="1">IF(AND(C50&lt;C41,C41&lt;E41),"Total equity conversion based on price per share is less than liquidation value so liquidation value is used",IF(AND(C41&gt;C50,C41&gt;=E41),"Exit price is more than the investment BUT the price per share DOES NOT provide a better return than the liquidation","Exit price is more than the investment AND the price per share provides a better return than the liquidation"))</f>
        <v>Exit price is more than the investment BUT the price per share DOES NOT provide a better return than the liquidation</v>
      </c>
    </row>
    <row r="52" spans="2:6" x14ac:dyDescent="0.2">
      <c r="B52" s="315" t="s">
        <v>192</v>
      </c>
      <c r="C52" s="316"/>
      <c r="D52" s="316"/>
      <c r="E52" s="317"/>
      <c r="F52" s="317"/>
    </row>
    <row r="53" spans="2:6" ht="16" thickBot="1" x14ac:dyDescent="0.25"/>
    <row r="54" spans="2:6" ht="16" thickBot="1" x14ac:dyDescent="0.25">
      <c r="B54" s="293" t="s">
        <v>96</v>
      </c>
      <c r="C54" s="333">
        <v>50000000</v>
      </c>
    </row>
    <row r="55" spans="2:6" x14ac:dyDescent="0.2">
      <c r="B55" s="294" t="s">
        <v>97</v>
      </c>
      <c r="C55" s="295">
        <f ca="1">C54/$C$14</f>
        <v>3.36619812986461</v>
      </c>
    </row>
    <row r="57" spans="2:6" x14ac:dyDescent="0.2">
      <c r="B57" s="308" t="str">
        <f ca="1">IF(AND(C58&gt;0,C59&gt;0),"Below Liquid Preference",IF(AND(C67&gt;0,C68&gt;0),"As Converted","Liquid Preference Up To As Converted"))</f>
        <v>As Converted</v>
      </c>
      <c r="C57" s="318" t="s">
        <v>193</v>
      </c>
      <c r="E57" s="326" t="s">
        <v>102</v>
      </c>
      <c r="F57" s="318" t="s">
        <v>2</v>
      </c>
    </row>
    <row r="58" spans="2:6" x14ac:dyDescent="0.2">
      <c r="B58" s="292" t="s">
        <v>186</v>
      </c>
      <c r="C58" s="296">
        <f ca="1">IF(IF($C$54&lt;$E$14,$C$54*$G$12,$E$12)&lt;$C$67,0,IF($C$54&lt;$E$14,$C$54*$G$12,$E$12))</f>
        <v>0</v>
      </c>
      <c r="E58" s="323">
        <f>$E$12</f>
        <v>220000</v>
      </c>
      <c r="F58" s="99" t="str">
        <f ca="1">IF(AND(C58&gt;0,C58&gt;C67,C58&lt;E58),"Exit price is less than investment; return is the exit price split in proportion to the initial investment","Exit price is more than the investment AND the price per share provides a better return than the liquidation")</f>
        <v>Exit price is more than the investment AND the price per share provides a better return than the liquidation</v>
      </c>
    </row>
    <row r="59" spans="2:6" x14ac:dyDescent="0.2">
      <c r="B59" s="297" t="s">
        <v>187</v>
      </c>
      <c r="C59" s="298">
        <f ca="1">IF(IF($C$54&lt;$E$14,$C$54*$G$13,$E$13)&lt;$C$68,0,IF($C$54&lt;$E$14,$C$54*$G$13,$E$13))</f>
        <v>0</v>
      </c>
      <c r="E59" s="323">
        <f>$E$13</f>
        <v>5000000</v>
      </c>
      <c r="F59" s="99" t="str">
        <f ca="1">IF(AND(C59&gt;0,C59&lt;E59),"Exit price is less than investment; return is the exit price split in proportion to the initial investment",IF(AND(C59&gt;C68,C77&gt;=E77),"Exit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row r="60" spans="2:6" x14ac:dyDescent="0.2">
      <c r="B60" s="297"/>
      <c r="C60" s="299"/>
      <c r="E60" s="297"/>
    </row>
    <row r="61" spans="2:6" x14ac:dyDescent="0.2">
      <c r="B61" s="297" t="s">
        <v>189</v>
      </c>
      <c r="C61" s="307">
        <f ca="1">C54-SUM(MAX(C58,C67),MAX(C59,C68))</f>
        <v>38216557.935014561</v>
      </c>
      <c r="E61" s="323"/>
      <c r="F61" s="99" t="str">
        <f ca="1">IF(C61&gt;0,"Money that remains after the initial investors are paid out and is to be divided in proportion to their shares","No remaining money after the initial investors are paid out and impacts all stock and options")</f>
        <v>Money that remains after the initial investors are paid out and is to be divided in proportion to their shares</v>
      </c>
    </row>
    <row r="62" spans="2:6" x14ac:dyDescent="0.2">
      <c r="B62" s="297" t="s">
        <v>9</v>
      </c>
      <c r="C62" s="305">
        <f ca="1">$C$61*$F$8</f>
        <v>30295783.168781485</v>
      </c>
      <c r="E62" s="324"/>
      <c r="F62" s="99" t="str">
        <f ca="1">IF(C62&gt;0,"The proportion of shares that common makes up multiplied by the money that remains","No remaining money to be paid to common stock")</f>
        <v>The proportion of shares that common makes up multiplied by the money that remains</v>
      </c>
    </row>
    <row r="63" spans="2:6" x14ac:dyDescent="0.2">
      <c r="B63" s="301" t="s">
        <v>18</v>
      </c>
      <c r="C63" s="305">
        <f ca="1">$C$61*$F$9</f>
        <v>420774.76623307617</v>
      </c>
      <c r="E63" s="297"/>
      <c r="F63" s="99" t="str">
        <f ca="1">IF(C63&gt;0,"The proportion of shares that outstanding options makes up multiplied by the money that remains","No remaining money to be paid to outstanding options")</f>
        <v>The proportion of shares that outstanding options makes up multiplied by the money that remains</v>
      </c>
    </row>
    <row r="64" spans="2:6" x14ac:dyDescent="0.2">
      <c r="B64" s="301" t="s">
        <v>19</v>
      </c>
      <c r="C64" s="305">
        <f ca="1">$C$61*$F$10</f>
        <v>2945423.363631533</v>
      </c>
      <c r="E64" s="297"/>
      <c r="F64" s="99" t="str">
        <f ca="1">IF(C64&gt;0,"The proportion of shares that options available makes up multiplied by the money that remains","No remaining money to be paid to options available")</f>
        <v>The proportion of shares that options available makes up multiplied by the money that remains</v>
      </c>
    </row>
    <row r="65" spans="2:6" x14ac:dyDescent="0.2">
      <c r="B65" s="301" t="s">
        <v>80</v>
      </c>
      <c r="C65" s="306">
        <f ca="1">$C$61*$F$11</f>
        <v>4554576.6363684665</v>
      </c>
      <c r="E65" s="297"/>
      <c r="F65" s="99" t="str">
        <f ca="1">IF(C65&gt;0,"The proportion of shares that option refresh makes up multiplied by the money that remains","No remaining money to be paid to option refresh")</f>
        <v>The proportion of shares that option refresh makes up multiplied by the money that remains</v>
      </c>
    </row>
    <row r="66" spans="2:6" x14ac:dyDescent="0.2">
      <c r="B66" s="301"/>
      <c r="C66" s="300"/>
      <c r="E66" s="297"/>
    </row>
    <row r="67" spans="2:6" x14ac:dyDescent="0.2">
      <c r="B67" s="301" t="s">
        <v>87</v>
      </c>
      <c r="C67" s="302">
        <f ca="1">IF($C$12*$C$55&lt;C58,0,$C$12*$C$55)</f>
        <v>1783442.0649854392</v>
      </c>
      <c r="E67" s="324">
        <f ca="1">$C$12*$C$55</f>
        <v>1783442.0649854392</v>
      </c>
      <c r="F67" s="99" t="str">
        <f ca="1">IF(C67&lt;C58,"Total equity conversion based on price per share is less than liquidation value so liquidation value is used","Exit price is more than the investment AND the price per share provides a better return than the liquidation")</f>
        <v>Exit price is more than the investment AND the price per share provides a better return than the liquidation</v>
      </c>
    </row>
    <row r="68" spans="2:6" x14ac:dyDescent="0.2">
      <c r="B68" s="303" t="s">
        <v>78</v>
      </c>
      <c r="C68" s="304">
        <f ca="1">IF($C$13*$C$55&lt;C59,0,$C$13*$C$55)</f>
        <v>9999999.9999999963</v>
      </c>
      <c r="E68" s="325">
        <f ca="1">$C$13*$C$55</f>
        <v>9999999.9999999963</v>
      </c>
      <c r="F68" s="99" t="str">
        <f ca="1">IF(AND(C68&lt;C59,C59&lt;E59),"Total equity conversion based on price per share is less than liquidation value so liquidation value is used",IF(AND(C59&gt;C68,C59&gt;=E59),"Exit price is more than the investment BUT the price per share DOES NOT provide a better return than the liquidation","Exit price is more than the investment AND the price per share provides a better return than the liquidation"))</f>
        <v>Exit price is more than the investment AND the price per share provides a better return than the liquidation</v>
      </c>
    </row>
  </sheetData>
  <pageMargins left="0.7" right="0.7" top="0.75" bottom="0.75" header="0.3" footer="0.3"/>
  <pageSetup scale="64"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
  <sheetViews>
    <sheetView workbookViewId="0">
      <selection activeCell="A4" sqref="A4"/>
    </sheetView>
  </sheetViews>
  <sheetFormatPr baseColWidth="10" defaultColWidth="8.6640625" defaultRowHeight="15" x14ac:dyDescent="0.2"/>
  <cols>
    <col min="1" max="1" width="31.6640625" style="41" customWidth="1"/>
    <col min="2" max="2" width="33.6640625" style="41" customWidth="1"/>
    <col min="3" max="3" width="17.6640625" style="41" customWidth="1"/>
    <col min="4" max="4" width="27.6640625" style="41" customWidth="1"/>
    <col min="5" max="5" width="25.1640625" style="41" customWidth="1"/>
  </cols>
  <sheetData>
    <row r="1" spans="1:5" x14ac:dyDescent="0.2">
      <c r="A1" s="40" t="s">
        <v>62</v>
      </c>
      <c r="B1" s="40"/>
      <c r="D1" s="40"/>
    </row>
    <row r="4" spans="1:5" s="39" customFormat="1" x14ac:dyDescent="0.2">
      <c r="A4" s="42" t="s">
        <v>63</v>
      </c>
      <c r="B4" s="42" t="s">
        <v>64</v>
      </c>
      <c r="C4" s="42" t="s">
        <v>60</v>
      </c>
      <c r="D4" s="42" t="s">
        <v>61</v>
      </c>
      <c r="E4" s="42"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INSTRUCTIONS - READ FIRST</vt:lpstr>
      <vt:lpstr>Common</vt:lpstr>
      <vt:lpstr>SAFEs &amp; Notes</vt:lpstr>
      <vt:lpstr>Pro Forma - Series A Inputs</vt:lpstr>
      <vt:lpstr>Post Money Cap Table</vt:lpstr>
      <vt:lpstr>Waterfall</vt:lpstr>
      <vt:lpstr>Waterfall - Single Scenario</vt:lpstr>
      <vt:lpstr>Waterfall - Three Scenarios</vt:lpstr>
      <vt:lpstr>Investor Contact</vt:lpstr>
      <vt:lpstr>Equity Plan Info.</vt:lpstr>
      <vt:lpstr>'Post Money Cap Table'!CS</vt:lpstr>
      <vt:lpstr>'Post Money Cap Table'!Investment</vt:lpstr>
      <vt:lpstr>'Post Money Cap Table'!Options</vt:lpstr>
      <vt:lpstr>'Post Money Cap Table'!PreMoney</vt:lpstr>
      <vt:lpstr>'Post Money Cap Table'!PrePool</vt:lpstr>
      <vt:lpstr>'SAFEs &amp; 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O&amp;A - DOO</dc:creator>
  <cp:lastModifiedBy>Dan Hontz</cp:lastModifiedBy>
  <cp:lastPrinted>2017-07-31T17:46:40Z</cp:lastPrinted>
  <dcterms:created xsi:type="dcterms:W3CDTF">2014-01-23T18:58:12Z</dcterms:created>
  <dcterms:modified xsi:type="dcterms:W3CDTF">2018-07-27T22:38:00Z</dcterms:modified>
</cp:coreProperties>
</file>