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1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현재_통합_문서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4\행정업무\통계\"/>
    </mc:Choice>
  </mc:AlternateContent>
  <xr:revisionPtr revIDLastSave="0" documentId="13_ncr:1_{64EBDE7A-DE72-40F2-8ED2-1796C418BD80}" xr6:coauthVersionLast="36" xr6:coauthVersionMax="36" xr10:uidLastSave="{00000000-0000-0000-0000-000000000000}"/>
  <bookViews>
    <workbookView xWindow="28740" yWindow="-60" windowWidth="28920" windowHeight="15720" xr2:uid="{00000000-000D-0000-FFFF-FFFF00000000}"/>
  </bookViews>
  <sheets>
    <sheet name="대시보드" sheetId="22" r:id="rId1"/>
    <sheet name="피벗테이블" sheetId="19" r:id="rId2"/>
    <sheet name="날짜tb" sheetId="16" r:id="rId3"/>
    <sheet name="년월기준" sheetId="15" r:id="rId4"/>
    <sheet name="자료실기준" sheetId="4" r:id="rId5"/>
    <sheet name="행사기준" sheetId="11" r:id="rId6"/>
    <sheet name="범례" sheetId="6" r:id="rId7"/>
    <sheet name="대출자" sheetId="1" r:id="rId8"/>
    <sheet name="대출권수" sheetId="2" r:id="rId9"/>
  </sheets>
  <definedNames>
    <definedName name="_xlcn.WorksheetConnection_통계취합중.xlsx개관일수범례1" hidden="1">개관일수범례[]</definedName>
    <definedName name="_xlcn.WorksheetConnection_통계취합중.xlsx날짜tb1" hidden="1">날짜tb[]</definedName>
    <definedName name="_xlcn.WorksheetConnection_통계취합중.xlsx년월기준1" hidden="1">년월기준[]</definedName>
    <definedName name="_xlcn.WorksheetConnection_통계취합중.xlsx대출권수1" hidden="1">대출권수[]</definedName>
    <definedName name="_xlcn.WorksheetConnection_통계취합중.xlsx자료실기준1" hidden="1">자료실기준[]</definedName>
    <definedName name="_xlcn.WorksheetConnection_통계취합중.xlsx자료실범례1" hidden="1">자료실범례[]</definedName>
    <definedName name="_xlcn.WorksheetConnection_통계취합중.xlsx행사기준1" hidden="1">행사기준[]</definedName>
    <definedName name="슬라이서_월_월">#N/A</definedName>
    <definedName name="슬라이서_자료실구분1">#N/A</definedName>
    <definedName name="슬라이서_행사분류1">#N/A</definedName>
  </definedNames>
  <calcPr calcId="191029"/>
  <pivotCaches>
    <pivotCache cacheId="119" r:id="rId10"/>
    <pivotCache cacheId="120" r:id="rId11"/>
    <pivotCache cacheId="121" r:id="rId12"/>
    <pivotCache cacheId="122" r:id="rId13"/>
    <pivotCache cacheId="123" r:id="rId14"/>
    <pivotCache cacheId="124" r:id="rId15"/>
    <pivotCache cacheId="125" r:id="rId16"/>
    <pivotCache cacheId="126" r:id="rId17"/>
    <pivotCache cacheId="127" r:id="rId18"/>
    <pivotCache cacheId="128" r:id="rId19"/>
  </pivotCaches>
  <extLst>
    <ext xmlns:x14="http://schemas.microsoft.com/office/spreadsheetml/2009/9/main" uri="{876F7934-8845-4945-9796-88D515C7AA90}">
      <x14:pivotCaches>
        <pivotCache cacheId="129" r:id="rId20"/>
      </x14:pivotCaches>
    </ext>
    <ext xmlns:x14="http://schemas.microsoft.com/office/spreadsheetml/2009/9/main" uri="{BBE1A952-AA13-448e-AADC-164F8A28A991}">
      <x14:slicerCaches>
        <x14:slicerCache r:id="rId21"/>
        <x14:slicerCache r:id="rId22"/>
        <x14:slicerCache r:id="rId2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FCE2AD5D-F65C-4FA6-A056-5C36A1767C68}">
      <x15:dataModel>
        <x15:modelTables>
          <x15:modelTable id="행사기준" name="행사기준" connection="WorksheetConnection_통계취합중.xlsx!행사기준"/>
          <x15:modelTable id="자료실범례" name="자료실범례" connection="WorksheetConnection_통계취합중.xlsx!자료실범례"/>
          <x15:modelTable id="자료실기준" name="자료실기준" connection="WorksheetConnection_통계취합중.xlsx!자료실기준"/>
          <x15:modelTable id="대출권수" name="대출권수" connection="WorksheetConnection_통계취합중.xlsx!대출권수"/>
          <x15:modelTable id="년월기준" name="년월기준" connection="WorksheetConnection_통계취합중.xlsx!년월기준"/>
          <x15:modelTable id="날짜tb" name="날짜tb" connection="WorksheetConnection_통계취합중.xlsx!날짜tb"/>
          <x15:modelTable id="개관일수범례" name="개관일수범례" connection="WorksheetConnection_통계취합중.xlsx!개관일수범례"/>
        </x15:modelTables>
        <x15:modelRelationships>
          <x15:modelRelationship fromTable="자료실기준" fromColumn="년월" toTable="날짜tb" toColumn="월"/>
          <x15:modelRelationship fromTable="행사기준" fromColumn="년월" toTable="날짜tb" toColumn="월"/>
          <x15:modelRelationship fromTable="년월기준" fromColumn="년월" toTable="날짜tb" toColumn="월"/>
          <x15:modelRelationship fromTable="개관일수범례" fromColumn="년월" toTable="날짜tb" toColumn="월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날짜tb" columnName="월" columnId="월">
                <x16:calculatedTimeColumn columnName="월(월 인덱스)" columnId="월(월 인덱스)" contentType="monthsindex" isSelected="1"/>
                <x16:calculatedTimeColumn columnName="월(월)" columnId="월(월)" contentType="months" isSelected="1"/>
              </x16:modelTimeGrouping>
              <x16:modelTimeGrouping tableName="년월기준" columnName="년월" columnId="년월">
                <x16:calculatedTimeColumn columnName="년월(월 인덱스)" columnId="년월(월 인덱스)" contentType="monthsindex" isSelected="1"/>
                <x16:calculatedTimeColumn columnName="년월(월)" columnId="년월(월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L283" i="4" l="1"/>
  <c r="M283" i="4"/>
  <c r="K283" i="4"/>
  <c r="T6" i="19"/>
  <c r="G12" i="15" l="1"/>
  <c r="D12" i="15"/>
  <c r="D11" i="15"/>
  <c r="K367" i="11"/>
  <c r="K368" i="11"/>
  <c r="K369" i="11"/>
  <c r="K370" i="11"/>
  <c r="K371" i="11"/>
  <c r="K372" i="11"/>
  <c r="K373" i="11"/>
  <c r="K374" i="11"/>
  <c r="K375" i="11"/>
  <c r="K376" i="11"/>
  <c r="K377" i="11"/>
  <c r="K378" i="11"/>
  <c r="K379" i="11"/>
  <c r="K380" i="11"/>
  <c r="K381" i="11"/>
  <c r="K382" i="11"/>
  <c r="K383" i="11"/>
  <c r="K384" i="11"/>
  <c r="K385" i="11"/>
  <c r="K386" i="11"/>
  <c r="K387" i="11"/>
  <c r="K388" i="11"/>
  <c r="K389" i="11"/>
  <c r="K390" i="11"/>
  <c r="K391" i="11"/>
  <c r="K392" i="11"/>
  <c r="K393" i="11"/>
  <c r="K394" i="11"/>
  <c r="K395" i="11"/>
  <c r="K396" i="11"/>
  <c r="K397" i="11"/>
  <c r="K398" i="11"/>
  <c r="K399" i="11"/>
  <c r="K400" i="11"/>
  <c r="K401" i="11"/>
  <c r="K402" i="11"/>
  <c r="K403" i="11"/>
  <c r="K404" i="11"/>
  <c r="K405" i="11"/>
  <c r="K406" i="11"/>
  <c r="K407" i="11"/>
  <c r="K408" i="11"/>
  <c r="O367" i="11"/>
  <c r="O368" i="11"/>
  <c r="O369" i="11"/>
  <c r="O370" i="11"/>
  <c r="O371" i="11"/>
  <c r="O372" i="11"/>
  <c r="O373" i="11"/>
  <c r="O374" i="11"/>
  <c r="O375" i="11"/>
  <c r="O376" i="11"/>
  <c r="O377" i="11"/>
  <c r="O378" i="11"/>
  <c r="O379" i="11"/>
  <c r="O380" i="11"/>
  <c r="O381" i="11"/>
  <c r="O382" i="11"/>
  <c r="O383" i="11"/>
  <c r="O384" i="11"/>
  <c r="O385" i="11"/>
  <c r="O386" i="11"/>
  <c r="O387" i="11"/>
  <c r="O388" i="11"/>
  <c r="O389" i="11"/>
  <c r="O390" i="11"/>
  <c r="O391" i="11"/>
  <c r="O392" i="11"/>
  <c r="O393" i="11"/>
  <c r="O394" i="11"/>
  <c r="O395" i="11"/>
  <c r="O396" i="11"/>
  <c r="O397" i="11"/>
  <c r="O398" i="11"/>
  <c r="O399" i="11"/>
  <c r="O400" i="11"/>
  <c r="O401" i="11"/>
  <c r="O402" i="11"/>
  <c r="O403" i="11"/>
  <c r="O404" i="11"/>
  <c r="O405" i="11"/>
  <c r="O406" i="11"/>
  <c r="O407" i="11"/>
  <c r="O408" i="11"/>
  <c r="K366" i="11"/>
  <c r="O366" i="11"/>
  <c r="B12" i="16" l="1"/>
  <c r="B12" i="15" l="1"/>
  <c r="C12" i="15"/>
  <c r="E12" i="15" s="1"/>
  <c r="F12" i="15"/>
  <c r="H12" i="15" s="1"/>
  <c r="I12" i="15"/>
  <c r="K12" i="15" s="1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E258" i="4" a="1"/>
  <c r="E258" i="4" s="1"/>
  <c r="E259" i="4" a="1"/>
  <c r="E259" i="4" s="1"/>
  <c r="E260" i="4" a="1"/>
  <c r="E260" i="4" s="1"/>
  <c r="E261" i="4" a="1"/>
  <c r="E261" i="4" s="1"/>
  <c r="E262" i="4" a="1"/>
  <c r="E262" i="4" s="1"/>
  <c r="E263" i="4" a="1"/>
  <c r="E263" i="4" s="1"/>
  <c r="E264" i="4" a="1"/>
  <c r="E264" i="4" s="1"/>
  <c r="E265" i="4" a="1"/>
  <c r="E265" i="4" s="1"/>
  <c r="E266" i="4" a="1"/>
  <c r="E266" i="4" s="1"/>
  <c r="E267" i="4" a="1"/>
  <c r="E267" i="4" s="1"/>
  <c r="E268" i="4" a="1"/>
  <c r="E268" i="4" s="1"/>
  <c r="E269" i="4" a="1"/>
  <c r="E269" i="4" s="1"/>
  <c r="E270" i="4" a="1"/>
  <c r="E270" i="4" s="1"/>
  <c r="E271" i="4" a="1"/>
  <c r="E271" i="4" s="1"/>
  <c r="E272" i="4" a="1"/>
  <c r="E272" i="4" s="1"/>
  <c r="E273" i="4" a="1"/>
  <c r="E273" i="4" s="1"/>
  <c r="E274" i="4" a="1"/>
  <c r="E274" i="4" s="1"/>
  <c r="E275" i="4" a="1"/>
  <c r="E275" i="4" s="1"/>
  <c r="E276" i="4" a="1"/>
  <c r="E276" i="4" s="1"/>
  <c r="E277" i="4" a="1"/>
  <c r="E277" i="4" s="1"/>
  <c r="E278" i="4" a="1"/>
  <c r="E278" i="4" s="1"/>
  <c r="E279" i="4" a="1"/>
  <c r="E279" i="4" s="1"/>
  <c r="E280" i="4" a="1"/>
  <c r="E280" i="4" s="1"/>
  <c r="E281" i="4" a="1"/>
  <c r="E281" i="4" s="1"/>
  <c r="E282" i="4" a="1"/>
  <c r="E282" i="4" s="1"/>
  <c r="F258" i="4" a="1"/>
  <c r="F258" i="4" s="1"/>
  <c r="F259" i="4" a="1"/>
  <c r="F259" i="4" s="1"/>
  <c r="F260" i="4" a="1"/>
  <c r="F260" i="4" s="1"/>
  <c r="F261" i="4" a="1"/>
  <c r="F261" i="4" s="1"/>
  <c r="F262" i="4" a="1"/>
  <c r="F262" i="4" s="1"/>
  <c r="F263" i="4" a="1"/>
  <c r="F263" i="4" s="1"/>
  <c r="F264" i="4" a="1"/>
  <c r="F264" i="4" s="1"/>
  <c r="F265" i="4" a="1"/>
  <c r="F265" i="4" s="1"/>
  <c r="F266" i="4" a="1"/>
  <c r="F266" i="4" s="1"/>
  <c r="F267" i="4" a="1"/>
  <c r="F267" i="4" s="1"/>
  <c r="F268" i="4" a="1"/>
  <c r="F268" i="4" s="1"/>
  <c r="F269" i="4" a="1"/>
  <c r="F269" i="4" s="1"/>
  <c r="F270" i="4" a="1"/>
  <c r="F270" i="4" s="1"/>
  <c r="F271" i="4" a="1"/>
  <c r="F271" i="4" s="1"/>
  <c r="F272" i="4" a="1"/>
  <c r="F272" i="4" s="1"/>
  <c r="F273" i="4" a="1"/>
  <c r="F273" i="4" s="1"/>
  <c r="F274" i="4" a="1"/>
  <c r="F274" i="4" s="1"/>
  <c r="F275" i="4" a="1"/>
  <c r="F275" i="4" s="1"/>
  <c r="F276" i="4" a="1"/>
  <c r="F276" i="4" s="1"/>
  <c r="F277" i="4" a="1"/>
  <c r="F277" i="4" s="1"/>
  <c r="F278" i="4" a="1"/>
  <c r="F278" i="4" s="1"/>
  <c r="F279" i="4" a="1"/>
  <c r="F279" i="4" s="1"/>
  <c r="F280" i="4" a="1"/>
  <c r="F280" i="4" s="1"/>
  <c r="F281" i="4" a="1"/>
  <c r="F281" i="4" s="1"/>
  <c r="F282" i="4" a="1"/>
  <c r="F282" i="4" s="1"/>
  <c r="G258" i="4" a="1"/>
  <c r="G258" i="4" s="1"/>
  <c r="G259" i="4" a="1"/>
  <c r="G259" i="4" s="1"/>
  <c r="G260" i="4" a="1"/>
  <c r="G260" i="4" s="1"/>
  <c r="G261" i="4" a="1"/>
  <c r="G261" i="4" s="1"/>
  <c r="G262" i="4" a="1"/>
  <c r="G262" i="4" s="1"/>
  <c r="G263" i="4" a="1"/>
  <c r="G263" i="4" s="1"/>
  <c r="G264" i="4" a="1"/>
  <c r="G264" i="4" s="1"/>
  <c r="G265" i="4" a="1"/>
  <c r="G265" i="4" s="1"/>
  <c r="G266" i="4" a="1"/>
  <c r="G266" i="4" s="1"/>
  <c r="G267" i="4" a="1"/>
  <c r="G267" i="4" s="1"/>
  <c r="G268" i="4" a="1"/>
  <c r="G268" i="4" s="1"/>
  <c r="G269" i="4" a="1"/>
  <c r="G269" i="4" s="1"/>
  <c r="G270" i="4" a="1"/>
  <c r="G270" i="4" s="1"/>
  <c r="G271" i="4" a="1"/>
  <c r="G271" i="4" s="1"/>
  <c r="G272" i="4" a="1"/>
  <c r="G272" i="4" s="1"/>
  <c r="G273" i="4" a="1"/>
  <c r="G273" i="4" s="1"/>
  <c r="G274" i="4" a="1"/>
  <c r="G274" i="4" s="1"/>
  <c r="G275" i="4" a="1"/>
  <c r="G275" i="4" s="1"/>
  <c r="G276" i="4" a="1"/>
  <c r="G276" i="4" s="1"/>
  <c r="G277" i="4" a="1"/>
  <c r="G277" i="4" s="1"/>
  <c r="G278" i="4" a="1"/>
  <c r="G278" i="4" s="1"/>
  <c r="G279" i="4" a="1"/>
  <c r="G279" i="4" s="1"/>
  <c r="G280" i="4" a="1"/>
  <c r="G280" i="4" s="1"/>
  <c r="G281" i="4" a="1"/>
  <c r="G281" i="4" s="1"/>
  <c r="G282" i="4" a="1"/>
  <c r="G282" i="4" s="1"/>
  <c r="H258" i="4" a="1"/>
  <c r="H258" i="4" s="1"/>
  <c r="H259" i="4" a="1"/>
  <c r="H259" i="4" s="1"/>
  <c r="H260" i="4" a="1"/>
  <c r="H260" i="4" s="1"/>
  <c r="H261" i="4" a="1"/>
  <c r="H261" i="4" s="1"/>
  <c r="H262" i="4" a="1"/>
  <c r="H262" i="4" s="1"/>
  <c r="H263" i="4" a="1"/>
  <c r="H263" i="4" s="1"/>
  <c r="H264" i="4" a="1"/>
  <c r="H264" i="4" s="1"/>
  <c r="H265" i="4" a="1"/>
  <c r="H265" i="4" s="1"/>
  <c r="H266" i="4" a="1"/>
  <c r="H266" i="4" s="1"/>
  <c r="H267" i="4" a="1"/>
  <c r="H267" i="4" s="1"/>
  <c r="H268" i="4" a="1"/>
  <c r="H268" i="4" s="1"/>
  <c r="H269" i="4" a="1"/>
  <c r="H269" i="4" s="1"/>
  <c r="H270" i="4" a="1"/>
  <c r="H270" i="4" s="1"/>
  <c r="H271" i="4" a="1"/>
  <c r="H271" i="4" s="1"/>
  <c r="H272" i="4" a="1"/>
  <c r="H272" i="4" s="1"/>
  <c r="H273" i="4" a="1"/>
  <c r="H273" i="4" s="1"/>
  <c r="H274" i="4" a="1"/>
  <c r="H274" i="4" s="1"/>
  <c r="H275" i="4" a="1"/>
  <c r="H275" i="4" s="1"/>
  <c r="H276" i="4" a="1"/>
  <c r="H276" i="4" s="1"/>
  <c r="H277" i="4" a="1"/>
  <c r="H277" i="4" s="1"/>
  <c r="H278" i="4" a="1"/>
  <c r="H278" i="4" s="1"/>
  <c r="H279" i="4" a="1"/>
  <c r="H279" i="4" s="1"/>
  <c r="H280" i="4" a="1"/>
  <c r="H280" i="4" s="1"/>
  <c r="H281" i="4" a="1"/>
  <c r="H281" i="4" s="1"/>
  <c r="H282" i="4" a="1"/>
  <c r="H282" i="4" s="1"/>
  <c r="I258" i="4" a="1"/>
  <c r="I258" i="4" s="1"/>
  <c r="I259" i="4" a="1"/>
  <c r="I259" i="4" s="1"/>
  <c r="I260" i="4" a="1"/>
  <c r="I260" i="4" s="1"/>
  <c r="I261" i="4" a="1"/>
  <c r="I261" i="4" s="1"/>
  <c r="I262" i="4" a="1"/>
  <c r="I262" i="4" s="1"/>
  <c r="I263" i="4" a="1"/>
  <c r="I263" i="4" s="1"/>
  <c r="I264" i="4" a="1"/>
  <c r="I264" i="4" s="1"/>
  <c r="I265" i="4" a="1"/>
  <c r="I265" i="4" s="1"/>
  <c r="I266" i="4" a="1"/>
  <c r="I266" i="4" s="1"/>
  <c r="I267" i="4" a="1"/>
  <c r="I267" i="4" s="1"/>
  <c r="I268" i="4" a="1"/>
  <c r="I268" i="4" s="1"/>
  <c r="I269" i="4" a="1"/>
  <c r="I269" i="4" s="1"/>
  <c r="I270" i="4" a="1"/>
  <c r="I270" i="4" s="1"/>
  <c r="I271" i="4" a="1"/>
  <c r="I271" i="4" s="1"/>
  <c r="I272" i="4" a="1"/>
  <c r="I272" i="4" s="1"/>
  <c r="I273" i="4" a="1"/>
  <c r="I273" i="4" s="1"/>
  <c r="I274" i="4" a="1"/>
  <c r="I274" i="4" s="1"/>
  <c r="I275" i="4" a="1"/>
  <c r="I275" i="4" s="1"/>
  <c r="I276" i="4" a="1"/>
  <c r="I276" i="4" s="1"/>
  <c r="I277" i="4" a="1"/>
  <c r="I277" i="4" s="1"/>
  <c r="I278" i="4" a="1"/>
  <c r="I278" i="4" s="1"/>
  <c r="I279" i="4" a="1"/>
  <c r="I279" i="4" s="1"/>
  <c r="I280" i="4" a="1"/>
  <c r="I280" i="4" s="1"/>
  <c r="I281" i="4" a="1"/>
  <c r="I281" i="4" s="1"/>
  <c r="I282" i="4" a="1"/>
  <c r="I282" i="4" s="1"/>
  <c r="J258" i="4" a="1"/>
  <c r="J258" i="4" s="1"/>
  <c r="J259" i="4" a="1"/>
  <c r="J259" i="4" s="1"/>
  <c r="J260" i="4" a="1"/>
  <c r="J260" i="4" s="1"/>
  <c r="J261" i="4" a="1"/>
  <c r="J261" i="4" s="1"/>
  <c r="J262" i="4" a="1"/>
  <c r="J262" i="4" s="1"/>
  <c r="J263" i="4" a="1"/>
  <c r="J263" i="4" s="1"/>
  <c r="J264" i="4" a="1"/>
  <c r="J264" i="4" s="1"/>
  <c r="J265" i="4" a="1"/>
  <c r="J265" i="4" s="1"/>
  <c r="J266" i="4" a="1"/>
  <c r="J266" i="4" s="1"/>
  <c r="J267" i="4" a="1"/>
  <c r="J267" i="4" s="1"/>
  <c r="J268" i="4" a="1"/>
  <c r="J268" i="4" s="1"/>
  <c r="J269" i="4" a="1"/>
  <c r="J269" i="4" s="1"/>
  <c r="J270" i="4" a="1"/>
  <c r="J270" i="4" s="1"/>
  <c r="J271" i="4" a="1"/>
  <c r="J271" i="4" s="1"/>
  <c r="J272" i="4" a="1"/>
  <c r="J272" i="4" s="1"/>
  <c r="J273" i="4" a="1"/>
  <c r="J273" i="4" s="1"/>
  <c r="J274" i="4" a="1"/>
  <c r="J274" i="4" s="1"/>
  <c r="J275" i="4" a="1"/>
  <c r="J275" i="4" s="1"/>
  <c r="J276" i="4" a="1"/>
  <c r="J276" i="4" s="1"/>
  <c r="J277" i="4" a="1"/>
  <c r="J277" i="4" s="1"/>
  <c r="J278" i="4" a="1"/>
  <c r="J278" i="4" s="1"/>
  <c r="J279" i="4" a="1"/>
  <c r="J279" i="4" s="1"/>
  <c r="J280" i="4" a="1"/>
  <c r="J280" i="4" s="1"/>
  <c r="J281" i="4" a="1"/>
  <c r="J281" i="4" s="1"/>
  <c r="J282" i="4" a="1"/>
  <c r="J282" i="4" s="1"/>
  <c r="K258" i="4" a="1"/>
  <c r="K258" i="4" s="1"/>
  <c r="K259" i="4" a="1"/>
  <c r="K259" i="4" s="1"/>
  <c r="K260" i="4" a="1"/>
  <c r="K260" i="4" s="1"/>
  <c r="K261" i="4" a="1"/>
  <c r="K261" i="4" s="1"/>
  <c r="K262" i="4" a="1"/>
  <c r="K262" i="4" s="1"/>
  <c r="K263" i="4" a="1"/>
  <c r="K263" i="4" s="1"/>
  <c r="K264" i="4" a="1"/>
  <c r="K264" i="4" s="1"/>
  <c r="K265" i="4" a="1"/>
  <c r="K265" i="4" s="1"/>
  <c r="K266" i="4" a="1"/>
  <c r="K266" i="4" s="1"/>
  <c r="K267" i="4" a="1"/>
  <c r="K267" i="4" s="1"/>
  <c r="K268" i="4" a="1"/>
  <c r="K268" i="4" s="1"/>
  <c r="K269" i="4" a="1"/>
  <c r="K269" i="4" s="1"/>
  <c r="K270" i="4" a="1"/>
  <c r="K270" i="4" s="1"/>
  <c r="K271" i="4" a="1"/>
  <c r="K271" i="4" s="1"/>
  <c r="K272" i="4" a="1"/>
  <c r="K272" i="4" s="1"/>
  <c r="K273" i="4" a="1"/>
  <c r="K273" i="4" s="1"/>
  <c r="K274" i="4" a="1"/>
  <c r="K274" i="4" s="1"/>
  <c r="K275" i="4" a="1"/>
  <c r="K275" i="4" s="1"/>
  <c r="K276" i="4" a="1"/>
  <c r="K276" i="4" s="1"/>
  <c r="K277" i="4" a="1"/>
  <c r="K277" i="4" s="1"/>
  <c r="K278" i="4" a="1"/>
  <c r="K278" i="4" s="1"/>
  <c r="K279" i="4" a="1"/>
  <c r="K279" i="4" s="1"/>
  <c r="K280" i="4" a="1"/>
  <c r="K280" i="4" s="1"/>
  <c r="K281" i="4" a="1"/>
  <c r="K281" i="4" s="1"/>
  <c r="K282" i="4" a="1"/>
  <c r="K282" i="4" s="1"/>
  <c r="L258" i="4" a="1"/>
  <c r="L258" i="4" s="1"/>
  <c r="L259" i="4" a="1"/>
  <c r="L259" i="4" s="1"/>
  <c r="L260" i="4" a="1"/>
  <c r="L260" i="4" s="1"/>
  <c r="L261" i="4" a="1"/>
  <c r="L261" i="4" s="1"/>
  <c r="L262" i="4" a="1"/>
  <c r="L262" i="4" s="1"/>
  <c r="L263" i="4" a="1"/>
  <c r="L263" i="4" s="1"/>
  <c r="L264" i="4" a="1"/>
  <c r="L264" i="4" s="1"/>
  <c r="L265" i="4" a="1"/>
  <c r="L265" i="4" s="1"/>
  <c r="L266" i="4" a="1"/>
  <c r="L266" i="4" s="1"/>
  <c r="L267" i="4" a="1"/>
  <c r="L267" i="4" s="1"/>
  <c r="L268" i="4" a="1"/>
  <c r="L268" i="4" s="1"/>
  <c r="L269" i="4" a="1"/>
  <c r="L269" i="4" s="1"/>
  <c r="L270" i="4" a="1"/>
  <c r="L270" i="4" s="1"/>
  <c r="L271" i="4" a="1"/>
  <c r="L271" i="4" s="1"/>
  <c r="L272" i="4" a="1"/>
  <c r="L272" i="4" s="1"/>
  <c r="L273" i="4" a="1"/>
  <c r="L273" i="4" s="1"/>
  <c r="L274" i="4" a="1"/>
  <c r="L274" i="4" s="1"/>
  <c r="L275" i="4" a="1"/>
  <c r="L275" i="4" s="1"/>
  <c r="L276" i="4" a="1"/>
  <c r="L276" i="4" s="1"/>
  <c r="L277" i="4" a="1"/>
  <c r="L277" i="4" s="1"/>
  <c r="L278" i="4" a="1"/>
  <c r="L278" i="4" s="1"/>
  <c r="L279" i="4" a="1"/>
  <c r="L279" i="4" s="1"/>
  <c r="L280" i="4" a="1"/>
  <c r="L280" i="4" s="1"/>
  <c r="L281" i="4" a="1"/>
  <c r="L281" i="4" s="1"/>
  <c r="L282" i="4" a="1"/>
  <c r="L282" i="4" s="1"/>
  <c r="M258" i="4" a="1"/>
  <c r="M258" i="4" s="1"/>
  <c r="M259" i="4" a="1"/>
  <c r="M259" i="4" s="1"/>
  <c r="M260" i="4" a="1"/>
  <c r="M260" i="4" s="1"/>
  <c r="M261" i="4" a="1"/>
  <c r="M261" i="4" s="1"/>
  <c r="M262" i="4" a="1"/>
  <c r="M262" i="4" s="1"/>
  <c r="M263" i="4" a="1"/>
  <c r="M263" i="4" s="1"/>
  <c r="M264" i="4" a="1"/>
  <c r="M264" i="4" s="1"/>
  <c r="M265" i="4" a="1"/>
  <c r="M265" i="4" s="1"/>
  <c r="M266" i="4" a="1"/>
  <c r="M266" i="4" s="1"/>
  <c r="M267" i="4" a="1"/>
  <c r="M267" i="4" s="1"/>
  <c r="M268" i="4" a="1"/>
  <c r="M268" i="4" s="1"/>
  <c r="M269" i="4" a="1"/>
  <c r="M269" i="4" s="1"/>
  <c r="M270" i="4" a="1"/>
  <c r="M270" i="4" s="1"/>
  <c r="M271" i="4" a="1"/>
  <c r="M271" i="4" s="1"/>
  <c r="M272" i="4" a="1"/>
  <c r="M272" i="4" s="1"/>
  <c r="M273" i="4" a="1"/>
  <c r="M273" i="4" s="1"/>
  <c r="M274" i="4" a="1"/>
  <c r="M274" i="4" s="1"/>
  <c r="M275" i="4" a="1"/>
  <c r="M275" i="4" s="1"/>
  <c r="M276" i="4" a="1"/>
  <c r="M276" i="4" s="1"/>
  <c r="M277" i="4" a="1"/>
  <c r="M277" i="4" s="1"/>
  <c r="M278" i="4" a="1"/>
  <c r="M278" i="4" s="1"/>
  <c r="M279" i="4" a="1"/>
  <c r="M279" i="4" s="1"/>
  <c r="M280" i="4" a="1"/>
  <c r="M280" i="4" s="1"/>
  <c r="M281" i="4" a="1"/>
  <c r="M281" i="4" s="1"/>
  <c r="M282" i="4" a="1"/>
  <c r="M282" i="4" s="1"/>
  <c r="Q258" i="4" a="1"/>
  <c r="Q258" i="4" s="1"/>
  <c r="Q259" i="4" a="1"/>
  <c r="Q259" i="4" s="1"/>
  <c r="Q260" i="4" a="1"/>
  <c r="Q260" i="4" s="1"/>
  <c r="Q261" i="4" a="1"/>
  <c r="Q261" i="4" s="1"/>
  <c r="Q262" i="4" a="1"/>
  <c r="Q262" i="4" s="1"/>
  <c r="Q263" i="4" a="1"/>
  <c r="Q263" i="4" s="1"/>
  <c r="Q264" i="4" a="1"/>
  <c r="Q264" i="4" s="1"/>
  <c r="Q265" i="4" a="1"/>
  <c r="Q265" i="4" s="1"/>
  <c r="Q266" i="4" a="1"/>
  <c r="Q266" i="4" s="1"/>
  <c r="Q267" i="4" a="1"/>
  <c r="Q267" i="4" s="1"/>
  <c r="Q268" i="4" a="1"/>
  <c r="Q268" i="4" s="1"/>
  <c r="Q269" i="4" a="1"/>
  <c r="Q269" i="4" s="1"/>
  <c r="Q270" i="4" a="1"/>
  <c r="Q270" i="4" s="1"/>
  <c r="Q271" i="4" a="1"/>
  <c r="Q271" i="4" s="1"/>
  <c r="Q272" i="4" a="1"/>
  <c r="Q272" i="4" s="1"/>
  <c r="Q273" i="4" a="1"/>
  <c r="Q273" i="4" s="1"/>
  <c r="Q274" i="4" a="1"/>
  <c r="Q274" i="4" s="1"/>
  <c r="Q275" i="4" a="1"/>
  <c r="Q275" i="4" s="1"/>
  <c r="Q276" i="4" a="1"/>
  <c r="Q276" i="4" s="1"/>
  <c r="Q277" i="4" a="1"/>
  <c r="Q277" i="4" s="1"/>
  <c r="Q278" i="4" a="1"/>
  <c r="Q278" i="4" s="1"/>
  <c r="Q279" i="4" a="1"/>
  <c r="Q279" i="4" s="1"/>
  <c r="Q280" i="4" a="1"/>
  <c r="Q280" i="4" s="1"/>
  <c r="Q281" i="4" a="1"/>
  <c r="Q281" i="4" s="1"/>
  <c r="Q282" i="4" a="1"/>
  <c r="Q282" i="4" s="1"/>
  <c r="R258" i="4" a="1"/>
  <c r="R258" i="4" s="1"/>
  <c r="R259" i="4" a="1"/>
  <c r="R259" i="4" s="1"/>
  <c r="R260" i="4" a="1"/>
  <c r="R260" i="4" s="1"/>
  <c r="R261" i="4" a="1"/>
  <c r="R261" i="4" s="1"/>
  <c r="R262" i="4" a="1"/>
  <c r="R262" i="4" s="1"/>
  <c r="R263" i="4" a="1"/>
  <c r="R263" i="4" s="1"/>
  <c r="R264" i="4" a="1"/>
  <c r="R264" i="4" s="1"/>
  <c r="R265" i="4" a="1"/>
  <c r="R265" i="4" s="1"/>
  <c r="R266" i="4" a="1"/>
  <c r="R266" i="4" s="1"/>
  <c r="R267" i="4" a="1"/>
  <c r="R267" i="4" s="1"/>
  <c r="R268" i="4" a="1"/>
  <c r="R268" i="4" s="1"/>
  <c r="R269" i="4" a="1"/>
  <c r="R269" i="4" s="1"/>
  <c r="R270" i="4" a="1"/>
  <c r="R270" i="4" s="1"/>
  <c r="R271" i="4" a="1"/>
  <c r="R271" i="4" s="1"/>
  <c r="R272" i="4" a="1"/>
  <c r="R272" i="4" s="1"/>
  <c r="R273" i="4" a="1"/>
  <c r="R273" i="4" s="1"/>
  <c r="R274" i="4" a="1"/>
  <c r="R274" i="4" s="1"/>
  <c r="R275" i="4" a="1"/>
  <c r="R275" i="4" s="1"/>
  <c r="R276" i="4" a="1"/>
  <c r="R276" i="4" s="1"/>
  <c r="R277" i="4" a="1"/>
  <c r="R277" i="4" s="1"/>
  <c r="R278" i="4" a="1"/>
  <c r="R278" i="4" s="1"/>
  <c r="R279" i="4" a="1"/>
  <c r="R279" i="4" s="1"/>
  <c r="R280" i="4" a="1"/>
  <c r="R280" i="4" s="1"/>
  <c r="R281" i="4" a="1"/>
  <c r="R281" i="4" s="1"/>
  <c r="R282" i="4" a="1"/>
  <c r="R282" i="4" s="1"/>
  <c r="S258" i="4" a="1"/>
  <c r="S258" i="4" s="1"/>
  <c r="S259" i="4" a="1"/>
  <c r="S259" i="4" s="1"/>
  <c r="S260" i="4" a="1"/>
  <c r="S260" i="4" s="1"/>
  <c r="S261" i="4" a="1"/>
  <c r="S261" i="4" s="1"/>
  <c r="S262" i="4" a="1"/>
  <c r="S262" i="4" s="1"/>
  <c r="S263" i="4" a="1"/>
  <c r="S263" i="4" s="1"/>
  <c r="S264" i="4" a="1"/>
  <c r="S264" i="4" s="1"/>
  <c r="S265" i="4" a="1"/>
  <c r="S265" i="4" s="1"/>
  <c r="S266" i="4" a="1"/>
  <c r="S266" i="4" s="1"/>
  <c r="S267" i="4" a="1"/>
  <c r="S267" i="4" s="1"/>
  <c r="S268" i="4" a="1"/>
  <c r="S268" i="4" s="1"/>
  <c r="S269" i="4" a="1"/>
  <c r="S269" i="4" s="1"/>
  <c r="S270" i="4" a="1"/>
  <c r="S270" i="4" s="1"/>
  <c r="S271" i="4" a="1"/>
  <c r="S271" i="4" s="1"/>
  <c r="S272" i="4" a="1"/>
  <c r="S272" i="4" s="1"/>
  <c r="S273" i="4" a="1"/>
  <c r="S273" i="4" s="1"/>
  <c r="S274" i="4" a="1"/>
  <c r="S274" i="4" s="1"/>
  <c r="S275" i="4" a="1"/>
  <c r="S275" i="4" s="1"/>
  <c r="S276" i="4" a="1"/>
  <c r="S276" i="4" s="1"/>
  <c r="S277" i="4" a="1"/>
  <c r="S277" i="4" s="1"/>
  <c r="S278" i="4" a="1"/>
  <c r="S278" i="4" s="1"/>
  <c r="S279" i="4" a="1"/>
  <c r="S279" i="4" s="1"/>
  <c r="S280" i="4" a="1"/>
  <c r="S280" i="4" s="1"/>
  <c r="S281" i="4" a="1"/>
  <c r="S281" i="4" s="1"/>
  <c r="S282" i="4" a="1"/>
  <c r="S282" i="4" s="1"/>
  <c r="T258" i="4" a="1"/>
  <c r="T258" i="4" s="1"/>
  <c r="T259" i="4" a="1"/>
  <c r="T259" i="4" s="1"/>
  <c r="T260" i="4" a="1"/>
  <c r="T260" i="4" s="1"/>
  <c r="T261" i="4" a="1"/>
  <c r="T261" i="4" s="1"/>
  <c r="T262" i="4" a="1"/>
  <c r="T262" i="4"/>
  <c r="T263" i="4" a="1"/>
  <c r="T263" i="4" s="1"/>
  <c r="T264" i="4" a="1"/>
  <c r="T264" i="4" s="1"/>
  <c r="T265" i="4" a="1"/>
  <c r="T265" i="4" s="1"/>
  <c r="T266" i="4" a="1"/>
  <c r="T266" i="4" s="1"/>
  <c r="T267" i="4" a="1"/>
  <c r="T267" i="4" s="1"/>
  <c r="T268" i="4" a="1"/>
  <c r="T268" i="4" s="1"/>
  <c r="T269" i="4" a="1"/>
  <c r="T269" i="4" s="1"/>
  <c r="T270" i="4" a="1"/>
  <c r="T270" i="4" s="1"/>
  <c r="T271" i="4" a="1"/>
  <c r="T271" i="4" s="1"/>
  <c r="T272" i="4" a="1"/>
  <c r="T272" i="4" s="1"/>
  <c r="T273" i="4" a="1"/>
  <c r="T273" i="4" s="1"/>
  <c r="T274" i="4" a="1"/>
  <c r="T274" i="4" s="1"/>
  <c r="T275" i="4" a="1"/>
  <c r="T275" i="4" s="1"/>
  <c r="T276" i="4" a="1"/>
  <c r="T276" i="4" s="1"/>
  <c r="T277" i="4" a="1"/>
  <c r="T277" i="4" s="1"/>
  <c r="T278" i="4" a="1"/>
  <c r="T278" i="4" s="1"/>
  <c r="T279" i="4" a="1"/>
  <c r="T279" i="4" s="1"/>
  <c r="T280" i="4" a="1"/>
  <c r="T280" i="4" s="1"/>
  <c r="T281" i="4" a="1"/>
  <c r="T281" i="4" s="1"/>
  <c r="T282" i="4" a="1"/>
  <c r="T282" i="4" s="1"/>
  <c r="U258" i="4" a="1"/>
  <c r="U258" i="4" s="1"/>
  <c r="U259" i="4" a="1"/>
  <c r="U259" i="4" s="1"/>
  <c r="U260" i="4" a="1"/>
  <c r="U260" i="4" s="1"/>
  <c r="U261" i="4" a="1"/>
  <c r="U261" i="4" s="1"/>
  <c r="U262" i="4" a="1"/>
  <c r="U262" i="4" s="1"/>
  <c r="U263" i="4" a="1"/>
  <c r="U263" i="4" s="1"/>
  <c r="U264" i="4" a="1"/>
  <c r="U264" i="4" s="1"/>
  <c r="U265" i="4" a="1"/>
  <c r="U265" i="4" s="1"/>
  <c r="U266" i="4" a="1"/>
  <c r="U266" i="4" s="1"/>
  <c r="U267" i="4" a="1"/>
  <c r="U267" i="4" s="1"/>
  <c r="U268" i="4" a="1"/>
  <c r="U268" i="4" s="1"/>
  <c r="U269" i="4" a="1"/>
  <c r="U269" i="4"/>
  <c r="U270" i="4" a="1"/>
  <c r="U270" i="4" s="1"/>
  <c r="U271" i="4" a="1"/>
  <c r="U271" i="4" s="1"/>
  <c r="U272" i="4" a="1"/>
  <c r="U272" i="4" s="1"/>
  <c r="U273" i="4" a="1"/>
  <c r="U273" i="4" s="1"/>
  <c r="U274" i="4" a="1"/>
  <c r="U274" i="4" s="1"/>
  <c r="U275" i="4" a="1"/>
  <c r="U275" i="4" s="1"/>
  <c r="U276" i="4" a="1"/>
  <c r="U276" i="4" s="1"/>
  <c r="U277" i="4" a="1"/>
  <c r="U277" i="4" s="1"/>
  <c r="U278" i="4" a="1"/>
  <c r="U278" i="4" s="1"/>
  <c r="U279" i="4" a="1"/>
  <c r="U279" i="4" s="1"/>
  <c r="U280" i="4" a="1"/>
  <c r="U280" i="4" s="1"/>
  <c r="U281" i="4" a="1"/>
  <c r="U281" i="4" s="1"/>
  <c r="U282" i="4" a="1"/>
  <c r="U282" i="4" s="1"/>
  <c r="V258" i="4" a="1"/>
  <c r="V258" i="4" s="1"/>
  <c r="V259" i="4" a="1"/>
  <c r="V259" i="4" s="1"/>
  <c r="V260" i="4" a="1"/>
  <c r="V260" i="4"/>
  <c r="V261" i="4" a="1"/>
  <c r="V261" i="4" s="1"/>
  <c r="V262" i="4" a="1"/>
  <c r="V262" i="4" s="1"/>
  <c r="V263" i="4" a="1"/>
  <c r="V263" i="4" s="1"/>
  <c r="V264" i="4" a="1"/>
  <c r="V264" i="4" s="1"/>
  <c r="V265" i="4" a="1"/>
  <c r="V265" i="4" s="1"/>
  <c r="V266" i="4" a="1"/>
  <c r="V266" i="4" s="1"/>
  <c r="V267" i="4" a="1"/>
  <c r="V267" i="4" s="1"/>
  <c r="V268" i="4" a="1"/>
  <c r="V268" i="4" s="1"/>
  <c r="V269" i="4" a="1"/>
  <c r="V269" i="4" s="1"/>
  <c r="V270" i="4" a="1"/>
  <c r="V270" i="4" s="1"/>
  <c r="V271" i="4" a="1"/>
  <c r="V271" i="4" s="1"/>
  <c r="V272" i="4" a="1"/>
  <c r="V272" i="4" s="1"/>
  <c r="V273" i="4" a="1"/>
  <c r="V273" i="4" s="1"/>
  <c r="V274" i="4" a="1"/>
  <c r="V274" i="4" s="1"/>
  <c r="V275" i="4" a="1"/>
  <c r="V275" i="4" s="1"/>
  <c r="V276" i="4" a="1"/>
  <c r="V276" i="4" s="1"/>
  <c r="V277" i="4" a="1"/>
  <c r="V277" i="4" s="1"/>
  <c r="V278" i="4" a="1"/>
  <c r="V278" i="4" s="1"/>
  <c r="V279" i="4" a="1"/>
  <c r="V279" i="4" s="1"/>
  <c r="V280" i="4" a="1"/>
  <c r="V280" i="4" s="1"/>
  <c r="V281" i="4" a="1"/>
  <c r="V281" i="4" s="1"/>
  <c r="V282" i="4" a="1"/>
  <c r="V282" i="4" s="1"/>
  <c r="W258" i="4" a="1"/>
  <c r="W258" i="4" s="1"/>
  <c r="W259" i="4" a="1"/>
  <c r="W259" i="4" s="1"/>
  <c r="W260" i="4" a="1"/>
  <c r="W260" i="4" s="1"/>
  <c r="W261" i="4" a="1"/>
  <c r="W261" i="4" s="1"/>
  <c r="W262" i="4" a="1"/>
  <c r="W262" i="4" s="1"/>
  <c r="W263" i="4" a="1"/>
  <c r="W263" i="4" s="1"/>
  <c r="W264" i="4" a="1"/>
  <c r="W264" i="4" s="1"/>
  <c r="W265" i="4" a="1"/>
  <c r="W265" i="4" s="1"/>
  <c r="W266" i="4" a="1"/>
  <c r="W266" i="4" s="1"/>
  <c r="W267" i="4" a="1"/>
  <c r="W267" i="4"/>
  <c r="W268" i="4" a="1"/>
  <c r="W268" i="4" s="1"/>
  <c r="W269" i="4" a="1"/>
  <c r="W269" i="4" s="1"/>
  <c r="W270" i="4" a="1"/>
  <c r="W270" i="4" s="1"/>
  <c r="W271" i="4" a="1"/>
  <c r="W271" i="4" s="1"/>
  <c r="W272" i="4" a="1"/>
  <c r="W272" i="4" s="1"/>
  <c r="W273" i="4" a="1"/>
  <c r="W273" i="4" s="1"/>
  <c r="W274" i="4" a="1"/>
  <c r="W274" i="4" s="1"/>
  <c r="W275" i="4" a="1"/>
  <c r="W275" i="4" s="1"/>
  <c r="W276" i="4" a="1"/>
  <c r="W276" i="4" s="1"/>
  <c r="W277" i="4" a="1"/>
  <c r="W277" i="4" s="1"/>
  <c r="W278" i="4" a="1"/>
  <c r="W278" i="4" s="1"/>
  <c r="W279" i="4" a="1"/>
  <c r="W279" i="4" s="1"/>
  <c r="W280" i="4" a="1"/>
  <c r="W280" i="4" s="1"/>
  <c r="W281" i="4" a="1"/>
  <c r="W281" i="4" s="1"/>
  <c r="W282" i="4" a="1"/>
  <c r="W282" i="4" s="1"/>
  <c r="X258" i="4" a="1"/>
  <c r="X258" i="4"/>
  <c r="X259" i="4" a="1"/>
  <c r="X259" i="4" s="1"/>
  <c r="X260" i="4" a="1"/>
  <c r="X260" i="4" s="1"/>
  <c r="X261" i="4" a="1"/>
  <c r="X261" i="4" s="1"/>
  <c r="X262" i="4" a="1"/>
  <c r="X262" i="4" s="1"/>
  <c r="X263" i="4" a="1"/>
  <c r="X263" i="4" s="1"/>
  <c r="X264" i="4" a="1"/>
  <c r="X264" i="4" s="1"/>
  <c r="X265" i="4" a="1"/>
  <c r="X265" i="4" s="1"/>
  <c r="X266" i="4" a="1"/>
  <c r="X266" i="4" s="1"/>
  <c r="X267" i="4" a="1"/>
  <c r="X267" i="4" s="1"/>
  <c r="X268" i="4" a="1"/>
  <c r="X268" i="4" s="1"/>
  <c r="X269" i="4" a="1"/>
  <c r="X269" i="4" s="1"/>
  <c r="X270" i="4" a="1"/>
  <c r="X270" i="4" s="1"/>
  <c r="X271" i="4" a="1"/>
  <c r="X271" i="4" s="1"/>
  <c r="X272" i="4" a="1"/>
  <c r="X272" i="4" s="1"/>
  <c r="X273" i="4" a="1"/>
  <c r="X273" i="4" s="1"/>
  <c r="X274" i="4" a="1"/>
  <c r="X274" i="4"/>
  <c r="X275" i="4" a="1"/>
  <c r="X275" i="4" s="1"/>
  <c r="X276" i="4" a="1"/>
  <c r="X276" i="4" s="1"/>
  <c r="X277" i="4" a="1"/>
  <c r="X277" i="4" s="1"/>
  <c r="X278" i="4" a="1"/>
  <c r="X278" i="4" s="1"/>
  <c r="X279" i="4" a="1"/>
  <c r="X279" i="4" s="1"/>
  <c r="X280" i="4" a="1"/>
  <c r="X280" i="4" s="1"/>
  <c r="X281" i="4" a="1"/>
  <c r="X281" i="4" s="1"/>
  <c r="X282" i="4" a="1"/>
  <c r="X282" i="4" s="1"/>
  <c r="Y258" i="4" a="1"/>
  <c r="Y258" i="4" s="1"/>
  <c r="Y259" i="4" a="1"/>
  <c r="Y259" i="4" s="1"/>
  <c r="Y260" i="4" a="1"/>
  <c r="Y260" i="4" s="1"/>
  <c r="Y261" i="4" a="1"/>
  <c r="Y261" i="4" s="1"/>
  <c r="Y262" i="4" a="1"/>
  <c r="Y262" i="4" s="1"/>
  <c r="Y263" i="4" a="1"/>
  <c r="Y263" i="4" s="1"/>
  <c r="Y264" i="4" a="1"/>
  <c r="Y264" i="4" s="1"/>
  <c r="Y265" i="4" a="1"/>
  <c r="Y265" i="4" s="1"/>
  <c r="Y266" i="4" a="1"/>
  <c r="Y266" i="4" s="1"/>
  <c r="Y267" i="4" a="1"/>
  <c r="Y267" i="4" s="1"/>
  <c r="Y268" i="4" a="1"/>
  <c r="Y268" i="4" s="1"/>
  <c r="Y269" i="4" a="1"/>
  <c r="Y269" i="4" s="1"/>
  <c r="Y270" i="4" a="1"/>
  <c r="Y270" i="4" s="1"/>
  <c r="Y271" i="4" a="1"/>
  <c r="Y271" i="4" s="1"/>
  <c r="Y272" i="4" a="1"/>
  <c r="Y272" i="4" s="1"/>
  <c r="Y273" i="4" a="1"/>
  <c r="Y273" i="4" s="1"/>
  <c r="Y274" i="4" a="1"/>
  <c r="Y274" i="4" s="1"/>
  <c r="Y275" i="4" a="1"/>
  <c r="Y275" i="4" s="1"/>
  <c r="Y276" i="4" a="1"/>
  <c r="Y276" i="4" s="1"/>
  <c r="Y277" i="4" a="1"/>
  <c r="Y277" i="4" s="1"/>
  <c r="Y278" i="4" a="1"/>
  <c r="Y278" i="4" s="1"/>
  <c r="Y279" i="4" a="1"/>
  <c r="Y279" i="4" s="1"/>
  <c r="Y280" i="4" a="1"/>
  <c r="Y280" i="4" s="1"/>
  <c r="Y281" i="4" a="1"/>
  <c r="Y281" i="4"/>
  <c r="Y282" i="4" a="1"/>
  <c r="Y282" i="4" s="1"/>
  <c r="Z258" i="4" a="1"/>
  <c r="Z258" i="4" s="1"/>
  <c r="Z259" i="4" a="1"/>
  <c r="Z259" i="4" s="1"/>
  <c r="Z260" i="4" a="1"/>
  <c r="Z260" i="4" s="1"/>
  <c r="Z261" i="4" a="1"/>
  <c r="Z261" i="4" s="1"/>
  <c r="Z262" i="4" a="1"/>
  <c r="Z262" i="4" s="1"/>
  <c r="Z263" i="4" a="1"/>
  <c r="Z263" i="4" s="1"/>
  <c r="Z264" i="4" a="1"/>
  <c r="Z264" i="4" s="1"/>
  <c r="Z265" i="4" a="1"/>
  <c r="Z265" i="4" s="1"/>
  <c r="Z266" i="4" a="1"/>
  <c r="Z266" i="4" s="1"/>
  <c r="Z267" i="4" a="1"/>
  <c r="Z267" i="4" s="1"/>
  <c r="Z268" i="4" a="1"/>
  <c r="Z268" i="4" s="1"/>
  <c r="Z269" i="4" a="1"/>
  <c r="Z269" i="4" s="1"/>
  <c r="Z270" i="4" a="1"/>
  <c r="Z270" i="4" s="1"/>
  <c r="Z271" i="4" a="1"/>
  <c r="Z271" i="4" s="1"/>
  <c r="Z272" i="4" a="1"/>
  <c r="Z272" i="4" s="1"/>
  <c r="Z273" i="4" a="1"/>
  <c r="Z273" i="4" s="1"/>
  <c r="Z274" i="4" a="1"/>
  <c r="Z274" i="4" s="1"/>
  <c r="Z275" i="4" a="1"/>
  <c r="Z275" i="4" s="1"/>
  <c r="Z276" i="4" a="1"/>
  <c r="Z276" i="4" s="1"/>
  <c r="Z277" i="4" a="1"/>
  <c r="Z277" i="4" s="1"/>
  <c r="Z278" i="4" a="1"/>
  <c r="Z278" i="4" s="1"/>
  <c r="Z279" i="4" a="1"/>
  <c r="Z279" i="4" s="1"/>
  <c r="Z280" i="4" a="1"/>
  <c r="Z280" i="4" s="1"/>
  <c r="Z281" i="4" a="1"/>
  <c r="Z281" i="4" s="1"/>
  <c r="Z282" i="4" a="1"/>
  <c r="Z282" i="4" s="1"/>
  <c r="C257" i="4"/>
  <c r="D257" i="4"/>
  <c r="E257" i="4" a="1"/>
  <c r="E257" i="4" s="1"/>
  <c r="F257" i="4" a="1"/>
  <c r="F257" i="4" s="1"/>
  <c r="G257" i="4" a="1"/>
  <c r="G257" i="4" s="1"/>
  <c r="H257" i="4" a="1"/>
  <c r="H257" i="4" s="1"/>
  <c r="I257" i="4" a="1"/>
  <c r="I257" i="4" s="1"/>
  <c r="J257" i="4" a="1"/>
  <c r="J257" i="4" s="1"/>
  <c r="K257" i="4" a="1"/>
  <c r="K257" i="4" s="1"/>
  <c r="L257" i="4" a="1"/>
  <c r="L257" i="4" s="1"/>
  <c r="M257" i="4" a="1"/>
  <c r="M257" i="4" s="1"/>
  <c r="Q257" i="4" a="1"/>
  <c r="Q257" i="4" s="1"/>
  <c r="R257" i="4" a="1"/>
  <c r="R257" i="4" s="1"/>
  <c r="S257" i="4" a="1"/>
  <c r="S257" i="4" s="1"/>
  <c r="T257" i="4" a="1"/>
  <c r="T257" i="4" s="1"/>
  <c r="U257" i="4" a="1"/>
  <c r="U257" i="4" s="1"/>
  <c r="V257" i="4" a="1"/>
  <c r="V257" i="4" s="1"/>
  <c r="W257" i="4" a="1"/>
  <c r="W257" i="4" s="1"/>
  <c r="X257" i="4" a="1"/>
  <c r="X257" i="4" s="1"/>
  <c r="Y257" i="4" a="1"/>
  <c r="Y257" i="4" s="1"/>
  <c r="Z257" i="4" a="1"/>
  <c r="Z257" i="4" s="1"/>
  <c r="K12" i="6"/>
  <c r="L12" i="6"/>
  <c r="M12" i="6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58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35" i="1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26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03" i="2"/>
  <c r="AA279" i="4" l="1"/>
  <c r="O278" i="4"/>
  <c r="O262" i="4"/>
  <c r="N271" i="4"/>
  <c r="O277" i="4"/>
  <c r="O261" i="4"/>
  <c r="N270" i="4"/>
  <c r="AA270" i="4"/>
  <c r="O276" i="4"/>
  <c r="O260" i="4"/>
  <c r="N269" i="4"/>
  <c r="AA282" i="4"/>
  <c r="AA263" i="4"/>
  <c r="AA269" i="4"/>
  <c r="AA280" i="4"/>
  <c r="O275" i="4"/>
  <c r="O259" i="4"/>
  <c r="N268" i="4"/>
  <c r="AA268" i="4"/>
  <c r="O274" i="4"/>
  <c r="O258" i="4"/>
  <c r="N267" i="4"/>
  <c r="P267" i="4" s="1"/>
  <c r="O273" i="4"/>
  <c r="N282" i="4"/>
  <c r="N266" i="4"/>
  <c r="AA278" i="4"/>
  <c r="O272" i="4"/>
  <c r="N281" i="4"/>
  <c r="N265" i="4"/>
  <c r="AA266" i="4"/>
  <c r="AA277" i="4"/>
  <c r="O271" i="4"/>
  <c r="P271" i="4" s="1"/>
  <c r="N280" i="4"/>
  <c r="N264" i="4"/>
  <c r="AA276" i="4"/>
  <c r="O270" i="4"/>
  <c r="N279" i="4"/>
  <c r="N263" i="4"/>
  <c r="AA275" i="4"/>
  <c r="AA267" i="4"/>
  <c r="AA259" i="4"/>
  <c r="O269" i="4"/>
  <c r="N278" i="4"/>
  <c r="P278" i="4" s="1"/>
  <c r="N262" i="4"/>
  <c r="P262" i="4" s="1"/>
  <c r="AA274" i="4"/>
  <c r="O268" i="4"/>
  <c r="N277" i="4"/>
  <c r="P277" i="4" s="1"/>
  <c r="N261" i="4"/>
  <c r="P261" i="4" s="1"/>
  <c r="AA262" i="4"/>
  <c r="O267" i="4"/>
  <c r="N276" i="4"/>
  <c r="N260" i="4"/>
  <c r="AA261" i="4"/>
  <c r="O282" i="4"/>
  <c r="O266" i="4"/>
  <c r="N275" i="4"/>
  <c r="N259" i="4"/>
  <c r="AA260" i="4"/>
  <c r="AA264" i="4"/>
  <c r="AA281" i="4"/>
  <c r="AA273" i="4"/>
  <c r="AA265" i="4"/>
  <c r="O281" i="4"/>
  <c r="O265" i="4"/>
  <c r="N274" i="4"/>
  <c r="N258" i="4"/>
  <c r="P258" i="4" s="1"/>
  <c r="O280" i="4"/>
  <c r="O264" i="4"/>
  <c r="N273" i="4"/>
  <c r="P273" i="4" s="1"/>
  <c r="AA271" i="4"/>
  <c r="AA272" i="4"/>
  <c r="AA258" i="4"/>
  <c r="O279" i="4"/>
  <c r="O263" i="4"/>
  <c r="N272" i="4"/>
  <c r="P272" i="4" s="1"/>
  <c r="O257" i="4"/>
  <c r="AA257" i="4"/>
  <c r="N257" i="4"/>
  <c r="P257" i="4" s="1"/>
  <c r="Q3" i="15"/>
  <c r="P263" i="4" l="1"/>
  <c r="P279" i="4"/>
  <c r="P260" i="4"/>
  <c r="P270" i="4"/>
  <c r="P276" i="4"/>
  <c r="P268" i="4"/>
  <c r="P280" i="4"/>
  <c r="P264" i="4"/>
  <c r="P265" i="4"/>
  <c r="P274" i="4"/>
  <c r="P281" i="4"/>
  <c r="P269" i="4"/>
  <c r="P275" i="4"/>
  <c r="P266" i="4"/>
  <c r="P259" i="4"/>
  <c r="P282" i="4"/>
  <c r="AQ19" i="19"/>
  <c r="AN3" i="19"/>
  <c r="AO20" i="19"/>
  <c r="AO19" i="19"/>
  <c r="M2" i="6" l="1"/>
  <c r="M3" i="6"/>
  <c r="M4" i="6"/>
  <c r="M5" i="6"/>
  <c r="M6" i="6"/>
  <c r="M7" i="6"/>
  <c r="M8" i="6"/>
  <c r="M9" i="6"/>
  <c r="M10" i="6"/>
  <c r="K11" i="6"/>
  <c r="L11" i="6"/>
  <c r="M11" i="6" s="1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E232" i="4" a="1"/>
  <c r="E232" i="4" s="1"/>
  <c r="E233" i="4" a="1"/>
  <c r="E233" i="4" s="1"/>
  <c r="E234" i="4" a="1"/>
  <c r="E234" i="4" s="1"/>
  <c r="E235" i="4" a="1"/>
  <c r="E235" i="4" s="1"/>
  <c r="E236" i="4" a="1"/>
  <c r="E236" i="4" s="1"/>
  <c r="E237" i="4" a="1"/>
  <c r="E237" i="4" s="1"/>
  <c r="E238" i="4" a="1"/>
  <c r="E238" i="4" s="1"/>
  <c r="E239" i="4" a="1"/>
  <c r="E239" i="4" s="1"/>
  <c r="E240" i="4" a="1"/>
  <c r="E240" i="4" s="1"/>
  <c r="E241" i="4" a="1"/>
  <c r="E241" i="4" s="1"/>
  <c r="E242" i="4" a="1"/>
  <c r="E242" i="4" s="1"/>
  <c r="E243" i="4" a="1"/>
  <c r="E243" i="4" s="1"/>
  <c r="E244" i="4" a="1"/>
  <c r="E244" i="4" s="1"/>
  <c r="E245" i="4" a="1"/>
  <c r="E245" i="4" s="1"/>
  <c r="E246" i="4" a="1"/>
  <c r="E246" i="4" s="1"/>
  <c r="E247" i="4" a="1"/>
  <c r="E247" i="4" s="1"/>
  <c r="E248" i="4" a="1"/>
  <c r="E248" i="4" s="1"/>
  <c r="E249" i="4" a="1"/>
  <c r="E249" i="4" s="1"/>
  <c r="E250" i="4" a="1"/>
  <c r="E250" i="4" s="1"/>
  <c r="E251" i="4" a="1"/>
  <c r="E251" i="4" s="1"/>
  <c r="E252" i="4" a="1"/>
  <c r="E252" i="4" s="1"/>
  <c r="E253" i="4" a="1"/>
  <c r="E253" i="4" s="1"/>
  <c r="E254" i="4" a="1"/>
  <c r="E254" i="4" s="1"/>
  <c r="E255" i="4" a="1"/>
  <c r="E255" i="4" s="1"/>
  <c r="E256" i="4" a="1"/>
  <c r="E256" i="4" s="1"/>
  <c r="F232" i="4" a="1"/>
  <c r="F232" i="4" s="1"/>
  <c r="F233" i="4" a="1"/>
  <c r="F233" i="4" s="1"/>
  <c r="F234" i="4" a="1"/>
  <c r="F234" i="4" s="1"/>
  <c r="F235" i="4" a="1"/>
  <c r="F235" i="4" s="1"/>
  <c r="F236" i="4" a="1"/>
  <c r="F236" i="4" s="1"/>
  <c r="F237" i="4" a="1"/>
  <c r="F237" i="4" s="1"/>
  <c r="F238" i="4" a="1"/>
  <c r="F238" i="4" s="1"/>
  <c r="F239" i="4" a="1"/>
  <c r="F239" i="4" s="1"/>
  <c r="F240" i="4" a="1"/>
  <c r="F240" i="4" s="1"/>
  <c r="F241" i="4" a="1"/>
  <c r="F241" i="4" s="1"/>
  <c r="F242" i="4" a="1"/>
  <c r="F242" i="4" s="1"/>
  <c r="F243" i="4" a="1"/>
  <c r="F243" i="4" s="1"/>
  <c r="F244" i="4" a="1"/>
  <c r="F244" i="4" s="1"/>
  <c r="F245" i="4" a="1"/>
  <c r="F245" i="4" s="1"/>
  <c r="F246" i="4" a="1"/>
  <c r="F246" i="4" s="1"/>
  <c r="F247" i="4" a="1"/>
  <c r="F247" i="4" s="1"/>
  <c r="F248" i="4" a="1"/>
  <c r="F248" i="4" s="1"/>
  <c r="F249" i="4" a="1"/>
  <c r="F249" i="4" s="1"/>
  <c r="F250" i="4" a="1"/>
  <c r="F250" i="4" s="1"/>
  <c r="F251" i="4" a="1"/>
  <c r="F251" i="4" s="1"/>
  <c r="F252" i="4" a="1"/>
  <c r="F252" i="4" s="1"/>
  <c r="F253" i="4" a="1"/>
  <c r="F253" i="4" s="1"/>
  <c r="F254" i="4" a="1"/>
  <c r="F254" i="4" s="1"/>
  <c r="F255" i="4" a="1"/>
  <c r="F255" i="4" s="1"/>
  <c r="F256" i="4" a="1"/>
  <c r="F256" i="4" s="1"/>
  <c r="G232" i="4" a="1"/>
  <c r="G232" i="4" s="1"/>
  <c r="G233" i="4" a="1"/>
  <c r="G233" i="4" s="1"/>
  <c r="G234" i="4" a="1"/>
  <c r="G234" i="4" s="1"/>
  <c r="G235" i="4" a="1"/>
  <c r="G235" i="4" s="1"/>
  <c r="G236" i="4" a="1"/>
  <c r="G236" i="4" s="1"/>
  <c r="G237" i="4" a="1"/>
  <c r="G237" i="4" s="1"/>
  <c r="G238" i="4" a="1"/>
  <c r="G238" i="4" s="1"/>
  <c r="G239" i="4" a="1"/>
  <c r="G239" i="4" s="1"/>
  <c r="G240" i="4" a="1"/>
  <c r="G240" i="4" s="1"/>
  <c r="G241" i="4" a="1"/>
  <c r="G241" i="4" s="1"/>
  <c r="G242" i="4" a="1"/>
  <c r="G242" i="4" s="1"/>
  <c r="G243" i="4" a="1"/>
  <c r="G243" i="4" s="1"/>
  <c r="G244" i="4" a="1"/>
  <c r="G244" i="4" s="1"/>
  <c r="G245" i="4" a="1"/>
  <c r="G245" i="4" s="1"/>
  <c r="G246" i="4" a="1"/>
  <c r="G246" i="4" s="1"/>
  <c r="G247" i="4" a="1"/>
  <c r="G247" i="4" s="1"/>
  <c r="G248" i="4" a="1"/>
  <c r="G248" i="4" s="1"/>
  <c r="G249" i="4" a="1"/>
  <c r="G249" i="4" s="1"/>
  <c r="G250" i="4" a="1"/>
  <c r="G250" i="4" s="1"/>
  <c r="G251" i="4" a="1"/>
  <c r="G251" i="4" s="1"/>
  <c r="G252" i="4" a="1"/>
  <c r="G252" i="4" s="1"/>
  <c r="G253" i="4" a="1"/>
  <c r="G253" i="4" s="1"/>
  <c r="G254" i="4" a="1"/>
  <c r="G254" i="4" s="1"/>
  <c r="G255" i="4" a="1"/>
  <c r="G255" i="4" s="1"/>
  <c r="G256" i="4" a="1"/>
  <c r="G256" i="4" s="1"/>
  <c r="H232" i="4" a="1"/>
  <c r="H232" i="4" s="1"/>
  <c r="H233" i="4" a="1"/>
  <c r="H233" i="4" s="1"/>
  <c r="H234" i="4" a="1"/>
  <c r="H234" i="4" s="1"/>
  <c r="H235" i="4" a="1"/>
  <c r="H235" i="4" s="1"/>
  <c r="H236" i="4" a="1"/>
  <c r="H236" i="4" s="1"/>
  <c r="H237" i="4" a="1"/>
  <c r="H237" i="4" s="1"/>
  <c r="H238" i="4" a="1"/>
  <c r="H238" i="4" s="1"/>
  <c r="H239" i="4" a="1"/>
  <c r="H239" i="4" s="1"/>
  <c r="H240" i="4" a="1"/>
  <c r="H240" i="4" s="1"/>
  <c r="H241" i="4" a="1"/>
  <c r="H241" i="4" s="1"/>
  <c r="H242" i="4" a="1"/>
  <c r="H242" i="4" s="1"/>
  <c r="H243" i="4" a="1"/>
  <c r="H243" i="4" s="1"/>
  <c r="H244" i="4" a="1"/>
  <c r="H244" i="4" s="1"/>
  <c r="H245" i="4" a="1"/>
  <c r="H245" i="4" s="1"/>
  <c r="H246" i="4" a="1"/>
  <c r="H246" i="4" s="1"/>
  <c r="H247" i="4" a="1"/>
  <c r="H247" i="4" s="1"/>
  <c r="H248" i="4" a="1"/>
  <c r="H248" i="4" s="1"/>
  <c r="H249" i="4" a="1"/>
  <c r="H249" i="4" s="1"/>
  <c r="H250" i="4" a="1"/>
  <c r="H250" i="4" s="1"/>
  <c r="H251" i="4" a="1"/>
  <c r="H251" i="4" s="1"/>
  <c r="H252" i="4" a="1"/>
  <c r="H252" i="4" s="1"/>
  <c r="H253" i="4" a="1"/>
  <c r="H253" i="4" s="1"/>
  <c r="H254" i="4" a="1"/>
  <c r="H254" i="4" s="1"/>
  <c r="H255" i="4" a="1"/>
  <c r="H255" i="4" s="1"/>
  <c r="H256" i="4" a="1"/>
  <c r="H256" i="4" s="1"/>
  <c r="I232" i="4" a="1"/>
  <c r="I232" i="4" s="1"/>
  <c r="I233" i="4" a="1"/>
  <c r="I233" i="4" s="1"/>
  <c r="I234" i="4" a="1"/>
  <c r="I234" i="4" s="1"/>
  <c r="I235" i="4" a="1"/>
  <c r="I235" i="4" s="1"/>
  <c r="I236" i="4" a="1"/>
  <c r="I236" i="4" s="1"/>
  <c r="I237" i="4" a="1"/>
  <c r="I237" i="4" s="1"/>
  <c r="I238" i="4" a="1"/>
  <c r="I238" i="4" s="1"/>
  <c r="I239" i="4" a="1"/>
  <c r="I239" i="4" s="1"/>
  <c r="I240" i="4" a="1"/>
  <c r="I240" i="4" s="1"/>
  <c r="I241" i="4" a="1"/>
  <c r="I241" i="4" s="1"/>
  <c r="I242" i="4" a="1"/>
  <c r="I242" i="4" s="1"/>
  <c r="I243" i="4" a="1"/>
  <c r="I243" i="4" s="1"/>
  <c r="I244" i="4" a="1"/>
  <c r="I244" i="4" s="1"/>
  <c r="I245" i="4" a="1"/>
  <c r="I245" i="4" s="1"/>
  <c r="I246" i="4" a="1"/>
  <c r="I246" i="4" s="1"/>
  <c r="I247" i="4" a="1"/>
  <c r="I247" i="4" s="1"/>
  <c r="I248" i="4" a="1"/>
  <c r="I248" i="4" s="1"/>
  <c r="I249" i="4" a="1"/>
  <c r="I249" i="4" s="1"/>
  <c r="I250" i="4" a="1"/>
  <c r="I250" i="4" s="1"/>
  <c r="I251" i="4" a="1"/>
  <c r="I251" i="4" s="1"/>
  <c r="I252" i="4" a="1"/>
  <c r="I252" i="4" s="1"/>
  <c r="I253" i="4" a="1"/>
  <c r="I253" i="4" s="1"/>
  <c r="I254" i="4" a="1"/>
  <c r="I254" i="4" s="1"/>
  <c r="I255" i="4" a="1"/>
  <c r="I255" i="4" s="1"/>
  <c r="I256" i="4" a="1"/>
  <c r="I256" i="4" s="1"/>
  <c r="J232" i="4" a="1"/>
  <c r="J232" i="4" s="1"/>
  <c r="J233" i="4" a="1"/>
  <c r="J233" i="4" s="1"/>
  <c r="J234" i="4" a="1"/>
  <c r="J234" i="4" s="1"/>
  <c r="J235" i="4" a="1"/>
  <c r="J235" i="4" s="1"/>
  <c r="J236" i="4" a="1"/>
  <c r="J236" i="4" s="1"/>
  <c r="J237" i="4" a="1"/>
  <c r="J237" i="4" s="1"/>
  <c r="J238" i="4" a="1"/>
  <c r="J238" i="4" s="1"/>
  <c r="J239" i="4" a="1"/>
  <c r="J239" i="4" s="1"/>
  <c r="J240" i="4" a="1"/>
  <c r="J240" i="4" s="1"/>
  <c r="J241" i="4" a="1"/>
  <c r="J241" i="4" s="1"/>
  <c r="J242" i="4" a="1"/>
  <c r="J242" i="4" s="1"/>
  <c r="J243" i="4" a="1"/>
  <c r="J243" i="4" s="1"/>
  <c r="J244" i="4" a="1"/>
  <c r="J244" i="4" s="1"/>
  <c r="J245" i="4" a="1"/>
  <c r="J245" i="4" s="1"/>
  <c r="J246" i="4" a="1"/>
  <c r="J246" i="4" s="1"/>
  <c r="J247" i="4" a="1"/>
  <c r="J247" i="4" s="1"/>
  <c r="J248" i="4" a="1"/>
  <c r="J248" i="4" s="1"/>
  <c r="J249" i="4" a="1"/>
  <c r="J249" i="4" s="1"/>
  <c r="J250" i="4" a="1"/>
  <c r="J250" i="4" s="1"/>
  <c r="J251" i="4" a="1"/>
  <c r="J251" i="4" s="1"/>
  <c r="J252" i="4" a="1"/>
  <c r="J252" i="4" s="1"/>
  <c r="J253" i="4" a="1"/>
  <c r="J253" i="4" s="1"/>
  <c r="J254" i="4" a="1"/>
  <c r="J254" i="4" s="1"/>
  <c r="J255" i="4" a="1"/>
  <c r="J255" i="4" s="1"/>
  <c r="J256" i="4" a="1"/>
  <c r="J256" i="4" s="1"/>
  <c r="K232" i="4" a="1"/>
  <c r="K232" i="4" s="1"/>
  <c r="K233" i="4" a="1"/>
  <c r="K233" i="4" s="1"/>
  <c r="K234" i="4" a="1"/>
  <c r="K234" i="4" s="1"/>
  <c r="K235" i="4" a="1"/>
  <c r="K235" i="4" s="1"/>
  <c r="K236" i="4" a="1"/>
  <c r="K236" i="4" s="1"/>
  <c r="K237" i="4" a="1"/>
  <c r="K237" i="4" s="1"/>
  <c r="K238" i="4" a="1"/>
  <c r="K238" i="4" s="1"/>
  <c r="K239" i="4" a="1"/>
  <c r="K239" i="4" s="1"/>
  <c r="K240" i="4" a="1"/>
  <c r="K240" i="4" s="1"/>
  <c r="K241" i="4" a="1"/>
  <c r="K241" i="4" s="1"/>
  <c r="K242" i="4" a="1"/>
  <c r="K242" i="4" s="1"/>
  <c r="K243" i="4" a="1"/>
  <c r="K243" i="4" s="1"/>
  <c r="K244" i="4" a="1"/>
  <c r="K244" i="4" s="1"/>
  <c r="K245" i="4" a="1"/>
  <c r="K245" i="4" s="1"/>
  <c r="K246" i="4" a="1"/>
  <c r="K246" i="4" s="1"/>
  <c r="K247" i="4" a="1"/>
  <c r="K247" i="4" s="1"/>
  <c r="K248" i="4" a="1"/>
  <c r="K248" i="4" s="1"/>
  <c r="K249" i="4" a="1"/>
  <c r="K249" i="4" s="1"/>
  <c r="K250" i="4" a="1"/>
  <c r="K250" i="4" s="1"/>
  <c r="K251" i="4" a="1"/>
  <c r="K251" i="4" s="1"/>
  <c r="K252" i="4" a="1"/>
  <c r="K252" i="4" s="1"/>
  <c r="K253" i="4" a="1"/>
  <c r="K253" i="4" s="1"/>
  <c r="K254" i="4" a="1"/>
  <c r="K254" i="4" s="1"/>
  <c r="K255" i="4" a="1"/>
  <c r="K255" i="4" s="1"/>
  <c r="K256" i="4" a="1"/>
  <c r="K256" i="4" s="1"/>
  <c r="L232" i="4" a="1"/>
  <c r="L232" i="4" s="1"/>
  <c r="L233" i="4" a="1"/>
  <c r="L233" i="4" s="1"/>
  <c r="L234" i="4" a="1"/>
  <c r="L234" i="4" s="1"/>
  <c r="L235" i="4" a="1"/>
  <c r="L235" i="4" s="1"/>
  <c r="L236" i="4" a="1"/>
  <c r="L236" i="4" s="1"/>
  <c r="L237" i="4" a="1"/>
  <c r="L237" i="4" s="1"/>
  <c r="L238" i="4" a="1"/>
  <c r="L238" i="4" s="1"/>
  <c r="L239" i="4" a="1"/>
  <c r="L239" i="4" s="1"/>
  <c r="L240" i="4" a="1"/>
  <c r="L240" i="4" s="1"/>
  <c r="L241" i="4" a="1"/>
  <c r="L241" i="4" s="1"/>
  <c r="L242" i="4" a="1"/>
  <c r="L242" i="4" s="1"/>
  <c r="L243" i="4" a="1"/>
  <c r="L243" i="4" s="1"/>
  <c r="L244" i="4" a="1"/>
  <c r="L244" i="4" s="1"/>
  <c r="L245" i="4" a="1"/>
  <c r="L245" i="4" s="1"/>
  <c r="L246" i="4" a="1"/>
  <c r="L246" i="4" s="1"/>
  <c r="L247" i="4" a="1"/>
  <c r="L247" i="4" s="1"/>
  <c r="L248" i="4" a="1"/>
  <c r="L248" i="4" s="1"/>
  <c r="L249" i="4" a="1"/>
  <c r="L249" i="4" s="1"/>
  <c r="L250" i="4" a="1"/>
  <c r="L250" i="4" s="1"/>
  <c r="L251" i="4" a="1"/>
  <c r="L251" i="4" s="1"/>
  <c r="L252" i="4" a="1"/>
  <c r="L252" i="4" s="1"/>
  <c r="L253" i="4" a="1"/>
  <c r="L253" i="4" s="1"/>
  <c r="L254" i="4" a="1"/>
  <c r="L254" i="4" s="1"/>
  <c r="L255" i="4" a="1"/>
  <c r="L255" i="4" s="1"/>
  <c r="L256" i="4" a="1"/>
  <c r="L256" i="4" s="1"/>
  <c r="M232" i="4" a="1"/>
  <c r="M232" i="4" s="1"/>
  <c r="M233" i="4" a="1"/>
  <c r="M233" i="4" s="1"/>
  <c r="M234" i="4" a="1"/>
  <c r="M234" i="4" s="1"/>
  <c r="M235" i="4" a="1"/>
  <c r="M235" i="4" s="1"/>
  <c r="M236" i="4" a="1"/>
  <c r="M236" i="4" s="1"/>
  <c r="M237" i="4" a="1"/>
  <c r="M237" i="4" s="1"/>
  <c r="M238" i="4" a="1"/>
  <c r="M238" i="4" s="1"/>
  <c r="M239" i="4" a="1"/>
  <c r="M239" i="4" s="1"/>
  <c r="M240" i="4" a="1"/>
  <c r="M240" i="4" s="1"/>
  <c r="M241" i="4" a="1"/>
  <c r="M241" i="4" s="1"/>
  <c r="M242" i="4" a="1"/>
  <c r="M242" i="4" s="1"/>
  <c r="M243" i="4" a="1"/>
  <c r="M243" i="4" s="1"/>
  <c r="M244" i="4" a="1"/>
  <c r="M244" i="4" s="1"/>
  <c r="M245" i="4" a="1"/>
  <c r="M245" i="4" s="1"/>
  <c r="M246" i="4" a="1"/>
  <c r="M246" i="4" s="1"/>
  <c r="M247" i="4" a="1"/>
  <c r="M247" i="4" s="1"/>
  <c r="M248" i="4" a="1"/>
  <c r="M248" i="4" s="1"/>
  <c r="M249" i="4" a="1"/>
  <c r="M249" i="4" s="1"/>
  <c r="M250" i="4" a="1"/>
  <c r="M250" i="4" s="1"/>
  <c r="M251" i="4" a="1"/>
  <c r="M251" i="4" s="1"/>
  <c r="M252" i="4" a="1"/>
  <c r="M252" i="4" s="1"/>
  <c r="M253" i="4" a="1"/>
  <c r="M253" i="4" s="1"/>
  <c r="M254" i="4" a="1"/>
  <c r="M254" i="4" s="1"/>
  <c r="M255" i="4" a="1"/>
  <c r="M255" i="4" s="1"/>
  <c r="M256" i="4" a="1"/>
  <c r="M256" i="4" s="1"/>
  <c r="Q232" i="4" a="1"/>
  <c r="Q232" i="4" s="1"/>
  <c r="Q233" i="4" a="1"/>
  <c r="Q233" i="4" s="1"/>
  <c r="Q234" i="4" a="1"/>
  <c r="Q234" i="4" s="1"/>
  <c r="Q235" i="4" a="1"/>
  <c r="Q235" i="4" s="1"/>
  <c r="Q236" i="4" a="1"/>
  <c r="Q236" i="4" s="1"/>
  <c r="Q237" i="4" a="1"/>
  <c r="Q237" i="4" s="1"/>
  <c r="Q238" i="4" a="1"/>
  <c r="Q238" i="4" s="1"/>
  <c r="Q239" i="4" a="1"/>
  <c r="Q239" i="4" s="1"/>
  <c r="Q240" i="4" a="1"/>
  <c r="Q240" i="4" s="1"/>
  <c r="Q241" i="4" a="1"/>
  <c r="Q241" i="4" s="1"/>
  <c r="Q242" i="4" a="1"/>
  <c r="Q242" i="4" s="1"/>
  <c r="Q243" i="4" a="1"/>
  <c r="Q243" i="4" s="1"/>
  <c r="Q244" i="4" a="1"/>
  <c r="Q244" i="4" s="1"/>
  <c r="Q245" i="4" a="1"/>
  <c r="Q245" i="4" s="1"/>
  <c r="Q246" i="4" a="1"/>
  <c r="Q246" i="4" s="1"/>
  <c r="Q247" i="4" a="1"/>
  <c r="Q247" i="4" s="1"/>
  <c r="Q248" i="4" a="1"/>
  <c r="Q248" i="4" s="1"/>
  <c r="Q249" i="4" a="1"/>
  <c r="Q249" i="4" s="1"/>
  <c r="Q250" i="4" a="1"/>
  <c r="Q250" i="4" s="1"/>
  <c r="Q251" i="4" a="1"/>
  <c r="Q251" i="4" s="1"/>
  <c r="Q252" i="4" a="1"/>
  <c r="Q252" i="4" s="1"/>
  <c r="Q253" i="4" a="1"/>
  <c r="Q253" i="4" s="1"/>
  <c r="Q254" i="4" a="1"/>
  <c r="Q254" i="4" s="1"/>
  <c r="Q255" i="4" a="1"/>
  <c r="Q255" i="4" s="1"/>
  <c r="Q256" i="4" a="1"/>
  <c r="Q256" i="4" s="1"/>
  <c r="R232" i="4" a="1"/>
  <c r="R232" i="4" s="1"/>
  <c r="R233" i="4" a="1"/>
  <c r="R233" i="4" s="1"/>
  <c r="R234" i="4" a="1"/>
  <c r="R234" i="4" s="1"/>
  <c r="R235" i="4" a="1"/>
  <c r="R235" i="4" s="1"/>
  <c r="R236" i="4" a="1"/>
  <c r="R236" i="4" s="1"/>
  <c r="R237" i="4" a="1"/>
  <c r="R237" i="4" s="1"/>
  <c r="R238" i="4" a="1"/>
  <c r="R238" i="4" s="1"/>
  <c r="R239" i="4" a="1"/>
  <c r="R239" i="4" s="1"/>
  <c r="R240" i="4" a="1"/>
  <c r="R240" i="4" s="1"/>
  <c r="R241" i="4" a="1"/>
  <c r="R241" i="4" s="1"/>
  <c r="R242" i="4" a="1"/>
  <c r="R242" i="4" s="1"/>
  <c r="R243" i="4" a="1"/>
  <c r="R243" i="4" s="1"/>
  <c r="R244" i="4" a="1"/>
  <c r="R244" i="4" s="1"/>
  <c r="R245" i="4" a="1"/>
  <c r="R245" i="4" s="1"/>
  <c r="R246" i="4" a="1"/>
  <c r="R246" i="4" s="1"/>
  <c r="R247" i="4" a="1"/>
  <c r="R247" i="4" s="1"/>
  <c r="R248" i="4" a="1"/>
  <c r="R248" i="4" s="1"/>
  <c r="R249" i="4" a="1"/>
  <c r="R249" i="4" s="1"/>
  <c r="R250" i="4" a="1"/>
  <c r="R250" i="4" s="1"/>
  <c r="R251" i="4" a="1"/>
  <c r="R251" i="4" s="1"/>
  <c r="R252" i="4" a="1"/>
  <c r="R252" i="4" s="1"/>
  <c r="R253" i="4" a="1"/>
  <c r="R253" i="4" s="1"/>
  <c r="R254" i="4" a="1"/>
  <c r="R254" i="4" s="1"/>
  <c r="R255" i="4" a="1"/>
  <c r="R255" i="4" s="1"/>
  <c r="R256" i="4" a="1"/>
  <c r="R256" i="4" s="1"/>
  <c r="S232" i="4" a="1"/>
  <c r="S232" i="4" s="1"/>
  <c r="S233" i="4" a="1"/>
  <c r="S233" i="4" s="1"/>
  <c r="S234" i="4" a="1"/>
  <c r="S234" i="4" s="1"/>
  <c r="S235" i="4" a="1"/>
  <c r="S235" i="4" s="1"/>
  <c r="S236" i="4" a="1"/>
  <c r="S236" i="4" s="1"/>
  <c r="S237" i="4" a="1"/>
  <c r="S237" i="4" s="1"/>
  <c r="S238" i="4" a="1"/>
  <c r="S238" i="4" s="1"/>
  <c r="S239" i="4" a="1"/>
  <c r="S239" i="4" s="1"/>
  <c r="S240" i="4" a="1"/>
  <c r="S240" i="4" s="1"/>
  <c r="S241" i="4" a="1"/>
  <c r="S241" i="4" s="1"/>
  <c r="S242" i="4" a="1"/>
  <c r="S242" i="4" s="1"/>
  <c r="S243" i="4" a="1"/>
  <c r="S243" i="4" s="1"/>
  <c r="S244" i="4" a="1"/>
  <c r="S244" i="4" s="1"/>
  <c r="S245" i="4" a="1"/>
  <c r="S245" i="4" s="1"/>
  <c r="S246" i="4" a="1"/>
  <c r="S246" i="4" s="1"/>
  <c r="S247" i="4" a="1"/>
  <c r="S247" i="4" s="1"/>
  <c r="S248" i="4" a="1"/>
  <c r="S248" i="4" s="1"/>
  <c r="S249" i="4" a="1"/>
  <c r="S249" i="4" s="1"/>
  <c r="S250" i="4" a="1"/>
  <c r="S250" i="4" s="1"/>
  <c r="S251" i="4" a="1"/>
  <c r="S251" i="4" s="1"/>
  <c r="S252" i="4" a="1"/>
  <c r="S252" i="4" s="1"/>
  <c r="S253" i="4" a="1"/>
  <c r="S253" i="4" s="1"/>
  <c r="S254" i="4" a="1"/>
  <c r="S254" i="4" s="1"/>
  <c r="S255" i="4" a="1"/>
  <c r="S255" i="4" s="1"/>
  <c r="S256" i="4" a="1"/>
  <c r="S256" i="4" s="1"/>
  <c r="T232" i="4" a="1"/>
  <c r="T232" i="4" s="1"/>
  <c r="T233" i="4" a="1"/>
  <c r="T233" i="4" s="1"/>
  <c r="T234" i="4" a="1"/>
  <c r="T234" i="4" s="1"/>
  <c r="T235" i="4" a="1"/>
  <c r="T235" i="4" s="1"/>
  <c r="T236" i="4" a="1"/>
  <c r="T236" i="4" s="1"/>
  <c r="T237" i="4" a="1"/>
  <c r="T237" i="4" s="1"/>
  <c r="T238" i="4" a="1"/>
  <c r="T238" i="4" s="1"/>
  <c r="T239" i="4" a="1"/>
  <c r="T239" i="4" s="1"/>
  <c r="T240" i="4" a="1"/>
  <c r="T240" i="4" s="1"/>
  <c r="T241" i="4" a="1"/>
  <c r="T241" i="4" s="1"/>
  <c r="T242" i="4" a="1"/>
  <c r="T242" i="4" s="1"/>
  <c r="T243" i="4" a="1"/>
  <c r="T243" i="4" s="1"/>
  <c r="T244" i="4" a="1"/>
  <c r="T244" i="4" s="1"/>
  <c r="T245" i="4" a="1"/>
  <c r="T245" i="4" s="1"/>
  <c r="T246" i="4" a="1"/>
  <c r="T246" i="4" s="1"/>
  <c r="T247" i="4" a="1"/>
  <c r="T247" i="4" s="1"/>
  <c r="T248" i="4" a="1"/>
  <c r="T248" i="4" s="1"/>
  <c r="T249" i="4" a="1"/>
  <c r="T249" i="4" s="1"/>
  <c r="T250" i="4" a="1"/>
  <c r="T250" i="4" s="1"/>
  <c r="T251" i="4" a="1"/>
  <c r="T251" i="4" s="1"/>
  <c r="T252" i="4" a="1"/>
  <c r="T252" i="4" s="1"/>
  <c r="T253" i="4" a="1"/>
  <c r="T253" i="4" s="1"/>
  <c r="T254" i="4" a="1"/>
  <c r="T254" i="4" s="1"/>
  <c r="T255" i="4" a="1"/>
  <c r="T255" i="4" s="1"/>
  <c r="T256" i="4" a="1"/>
  <c r="T256" i="4" s="1"/>
  <c r="U232" i="4" a="1"/>
  <c r="U232" i="4" s="1"/>
  <c r="U233" i="4" a="1"/>
  <c r="U233" i="4" s="1"/>
  <c r="U234" i="4" a="1"/>
  <c r="U234" i="4" s="1"/>
  <c r="U235" i="4" a="1"/>
  <c r="U235" i="4" s="1"/>
  <c r="U236" i="4" a="1"/>
  <c r="U236" i="4" s="1"/>
  <c r="U237" i="4" a="1"/>
  <c r="U237" i="4" s="1"/>
  <c r="U238" i="4" a="1"/>
  <c r="U238" i="4" s="1"/>
  <c r="U239" i="4" a="1"/>
  <c r="U239" i="4" s="1"/>
  <c r="U240" i="4" a="1"/>
  <c r="U240" i="4" s="1"/>
  <c r="U241" i="4" a="1"/>
  <c r="U241" i="4" s="1"/>
  <c r="U242" i="4" a="1"/>
  <c r="U242" i="4" s="1"/>
  <c r="U243" i="4" a="1"/>
  <c r="U243" i="4" s="1"/>
  <c r="U244" i="4" a="1"/>
  <c r="U244" i="4" s="1"/>
  <c r="U245" i="4" a="1"/>
  <c r="U245" i="4" s="1"/>
  <c r="U246" i="4" a="1"/>
  <c r="U246" i="4" s="1"/>
  <c r="U247" i="4" a="1"/>
  <c r="U247" i="4" s="1"/>
  <c r="U248" i="4" a="1"/>
  <c r="U248" i="4" s="1"/>
  <c r="U249" i="4" a="1"/>
  <c r="U249" i="4" s="1"/>
  <c r="U250" i="4" a="1"/>
  <c r="U250" i="4" s="1"/>
  <c r="U251" i="4" a="1"/>
  <c r="U251" i="4" s="1"/>
  <c r="U252" i="4" a="1"/>
  <c r="U252" i="4" s="1"/>
  <c r="U253" i="4" a="1"/>
  <c r="U253" i="4" s="1"/>
  <c r="U254" i="4" a="1"/>
  <c r="U254" i="4" s="1"/>
  <c r="U255" i="4" a="1"/>
  <c r="U255" i="4" s="1"/>
  <c r="U256" i="4" a="1"/>
  <c r="U256" i="4" s="1"/>
  <c r="V232" i="4" a="1"/>
  <c r="V232" i="4" s="1"/>
  <c r="V233" i="4" a="1"/>
  <c r="V233" i="4" s="1"/>
  <c r="V234" i="4" a="1"/>
  <c r="V234" i="4" s="1"/>
  <c r="V235" i="4" a="1"/>
  <c r="V235" i="4" s="1"/>
  <c r="V236" i="4" a="1"/>
  <c r="V236" i="4" s="1"/>
  <c r="V237" i="4" a="1"/>
  <c r="V237" i="4" s="1"/>
  <c r="V238" i="4" a="1"/>
  <c r="V238" i="4" s="1"/>
  <c r="V239" i="4" a="1"/>
  <c r="V239" i="4" s="1"/>
  <c r="V240" i="4" a="1"/>
  <c r="V240" i="4" s="1"/>
  <c r="V241" i="4" a="1"/>
  <c r="V241" i="4" s="1"/>
  <c r="V242" i="4" a="1"/>
  <c r="V242" i="4" s="1"/>
  <c r="V243" i="4" a="1"/>
  <c r="V243" i="4" s="1"/>
  <c r="V244" i="4" a="1"/>
  <c r="V244" i="4" s="1"/>
  <c r="V245" i="4" a="1"/>
  <c r="V245" i="4" s="1"/>
  <c r="V246" i="4" a="1"/>
  <c r="V246" i="4" s="1"/>
  <c r="V247" i="4" a="1"/>
  <c r="V247" i="4" s="1"/>
  <c r="V248" i="4" a="1"/>
  <c r="V248" i="4" s="1"/>
  <c r="V249" i="4" a="1"/>
  <c r="V249" i="4" s="1"/>
  <c r="V250" i="4" a="1"/>
  <c r="V250" i="4" s="1"/>
  <c r="V251" i="4" a="1"/>
  <c r="V251" i="4" s="1"/>
  <c r="V252" i="4" a="1"/>
  <c r="V252" i="4" s="1"/>
  <c r="V253" i="4" a="1"/>
  <c r="V253" i="4" s="1"/>
  <c r="V254" i="4" a="1"/>
  <c r="V254" i="4" s="1"/>
  <c r="V255" i="4" a="1"/>
  <c r="V255" i="4" s="1"/>
  <c r="V256" i="4" a="1"/>
  <c r="V256" i="4" s="1"/>
  <c r="W232" i="4" a="1"/>
  <c r="W232" i="4" s="1"/>
  <c r="W233" i="4" a="1"/>
  <c r="W233" i="4" s="1"/>
  <c r="W234" i="4" a="1"/>
  <c r="W234" i="4" s="1"/>
  <c r="W235" i="4" a="1"/>
  <c r="W235" i="4" s="1"/>
  <c r="W236" i="4" a="1"/>
  <c r="W236" i="4" s="1"/>
  <c r="W237" i="4" a="1"/>
  <c r="W237" i="4" s="1"/>
  <c r="W238" i="4" a="1"/>
  <c r="W238" i="4" s="1"/>
  <c r="W239" i="4" a="1"/>
  <c r="W239" i="4" s="1"/>
  <c r="W240" i="4" a="1"/>
  <c r="W240" i="4" s="1"/>
  <c r="W241" i="4" a="1"/>
  <c r="W241" i="4" s="1"/>
  <c r="W242" i="4" a="1"/>
  <c r="W242" i="4" s="1"/>
  <c r="W243" i="4" a="1"/>
  <c r="W243" i="4" s="1"/>
  <c r="W244" i="4" a="1"/>
  <c r="W244" i="4" s="1"/>
  <c r="W245" i="4" a="1"/>
  <c r="W245" i="4" s="1"/>
  <c r="W246" i="4" a="1"/>
  <c r="W246" i="4" s="1"/>
  <c r="W247" i="4" a="1"/>
  <c r="W247" i="4" s="1"/>
  <c r="W248" i="4" a="1"/>
  <c r="W248" i="4" s="1"/>
  <c r="W249" i="4" a="1"/>
  <c r="W249" i="4" s="1"/>
  <c r="W250" i="4" a="1"/>
  <c r="W250" i="4" s="1"/>
  <c r="W251" i="4" a="1"/>
  <c r="W251" i="4" s="1"/>
  <c r="W252" i="4" a="1"/>
  <c r="W252" i="4" s="1"/>
  <c r="W253" i="4" a="1"/>
  <c r="W253" i="4" s="1"/>
  <c r="W254" i="4" a="1"/>
  <c r="W254" i="4" s="1"/>
  <c r="W255" i="4" a="1"/>
  <c r="W255" i="4" s="1"/>
  <c r="W256" i="4" a="1"/>
  <c r="W256" i="4" s="1"/>
  <c r="X232" i="4" a="1"/>
  <c r="X232" i="4" s="1"/>
  <c r="X233" i="4" a="1"/>
  <c r="X233" i="4" s="1"/>
  <c r="X234" i="4" a="1"/>
  <c r="X234" i="4" s="1"/>
  <c r="X235" i="4" a="1"/>
  <c r="X235" i="4" s="1"/>
  <c r="X236" i="4" a="1"/>
  <c r="X236" i="4" s="1"/>
  <c r="X237" i="4" a="1"/>
  <c r="X237" i="4" s="1"/>
  <c r="X238" i="4" a="1"/>
  <c r="X238" i="4" s="1"/>
  <c r="X239" i="4" a="1"/>
  <c r="X239" i="4" s="1"/>
  <c r="X240" i="4" a="1"/>
  <c r="X240" i="4" s="1"/>
  <c r="X241" i="4" a="1"/>
  <c r="X241" i="4" s="1"/>
  <c r="X242" i="4" a="1"/>
  <c r="X242" i="4" s="1"/>
  <c r="X243" i="4" a="1"/>
  <c r="X243" i="4" s="1"/>
  <c r="X244" i="4" a="1"/>
  <c r="X244" i="4" s="1"/>
  <c r="X245" i="4" a="1"/>
  <c r="X245" i="4" s="1"/>
  <c r="X246" i="4" a="1"/>
  <c r="X246" i="4" s="1"/>
  <c r="X247" i="4" a="1"/>
  <c r="X247" i="4" s="1"/>
  <c r="X248" i="4" a="1"/>
  <c r="X248" i="4" s="1"/>
  <c r="X249" i="4" a="1"/>
  <c r="X249" i="4" s="1"/>
  <c r="X250" i="4" a="1"/>
  <c r="X250" i="4" s="1"/>
  <c r="X251" i="4" a="1"/>
  <c r="X251" i="4" s="1"/>
  <c r="X252" i="4" a="1"/>
  <c r="X252" i="4" s="1"/>
  <c r="X253" i="4" a="1"/>
  <c r="X253" i="4" s="1"/>
  <c r="X254" i="4" a="1"/>
  <c r="X254" i="4" s="1"/>
  <c r="X255" i="4" a="1"/>
  <c r="X255" i="4" s="1"/>
  <c r="X256" i="4" a="1"/>
  <c r="X256" i="4" s="1"/>
  <c r="Y232" i="4" a="1"/>
  <c r="Y232" i="4" s="1"/>
  <c r="Y233" i="4" a="1"/>
  <c r="Y233" i="4" s="1"/>
  <c r="Y234" i="4" a="1"/>
  <c r="Y234" i="4" s="1"/>
  <c r="Y235" i="4" a="1"/>
  <c r="Y235" i="4" s="1"/>
  <c r="Y236" i="4" a="1"/>
  <c r="Y236" i="4" s="1"/>
  <c r="Y237" i="4" a="1"/>
  <c r="Y237" i="4" s="1"/>
  <c r="Y238" i="4" a="1"/>
  <c r="Y238" i="4" s="1"/>
  <c r="Y239" i="4" a="1"/>
  <c r="Y239" i="4" s="1"/>
  <c r="Y240" i="4" a="1"/>
  <c r="Y240" i="4" s="1"/>
  <c r="Y241" i="4" a="1"/>
  <c r="Y241" i="4" s="1"/>
  <c r="Y242" i="4" a="1"/>
  <c r="Y242" i="4" s="1"/>
  <c r="Y243" i="4" a="1"/>
  <c r="Y243" i="4" s="1"/>
  <c r="Y244" i="4" a="1"/>
  <c r="Y244" i="4" s="1"/>
  <c r="Y245" i="4" a="1"/>
  <c r="Y245" i="4" s="1"/>
  <c r="Y246" i="4" a="1"/>
  <c r="Y246" i="4" s="1"/>
  <c r="Y247" i="4" a="1"/>
  <c r="Y247" i="4" s="1"/>
  <c r="Y248" i="4" a="1"/>
  <c r="Y248" i="4" s="1"/>
  <c r="Y249" i="4" a="1"/>
  <c r="Y249" i="4" s="1"/>
  <c r="Y250" i="4" a="1"/>
  <c r="Y250" i="4" s="1"/>
  <c r="Y251" i="4" a="1"/>
  <c r="Y251" i="4" s="1"/>
  <c r="Y252" i="4" a="1"/>
  <c r="Y252" i="4" s="1"/>
  <c r="Y253" i="4" a="1"/>
  <c r="Y253" i="4" s="1"/>
  <c r="Y254" i="4" a="1"/>
  <c r="Y254" i="4" s="1"/>
  <c r="Y255" i="4" a="1"/>
  <c r="Y255" i="4" s="1"/>
  <c r="Y256" i="4" a="1"/>
  <c r="Y256" i="4" s="1"/>
  <c r="Z232" i="4" a="1"/>
  <c r="Z232" i="4" s="1"/>
  <c r="Z233" i="4" a="1"/>
  <c r="Z233" i="4" s="1"/>
  <c r="Z234" i="4" a="1"/>
  <c r="Z234" i="4" s="1"/>
  <c r="Z235" i="4" a="1"/>
  <c r="Z235" i="4" s="1"/>
  <c r="Z236" i="4" a="1"/>
  <c r="Z236" i="4" s="1"/>
  <c r="Z237" i="4" a="1"/>
  <c r="Z237" i="4" s="1"/>
  <c r="Z238" i="4" a="1"/>
  <c r="Z238" i="4" s="1"/>
  <c r="Z239" i="4" a="1"/>
  <c r="Z239" i="4" s="1"/>
  <c r="Z240" i="4" a="1"/>
  <c r="Z240" i="4" s="1"/>
  <c r="Z241" i="4" a="1"/>
  <c r="Z241" i="4" s="1"/>
  <c r="Z242" i="4" a="1"/>
  <c r="Z242" i="4" s="1"/>
  <c r="Z243" i="4" a="1"/>
  <c r="Z243" i="4" s="1"/>
  <c r="Z244" i="4" a="1"/>
  <c r="Z244" i="4" s="1"/>
  <c r="Z245" i="4" a="1"/>
  <c r="Z245" i="4" s="1"/>
  <c r="Z246" i="4" a="1"/>
  <c r="Z246" i="4" s="1"/>
  <c r="Z247" i="4" a="1"/>
  <c r="Z247" i="4" s="1"/>
  <c r="Z248" i="4" a="1"/>
  <c r="Z248" i="4" s="1"/>
  <c r="Z249" i="4" a="1"/>
  <c r="Z249" i="4" s="1"/>
  <c r="Z250" i="4" a="1"/>
  <c r="Z250" i="4" s="1"/>
  <c r="Z251" i="4" a="1"/>
  <c r="Z251" i="4" s="1"/>
  <c r="Z252" i="4" a="1"/>
  <c r="Z252" i="4" s="1"/>
  <c r="Z253" i="4" a="1"/>
  <c r="Z253" i="4" s="1"/>
  <c r="Z254" i="4" a="1"/>
  <c r="Z254" i="4" s="1"/>
  <c r="Z255" i="4" a="1"/>
  <c r="Z255" i="4" s="1"/>
  <c r="Z256" i="4" a="1"/>
  <c r="Z256" i="4" s="1"/>
  <c r="C231" i="4"/>
  <c r="D231" i="4"/>
  <c r="E231" i="4" a="1"/>
  <c r="E231" i="4" s="1"/>
  <c r="F231" i="4" a="1"/>
  <c r="F231" i="4" s="1"/>
  <c r="G231" i="4" a="1"/>
  <c r="G231" i="4" s="1"/>
  <c r="H231" i="4" a="1"/>
  <c r="H231" i="4" s="1"/>
  <c r="I231" i="4" a="1"/>
  <c r="I231" i="4" s="1"/>
  <c r="J231" i="4" a="1"/>
  <c r="J231" i="4" s="1"/>
  <c r="K231" i="4" a="1"/>
  <c r="K231" i="4" s="1"/>
  <c r="L231" i="4" a="1"/>
  <c r="L231" i="4" s="1"/>
  <c r="M231" i="4" a="1"/>
  <c r="M231" i="4" s="1"/>
  <c r="Q231" i="4" a="1"/>
  <c r="Q231" i="4" s="1"/>
  <c r="R231" i="4" a="1"/>
  <c r="R231" i="4" s="1"/>
  <c r="S231" i="4" a="1"/>
  <c r="S231" i="4" s="1"/>
  <c r="T231" i="4" a="1"/>
  <c r="T231" i="4" s="1"/>
  <c r="U231" i="4" a="1"/>
  <c r="U231" i="4" s="1"/>
  <c r="V231" i="4" a="1"/>
  <c r="V231" i="4" s="1"/>
  <c r="W231" i="4" a="1"/>
  <c r="W231" i="4" s="1"/>
  <c r="X231" i="4" a="1"/>
  <c r="X231" i="4" s="1"/>
  <c r="Y231" i="4" a="1"/>
  <c r="Y231" i="4" s="1"/>
  <c r="Z231" i="4" a="1"/>
  <c r="Z231" i="4" s="1"/>
  <c r="B11" i="16"/>
  <c r="G11" i="15"/>
  <c r="B11" i="15"/>
  <c r="C11" i="15"/>
  <c r="F11" i="15"/>
  <c r="O252" i="4" l="1"/>
  <c r="O236" i="4"/>
  <c r="N245" i="4"/>
  <c r="O251" i="4"/>
  <c r="O235" i="4"/>
  <c r="N244" i="4"/>
  <c r="O3" i="15"/>
  <c r="AA244" i="4"/>
  <c r="AA243" i="4"/>
  <c r="AA242" i="4"/>
  <c r="O250" i="4"/>
  <c r="O234" i="4"/>
  <c r="N243" i="4"/>
  <c r="AA241" i="4"/>
  <c r="O249" i="4"/>
  <c r="O233" i="4"/>
  <c r="N242" i="4"/>
  <c r="AA256" i="4"/>
  <c r="AA240" i="4"/>
  <c r="O248" i="4"/>
  <c r="O232" i="4"/>
  <c r="N241" i="4"/>
  <c r="AA239" i="4"/>
  <c r="O247" i="4"/>
  <c r="N256" i="4"/>
  <c r="N240" i="4"/>
  <c r="AA254" i="4"/>
  <c r="AA238" i="4"/>
  <c r="O246" i="4"/>
  <c r="N255" i="4"/>
  <c r="N239" i="4"/>
  <c r="AA255" i="4"/>
  <c r="AA253" i="4"/>
  <c r="AA237" i="4"/>
  <c r="O245" i="4"/>
  <c r="P245" i="4" s="1"/>
  <c r="N254" i="4"/>
  <c r="N238" i="4"/>
  <c r="AA252" i="4"/>
  <c r="AA236" i="4"/>
  <c r="O244" i="4"/>
  <c r="P244" i="4" s="1"/>
  <c r="N253" i="4"/>
  <c r="N237" i="4"/>
  <c r="AA251" i="4"/>
  <c r="AA235" i="4"/>
  <c r="O243" i="4"/>
  <c r="N252" i="4"/>
  <c r="P252" i="4" s="1"/>
  <c r="N236" i="4"/>
  <c r="P236" i="4" s="1"/>
  <c r="AA250" i="4"/>
  <c r="AA234" i="4"/>
  <c r="O242" i="4"/>
  <c r="N251" i="4"/>
  <c r="P251" i="4" s="1"/>
  <c r="N235" i="4"/>
  <c r="P235" i="4" s="1"/>
  <c r="AA249" i="4"/>
  <c r="AA233" i="4"/>
  <c r="O241" i="4"/>
  <c r="N250" i="4"/>
  <c r="N234" i="4"/>
  <c r="AA248" i="4"/>
  <c r="AA232" i="4"/>
  <c r="O256" i="4"/>
  <c r="O240" i="4"/>
  <c r="N249" i="4"/>
  <c r="N233" i="4"/>
  <c r="AA247" i="4"/>
  <c r="O255" i="4"/>
  <c r="O239" i="4"/>
  <c r="N248" i="4"/>
  <c r="P248" i="4" s="1"/>
  <c r="N232" i="4"/>
  <c r="P232" i="4" s="1"/>
  <c r="AA246" i="4"/>
  <c r="O254" i="4"/>
  <c r="O238" i="4"/>
  <c r="N247" i="4"/>
  <c r="P247" i="4" s="1"/>
  <c r="AA245" i="4"/>
  <c r="O253" i="4"/>
  <c r="O237" i="4"/>
  <c r="N246" i="4"/>
  <c r="O231" i="4"/>
  <c r="AA231" i="4"/>
  <c r="N231" i="4"/>
  <c r="P231" i="4" s="1"/>
  <c r="E11" i="15"/>
  <c r="O4" i="15" s="1"/>
  <c r="H11" i="15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14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390" i="1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145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080" i="2"/>
  <c r="K320" i="11"/>
  <c r="K321" i="11"/>
  <c r="K322" i="11"/>
  <c r="K323" i="11"/>
  <c r="K324" i="11"/>
  <c r="K325" i="11"/>
  <c r="K326" i="11"/>
  <c r="K327" i="11"/>
  <c r="K328" i="11"/>
  <c r="K329" i="11"/>
  <c r="K330" i="11"/>
  <c r="K331" i="11"/>
  <c r="K332" i="11"/>
  <c r="K333" i="11"/>
  <c r="K334" i="11"/>
  <c r="K335" i="11"/>
  <c r="K336" i="11"/>
  <c r="K337" i="11"/>
  <c r="K338" i="11"/>
  <c r="K339" i="11"/>
  <c r="K340" i="11"/>
  <c r="K341" i="11"/>
  <c r="K342" i="11"/>
  <c r="K343" i="11"/>
  <c r="K344" i="11"/>
  <c r="K345" i="11"/>
  <c r="K346" i="11"/>
  <c r="K347" i="11"/>
  <c r="K348" i="11"/>
  <c r="K349" i="11"/>
  <c r="K350" i="11"/>
  <c r="K351" i="11"/>
  <c r="K352" i="11"/>
  <c r="K353" i="11"/>
  <c r="K354" i="11"/>
  <c r="K355" i="11"/>
  <c r="K356" i="11"/>
  <c r="K357" i="11"/>
  <c r="K358" i="11"/>
  <c r="K359" i="11"/>
  <c r="K360" i="11"/>
  <c r="K361" i="11"/>
  <c r="K362" i="11"/>
  <c r="K363" i="11"/>
  <c r="K364" i="11"/>
  <c r="K365" i="11"/>
  <c r="O320" i="11"/>
  <c r="O321" i="11"/>
  <c r="O322" i="11"/>
  <c r="O323" i="11"/>
  <c r="O324" i="11"/>
  <c r="O325" i="11"/>
  <c r="O326" i="11"/>
  <c r="O327" i="11"/>
  <c r="O328" i="11"/>
  <c r="O329" i="11"/>
  <c r="O330" i="11"/>
  <c r="O331" i="11"/>
  <c r="O332" i="11"/>
  <c r="O333" i="11"/>
  <c r="O334" i="11"/>
  <c r="O335" i="11"/>
  <c r="O336" i="11"/>
  <c r="O337" i="11"/>
  <c r="O338" i="11"/>
  <c r="O339" i="11"/>
  <c r="O340" i="11"/>
  <c r="O341" i="11"/>
  <c r="O342" i="11"/>
  <c r="O343" i="11"/>
  <c r="O344" i="11"/>
  <c r="O345" i="11"/>
  <c r="O346" i="11"/>
  <c r="O347" i="11"/>
  <c r="O348" i="11"/>
  <c r="O349" i="11"/>
  <c r="O350" i="11"/>
  <c r="O351" i="11"/>
  <c r="O352" i="11"/>
  <c r="O353" i="11"/>
  <c r="O354" i="11"/>
  <c r="O355" i="11"/>
  <c r="O356" i="11"/>
  <c r="O357" i="11"/>
  <c r="O358" i="11"/>
  <c r="O359" i="11"/>
  <c r="O360" i="11"/>
  <c r="O361" i="11"/>
  <c r="O362" i="11"/>
  <c r="O363" i="11"/>
  <c r="O364" i="11"/>
  <c r="O365" i="11"/>
  <c r="P249" i="4" l="1"/>
  <c r="P233" i="4"/>
  <c r="P234" i="4"/>
  <c r="P246" i="4"/>
  <c r="P250" i="4"/>
  <c r="I11" i="15"/>
  <c r="P241" i="4"/>
  <c r="P238" i="4"/>
  <c r="P254" i="4"/>
  <c r="P242" i="4"/>
  <c r="P239" i="4"/>
  <c r="P255" i="4"/>
  <c r="P243" i="4"/>
  <c r="P237" i="4"/>
  <c r="P240" i="4"/>
  <c r="P253" i="4"/>
  <c r="P256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E206" i="4" a="1"/>
  <c r="E206" i="4" s="1"/>
  <c r="E207" i="4" a="1"/>
  <c r="E207" i="4" s="1"/>
  <c r="E208" i="4" a="1"/>
  <c r="E208" i="4" s="1"/>
  <c r="E209" i="4" a="1"/>
  <c r="E209" i="4" s="1"/>
  <c r="E210" i="4" a="1"/>
  <c r="E210" i="4" s="1"/>
  <c r="E211" i="4" a="1"/>
  <c r="E211" i="4" s="1"/>
  <c r="E212" i="4" a="1"/>
  <c r="E212" i="4" s="1"/>
  <c r="E213" i="4" a="1"/>
  <c r="E213" i="4" s="1"/>
  <c r="E214" i="4" a="1"/>
  <c r="E214" i="4" s="1"/>
  <c r="E215" i="4" a="1"/>
  <c r="E215" i="4" s="1"/>
  <c r="E216" i="4" a="1"/>
  <c r="E216" i="4" s="1"/>
  <c r="E217" i="4" a="1"/>
  <c r="E217" i="4" s="1"/>
  <c r="E218" i="4" a="1"/>
  <c r="E218" i="4" s="1"/>
  <c r="E219" i="4" a="1"/>
  <c r="E219" i="4" s="1"/>
  <c r="E220" i="4" a="1"/>
  <c r="E220" i="4" s="1"/>
  <c r="E221" i="4" a="1"/>
  <c r="E221" i="4" s="1"/>
  <c r="E222" i="4" a="1"/>
  <c r="E222" i="4" s="1"/>
  <c r="E223" i="4" a="1"/>
  <c r="E223" i="4" s="1"/>
  <c r="E224" i="4" a="1"/>
  <c r="E224" i="4" s="1"/>
  <c r="E225" i="4" a="1"/>
  <c r="E225" i="4" s="1"/>
  <c r="E226" i="4" a="1"/>
  <c r="E226" i="4" s="1"/>
  <c r="E227" i="4" a="1"/>
  <c r="E227" i="4" s="1"/>
  <c r="E228" i="4" a="1"/>
  <c r="E228" i="4" s="1"/>
  <c r="E229" i="4" a="1"/>
  <c r="E229" i="4" s="1"/>
  <c r="E230" i="4" a="1"/>
  <c r="E230" i="4" s="1"/>
  <c r="F206" i="4" a="1"/>
  <c r="F206" i="4" s="1"/>
  <c r="F207" i="4" a="1"/>
  <c r="F207" i="4" s="1"/>
  <c r="F208" i="4" a="1"/>
  <c r="F208" i="4" s="1"/>
  <c r="F209" i="4" a="1"/>
  <c r="F209" i="4" s="1"/>
  <c r="F210" i="4" a="1"/>
  <c r="F210" i="4" s="1"/>
  <c r="F211" i="4" a="1"/>
  <c r="F211" i="4" s="1"/>
  <c r="F212" i="4" a="1"/>
  <c r="F212" i="4" s="1"/>
  <c r="F213" i="4" a="1"/>
  <c r="F213" i="4" s="1"/>
  <c r="F214" i="4" a="1"/>
  <c r="F214" i="4" s="1"/>
  <c r="F215" i="4" a="1"/>
  <c r="F215" i="4" s="1"/>
  <c r="F216" i="4" a="1"/>
  <c r="F216" i="4" s="1"/>
  <c r="F217" i="4" a="1"/>
  <c r="F217" i="4" s="1"/>
  <c r="F218" i="4" a="1"/>
  <c r="F218" i="4" s="1"/>
  <c r="F219" i="4" a="1"/>
  <c r="F219" i="4" s="1"/>
  <c r="F220" i="4" a="1"/>
  <c r="F220" i="4" s="1"/>
  <c r="F221" i="4" a="1"/>
  <c r="F221" i="4" s="1"/>
  <c r="F222" i="4" a="1"/>
  <c r="F222" i="4" s="1"/>
  <c r="F223" i="4" a="1"/>
  <c r="F223" i="4" s="1"/>
  <c r="F224" i="4" a="1"/>
  <c r="F224" i="4" s="1"/>
  <c r="F225" i="4" a="1"/>
  <c r="F225" i="4" s="1"/>
  <c r="F226" i="4" a="1"/>
  <c r="F226" i="4" s="1"/>
  <c r="F227" i="4" a="1"/>
  <c r="F227" i="4" s="1"/>
  <c r="F228" i="4" a="1"/>
  <c r="F228" i="4" s="1"/>
  <c r="F229" i="4" a="1"/>
  <c r="F229" i="4" s="1"/>
  <c r="F230" i="4" a="1"/>
  <c r="F230" i="4" s="1"/>
  <c r="G206" i="4" a="1"/>
  <c r="G206" i="4" s="1"/>
  <c r="G207" i="4" a="1"/>
  <c r="G207" i="4" s="1"/>
  <c r="G208" i="4" a="1"/>
  <c r="G208" i="4" s="1"/>
  <c r="G209" i="4" a="1"/>
  <c r="G209" i="4" s="1"/>
  <c r="G210" i="4" a="1"/>
  <c r="G210" i="4" s="1"/>
  <c r="G211" i="4" a="1"/>
  <c r="G211" i="4" s="1"/>
  <c r="G212" i="4" a="1"/>
  <c r="G212" i="4" s="1"/>
  <c r="G213" i="4" a="1"/>
  <c r="G213" i="4" s="1"/>
  <c r="G214" i="4" a="1"/>
  <c r="G214" i="4" s="1"/>
  <c r="G215" i="4" a="1"/>
  <c r="G215" i="4" s="1"/>
  <c r="G216" i="4" a="1"/>
  <c r="G216" i="4" s="1"/>
  <c r="G217" i="4" a="1"/>
  <c r="G217" i="4" s="1"/>
  <c r="G218" i="4" a="1"/>
  <c r="G218" i="4" s="1"/>
  <c r="G219" i="4" a="1"/>
  <c r="G219" i="4" s="1"/>
  <c r="G220" i="4" a="1"/>
  <c r="G220" i="4" s="1"/>
  <c r="G221" i="4" a="1"/>
  <c r="G221" i="4" s="1"/>
  <c r="G222" i="4" a="1"/>
  <c r="G222" i="4" s="1"/>
  <c r="G223" i="4" a="1"/>
  <c r="G223" i="4" s="1"/>
  <c r="G224" i="4" a="1"/>
  <c r="G224" i="4" s="1"/>
  <c r="G225" i="4" a="1"/>
  <c r="G225" i="4" s="1"/>
  <c r="G226" i="4" a="1"/>
  <c r="G226" i="4" s="1"/>
  <c r="G227" i="4" a="1"/>
  <c r="G227" i="4" s="1"/>
  <c r="G228" i="4" a="1"/>
  <c r="G228" i="4" s="1"/>
  <c r="G229" i="4" a="1"/>
  <c r="G229" i="4" s="1"/>
  <c r="G230" i="4" a="1"/>
  <c r="G230" i="4" s="1"/>
  <c r="H206" i="4" a="1"/>
  <c r="H206" i="4" s="1"/>
  <c r="H207" i="4" a="1"/>
  <c r="H207" i="4" s="1"/>
  <c r="H208" i="4" a="1"/>
  <c r="H208" i="4" s="1"/>
  <c r="H209" i="4" a="1"/>
  <c r="H209" i="4" s="1"/>
  <c r="H210" i="4" a="1"/>
  <c r="H210" i="4" s="1"/>
  <c r="H211" i="4" a="1"/>
  <c r="H211" i="4" s="1"/>
  <c r="H212" i="4" a="1"/>
  <c r="H212" i="4" s="1"/>
  <c r="H213" i="4" a="1"/>
  <c r="H213" i="4" s="1"/>
  <c r="H214" i="4" a="1"/>
  <c r="H214" i="4" s="1"/>
  <c r="H215" i="4" a="1"/>
  <c r="H215" i="4" s="1"/>
  <c r="H216" i="4" a="1"/>
  <c r="H216" i="4" s="1"/>
  <c r="H217" i="4" a="1"/>
  <c r="H217" i="4" s="1"/>
  <c r="H218" i="4" a="1"/>
  <c r="H218" i="4" s="1"/>
  <c r="H219" i="4" a="1"/>
  <c r="H219" i="4" s="1"/>
  <c r="H220" i="4" a="1"/>
  <c r="H220" i="4" s="1"/>
  <c r="H221" i="4" a="1"/>
  <c r="H221" i="4" s="1"/>
  <c r="H222" i="4" a="1"/>
  <c r="H222" i="4" s="1"/>
  <c r="H223" i="4" a="1"/>
  <c r="H223" i="4" s="1"/>
  <c r="H224" i="4" a="1"/>
  <c r="H224" i="4" s="1"/>
  <c r="H225" i="4" a="1"/>
  <c r="H225" i="4" s="1"/>
  <c r="H226" i="4" a="1"/>
  <c r="H226" i="4" s="1"/>
  <c r="H227" i="4" a="1"/>
  <c r="H227" i="4" s="1"/>
  <c r="H228" i="4" a="1"/>
  <c r="H228" i="4" s="1"/>
  <c r="H229" i="4" a="1"/>
  <c r="H229" i="4" s="1"/>
  <c r="H230" i="4" a="1"/>
  <c r="H230" i="4" s="1"/>
  <c r="I206" i="4" a="1"/>
  <c r="I206" i="4" s="1"/>
  <c r="I207" i="4" a="1"/>
  <c r="I207" i="4" s="1"/>
  <c r="I208" i="4" a="1"/>
  <c r="I208" i="4" s="1"/>
  <c r="I209" i="4" a="1"/>
  <c r="I209" i="4" s="1"/>
  <c r="I210" i="4" a="1"/>
  <c r="I210" i="4" s="1"/>
  <c r="I211" i="4" a="1"/>
  <c r="I211" i="4" s="1"/>
  <c r="I212" i="4" a="1"/>
  <c r="I212" i="4" s="1"/>
  <c r="I213" i="4" a="1"/>
  <c r="I213" i="4" s="1"/>
  <c r="I214" i="4" a="1"/>
  <c r="I214" i="4" s="1"/>
  <c r="I215" i="4" a="1"/>
  <c r="I215" i="4" s="1"/>
  <c r="I216" i="4" a="1"/>
  <c r="I216" i="4" s="1"/>
  <c r="I217" i="4" a="1"/>
  <c r="I217" i="4" s="1"/>
  <c r="I218" i="4" a="1"/>
  <c r="I218" i="4" s="1"/>
  <c r="I219" i="4" a="1"/>
  <c r="I219" i="4" s="1"/>
  <c r="I220" i="4" a="1"/>
  <c r="I220" i="4" s="1"/>
  <c r="I221" i="4" a="1"/>
  <c r="I221" i="4" s="1"/>
  <c r="I222" i="4" a="1"/>
  <c r="I222" i="4" s="1"/>
  <c r="I223" i="4" a="1"/>
  <c r="I223" i="4" s="1"/>
  <c r="I224" i="4" a="1"/>
  <c r="I224" i="4" s="1"/>
  <c r="I225" i="4" a="1"/>
  <c r="I225" i="4" s="1"/>
  <c r="I226" i="4" a="1"/>
  <c r="I226" i="4" s="1"/>
  <c r="I227" i="4" a="1"/>
  <c r="I227" i="4" s="1"/>
  <c r="I228" i="4" a="1"/>
  <c r="I228" i="4" s="1"/>
  <c r="I229" i="4" a="1"/>
  <c r="I229" i="4" s="1"/>
  <c r="I230" i="4" a="1"/>
  <c r="I230" i="4" s="1"/>
  <c r="J206" i="4" a="1"/>
  <c r="J206" i="4" s="1"/>
  <c r="J207" i="4" a="1"/>
  <c r="J207" i="4" s="1"/>
  <c r="J208" i="4" a="1"/>
  <c r="J208" i="4" s="1"/>
  <c r="J209" i="4" a="1"/>
  <c r="J209" i="4" s="1"/>
  <c r="J210" i="4" a="1"/>
  <c r="J210" i="4" s="1"/>
  <c r="J211" i="4" a="1"/>
  <c r="J211" i="4" s="1"/>
  <c r="J212" i="4" a="1"/>
  <c r="J212" i="4" s="1"/>
  <c r="J213" i="4" a="1"/>
  <c r="J213" i="4" s="1"/>
  <c r="J214" i="4" a="1"/>
  <c r="J214" i="4" s="1"/>
  <c r="J215" i="4" a="1"/>
  <c r="J215" i="4" s="1"/>
  <c r="J216" i="4" a="1"/>
  <c r="J216" i="4" s="1"/>
  <c r="J217" i="4" a="1"/>
  <c r="J217" i="4" s="1"/>
  <c r="J218" i="4" a="1"/>
  <c r="J218" i="4" s="1"/>
  <c r="J219" i="4" a="1"/>
  <c r="J219" i="4" s="1"/>
  <c r="J220" i="4" a="1"/>
  <c r="J220" i="4" s="1"/>
  <c r="J221" i="4" a="1"/>
  <c r="J221" i="4" s="1"/>
  <c r="J222" i="4" a="1"/>
  <c r="J222" i="4" s="1"/>
  <c r="J223" i="4" a="1"/>
  <c r="J223" i="4" s="1"/>
  <c r="J224" i="4" a="1"/>
  <c r="J224" i="4" s="1"/>
  <c r="J225" i="4" a="1"/>
  <c r="J225" i="4" s="1"/>
  <c r="J226" i="4" a="1"/>
  <c r="J226" i="4" s="1"/>
  <c r="J227" i="4" a="1"/>
  <c r="J227" i="4" s="1"/>
  <c r="J228" i="4" a="1"/>
  <c r="J228" i="4" s="1"/>
  <c r="J229" i="4" a="1"/>
  <c r="J229" i="4" s="1"/>
  <c r="J230" i="4" a="1"/>
  <c r="J230" i="4" s="1"/>
  <c r="K206" i="4" a="1"/>
  <c r="K206" i="4" s="1"/>
  <c r="K207" i="4" a="1"/>
  <c r="K207" i="4" s="1"/>
  <c r="K208" i="4" a="1"/>
  <c r="K208" i="4" s="1"/>
  <c r="K209" i="4" a="1"/>
  <c r="K209" i="4" s="1"/>
  <c r="K210" i="4" a="1"/>
  <c r="K210" i="4" s="1"/>
  <c r="K211" i="4" a="1"/>
  <c r="K211" i="4" s="1"/>
  <c r="K212" i="4" a="1"/>
  <c r="K212" i="4" s="1"/>
  <c r="K213" i="4" a="1"/>
  <c r="K213" i="4" s="1"/>
  <c r="K214" i="4" a="1"/>
  <c r="K214" i="4" s="1"/>
  <c r="K215" i="4" a="1"/>
  <c r="K215" i="4" s="1"/>
  <c r="K216" i="4" a="1"/>
  <c r="K216" i="4" s="1"/>
  <c r="K217" i="4" a="1"/>
  <c r="K217" i="4" s="1"/>
  <c r="K218" i="4" a="1"/>
  <c r="K218" i="4" s="1"/>
  <c r="K219" i="4" a="1"/>
  <c r="K219" i="4" s="1"/>
  <c r="K220" i="4" a="1"/>
  <c r="K220" i="4" s="1"/>
  <c r="K221" i="4" a="1"/>
  <c r="K221" i="4" s="1"/>
  <c r="K222" i="4" a="1"/>
  <c r="K222" i="4" s="1"/>
  <c r="K223" i="4" a="1"/>
  <c r="K223" i="4" s="1"/>
  <c r="K224" i="4" a="1"/>
  <c r="K224" i="4" s="1"/>
  <c r="K225" i="4" a="1"/>
  <c r="K225" i="4" s="1"/>
  <c r="K226" i="4" a="1"/>
  <c r="K226" i="4" s="1"/>
  <c r="K227" i="4" a="1"/>
  <c r="K227" i="4" s="1"/>
  <c r="K228" i="4" a="1"/>
  <c r="K228" i="4" s="1"/>
  <c r="K229" i="4" a="1"/>
  <c r="K229" i="4" s="1"/>
  <c r="K230" i="4" a="1"/>
  <c r="K230" i="4" s="1"/>
  <c r="L206" i="4" a="1"/>
  <c r="L206" i="4" s="1"/>
  <c r="L207" i="4" a="1"/>
  <c r="L207" i="4" s="1"/>
  <c r="L208" i="4" a="1"/>
  <c r="L208" i="4" s="1"/>
  <c r="L209" i="4" a="1"/>
  <c r="L209" i="4" s="1"/>
  <c r="L210" i="4" a="1"/>
  <c r="L210" i="4" s="1"/>
  <c r="L211" i="4" a="1"/>
  <c r="L211" i="4" s="1"/>
  <c r="L212" i="4" a="1"/>
  <c r="L212" i="4" s="1"/>
  <c r="L213" i="4" a="1"/>
  <c r="L213" i="4" s="1"/>
  <c r="L214" i="4" a="1"/>
  <c r="L214" i="4" s="1"/>
  <c r="L215" i="4" a="1"/>
  <c r="L215" i="4" s="1"/>
  <c r="L216" i="4" a="1"/>
  <c r="L216" i="4" s="1"/>
  <c r="L217" i="4" a="1"/>
  <c r="L217" i="4" s="1"/>
  <c r="L218" i="4" a="1"/>
  <c r="L218" i="4" s="1"/>
  <c r="L219" i="4" a="1"/>
  <c r="L219" i="4" s="1"/>
  <c r="L220" i="4" a="1"/>
  <c r="L220" i="4" s="1"/>
  <c r="L221" i="4" a="1"/>
  <c r="L221" i="4" s="1"/>
  <c r="L222" i="4" a="1"/>
  <c r="L222" i="4" s="1"/>
  <c r="L223" i="4" a="1"/>
  <c r="L223" i="4" s="1"/>
  <c r="L224" i="4" a="1"/>
  <c r="L224" i="4" s="1"/>
  <c r="L225" i="4" a="1"/>
  <c r="L225" i="4" s="1"/>
  <c r="L226" i="4" a="1"/>
  <c r="L226" i="4" s="1"/>
  <c r="L227" i="4" a="1"/>
  <c r="L227" i="4" s="1"/>
  <c r="L228" i="4" a="1"/>
  <c r="L228" i="4" s="1"/>
  <c r="L229" i="4" a="1"/>
  <c r="L229" i="4" s="1"/>
  <c r="L230" i="4" a="1"/>
  <c r="L230" i="4" s="1"/>
  <c r="M206" i="4" a="1"/>
  <c r="M206" i="4" s="1"/>
  <c r="M207" i="4" a="1"/>
  <c r="M207" i="4" s="1"/>
  <c r="M208" i="4" a="1"/>
  <c r="M208" i="4" s="1"/>
  <c r="M209" i="4" a="1"/>
  <c r="M209" i="4" s="1"/>
  <c r="M210" i="4" a="1"/>
  <c r="M210" i="4" s="1"/>
  <c r="M211" i="4" a="1"/>
  <c r="M211" i="4" s="1"/>
  <c r="M212" i="4" a="1"/>
  <c r="M212" i="4" s="1"/>
  <c r="M213" i="4" a="1"/>
  <c r="M213" i="4" s="1"/>
  <c r="M214" i="4" a="1"/>
  <c r="M214" i="4" s="1"/>
  <c r="M215" i="4" a="1"/>
  <c r="M215" i="4" s="1"/>
  <c r="M216" i="4" a="1"/>
  <c r="M216" i="4" s="1"/>
  <c r="M217" i="4" a="1"/>
  <c r="M217" i="4" s="1"/>
  <c r="M218" i="4" a="1"/>
  <c r="M218" i="4" s="1"/>
  <c r="M219" i="4" a="1"/>
  <c r="M219" i="4" s="1"/>
  <c r="M220" i="4" a="1"/>
  <c r="M220" i="4" s="1"/>
  <c r="M221" i="4" a="1"/>
  <c r="M221" i="4" s="1"/>
  <c r="M222" i="4" a="1"/>
  <c r="M222" i="4" s="1"/>
  <c r="M223" i="4" a="1"/>
  <c r="M223" i="4" s="1"/>
  <c r="M224" i="4" a="1"/>
  <c r="M224" i="4" s="1"/>
  <c r="M225" i="4" a="1"/>
  <c r="M225" i="4" s="1"/>
  <c r="M226" i="4" a="1"/>
  <c r="M226" i="4" s="1"/>
  <c r="M227" i="4" a="1"/>
  <c r="M227" i="4" s="1"/>
  <c r="M228" i="4" a="1"/>
  <c r="M228" i="4" s="1"/>
  <c r="M229" i="4" a="1"/>
  <c r="M229" i="4" s="1"/>
  <c r="M230" i="4" a="1"/>
  <c r="M230" i="4" s="1"/>
  <c r="Q206" i="4" a="1"/>
  <c r="Q206" i="4" s="1"/>
  <c r="Q207" i="4" a="1"/>
  <c r="Q207" i="4" s="1"/>
  <c r="Q208" i="4" a="1"/>
  <c r="Q208" i="4" s="1"/>
  <c r="Q209" i="4" a="1"/>
  <c r="Q209" i="4" s="1"/>
  <c r="Q210" i="4" a="1"/>
  <c r="Q210" i="4" s="1"/>
  <c r="Q211" i="4" a="1"/>
  <c r="Q211" i="4" s="1"/>
  <c r="Q212" i="4" a="1"/>
  <c r="Q212" i="4" s="1"/>
  <c r="Q213" i="4" a="1"/>
  <c r="Q213" i="4" s="1"/>
  <c r="Q214" i="4" a="1"/>
  <c r="Q214" i="4" s="1"/>
  <c r="Q215" i="4" a="1"/>
  <c r="Q215" i="4" s="1"/>
  <c r="Q216" i="4" a="1"/>
  <c r="Q216" i="4" s="1"/>
  <c r="Q217" i="4" a="1"/>
  <c r="Q217" i="4" s="1"/>
  <c r="Q218" i="4" a="1"/>
  <c r="Q218" i="4" s="1"/>
  <c r="Q219" i="4" a="1"/>
  <c r="Q219" i="4" s="1"/>
  <c r="Q220" i="4" a="1"/>
  <c r="Q220" i="4" s="1"/>
  <c r="Q221" i="4" a="1"/>
  <c r="Q221" i="4" s="1"/>
  <c r="Q222" i="4" a="1"/>
  <c r="Q222" i="4" s="1"/>
  <c r="Q223" i="4" a="1"/>
  <c r="Q223" i="4" s="1"/>
  <c r="Q224" i="4" a="1"/>
  <c r="Q224" i="4" s="1"/>
  <c r="Q225" i="4" a="1"/>
  <c r="Q225" i="4" s="1"/>
  <c r="Q226" i="4" a="1"/>
  <c r="Q226" i="4" s="1"/>
  <c r="Q227" i="4" a="1"/>
  <c r="Q227" i="4" s="1"/>
  <c r="Q228" i="4" a="1"/>
  <c r="Q228" i="4" s="1"/>
  <c r="Q229" i="4" a="1"/>
  <c r="Q229" i="4" s="1"/>
  <c r="Q230" i="4" a="1"/>
  <c r="Q230" i="4" s="1"/>
  <c r="R206" i="4" a="1"/>
  <c r="R206" i="4" s="1"/>
  <c r="R207" i="4" a="1"/>
  <c r="R207" i="4" s="1"/>
  <c r="R208" i="4" a="1"/>
  <c r="R208" i="4" s="1"/>
  <c r="R209" i="4" a="1"/>
  <c r="R209" i="4" s="1"/>
  <c r="R210" i="4" a="1"/>
  <c r="R210" i="4" s="1"/>
  <c r="R211" i="4" a="1"/>
  <c r="R211" i="4" s="1"/>
  <c r="R212" i="4" a="1"/>
  <c r="R212" i="4" s="1"/>
  <c r="R213" i="4" a="1"/>
  <c r="R213" i="4" s="1"/>
  <c r="R214" i="4" a="1"/>
  <c r="R214" i="4" s="1"/>
  <c r="R215" i="4" a="1"/>
  <c r="R215" i="4" s="1"/>
  <c r="R216" i="4" a="1"/>
  <c r="R216" i="4" s="1"/>
  <c r="R217" i="4" a="1"/>
  <c r="R217" i="4" s="1"/>
  <c r="R218" i="4" a="1"/>
  <c r="R218" i="4" s="1"/>
  <c r="R219" i="4" a="1"/>
  <c r="R219" i="4" s="1"/>
  <c r="R220" i="4" a="1"/>
  <c r="R220" i="4" s="1"/>
  <c r="R221" i="4" a="1"/>
  <c r="R221" i="4" s="1"/>
  <c r="R222" i="4" a="1"/>
  <c r="R222" i="4" s="1"/>
  <c r="R223" i="4" a="1"/>
  <c r="R223" i="4" s="1"/>
  <c r="R224" i="4" a="1"/>
  <c r="R224" i="4" s="1"/>
  <c r="R225" i="4" a="1"/>
  <c r="R225" i="4" s="1"/>
  <c r="R226" i="4" a="1"/>
  <c r="R226" i="4" s="1"/>
  <c r="R227" i="4" a="1"/>
  <c r="R227" i="4" s="1"/>
  <c r="R228" i="4" a="1"/>
  <c r="R228" i="4" s="1"/>
  <c r="R229" i="4" a="1"/>
  <c r="R229" i="4" s="1"/>
  <c r="R230" i="4" a="1"/>
  <c r="R230" i="4" s="1"/>
  <c r="S206" i="4" a="1"/>
  <c r="S206" i="4" s="1"/>
  <c r="S207" i="4" a="1"/>
  <c r="S207" i="4" s="1"/>
  <c r="S208" i="4" a="1"/>
  <c r="S208" i="4" s="1"/>
  <c r="S209" i="4" a="1"/>
  <c r="S209" i="4" s="1"/>
  <c r="S210" i="4" a="1"/>
  <c r="S210" i="4" s="1"/>
  <c r="S211" i="4" a="1"/>
  <c r="S211" i="4" s="1"/>
  <c r="S212" i="4" a="1"/>
  <c r="S212" i="4" s="1"/>
  <c r="S213" i="4" a="1"/>
  <c r="S213" i="4" s="1"/>
  <c r="S214" i="4" a="1"/>
  <c r="S214" i="4" s="1"/>
  <c r="S215" i="4" a="1"/>
  <c r="S215" i="4" s="1"/>
  <c r="S216" i="4" a="1"/>
  <c r="S216" i="4" s="1"/>
  <c r="S217" i="4" a="1"/>
  <c r="S217" i="4" s="1"/>
  <c r="S218" i="4" a="1"/>
  <c r="S218" i="4" s="1"/>
  <c r="S219" i="4" a="1"/>
  <c r="S219" i="4" s="1"/>
  <c r="S220" i="4" a="1"/>
  <c r="S220" i="4" s="1"/>
  <c r="S221" i="4" a="1"/>
  <c r="S221" i="4" s="1"/>
  <c r="S222" i="4" a="1"/>
  <c r="S222" i="4" s="1"/>
  <c r="S223" i="4" a="1"/>
  <c r="S223" i="4" s="1"/>
  <c r="S224" i="4" a="1"/>
  <c r="S224" i="4" s="1"/>
  <c r="S225" i="4" a="1"/>
  <c r="S225" i="4" s="1"/>
  <c r="S226" i="4" a="1"/>
  <c r="S226" i="4" s="1"/>
  <c r="S227" i="4" a="1"/>
  <c r="S227" i="4" s="1"/>
  <c r="S228" i="4" a="1"/>
  <c r="S228" i="4" s="1"/>
  <c r="S229" i="4" a="1"/>
  <c r="S229" i="4" s="1"/>
  <c r="S230" i="4" a="1"/>
  <c r="S230" i="4" s="1"/>
  <c r="T206" i="4" a="1"/>
  <c r="T206" i="4" s="1"/>
  <c r="T207" i="4" a="1"/>
  <c r="T207" i="4" s="1"/>
  <c r="T208" i="4" a="1"/>
  <c r="T208" i="4" s="1"/>
  <c r="T209" i="4" a="1"/>
  <c r="T209" i="4" s="1"/>
  <c r="T210" i="4" a="1"/>
  <c r="T210" i="4" s="1"/>
  <c r="T211" i="4" a="1"/>
  <c r="T211" i="4" s="1"/>
  <c r="T212" i="4" a="1"/>
  <c r="T212" i="4" s="1"/>
  <c r="T213" i="4" a="1"/>
  <c r="T213" i="4" s="1"/>
  <c r="T214" i="4" a="1"/>
  <c r="T214" i="4" s="1"/>
  <c r="T215" i="4" a="1"/>
  <c r="T215" i="4" s="1"/>
  <c r="T216" i="4" a="1"/>
  <c r="T216" i="4" s="1"/>
  <c r="T217" i="4" a="1"/>
  <c r="T217" i="4" s="1"/>
  <c r="T218" i="4" a="1"/>
  <c r="T218" i="4" s="1"/>
  <c r="T219" i="4" a="1"/>
  <c r="T219" i="4" s="1"/>
  <c r="T220" i="4" a="1"/>
  <c r="T220" i="4" s="1"/>
  <c r="T221" i="4" a="1"/>
  <c r="T221" i="4" s="1"/>
  <c r="T222" i="4" a="1"/>
  <c r="T222" i="4" s="1"/>
  <c r="T223" i="4" a="1"/>
  <c r="T223" i="4" s="1"/>
  <c r="T224" i="4" a="1"/>
  <c r="T224" i="4" s="1"/>
  <c r="T225" i="4" a="1"/>
  <c r="T225" i="4" s="1"/>
  <c r="T226" i="4" a="1"/>
  <c r="T226" i="4" s="1"/>
  <c r="T227" i="4" a="1"/>
  <c r="T227" i="4" s="1"/>
  <c r="T228" i="4" a="1"/>
  <c r="T228" i="4" s="1"/>
  <c r="T229" i="4" a="1"/>
  <c r="T229" i="4" s="1"/>
  <c r="T230" i="4" a="1"/>
  <c r="T230" i="4" s="1"/>
  <c r="U206" i="4" a="1"/>
  <c r="U206" i="4" s="1"/>
  <c r="U207" i="4" a="1"/>
  <c r="U207" i="4" s="1"/>
  <c r="U208" i="4" a="1"/>
  <c r="U208" i="4" s="1"/>
  <c r="U209" i="4" a="1"/>
  <c r="U209" i="4" s="1"/>
  <c r="U210" i="4" a="1"/>
  <c r="U210" i="4" s="1"/>
  <c r="U211" i="4" a="1"/>
  <c r="U211" i="4" s="1"/>
  <c r="U212" i="4" a="1"/>
  <c r="U212" i="4" s="1"/>
  <c r="U213" i="4" a="1"/>
  <c r="U213" i="4" s="1"/>
  <c r="U214" i="4" a="1"/>
  <c r="U214" i="4" s="1"/>
  <c r="U215" i="4" a="1"/>
  <c r="U215" i="4" s="1"/>
  <c r="U216" i="4" a="1"/>
  <c r="U216" i="4" s="1"/>
  <c r="U217" i="4" a="1"/>
  <c r="U217" i="4" s="1"/>
  <c r="U218" i="4" a="1"/>
  <c r="U218" i="4" s="1"/>
  <c r="U219" i="4" a="1"/>
  <c r="U219" i="4" s="1"/>
  <c r="U220" i="4" a="1"/>
  <c r="U220" i="4" s="1"/>
  <c r="U221" i="4" a="1"/>
  <c r="U221" i="4" s="1"/>
  <c r="U222" i="4" a="1"/>
  <c r="U222" i="4" s="1"/>
  <c r="U223" i="4" a="1"/>
  <c r="U223" i="4" s="1"/>
  <c r="U224" i="4" a="1"/>
  <c r="U224" i="4" s="1"/>
  <c r="U225" i="4" a="1"/>
  <c r="U225" i="4" s="1"/>
  <c r="U226" i="4" a="1"/>
  <c r="U226" i="4" s="1"/>
  <c r="U227" i="4" a="1"/>
  <c r="U227" i="4" s="1"/>
  <c r="U228" i="4" a="1"/>
  <c r="U228" i="4" s="1"/>
  <c r="U229" i="4" a="1"/>
  <c r="U229" i="4" s="1"/>
  <c r="U230" i="4" a="1"/>
  <c r="U230" i="4" s="1"/>
  <c r="V206" i="4" a="1"/>
  <c r="V206" i="4" s="1"/>
  <c r="V207" i="4" a="1"/>
  <c r="V207" i="4" s="1"/>
  <c r="V208" i="4" a="1"/>
  <c r="V208" i="4" s="1"/>
  <c r="V209" i="4" a="1"/>
  <c r="V209" i="4" s="1"/>
  <c r="V210" i="4" a="1"/>
  <c r="V210" i="4" s="1"/>
  <c r="V211" i="4" a="1"/>
  <c r="V211" i="4" s="1"/>
  <c r="V212" i="4" a="1"/>
  <c r="V212" i="4" s="1"/>
  <c r="V213" i="4" a="1"/>
  <c r="V213" i="4" s="1"/>
  <c r="V214" i="4" a="1"/>
  <c r="V214" i="4" s="1"/>
  <c r="V215" i="4" a="1"/>
  <c r="V215" i="4" s="1"/>
  <c r="V216" i="4" a="1"/>
  <c r="V216" i="4" s="1"/>
  <c r="V217" i="4" a="1"/>
  <c r="V217" i="4" s="1"/>
  <c r="V218" i="4" a="1"/>
  <c r="V218" i="4" s="1"/>
  <c r="V219" i="4" a="1"/>
  <c r="V219" i="4" s="1"/>
  <c r="V220" i="4" a="1"/>
  <c r="V220" i="4" s="1"/>
  <c r="V221" i="4" a="1"/>
  <c r="V221" i="4" s="1"/>
  <c r="V222" i="4" a="1"/>
  <c r="V222" i="4" s="1"/>
  <c r="V223" i="4" a="1"/>
  <c r="V223" i="4" s="1"/>
  <c r="V224" i="4" a="1"/>
  <c r="V224" i="4" s="1"/>
  <c r="V225" i="4" a="1"/>
  <c r="V225" i="4" s="1"/>
  <c r="V226" i="4" a="1"/>
  <c r="V226" i="4" s="1"/>
  <c r="V227" i="4" a="1"/>
  <c r="V227" i="4" s="1"/>
  <c r="V228" i="4" a="1"/>
  <c r="V228" i="4" s="1"/>
  <c r="V229" i="4" a="1"/>
  <c r="V229" i="4" s="1"/>
  <c r="V230" i="4" a="1"/>
  <c r="V230" i="4" s="1"/>
  <c r="W206" i="4" a="1"/>
  <c r="W206" i="4" s="1"/>
  <c r="W207" i="4" a="1"/>
  <c r="W207" i="4" s="1"/>
  <c r="W208" i="4" a="1"/>
  <c r="W208" i="4" s="1"/>
  <c r="W209" i="4" a="1"/>
  <c r="W209" i="4" s="1"/>
  <c r="W210" i="4" a="1"/>
  <c r="W210" i="4" s="1"/>
  <c r="W211" i="4" a="1"/>
  <c r="W211" i="4" s="1"/>
  <c r="W212" i="4" a="1"/>
  <c r="W212" i="4" s="1"/>
  <c r="W213" i="4" a="1"/>
  <c r="W213" i="4" s="1"/>
  <c r="W214" i="4" a="1"/>
  <c r="W214" i="4" s="1"/>
  <c r="W215" i="4" a="1"/>
  <c r="W215" i="4" s="1"/>
  <c r="W216" i="4" a="1"/>
  <c r="W216" i="4" s="1"/>
  <c r="W217" i="4" a="1"/>
  <c r="W217" i="4" s="1"/>
  <c r="W218" i="4" a="1"/>
  <c r="W218" i="4" s="1"/>
  <c r="W219" i="4" a="1"/>
  <c r="W219" i="4" s="1"/>
  <c r="W220" i="4" a="1"/>
  <c r="W220" i="4" s="1"/>
  <c r="W221" i="4" a="1"/>
  <c r="W221" i="4" s="1"/>
  <c r="W222" i="4" a="1"/>
  <c r="W222" i="4" s="1"/>
  <c r="W223" i="4" a="1"/>
  <c r="W223" i="4" s="1"/>
  <c r="W224" i="4" a="1"/>
  <c r="W224" i="4" s="1"/>
  <c r="W225" i="4" a="1"/>
  <c r="W225" i="4" s="1"/>
  <c r="W226" i="4" a="1"/>
  <c r="W226" i="4" s="1"/>
  <c r="W227" i="4" a="1"/>
  <c r="W227" i="4" s="1"/>
  <c r="W228" i="4" a="1"/>
  <c r="W228" i="4" s="1"/>
  <c r="W229" i="4" a="1"/>
  <c r="W229" i="4" s="1"/>
  <c r="W230" i="4" a="1"/>
  <c r="W230" i="4" s="1"/>
  <c r="X206" i="4" a="1"/>
  <c r="X206" i="4" s="1"/>
  <c r="X207" i="4" a="1"/>
  <c r="X207" i="4" s="1"/>
  <c r="X208" i="4" a="1"/>
  <c r="X208" i="4" s="1"/>
  <c r="X209" i="4" a="1"/>
  <c r="X209" i="4" s="1"/>
  <c r="X210" i="4" a="1"/>
  <c r="X210" i="4" s="1"/>
  <c r="X211" i="4" a="1"/>
  <c r="X211" i="4" s="1"/>
  <c r="X212" i="4" a="1"/>
  <c r="X212" i="4" s="1"/>
  <c r="X213" i="4" a="1"/>
  <c r="X213" i="4" s="1"/>
  <c r="X214" i="4" a="1"/>
  <c r="X214" i="4" s="1"/>
  <c r="X215" i="4" a="1"/>
  <c r="X215" i="4" s="1"/>
  <c r="X216" i="4" a="1"/>
  <c r="X216" i="4" s="1"/>
  <c r="X217" i="4" a="1"/>
  <c r="X217" i="4" s="1"/>
  <c r="X218" i="4" a="1"/>
  <c r="X218" i="4" s="1"/>
  <c r="X219" i="4" a="1"/>
  <c r="X219" i="4" s="1"/>
  <c r="X220" i="4" a="1"/>
  <c r="X220" i="4" s="1"/>
  <c r="X221" i="4" a="1"/>
  <c r="X221" i="4" s="1"/>
  <c r="X222" i="4" a="1"/>
  <c r="X222" i="4" s="1"/>
  <c r="X223" i="4" a="1"/>
  <c r="X223" i="4" s="1"/>
  <c r="X224" i="4" a="1"/>
  <c r="X224" i="4" s="1"/>
  <c r="X225" i="4" a="1"/>
  <c r="X225" i="4" s="1"/>
  <c r="X226" i="4" a="1"/>
  <c r="X226" i="4" s="1"/>
  <c r="X227" i="4" a="1"/>
  <c r="X227" i="4" s="1"/>
  <c r="X228" i="4" a="1"/>
  <c r="X228" i="4" s="1"/>
  <c r="X229" i="4" a="1"/>
  <c r="X229" i="4" s="1"/>
  <c r="X230" i="4" a="1"/>
  <c r="X230" i="4" s="1"/>
  <c r="Y206" i="4" a="1"/>
  <c r="Y206" i="4" s="1"/>
  <c r="Y207" i="4" a="1"/>
  <c r="Y207" i="4" s="1"/>
  <c r="Y208" i="4" a="1"/>
  <c r="Y208" i="4" s="1"/>
  <c r="Y209" i="4" a="1"/>
  <c r="Y209" i="4" s="1"/>
  <c r="Y210" i="4" a="1"/>
  <c r="Y210" i="4" s="1"/>
  <c r="Y211" i="4" a="1"/>
  <c r="Y211" i="4" s="1"/>
  <c r="Y212" i="4" a="1"/>
  <c r="Y212" i="4" s="1"/>
  <c r="Y213" i="4" a="1"/>
  <c r="Y213" i="4" s="1"/>
  <c r="Y214" i="4" a="1"/>
  <c r="Y214" i="4" s="1"/>
  <c r="Y215" i="4" a="1"/>
  <c r="Y215" i="4" s="1"/>
  <c r="Y216" i="4" a="1"/>
  <c r="Y216" i="4" s="1"/>
  <c r="Y217" i="4" a="1"/>
  <c r="Y217" i="4" s="1"/>
  <c r="Y218" i="4" a="1"/>
  <c r="Y218" i="4" s="1"/>
  <c r="Y219" i="4" a="1"/>
  <c r="Y219" i="4" s="1"/>
  <c r="Y220" i="4" a="1"/>
  <c r="Y220" i="4" s="1"/>
  <c r="Y221" i="4" a="1"/>
  <c r="Y221" i="4" s="1"/>
  <c r="Y222" i="4" a="1"/>
  <c r="Y222" i="4" s="1"/>
  <c r="Y223" i="4" a="1"/>
  <c r="Y223" i="4" s="1"/>
  <c r="Y224" i="4" a="1"/>
  <c r="Y224" i="4" s="1"/>
  <c r="Y225" i="4" a="1"/>
  <c r="Y225" i="4" s="1"/>
  <c r="Y226" i="4" a="1"/>
  <c r="Y226" i="4" s="1"/>
  <c r="Y227" i="4" a="1"/>
  <c r="Y227" i="4" s="1"/>
  <c r="Y228" i="4" a="1"/>
  <c r="Y228" i="4" s="1"/>
  <c r="Y229" i="4" a="1"/>
  <c r="Y229" i="4" s="1"/>
  <c r="Y230" i="4" a="1"/>
  <c r="Y230" i="4" s="1"/>
  <c r="Z206" i="4" a="1"/>
  <c r="Z206" i="4" s="1"/>
  <c r="Z207" i="4" a="1"/>
  <c r="Z207" i="4" s="1"/>
  <c r="Z208" i="4" a="1"/>
  <c r="Z208" i="4" s="1"/>
  <c r="Z209" i="4" a="1"/>
  <c r="Z209" i="4" s="1"/>
  <c r="Z210" i="4" a="1"/>
  <c r="Z210" i="4" s="1"/>
  <c r="Z211" i="4" a="1"/>
  <c r="Z211" i="4" s="1"/>
  <c r="Z212" i="4" a="1"/>
  <c r="Z212" i="4" s="1"/>
  <c r="Z213" i="4" a="1"/>
  <c r="Z213" i="4" s="1"/>
  <c r="Z214" i="4" a="1"/>
  <c r="Z214" i="4" s="1"/>
  <c r="Z215" i="4" a="1"/>
  <c r="Z215" i="4" s="1"/>
  <c r="Z216" i="4" a="1"/>
  <c r="Z216" i="4" s="1"/>
  <c r="Z217" i="4" a="1"/>
  <c r="Z217" i="4" s="1"/>
  <c r="Z218" i="4" a="1"/>
  <c r="Z218" i="4" s="1"/>
  <c r="Z219" i="4" a="1"/>
  <c r="Z219" i="4" s="1"/>
  <c r="Z220" i="4" a="1"/>
  <c r="Z220" i="4" s="1"/>
  <c r="Z221" i="4" a="1"/>
  <c r="Z221" i="4" s="1"/>
  <c r="Z222" i="4" a="1"/>
  <c r="Z222" i="4" s="1"/>
  <c r="Z223" i="4" a="1"/>
  <c r="Z223" i="4" s="1"/>
  <c r="Z224" i="4" a="1"/>
  <c r="Z224" i="4" s="1"/>
  <c r="Z225" i="4" a="1"/>
  <c r="Z225" i="4" s="1"/>
  <c r="Z226" i="4" a="1"/>
  <c r="Z226" i="4" s="1"/>
  <c r="Z227" i="4" a="1"/>
  <c r="Z227" i="4" s="1"/>
  <c r="Z228" i="4" a="1"/>
  <c r="Z228" i="4" s="1"/>
  <c r="Z229" i="4" a="1"/>
  <c r="Z229" i="4" s="1"/>
  <c r="Z230" i="4" a="1"/>
  <c r="Z230" i="4" s="1"/>
  <c r="C205" i="4"/>
  <c r="D205" i="4"/>
  <c r="E205" i="4" a="1"/>
  <c r="E205" i="4" s="1"/>
  <c r="F205" i="4" a="1"/>
  <c r="F205" i="4" s="1"/>
  <c r="G205" i="4" a="1"/>
  <c r="G205" i="4" s="1"/>
  <c r="H205" i="4" a="1"/>
  <c r="H205" i="4" s="1"/>
  <c r="I205" i="4" a="1"/>
  <c r="I205" i="4" s="1"/>
  <c r="J205" i="4" a="1"/>
  <c r="J205" i="4" s="1"/>
  <c r="K205" i="4" a="1"/>
  <c r="K205" i="4" s="1"/>
  <c r="L205" i="4" a="1"/>
  <c r="L205" i="4" s="1"/>
  <c r="M205" i="4" a="1"/>
  <c r="M205" i="4" s="1"/>
  <c r="Q205" i="4" a="1"/>
  <c r="Q205" i="4" s="1"/>
  <c r="R205" i="4" a="1"/>
  <c r="R205" i="4" s="1"/>
  <c r="S205" i="4" a="1"/>
  <c r="S205" i="4" s="1"/>
  <c r="T205" i="4" a="1"/>
  <c r="T205" i="4" s="1"/>
  <c r="U205" i="4" a="1"/>
  <c r="U205" i="4" s="1"/>
  <c r="V205" i="4" a="1"/>
  <c r="V205" i="4" s="1"/>
  <c r="W205" i="4" a="1"/>
  <c r="W205" i="4" s="1"/>
  <c r="X205" i="4" a="1"/>
  <c r="X205" i="4" s="1"/>
  <c r="Y205" i="4" a="1"/>
  <c r="Y205" i="4" s="1"/>
  <c r="Z205" i="4" a="1"/>
  <c r="Z205" i="4" s="1"/>
  <c r="B10" i="16"/>
  <c r="K10" i="6"/>
  <c r="L10" i="6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302" i="11"/>
  <c r="K303" i="11"/>
  <c r="K304" i="11"/>
  <c r="K305" i="11"/>
  <c r="K306" i="11"/>
  <c r="K307" i="11"/>
  <c r="K308" i="11"/>
  <c r="K309" i="11"/>
  <c r="K310" i="11"/>
  <c r="K311" i="11"/>
  <c r="K312" i="11"/>
  <c r="K313" i="11"/>
  <c r="K314" i="11"/>
  <c r="K315" i="11"/>
  <c r="K316" i="11"/>
  <c r="K317" i="11"/>
  <c r="K318" i="11"/>
  <c r="K319" i="11"/>
  <c r="K275" i="11"/>
  <c r="O277" i="11"/>
  <c r="O278" i="11"/>
  <c r="O279" i="11"/>
  <c r="O280" i="11"/>
  <c r="O281" i="11"/>
  <c r="O282" i="11"/>
  <c r="O283" i="11"/>
  <c r="O284" i="11"/>
  <c r="O285" i="11"/>
  <c r="O286" i="11"/>
  <c r="O287" i="11"/>
  <c r="O288" i="11"/>
  <c r="O289" i="11"/>
  <c r="O290" i="11"/>
  <c r="O291" i="11"/>
  <c r="O292" i="11"/>
  <c r="O293" i="11"/>
  <c r="O294" i="11"/>
  <c r="O295" i="11"/>
  <c r="O296" i="11"/>
  <c r="O297" i="11"/>
  <c r="O298" i="11"/>
  <c r="O299" i="11"/>
  <c r="O300" i="11"/>
  <c r="O301" i="11"/>
  <c r="O302" i="11"/>
  <c r="O303" i="11"/>
  <c r="O304" i="11"/>
  <c r="O305" i="11"/>
  <c r="O306" i="11"/>
  <c r="O307" i="11"/>
  <c r="O308" i="11"/>
  <c r="O309" i="11"/>
  <c r="O310" i="11"/>
  <c r="O311" i="11"/>
  <c r="O312" i="11"/>
  <c r="O313" i="11"/>
  <c r="O314" i="11"/>
  <c r="O315" i="11"/>
  <c r="O316" i="11"/>
  <c r="O317" i="11"/>
  <c r="O318" i="11"/>
  <c r="O319" i="11"/>
  <c r="K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O276" i="11"/>
  <c r="K11" i="15" l="1"/>
  <c r="AQ20" i="19" s="1"/>
  <c r="Q4" i="15"/>
  <c r="O205" i="4"/>
  <c r="AA223" i="4"/>
  <c r="AA226" i="4"/>
  <c r="O221" i="4"/>
  <c r="O207" i="4"/>
  <c r="N218" i="4"/>
  <c r="AA216" i="4"/>
  <c r="N216" i="4"/>
  <c r="O215" i="4"/>
  <c r="AA206" i="4"/>
  <c r="AA225" i="4"/>
  <c r="AA214" i="4"/>
  <c r="O220" i="4"/>
  <c r="O206" i="4"/>
  <c r="N217" i="4"/>
  <c r="AA224" i="4"/>
  <c r="AA222" i="4"/>
  <c r="N230" i="4"/>
  <c r="AA230" i="4"/>
  <c r="N229" i="4"/>
  <c r="N215" i="4"/>
  <c r="AA213" i="4"/>
  <c r="O218" i="4"/>
  <c r="P218" i="4" s="1"/>
  <c r="N214" i="4"/>
  <c r="AA212" i="4"/>
  <c r="AA221" i="4"/>
  <c r="O217" i="4"/>
  <c r="N213" i="4"/>
  <c r="AA211" i="4"/>
  <c r="O230" i="4"/>
  <c r="O216" i="4"/>
  <c r="N227" i="4"/>
  <c r="AA210" i="4"/>
  <c r="O229" i="4"/>
  <c r="N226" i="4"/>
  <c r="AA209" i="4"/>
  <c r="AA227" i="4"/>
  <c r="O228" i="4"/>
  <c r="O214" i="4"/>
  <c r="N225" i="4"/>
  <c r="N211" i="4"/>
  <c r="AA208" i="4"/>
  <c r="O227" i="4"/>
  <c r="O213" i="4"/>
  <c r="N224" i="4"/>
  <c r="N210" i="4"/>
  <c r="O219" i="4"/>
  <c r="O212" i="4"/>
  <c r="N223" i="4"/>
  <c r="N209" i="4"/>
  <c r="AA217" i="4"/>
  <c r="O226" i="4"/>
  <c r="O211" i="4"/>
  <c r="N222" i="4"/>
  <c r="N208" i="4"/>
  <c r="N228" i="4"/>
  <c r="O225" i="4"/>
  <c r="N221" i="4"/>
  <c r="P221" i="4" s="1"/>
  <c r="N207" i="4"/>
  <c r="P207" i="4" s="1"/>
  <c r="AA220" i="4"/>
  <c r="AA229" i="4"/>
  <c r="O224" i="4"/>
  <c r="O210" i="4"/>
  <c r="N220" i="4"/>
  <c r="N206" i="4"/>
  <c r="AA219" i="4"/>
  <c r="AA228" i="4"/>
  <c r="AA207" i="4"/>
  <c r="N212" i="4"/>
  <c r="O223" i="4"/>
  <c r="O209" i="4"/>
  <c r="AA218" i="4"/>
  <c r="AA215" i="4"/>
  <c r="O222" i="4"/>
  <c r="O208" i="4"/>
  <c r="N219" i="4"/>
  <c r="AA205" i="4"/>
  <c r="N205" i="4"/>
  <c r="P205" i="4" s="1"/>
  <c r="G10" i="15"/>
  <c r="D10" i="15"/>
  <c r="B10" i="15"/>
  <c r="C10" i="15"/>
  <c r="F10" i="15"/>
  <c r="I10" i="15"/>
  <c r="K10" i="15" s="1"/>
  <c r="D9" i="15"/>
  <c r="P227" i="4" l="1"/>
  <c r="P220" i="4"/>
  <c r="P206" i="4"/>
  <c r="P217" i="4"/>
  <c r="P216" i="4"/>
  <c r="P230" i="4"/>
  <c r="P214" i="4"/>
  <c r="P208" i="4"/>
  <c r="P222" i="4"/>
  <c r="P215" i="4"/>
  <c r="P229" i="4"/>
  <c r="P212" i="4"/>
  <c r="P226" i="4"/>
  <c r="P224" i="4"/>
  <c r="P223" i="4"/>
  <c r="P213" i="4"/>
  <c r="P210" i="4"/>
  <c r="P209" i="4"/>
  <c r="P219" i="4"/>
  <c r="P211" i="4"/>
  <c r="P228" i="4"/>
  <c r="P225" i="4"/>
  <c r="H10" i="15"/>
  <c r="E10" i="15"/>
  <c r="C389" i="1" l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969" i="2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50" i="1"/>
  <c r="O272" i="11" l="1"/>
  <c r="O273" i="11"/>
  <c r="O274" i="11"/>
  <c r="O275" i="11"/>
  <c r="O249" i="11" l="1"/>
  <c r="O250" i="11"/>
  <c r="O251" i="11"/>
  <c r="O252" i="11"/>
  <c r="O253" i="11"/>
  <c r="O254" i="11"/>
  <c r="O255" i="11"/>
  <c r="O256" i="11"/>
  <c r="O257" i="11"/>
  <c r="O258" i="11"/>
  <c r="O259" i="11"/>
  <c r="O260" i="11"/>
  <c r="O261" i="11"/>
  <c r="O262" i="11"/>
  <c r="O263" i="11"/>
  <c r="O264" i="11"/>
  <c r="O265" i="11"/>
  <c r="O266" i="11"/>
  <c r="O267" i="11"/>
  <c r="O268" i="11"/>
  <c r="O269" i="11"/>
  <c r="O270" i="11"/>
  <c r="O271" i="11"/>
  <c r="T5" i="19"/>
  <c r="T4" i="19"/>
  <c r="G9" i="15" l="1"/>
  <c r="B9" i="15"/>
  <c r="C9" i="15"/>
  <c r="F9" i="15"/>
  <c r="I9" i="15"/>
  <c r="K9" i="15" s="1"/>
  <c r="B9" i="16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E180" i="4" a="1"/>
  <c r="E180" i="4" s="1"/>
  <c r="E181" i="4" a="1"/>
  <c r="E181" i="4" s="1"/>
  <c r="E182" i="4" a="1"/>
  <c r="E182" i="4" s="1"/>
  <c r="E183" i="4" a="1"/>
  <c r="E183" i="4" s="1"/>
  <c r="E184" i="4" a="1"/>
  <c r="E184" i="4" s="1"/>
  <c r="E185" i="4" a="1"/>
  <c r="E185" i="4" s="1"/>
  <c r="E186" i="4" a="1"/>
  <c r="E186" i="4" s="1"/>
  <c r="E187" i="4" a="1"/>
  <c r="E187" i="4" s="1"/>
  <c r="E188" i="4" a="1"/>
  <c r="E188" i="4" s="1"/>
  <c r="E189" i="4" a="1"/>
  <c r="E189" i="4" s="1"/>
  <c r="E190" i="4" a="1"/>
  <c r="E190" i="4" s="1"/>
  <c r="E191" i="4" a="1"/>
  <c r="E191" i="4" s="1"/>
  <c r="E192" i="4" a="1"/>
  <c r="E192" i="4" s="1"/>
  <c r="E193" i="4" a="1"/>
  <c r="E193" i="4" s="1"/>
  <c r="E194" i="4" a="1"/>
  <c r="E194" i="4" s="1"/>
  <c r="E195" i="4" a="1"/>
  <c r="E195" i="4" s="1"/>
  <c r="E196" i="4" a="1"/>
  <c r="E196" i="4" s="1"/>
  <c r="E197" i="4" a="1"/>
  <c r="E197" i="4" s="1"/>
  <c r="E198" i="4" a="1"/>
  <c r="E198" i="4" s="1"/>
  <c r="E199" i="4" a="1"/>
  <c r="E199" i="4" s="1"/>
  <c r="E200" i="4" a="1"/>
  <c r="E200" i="4" s="1"/>
  <c r="E201" i="4" a="1"/>
  <c r="E201" i="4" s="1"/>
  <c r="E202" i="4" a="1"/>
  <c r="E202" i="4" s="1"/>
  <c r="E203" i="4" a="1"/>
  <c r="E203" i="4" s="1"/>
  <c r="E204" i="4" a="1"/>
  <c r="E204" i="4" s="1"/>
  <c r="F180" i="4" a="1"/>
  <c r="F180" i="4" s="1"/>
  <c r="F181" i="4" a="1"/>
  <c r="F181" i="4" s="1"/>
  <c r="F182" i="4" a="1"/>
  <c r="F182" i="4" s="1"/>
  <c r="F183" i="4" a="1"/>
  <c r="F183" i="4" s="1"/>
  <c r="F184" i="4" a="1"/>
  <c r="F184" i="4" s="1"/>
  <c r="F185" i="4" a="1"/>
  <c r="F185" i="4" s="1"/>
  <c r="F186" i="4" a="1"/>
  <c r="F186" i="4" s="1"/>
  <c r="F187" i="4" a="1"/>
  <c r="F187" i="4" s="1"/>
  <c r="F188" i="4" a="1"/>
  <c r="F188" i="4" s="1"/>
  <c r="F189" i="4" a="1"/>
  <c r="F189" i="4" s="1"/>
  <c r="F190" i="4" a="1"/>
  <c r="F190" i="4" s="1"/>
  <c r="F191" i="4" a="1"/>
  <c r="F191" i="4" s="1"/>
  <c r="F192" i="4" a="1"/>
  <c r="F192" i="4" s="1"/>
  <c r="F193" i="4" a="1"/>
  <c r="F193" i="4" s="1"/>
  <c r="F194" i="4" a="1"/>
  <c r="F194" i="4" s="1"/>
  <c r="F195" i="4" a="1"/>
  <c r="F195" i="4" s="1"/>
  <c r="F196" i="4" a="1"/>
  <c r="F196" i="4" s="1"/>
  <c r="F197" i="4" a="1"/>
  <c r="F197" i="4" s="1"/>
  <c r="F198" i="4" a="1"/>
  <c r="F198" i="4" s="1"/>
  <c r="F199" i="4" a="1"/>
  <c r="F199" i="4" s="1"/>
  <c r="F200" i="4" a="1"/>
  <c r="F200" i="4" s="1"/>
  <c r="F201" i="4" a="1"/>
  <c r="F201" i="4" s="1"/>
  <c r="F202" i="4" a="1"/>
  <c r="F202" i="4" s="1"/>
  <c r="F203" i="4" a="1"/>
  <c r="F203" i="4" s="1"/>
  <c r="F204" i="4" a="1"/>
  <c r="F204" i="4" s="1"/>
  <c r="G180" i="4" a="1"/>
  <c r="G180" i="4" s="1"/>
  <c r="G181" i="4" a="1"/>
  <c r="G181" i="4" s="1"/>
  <c r="G182" i="4" a="1"/>
  <c r="G182" i="4" s="1"/>
  <c r="G183" i="4" a="1"/>
  <c r="G183" i="4" s="1"/>
  <c r="G184" i="4" a="1"/>
  <c r="G184" i="4" s="1"/>
  <c r="G185" i="4" a="1"/>
  <c r="G185" i="4" s="1"/>
  <c r="G186" i="4" a="1"/>
  <c r="G186" i="4" s="1"/>
  <c r="G187" i="4" a="1"/>
  <c r="G187" i="4" s="1"/>
  <c r="G188" i="4" a="1"/>
  <c r="G188" i="4" s="1"/>
  <c r="G189" i="4" a="1"/>
  <c r="G189" i="4" s="1"/>
  <c r="G190" i="4" a="1"/>
  <c r="G190" i="4" s="1"/>
  <c r="G191" i="4" a="1"/>
  <c r="G191" i="4" s="1"/>
  <c r="G192" i="4" a="1"/>
  <c r="G192" i="4" s="1"/>
  <c r="G193" i="4" a="1"/>
  <c r="G193" i="4" s="1"/>
  <c r="G194" i="4" a="1"/>
  <c r="G194" i="4" s="1"/>
  <c r="G195" i="4" a="1"/>
  <c r="G195" i="4" s="1"/>
  <c r="G196" i="4" a="1"/>
  <c r="G196" i="4" s="1"/>
  <c r="G197" i="4" a="1"/>
  <c r="G197" i="4" s="1"/>
  <c r="G198" i="4" a="1"/>
  <c r="G198" i="4" s="1"/>
  <c r="G199" i="4" a="1"/>
  <c r="G199" i="4" s="1"/>
  <c r="G200" i="4" a="1"/>
  <c r="G200" i="4" s="1"/>
  <c r="G201" i="4" a="1"/>
  <c r="G201" i="4" s="1"/>
  <c r="G202" i="4" a="1"/>
  <c r="G202" i="4" s="1"/>
  <c r="G203" i="4" a="1"/>
  <c r="G203" i="4" s="1"/>
  <c r="G204" i="4" a="1"/>
  <c r="G204" i="4" s="1"/>
  <c r="H180" i="4" a="1"/>
  <c r="H180" i="4" s="1"/>
  <c r="H181" i="4" a="1"/>
  <c r="H181" i="4" s="1"/>
  <c r="H182" i="4" a="1"/>
  <c r="H182" i="4" s="1"/>
  <c r="H183" i="4" a="1"/>
  <c r="H183" i="4" s="1"/>
  <c r="H184" i="4" a="1"/>
  <c r="H184" i="4" s="1"/>
  <c r="H185" i="4" a="1"/>
  <c r="H185" i="4" s="1"/>
  <c r="H186" i="4" a="1"/>
  <c r="H186" i="4" s="1"/>
  <c r="H187" i="4" a="1"/>
  <c r="H187" i="4" s="1"/>
  <c r="H188" i="4" a="1"/>
  <c r="H188" i="4" s="1"/>
  <c r="H189" i="4" a="1"/>
  <c r="H189" i="4" s="1"/>
  <c r="H190" i="4" a="1"/>
  <c r="H190" i="4" s="1"/>
  <c r="H191" i="4" a="1"/>
  <c r="H191" i="4" s="1"/>
  <c r="H192" i="4" a="1"/>
  <c r="H192" i="4" s="1"/>
  <c r="H193" i="4" a="1"/>
  <c r="H193" i="4" s="1"/>
  <c r="H194" i="4" a="1"/>
  <c r="H194" i="4" s="1"/>
  <c r="H195" i="4" a="1"/>
  <c r="H195" i="4" s="1"/>
  <c r="H196" i="4" a="1"/>
  <c r="H196" i="4" s="1"/>
  <c r="H197" i="4" a="1"/>
  <c r="H197" i="4" s="1"/>
  <c r="H198" i="4" a="1"/>
  <c r="H198" i="4" s="1"/>
  <c r="H199" i="4" a="1"/>
  <c r="H199" i="4" s="1"/>
  <c r="H200" i="4" a="1"/>
  <c r="H200" i="4" s="1"/>
  <c r="H201" i="4" a="1"/>
  <c r="H201" i="4" s="1"/>
  <c r="H202" i="4" a="1"/>
  <c r="H202" i="4" s="1"/>
  <c r="H203" i="4" a="1"/>
  <c r="H203" i="4" s="1"/>
  <c r="H204" i="4" a="1"/>
  <c r="H204" i="4" s="1"/>
  <c r="I180" i="4" a="1"/>
  <c r="I180" i="4" s="1"/>
  <c r="I181" i="4" a="1"/>
  <c r="I181" i="4" s="1"/>
  <c r="I182" i="4" a="1"/>
  <c r="I182" i="4" s="1"/>
  <c r="I183" i="4" a="1"/>
  <c r="I183" i="4" s="1"/>
  <c r="I184" i="4" a="1"/>
  <c r="I184" i="4" s="1"/>
  <c r="I185" i="4" a="1"/>
  <c r="I185" i="4" s="1"/>
  <c r="I186" i="4" a="1"/>
  <c r="I186" i="4" s="1"/>
  <c r="I187" i="4" a="1"/>
  <c r="I187" i="4" s="1"/>
  <c r="I188" i="4" a="1"/>
  <c r="I188" i="4" s="1"/>
  <c r="I189" i="4" a="1"/>
  <c r="I189" i="4" s="1"/>
  <c r="I190" i="4" a="1"/>
  <c r="I190" i="4" s="1"/>
  <c r="I191" i="4" a="1"/>
  <c r="I191" i="4" s="1"/>
  <c r="I192" i="4" a="1"/>
  <c r="I192" i="4" s="1"/>
  <c r="I193" i="4" a="1"/>
  <c r="I193" i="4" s="1"/>
  <c r="I194" i="4" a="1"/>
  <c r="I194" i="4" s="1"/>
  <c r="I195" i="4" a="1"/>
  <c r="I195" i="4" s="1"/>
  <c r="I196" i="4" a="1"/>
  <c r="I196" i="4" s="1"/>
  <c r="I197" i="4" a="1"/>
  <c r="I197" i="4" s="1"/>
  <c r="I198" i="4" a="1"/>
  <c r="I198" i="4" s="1"/>
  <c r="I199" i="4" a="1"/>
  <c r="I199" i="4" s="1"/>
  <c r="I200" i="4" a="1"/>
  <c r="I200" i="4" s="1"/>
  <c r="I201" i="4" a="1"/>
  <c r="I201" i="4" s="1"/>
  <c r="I202" i="4" a="1"/>
  <c r="I202" i="4" s="1"/>
  <c r="I203" i="4" a="1"/>
  <c r="I203" i="4" s="1"/>
  <c r="I204" i="4" a="1"/>
  <c r="I204" i="4" s="1"/>
  <c r="J180" i="4" a="1"/>
  <c r="J180" i="4" s="1"/>
  <c r="J181" i="4" a="1"/>
  <c r="J181" i="4" s="1"/>
  <c r="J182" i="4" a="1"/>
  <c r="J182" i="4" s="1"/>
  <c r="J183" i="4" a="1"/>
  <c r="J183" i="4" s="1"/>
  <c r="J184" i="4" a="1"/>
  <c r="J184" i="4" s="1"/>
  <c r="J185" i="4" a="1"/>
  <c r="J185" i="4" s="1"/>
  <c r="J186" i="4" a="1"/>
  <c r="J186" i="4" s="1"/>
  <c r="J187" i="4" a="1"/>
  <c r="J187" i="4" s="1"/>
  <c r="J188" i="4" a="1"/>
  <c r="J188" i="4" s="1"/>
  <c r="J189" i="4" a="1"/>
  <c r="J189" i="4" s="1"/>
  <c r="J190" i="4" a="1"/>
  <c r="J190" i="4" s="1"/>
  <c r="J191" i="4" a="1"/>
  <c r="J191" i="4" s="1"/>
  <c r="J192" i="4" a="1"/>
  <c r="J192" i="4" s="1"/>
  <c r="J193" i="4" a="1"/>
  <c r="J193" i="4" s="1"/>
  <c r="J194" i="4" a="1"/>
  <c r="J194" i="4" s="1"/>
  <c r="J195" i="4" a="1"/>
  <c r="J195" i="4" s="1"/>
  <c r="J196" i="4" a="1"/>
  <c r="J196" i="4" s="1"/>
  <c r="J197" i="4" a="1"/>
  <c r="J197" i="4" s="1"/>
  <c r="J198" i="4" a="1"/>
  <c r="J198" i="4" s="1"/>
  <c r="J199" i="4" a="1"/>
  <c r="J199" i="4" s="1"/>
  <c r="J200" i="4" a="1"/>
  <c r="J200" i="4" s="1"/>
  <c r="J201" i="4" a="1"/>
  <c r="J201" i="4" s="1"/>
  <c r="J202" i="4" a="1"/>
  <c r="J202" i="4" s="1"/>
  <c r="J203" i="4" a="1"/>
  <c r="J203" i="4" s="1"/>
  <c r="J204" i="4" a="1"/>
  <c r="J204" i="4" s="1"/>
  <c r="K180" i="4" a="1"/>
  <c r="K180" i="4" s="1"/>
  <c r="K181" i="4" a="1"/>
  <c r="K181" i="4" s="1"/>
  <c r="K182" i="4" a="1"/>
  <c r="K182" i="4" s="1"/>
  <c r="K183" i="4" a="1"/>
  <c r="K183" i="4" s="1"/>
  <c r="K184" i="4" a="1"/>
  <c r="K184" i="4" s="1"/>
  <c r="K185" i="4" a="1"/>
  <c r="K185" i="4" s="1"/>
  <c r="K186" i="4" a="1"/>
  <c r="K186" i="4" s="1"/>
  <c r="K187" i="4" a="1"/>
  <c r="K187" i="4" s="1"/>
  <c r="K188" i="4" a="1"/>
  <c r="K188" i="4" s="1"/>
  <c r="K189" i="4" a="1"/>
  <c r="K189" i="4" s="1"/>
  <c r="K190" i="4" a="1"/>
  <c r="K190" i="4" s="1"/>
  <c r="K191" i="4" a="1"/>
  <c r="K191" i="4" s="1"/>
  <c r="K192" i="4" a="1"/>
  <c r="K192" i="4" s="1"/>
  <c r="K193" i="4" a="1"/>
  <c r="K193" i="4" s="1"/>
  <c r="K194" i="4" a="1"/>
  <c r="K194" i="4" s="1"/>
  <c r="K195" i="4" a="1"/>
  <c r="K195" i="4" s="1"/>
  <c r="K196" i="4" a="1"/>
  <c r="K196" i="4" s="1"/>
  <c r="K197" i="4" a="1"/>
  <c r="K197" i="4" s="1"/>
  <c r="K198" i="4" a="1"/>
  <c r="K198" i="4" s="1"/>
  <c r="K199" i="4" a="1"/>
  <c r="K199" i="4" s="1"/>
  <c r="K200" i="4" a="1"/>
  <c r="K200" i="4" s="1"/>
  <c r="K201" i="4" a="1"/>
  <c r="K201" i="4" s="1"/>
  <c r="K202" i="4" a="1"/>
  <c r="K202" i="4" s="1"/>
  <c r="K203" i="4" a="1"/>
  <c r="K203" i="4" s="1"/>
  <c r="K204" i="4" a="1"/>
  <c r="K204" i="4" s="1"/>
  <c r="L180" i="4" a="1"/>
  <c r="L180" i="4" s="1"/>
  <c r="L181" i="4" a="1"/>
  <c r="L181" i="4" s="1"/>
  <c r="L182" i="4" a="1"/>
  <c r="L182" i="4" s="1"/>
  <c r="L183" i="4" a="1"/>
  <c r="L183" i="4" s="1"/>
  <c r="L184" i="4" a="1"/>
  <c r="L184" i="4" s="1"/>
  <c r="L185" i="4" a="1"/>
  <c r="L185" i="4" s="1"/>
  <c r="L186" i="4" a="1"/>
  <c r="L186" i="4" s="1"/>
  <c r="L187" i="4" a="1"/>
  <c r="L187" i="4" s="1"/>
  <c r="L188" i="4" a="1"/>
  <c r="L188" i="4" s="1"/>
  <c r="L189" i="4" a="1"/>
  <c r="L189" i="4" s="1"/>
  <c r="L190" i="4" a="1"/>
  <c r="L190" i="4" s="1"/>
  <c r="L191" i="4" a="1"/>
  <c r="L191" i="4" s="1"/>
  <c r="L192" i="4" a="1"/>
  <c r="L192" i="4" s="1"/>
  <c r="L193" i="4" a="1"/>
  <c r="L193" i="4" s="1"/>
  <c r="L194" i="4" a="1"/>
  <c r="L194" i="4" s="1"/>
  <c r="L195" i="4" a="1"/>
  <c r="L195" i="4" s="1"/>
  <c r="L196" i="4" a="1"/>
  <c r="L196" i="4" s="1"/>
  <c r="L197" i="4" a="1"/>
  <c r="L197" i="4" s="1"/>
  <c r="L198" i="4" a="1"/>
  <c r="L198" i="4" s="1"/>
  <c r="L199" i="4" a="1"/>
  <c r="L199" i="4" s="1"/>
  <c r="L200" i="4" a="1"/>
  <c r="L200" i="4" s="1"/>
  <c r="L201" i="4" a="1"/>
  <c r="L201" i="4" s="1"/>
  <c r="L202" i="4" a="1"/>
  <c r="L202" i="4" s="1"/>
  <c r="L203" i="4" a="1"/>
  <c r="L203" i="4" s="1"/>
  <c r="L204" i="4" a="1"/>
  <c r="L204" i="4" s="1"/>
  <c r="M180" i="4" a="1"/>
  <c r="M180" i="4" s="1"/>
  <c r="M181" i="4" a="1"/>
  <c r="M181" i="4" s="1"/>
  <c r="M182" i="4" a="1"/>
  <c r="M182" i="4" s="1"/>
  <c r="M183" i="4" a="1"/>
  <c r="M183" i="4" s="1"/>
  <c r="M184" i="4" a="1"/>
  <c r="M184" i="4" s="1"/>
  <c r="M185" i="4" a="1"/>
  <c r="M185" i="4" s="1"/>
  <c r="M186" i="4" a="1"/>
  <c r="M186" i="4" s="1"/>
  <c r="M187" i="4" a="1"/>
  <c r="M187" i="4" s="1"/>
  <c r="M188" i="4" a="1"/>
  <c r="M188" i="4" s="1"/>
  <c r="M189" i="4" a="1"/>
  <c r="M189" i="4" s="1"/>
  <c r="M190" i="4" a="1"/>
  <c r="M190" i="4" s="1"/>
  <c r="M191" i="4" a="1"/>
  <c r="M191" i="4" s="1"/>
  <c r="M192" i="4" a="1"/>
  <c r="M192" i="4" s="1"/>
  <c r="M193" i="4" a="1"/>
  <c r="M193" i="4" s="1"/>
  <c r="M194" i="4" a="1"/>
  <c r="M194" i="4" s="1"/>
  <c r="M195" i="4" a="1"/>
  <c r="M195" i="4" s="1"/>
  <c r="M196" i="4" a="1"/>
  <c r="M196" i="4" s="1"/>
  <c r="M197" i="4" a="1"/>
  <c r="M197" i="4" s="1"/>
  <c r="M198" i="4" a="1"/>
  <c r="M198" i="4" s="1"/>
  <c r="M199" i="4" a="1"/>
  <c r="M199" i="4" s="1"/>
  <c r="M200" i="4" a="1"/>
  <c r="M200" i="4" s="1"/>
  <c r="M201" i="4" a="1"/>
  <c r="M201" i="4" s="1"/>
  <c r="M202" i="4" a="1"/>
  <c r="M202" i="4" s="1"/>
  <c r="M203" i="4" a="1"/>
  <c r="M203" i="4" s="1"/>
  <c r="M204" i="4" a="1"/>
  <c r="M204" i="4" s="1"/>
  <c r="Q180" i="4" a="1"/>
  <c r="Q180" i="4" s="1"/>
  <c r="Q181" i="4" a="1"/>
  <c r="Q181" i="4" s="1"/>
  <c r="Q182" i="4" a="1"/>
  <c r="Q182" i="4" s="1"/>
  <c r="Q183" i="4" a="1"/>
  <c r="Q183" i="4" s="1"/>
  <c r="Q184" i="4" a="1"/>
  <c r="Q184" i="4" s="1"/>
  <c r="Q185" i="4" a="1"/>
  <c r="Q185" i="4" s="1"/>
  <c r="Q186" i="4" a="1"/>
  <c r="Q186" i="4" s="1"/>
  <c r="Q187" i="4" a="1"/>
  <c r="Q187" i="4" s="1"/>
  <c r="Q188" i="4" a="1"/>
  <c r="Q188" i="4" s="1"/>
  <c r="Q189" i="4" a="1"/>
  <c r="Q189" i="4" s="1"/>
  <c r="Q190" i="4" a="1"/>
  <c r="Q190" i="4" s="1"/>
  <c r="Q191" i="4" a="1"/>
  <c r="Q191" i="4" s="1"/>
  <c r="Q192" i="4" a="1"/>
  <c r="Q192" i="4" s="1"/>
  <c r="Q193" i="4" a="1"/>
  <c r="Q193" i="4" s="1"/>
  <c r="Q194" i="4" a="1"/>
  <c r="Q194" i="4" s="1"/>
  <c r="Q195" i="4" a="1"/>
  <c r="Q195" i="4" s="1"/>
  <c r="Q196" i="4" a="1"/>
  <c r="Q196" i="4" s="1"/>
  <c r="Q197" i="4" a="1"/>
  <c r="Q197" i="4" s="1"/>
  <c r="Q198" i="4" a="1"/>
  <c r="Q198" i="4" s="1"/>
  <c r="Q199" i="4" a="1"/>
  <c r="Q199" i="4" s="1"/>
  <c r="Q200" i="4" a="1"/>
  <c r="Q200" i="4" s="1"/>
  <c r="Q201" i="4" a="1"/>
  <c r="Q201" i="4" s="1"/>
  <c r="Q202" i="4" a="1"/>
  <c r="Q202" i="4" s="1"/>
  <c r="Q203" i="4" a="1"/>
  <c r="Q203" i="4" s="1"/>
  <c r="Q204" i="4" a="1"/>
  <c r="Q204" i="4" s="1"/>
  <c r="R180" i="4" a="1"/>
  <c r="R180" i="4" s="1"/>
  <c r="R181" i="4" a="1"/>
  <c r="R181" i="4" s="1"/>
  <c r="R182" i="4" a="1"/>
  <c r="R182" i="4" s="1"/>
  <c r="R183" i="4" a="1"/>
  <c r="R183" i="4" s="1"/>
  <c r="R184" i="4" a="1"/>
  <c r="R184" i="4" s="1"/>
  <c r="R185" i="4" a="1"/>
  <c r="R185" i="4" s="1"/>
  <c r="R186" i="4" a="1"/>
  <c r="R186" i="4" s="1"/>
  <c r="R187" i="4" a="1"/>
  <c r="R187" i="4" s="1"/>
  <c r="R188" i="4" a="1"/>
  <c r="R188" i="4" s="1"/>
  <c r="R189" i="4" a="1"/>
  <c r="R189" i="4" s="1"/>
  <c r="R190" i="4" a="1"/>
  <c r="R190" i="4" s="1"/>
  <c r="R191" i="4" a="1"/>
  <c r="R191" i="4" s="1"/>
  <c r="R192" i="4" a="1"/>
  <c r="R192" i="4" s="1"/>
  <c r="R193" i="4" a="1"/>
  <c r="R193" i="4" s="1"/>
  <c r="R194" i="4" a="1"/>
  <c r="R194" i="4" s="1"/>
  <c r="R195" i="4" a="1"/>
  <c r="R195" i="4" s="1"/>
  <c r="R196" i="4" a="1"/>
  <c r="R196" i="4" s="1"/>
  <c r="R197" i="4" a="1"/>
  <c r="R197" i="4" s="1"/>
  <c r="R198" i="4" a="1"/>
  <c r="R198" i="4" s="1"/>
  <c r="R199" i="4" a="1"/>
  <c r="R199" i="4" s="1"/>
  <c r="R200" i="4" a="1"/>
  <c r="R200" i="4" s="1"/>
  <c r="R201" i="4" a="1"/>
  <c r="R201" i="4" s="1"/>
  <c r="R202" i="4" a="1"/>
  <c r="R202" i="4" s="1"/>
  <c r="R203" i="4" a="1"/>
  <c r="R203" i="4" s="1"/>
  <c r="R204" i="4" a="1"/>
  <c r="R204" i="4" s="1"/>
  <c r="S180" i="4" a="1"/>
  <c r="S180" i="4" s="1"/>
  <c r="S181" i="4" a="1"/>
  <c r="S181" i="4" s="1"/>
  <c r="S182" i="4" a="1"/>
  <c r="S182" i="4" s="1"/>
  <c r="S183" i="4" a="1"/>
  <c r="S183" i="4" s="1"/>
  <c r="S184" i="4" a="1"/>
  <c r="S184" i="4" s="1"/>
  <c r="S185" i="4" a="1"/>
  <c r="S185" i="4" s="1"/>
  <c r="S186" i="4" a="1"/>
  <c r="S186" i="4" s="1"/>
  <c r="S187" i="4" a="1"/>
  <c r="S187" i="4" s="1"/>
  <c r="S188" i="4" a="1"/>
  <c r="S188" i="4" s="1"/>
  <c r="S189" i="4" a="1"/>
  <c r="S189" i="4" s="1"/>
  <c r="S190" i="4" a="1"/>
  <c r="S190" i="4" s="1"/>
  <c r="S191" i="4" a="1"/>
  <c r="S191" i="4" s="1"/>
  <c r="S192" i="4" a="1"/>
  <c r="S192" i="4" s="1"/>
  <c r="S193" i="4" a="1"/>
  <c r="S193" i="4" s="1"/>
  <c r="S194" i="4" a="1"/>
  <c r="S194" i="4" s="1"/>
  <c r="S195" i="4" a="1"/>
  <c r="S195" i="4" s="1"/>
  <c r="S196" i="4" a="1"/>
  <c r="S196" i="4" s="1"/>
  <c r="S197" i="4" a="1"/>
  <c r="S197" i="4" s="1"/>
  <c r="S198" i="4" a="1"/>
  <c r="S198" i="4" s="1"/>
  <c r="S199" i="4" a="1"/>
  <c r="S199" i="4" s="1"/>
  <c r="S200" i="4" a="1"/>
  <c r="S200" i="4" s="1"/>
  <c r="S201" i="4" a="1"/>
  <c r="S201" i="4" s="1"/>
  <c r="S202" i="4" a="1"/>
  <c r="S202" i="4" s="1"/>
  <c r="S203" i="4" a="1"/>
  <c r="S203" i="4" s="1"/>
  <c r="S204" i="4" a="1"/>
  <c r="S204" i="4" s="1"/>
  <c r="T180" i="4" a="1"/>
  <c r="T180" i="4" s="1"/>
  <c r="T181" i="4" a="1"/>
  <c r="T181" i="4" s="1"/>
  <c r="T182" i="4" a="1"/>
  <c r="T182" i="4" s="1"/>
  <c r="T183" i="4" a="1"/>
  <c r="T183" i="4" s="1"/>
  <c r="T184" i="4" a="1"/>
  <c r="T184" i="4" s="1"/>
  <c r="T185" i="4" a="1"/>
  <c r="T185" i="4" s="1"/>
  <c r="T186" i="4" a="1"/>
  <c r="T186" i="4" s="1"/>
  <c r="T187" i="4" a="1"/>
  <c r="T187" i="4" s="1"/>
  <c r="T188" i="4" a="1"/>
  <c r="T188" i="4" s="1"/>
  <c r="T189" i="4" a="1"/>
  <c r="T189" i="4" s="1"/>
  <c r="T190" i="4" a="1"/>
  <c r="T190" i="4" s="1"/>
  <c r="T191" i="4" a="1"/>
  <c r="T191" i="4" s="1"/>
  <c r="T192" i="4" a="1"/>
  <c r="T192" i="4" s="1"/>
  <c r="T193" i="4" a="1"/>
  <c r="T193" i="4" s="1"/>
  <c r="T194" i="4" a="1"/>
  <c r="T194" i="4" s="1"/>
  <c r="T195" i="4" a="1"/>
  <c r="T195" i="4" s="1"/>
  <c r="T196" i="4" a="1"/>
  <c r="T196" i="4" s="1"/>
  <c r="T197" i="4" a="1"/>
  <c r="T197" i="4" s="1"/>
  <c r="T198" i="4" a="1"/>
  <c r="T198" i="4" s="1"/>
  <c r="T199" i="4" a="1"/>
  <c r="T199" i="4" s="1"/>
  <c r="T200" i="4" a="1"/>
  <c r="T200" i="4" s="1"/>
  <c r="T201" i="4" a="1"/>
  <c r="T201" i="4" s="1"/>
  <c r="T202" i="4" a="1"/>
  <c r="T202" i="4" s="1"/>
  <c r="T203" i="4" a="1"/>
  <c r="T203" i="4" s="1"/>
  <c r="T204" i="4" a="1"/>
  <c r="T204" i="4" s="1"/>
  <c r="U180" i="4" a="1"/>
  <c r="U180" i="4" s="1"/>
  <c r="U181" i="4" a="1"/>
  <c r="U181" i="4" s="1"/>
  <c r="U182" i="4" a="1"/>
  <c r="U182" i="4" s="1"/>
  <c r="U183" i="4" a="1"/>
  <c r="U183" i="4" s="1"/>
  <c r="U184" i="4" a="1"/>
  <c r="U184" i="4" s="1"/>
  <c r="U185" i="4" a="1"/>
  <c r="U185" i="4" s="1"/>
  <c r="U186" i="4" a="1"/>
  <c r="U186" i="4" s="1"/>
  <c r="U187" i="4" a="1"/>
  <c r="U187" i="4" s="1"/>
  <c r="U188" i="4" a="1"/>
  <c r="U188" i="4" s="1"/>
  <c r="U189" i="4" a="1"/>
  <c r="U189" i="4" s="1"/>
  <c r="U190" i="4" a="1"/>
  <c r="U190" i="4" s="1"/>
  <c r="U191" i="4" a="1"/>
  <c r="U191" i="4" s="1"/>
  <c r="U192" i="4" a="1"/>
  <c r="U192" i="4" s="1"/>
  <c r="U193" i="4" a="1"/>
  <c r="U193" i="4" s="1"/>
  <c r="U194" i="4" a="1"/>
  <c r="U194" i="4" s="1"/>
  <c r="U195" i="4" a="1"/>
  <c r="U195" i="4" s="1"/>
  <c r="U196" i="4" a="1"/>
  <c r="U196" i="4" s="1"/>
  <c r="U197" i="4" a="1"/>
  <c r="U197" i="4" s="1"/>
  <c r="U198" i="4" a="1"/>
  <c r="U198" i="4" s="1"/>
  <c r="U199" i="4" a="1"/>
  <c r="U199" i="4" s="1"/>
  <c r="U200" i="4" a="1"/>
  <c r="U200" i="4" s="1"/>
  <c r="U201" i="4" a="1"/>
  <c r="U201" i="4" s="1"/>
  <c r="U202" i="4" a="1"/>
  <c r="U202" i="4" s="1"/>
  <c r="U203" i="4" a="1"/>
  <c r="U203" i="4" s="1"/>
  <c r="U204" i="4" a="1"/>
  <c r="U204" i="4" s="1"/>
  <c r="V180" i="4" a="1"/>
  <c r="V180" i="4" s="1"/>
  <c r="V181" i="4" a="1"/>
  <c r="V181" i="4" s="1"/>
  <c r="V182" i="4" a="1"/>
  <c r="V182" i="4" s="1"/>
  <c r="V183" i="4" a="1"/>
  <c r="V183" i="4" s="1"/>
  <c r="V184" i="4" a="1"/>
  <c r="V184" i="4" s="1"/>
  <c r="V185" i="4" a="1"/>
  <c r="V185" i="4" s="1"/>
  <c r="V186" i="4" a="1"/>
  <c r="V186" i="4" s="1"/>
  <c r="V187" i="4" a="1"/>
  <c r="V187" i="4" s="1"/>
  <c r="V188" i="4" a="1"/>
  <c r="V188" i="4" s="1"/>
  <c r="V189" i="4" a="1"/>
  <c r="V189" i="4" s="1"/>
  <c r="V190" i="4" a="1"/>
  <c r="V190" i="4" s="1"/>
  <c r="V191" i="4" a="1"/>
  <c r="V191" i="4" s="1"/>
  <c r="V192" i="4" a="1"/>
  <c r="V192" i="4" s="1"/>
  <c r="V193" i="4" a="1"/>
  <c r="V193" i="4" s="1"/>
  <c r="V194" i="4" a="1"/>
  <c r="V194" i="4" s="1"/>
  <c r="V195" i="4" a="1"/>
  <c r="V195" i="4" s="1"/>
  <c r="V196" i="4" a="1"/>
  <c r="V196" i="4" s="1"/>
  <c r="V197" i="4" a="1"/>
  <c r="V197" i="4" s="1"/>
  <c r="V198" i="4" a="1"/>
  <c r="V198" i="4" s="1"/>
  <c r="V199" i="4" a="1"/>
  <c r="V199" i="4" s="1"/>
  <c r="V200" i="4" a="1"/>
  <c r="V200" i="4" s="1"/>
  <c r="V201" i="4" a="1"/>
  <c r="V201" i="4" s="1"/>
  <c r="V202" i="4" a="1"/>
  <c r="V202" i="4" s="1"/>
  <c r="V203" i="4" a="1"/>
  <c r="V203" i="4" s="1"/>
  <c r="V204" i="4" a="1"/>
  <c r="V204" i="4" s="1"/>
  <c r="W180" i="4" a="1"/>
  <c r="W180" i="4" s="1"/>
  <c r="W181" i="4" a="1"/>
  <c r="W181" i="4" s="1"/>
  <c r="W182" i="4" a="1"/>
  <c r="W182" i="4" s="1"/>
  <c r="W183" i="4" a="1"/>
  <c r="W183" i="4" s="1"/>
  <c r="W184" i="4" a="1"/>
  <c r="W184" i="4" s="1"/>
  <c r="W185" i="4" a="1"/>
  <c r="W185" i="4" s="1"/>
  <c r="W186" i="4" a="1"/>
  <c r="W186" i="4" s="1"/>
  <c r="W187" i="4" a="1"/>
  <c r="W187" i="4" s="1"/>
  <c r="W188" i="4" a="1"/>
  <c r="W188" i="4" s="1"/>
  <c r="W189" i="4" a="1"/>
  <c r="W189" i="4" s="1"/>
  <c r="W190" i="4" a="1"/>
  <c r="W190" i="4" s="1"/>
  <c r="W191" i="4" a="1"/>
  <c r="W191" i="4" s="1"/>
  <c r="W192" i="4" a="1"/>
  <c r="W192" i="4" s="1"/>
  <c r="W193" i="4" a="1"/>
  <c r="W193" i="4" s="1"/>
  <c r="W194" i="4" a="1"/>
  <c r="W194" i="4" s="1"/>
  <c r="W195" i="4" a="1"/>
  <c r="W195" i="4" s="1"/>
  <c r="W196" i="4" a="1"/>
  <c r="W196" i="4" s="1"/>
  <c r="W197" i="4" a="1"/>
  <c r="W197" i="4" s="1"/>
  <c r="W198" i="4" a="1"/>
  <c r="W198" i="4" s="1"/>
  <c r="W199" i="4" a="1"/>
  <c r="W199" i="4" s="1"/>
  <c r="W200" i="4" a="1"/>
  <c r="W200" i="4" s="1"/>
  <c r="W201" i="4" a="1"/>
  <c r="W201" i="4" s="1"/>
  <c r="W202" i="4" a="1"/>
  <c r="W202" i="4" s="1"/>
  <c r="W203" i="4" a="1"/>
  <c r="W203" i="4" s="1"/>
  <c r="W204" i="4" a="1"/>
  <c r="W204" i="4" s="1"/>
  <c r="X180" i="4" a="1"/>
  <c r="X180" i="4" s="1"/>
  <c r="X181" i="4" a="1"/>
  <c r="X181" i="4" s="1"/>
  <c r="X182" i="4" a="1"/>
  <c r="X182" i="4" s="1"/>
  <c r="X183" i="4" a="1"/>
  <c r="X183" i="4" s="1"/>
  <c r="X184" i="4" a="1"/>
  <c r="X184" i="4" s="1"/>
  <c r="X185" i="4" a="1"/>
  <c r="X185" i="4" s="1"/>
  <c r="X186" i="4" a="1"/>
  <c r="X186" i="4" s="1"/>
  <c r="X187" i="4" a="1"/>
  <c r="X187" i="4" s="1"/>
  <c r="X188" i="4" a="1"/>
  <c r="X188" i="4" s="1"/>
  <c r="X189" i="4" a="1"/>
  <c r="X189" i="4" s="1"/>
  <c r="X190" i="4" a="1"/>
  <c r="X190" i="4" s="1"/>
  <c r="X191" i="4" a="1"/>
  <c r="X191" i="4" s="1"/>
  <c r="X192" i="4" a="1"/>
  <c r="X192" i="4" s="1"/>
  <c r="X193" i="4" a="1"/>
  <c r="X193" i="4" s="1"/>
  <c r="X194" i="4" a="1"/>
  <c r="X194" i="4" s="1"/>
  <c r="X195" i="4" a="1"/>
  <c r="X195" i="4" s="1"/>
  <c r="X196" i="4" a="1"/>
  <c r="X196" i="4" s="1"/>
  <c r="X197" i="4" a="1"/>
  <c r="X197" i="4" s="1"/>
  <c r="X198" i="4" a="1"/>
  <c r="X198" i="4" s="1"/>
  <c r="X199" i="4" a="1"/>
  <c r="X199" i="4" s="1"/>
  <c r="X200" i="4" a="1"/>
  <c r="X200" i="4" s="1"/>
  <c r="X201" i="4" a="1"/>
  <c r="X201" i="4" s="1"/>
  <c r="X202" i="4" a="1"/>
  <c r="X202" i="4" s="1"/>
  <c r="X203" i="4" a="1"/>
  <c r="X203" i="4" s="1"/>
  <c r="X204" i="4" a="1"/>
  <c r="X204" i="4" s="1"/>
  <c r="Y180" i="4" a="1"/>
  <c r="Y180" i="4" s="1"/>
  <c r="Y181" i="4" a="1"/>
  <c r="Y181" i="4" s="1"/>
  <c r="Y182" i="4" a="1"/>
  <c r="Y182" i="4" s="1"/>
  <c r="Y183" i="4" a="1"/>
  <c r="Y183" i="4" s="1"/>
  <c r="Y184" i="4" a="1"/>
  <c r="Y184" i="4" s="1"/>
  <c r="Y185" i="4" a="1"/>
  <c r="Y185" i="4" s="1"/>
  <c r="Y186" i="4" a="1"/>
  <c r="Y186" i="4" s="1"/>
  <c r="Y187" i="4" a="1"/>
  <c r="Y187" i="4" s="1"/>
  <c r="Y188" i="4" a="1"/>
  <c r="Y188" i="4" s="1"/>
  <c r="Y189" i="4" a="1"/>
  <c r="Y189" i="4" s="1"/>
  <c r="Y190" i="4" a="1"/>
  <c r="Y190" i="4" s="1"/>
  <c r="Y191" i="4" a="1"/>
  <c r="Y191" i="4" s="1"/>
  <c r="Y192" i="4" a="1"/>
  <c r="Y192" i="4" s="1"/>
  <c r="Y193" i="4" a="1"/>
  <c r="Y193" i="4" s="1"/>
  <c r="Y194" i="4" a="1"/>
  <c r="Y194" i="4" s="1"/>
  <c r="Y195" i="4" a="1"/>
  <c r="Y195" i="4" s="1"/>
  <c r="Y196" i="4" a="1"/>
  <c r="Y196" i="4" s="1"/>
  <c r="Y197" i="4" a="1"/>
  <c r="Y197" i="4" s="1"/>
  <c r="Y198" i="4" a="1"/>
  <c r="Y198" i="4" s="1"/>
  <c r="Y199" i="4" a="1"/>
  <c r="Y199" i="4" s="1"/>
  <c r="Y200" i="4" a="1"/>
  <c r="Y200" i="4" s="1"/>
  <c r="Y201" i="4" a="1"/>
  <c r="Y201" i="4" s="1"/>
  <c r="Y202" i="4" a="1"/>
  <c r="Y202" i="4" s="1"/>
  <c r="Y203" i="4" a="1"/>
  <c r="Y203" i="4" s="1"/>
  <c r="Y204" i="4" a="1"/>
  <c r="Y204" i="4" s="1"/>
  <c r="Z180" i="4" a="1"/>
  <c r="Z180" i="4" s="1"/>
  <c r="Z181" i="4" a="1"/>
  <c r="Z181" i="4" s="1"/>
  <c r="Z182" i="4" a="1"/>
  <c r="Z182" i="4" s="1"/>
  <c r="Z183" i="4" a="1"/>
  <c r="Z183" i="4" s="1"/>
  <c r="Z184" i="4" a="1"/>
  <c r="Z184" i="4" s="1"/>
  <c r="Z185" i="4" a="1"/>
  <c r="Z185" i="4" s="1"/>
  <c r="Z186" i="4" a="1"/>
  <c r="Z186" i="4" s="1"/>
  <c r="Z187" i="4" a="1"/>
  <c r="Z187" i="4" s="1"/>
  <c r="Z188" i="4" a="1"/>
  <c r="Z188" i="4" s="1"/>
  <c r="Z189" i="4" a="1"/>
  <c r="Z189" i="4" s="1"/>
  <c r="Z190" i="4" a="1"/>
  <c r="Z190" i="4" s="1"/>
  <c r="Z191" i="4" a="1"/>
  <c r="Z191" i="4" s="1"/>
  <c r="Z192" i="4" a="1"/>
  <c r="Z192" i="4" s="1"/>
  <c r="Z193" i="4" a="1"/>
  <c r="Z193" i="4" s="1"/>
  <c r="Z194" i="4" a="1"/>
  <c r="Z194" i="4" s="1"/>
  <c r="Z195" i="4" a="1"/>
  <c r="Z195" i="4" s="1"/>
  <c r="Z196" i="4" a="1"/>
  <c r="Z196" i="4" s="1"/>
  <c r="Z197" i="4" a="1"/>
  <c r="Z197" i="4" s="1"/>
  <c r="Z198" i="4" a="1"/>
  <c r="Z198" i="4" s="1"/>
  <c r="Z199" i="4" a="1"/>
  <c r="Z199" i="4" s="1"/>
  <c r="Z200" i="4" a="1"/>
  <c r="Z200" i="4" s="1"/>
  <c r="Z201" i="4" a="1"/>
  <c r="Z201" i="4" s="1"/>
  <c r="Z202" i="4" a="1"/>
  <c r="Z202" i="4" s="1"/>
  <c r="Z203" i="4" a="1"/>
  <c r="Z203" i="4" s="1"/>
  <c r="Z204" i="4" a="1"/>
  <c r="Z204" i="4" s="1"/>
  <c r="C179" i="4"/>
  <c r="D179" i="4"/>
  <c r="E179" i="4" a="1"/>
  <c r="E179" i="4" s="1"/>
  <c r="F179" i="4" a="1"/>
  <c r="F179" i="4" s="1"/>
  <c r="G179" i="4" a="1"/>
  <c r="G179" i="4" s="1"/>
  <c r="H179" i="4" a="1"/>
  <c r="H179" i="4" s="1"/>
  <c r="I179" i="4" a="1"/>
  <c r="I179" i="4" s="1"/>
  <c r="J179" i="4" a="1"/>
  <c r="J179" i="4" s="1"/>
  <c r="K179" i="4" a="1"/>
  <c r="K179" i="4" s="1"/>
  <c r="L179" i="4" a="1"/>
  <c r="L179" i="4" s="1"/>
  <c r="M179" i="4" a="1"/>
  <c r="M179" i="4" s="1"/>
  <c r="Q179" i="4" a="1"/>
  <c r="Q179" i="4" s="1"/>
  <c r="R179" i="4" a="1"/>
  <c r="R179" i="4" s="1"/>
  <c r="S179" i="4" a="1"/>
  <c r="S179" i="4" s="1"/>
  <c r="T179" i="4" a="1"/>
  <c r="T179" i="4" s="1"/>
  <c r="U179" i="4" a="1"/>
  <c r="U179" i="4" s="1"/>
  <c r="V179" i="4" a="1"/>
  <c r="V179" i="4" s="1"/>
  <c r="W179" i="4" a="1"/>
  <c r="W179" i="4" s="1"/>
  <c r="X179" i="4" a="1"/>
  <c r="X179" i="4" s="1"/>
  <c r="Y179" i="4" a="1"/>
  <c r="Y179" i="4" s="1"/>
  <c r="Z179" i="4" a="1"/>
  <c r="Z179" i="4" s="1"/>
  <c r="K9" i="6"/>
  <c r="L9" i="6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06" i="1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09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853" i="2"/>
  <c r="H9" i="15" l="1"/>
  <c r="E9" i="15"/>
  <c r="O195" i="4"/>
  <c r="O181" i="4"/>
  <c r="N192" i="4"/>
  <c r="AA192" i="4"/>
  <c r="AA188" i="4"/>
  <c r="O194" i="4"/>
  <c r="O180" i="4"/>
  <c r="N190" i="4"/>
  <c r="O189" i="4"/>
  <c r="AA202" i="4"/>
  <c r="AA196" i="4"/>
  <c r="O193" i="4"/>
  <c r="N204" i="4"/>
  <c r="AA195" i="4"/>
  <c r="N203" i="4"/>
  <c r="N189" i="4"/>
  <c r="AA198" i="4"/>
  <c r="O192" i="4"/>
  <c r="N202" i="4"/>
  <c r="N188" i="4"/>
  <c r="AA204" i="4"/>
  <c r="AA197" i="4"/>
  <c r="AA187" i="4"/>
  <c r="O191" i="4"/>
  <c r="N187" i="4"/>
  <c r="AA185" i="4"/>
  <c r="O204" i="4"/>
  <c r="O190" i="4"/>
  <c r="P190" i="4" s="1"/>
  <c r="N201" i="4"/>
  <c r="P201" i="4" s="1"/>
  <c r="N186" i="4"/>
  <c r="AA186" i="4"/>
  <c r="AA193" i="4"/>
  <c r="O203" i="4"/>
  <c r="N200" i="4"/>
  <c r="AA200" i="4"/>
  <c r="AA201" i="4"/>
  <c r="O202" i="4"/>
  <c r="O188" i="4"/>
  <c r="N199" i="4"/>
  <c r="N185" i="4"/>
  <c r="AA180" i="4"/>
  <c r="AA184" i="4"/>
  <c r="O201" i="4"/>
  <c r="O187" i="4"/>
  <c r="N198" i="4"/>
  <c r="N184" i="4"/>
  <c r="O186" i="4"/>
  <c r="N197" i="4"/>
  <c r="N183" i="4"/>
  <c r="AA182" i="4"/>
  <c r="AA183" i="4"/>
  <c r="AA191" i="4"/>
  <c r="O200" i="4"/>
  <c r="O185" i="4"/>
  <c r="N196" i="4"/>
  <c r="N182" i="4"/>
  <c r="AA181" i="4"/>
  <c r="O199" i="4"/>
  <c r="N195" i="4"/>
  <c r="P195" i="4" s="1"/>
  <c r="N181" i="4"/>
  <c r="P181" i="4" s="1"/>
  <c r="AA199" i="4"/>
  <c r="O198" i="4"/>
  <c r="O184" i="4"/>
  <c r="N194" i="4"/>
  <c r="N180" i="4"/>
  <c r="AA189" i="4"/>
  <c r="AA190" i="4"/>
  <c r="O197" i="4"/>
  <c r="O183" i="4"/>
  <c r="N191" i="4"/>
  <c r="AA194" i="4"/>
  <c r="AA203" i="4"/>
  <c r="O196" i="4"/>
  <c r="O182" i="4"/>
  <c r="N193" i="4"/>
  <c r="O179" i="4"/>
  <c r="AA179" i="4"/>
  <c r="N179" i="4"/>
  <c r="F2" i="15"/>
  <c r="F3" i="15"/>
  <c r="F4" i="15"/>
  <c r="F5" i="15"/>
  <c r="F6" i="15"/>
  <c r="F7" i="15"/>
  <c r="F8" i="15"/>
  <c r="P192" i="4" l="1"/>
  <c r="P204" i="4"/>
  <c r="P193" i="4"/>
  <c r="P191" i="4"/>
  <c r="P185" i="4"/>
  <c r="P194" i="4"/>
  <c r="P189" i="4"/>
  <c r="P179" i="4"/>
  <c r="P187" i="4"/>
  <c r="P199" i="4"/>
  <c r="P188" i="4"/>
  <c r="P196" i="4"/>
  <c r="P180" i="4"/>
  <c r="P182" i="4"/>
  <c r="P202" i="4"/>
  <c r="P200" i="4"/>
  <c r="P197" i="4"/>
  <c r="P203" i="4"/>
  <c r="P186" i="4"/>
  <c r="P183" i="4"/>
  <c r="P198" i="4"/>
  <c r="P184" i="4"/>
  <c r="C2" i="15"/>
  <c r="C3" i="15"/>
  <c r="C4" i="15"/>
  <c r="C5" i="15"/>
  <c r="C6" i="15"/>
  <c r="C7" i="15"/>
  <c r="C8" i="15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C25" i="4" l="1"/>
  <c r="C48" i="4"/>
  <c r="C74" i="4"/>
  <c r="C102" i="4"/>
  <c r="C126" i="4"/>
  <c r="C152" i="4"/>
  <c r="C178" i="4"/>
  <c r="D25" i="4"/>
  <c r="D48" i="4"/>
  <c r="D74" i="4"/>
  <c r="D102" i="4"/>
  <c r="D126" i="4"/>
  <c r="D152" i="4"/>
  <c r="D178" i="4"/>
  <c r="E25" i="4" a="1"/>
  <c r="E25" i="4" s="1"/>
  <c r="E48" i="4" a="1"/>
  <c r="E48" i="4" s="1"/>
  <c r="E74" i="4" a="1"/>
  <c r="E74" i="4" s="1"/>
  <c r="E102" i="4" a="1"/>
  <c r="E102" i="4" s="1"/>
  <c r="E126" i="4" a="1"/>
  <c r="E126" i="4" s="1"/>
  <c r="E152" i="4" a="1"/>
  <c r="E152" i="4" s="1"/>
  <c r="E178" i="4" a="1"/>
  <c r="E178" i="4" s="1"/>
  <c r="F25" i="4" a="1"/>
  <c r="F25" i="4" s="1"/>
  <c r="F48" i="4" a="1"/>
  <c r="F48" i="4" s="1"/>
  <c r="F74" i="4" a="1"/>
  <c r="F74" i="4" s="1"/>
  <c r="F102" i="4" a="1"/>
  <c r="F102" i="4" s="1"/>
  <c r="F126" i="4" a="1"/>
  <c r="F126" i="4" s="1"/>
  <c r="F152" i="4" a="1"/>
  <c r="F152" i="4" s="1"/>
  <c r="F178" i="4" a="1"/>
  <c r="F178" i="4" s="1"/>
  <c r="G25" i="4" a="1"/>
  <c r="G25" i="4" s="1"/>
  <c r="G48" i="4" a="1"/>
  <c r="G48" i="4" s="1"/>
  <c r="G74" i="4" a="1"/>
  <c r="G74" i="4" s="1"/>
  <c r="G102" i="4" a="1"/>
  <c r="G102" i="4" s="1"/>
  <c r="G126" i="4" a="1"/>
  <c r="G126" i="4" s="1"/>
  <c r="G152" i="4" a="1"/>
  <c r="G152" i="4" s="1"/>
  <c r="G178" i="4" a="1"/>
  <c r="G178" i="4" s="1"/>
  <c r="H25" i="4" a="1"/>
  <c r="H25" i="4" s="1"/>
  <c r="H48" i="4" a="1"/>
  <c r="H48" i="4" s="1"/>
  <c r="H74" i="4" a="1"/>
  <c r="H74" i="4" s="1"/>
  <c r="H102" i="4" a="1"/>
  <c r="H102" i="4" s="1"/>
  <c r="H126" i="4" a="1"/>
  <c r="H126" i="4" s="1"/>
  <c r="H152" i="4" a="1"/>
  <c r="H152" i="4" s="1"/>
  <c r="H178" i="4" a="1"/>
  <c r="H178" i="4" s="1"/>
  <c r="I25" i="4" a="1"/>
  <c r="I25" i="4" s="1"/>
  <c r="I48" i="4" a="1"/>
  <c r="I48" i="4" s="1"/>
  <c r="I74" i="4" a="1"/>
  <c r="I74" i="4" s="1"/>
  <c r="I102" i="4" a="1"/>
  <c r="I102" i="4" s="1"/>
  <c r="I126" i="4" a="1"/>
  <c r="I126" i="4" s="1"/>
  <c r="I152" i="4" a="1"/>
  <c r="I152" i="4" s="1"/>
  <c r="I178" i="4" a="1"/>
  <c r="I178" i="4" s="1"/>
  <c r="J25" i="4" a="1"/>
  <c r="J25" i="4" s="1"/>
  <c r="J48" i="4" a="1"/>
  <c r="J48" i="4" s="1"/>
  <c r="J74" i="4" a="1"/>
  <c r="J74" i="4" s="1"/>
  <c r="J102" i="4" a="1"/>
  <c r="J102" i="4" s="1"/>
  <c r="J126" i="4" a="1"/>
  <c r="J126" i="4" s="1"/>
  <c r="J152" i="4" a="1"/>
  <c r="J152" i="4" s="1"/>
  <c r="J178" i="4" a="1"/>
  <c r="J178" i="4" s="1"/>
  <c r="K25" i="4" a="1"/>
  <c r="K25" i="4" s="1"/>
  <c r="K48" i="4" a="1"/>
  <c r="K48" i="4" s="1"/>
  <c r="K74" i="4" a="1"/>
  <c r="K74" i="4" s="1"/>
  <c r="K102" i="4" a="1"/>
  <c r="K102" i="4" s="1"/>
  <c r="K126" i="4" a="1"/>
  <c r="K126" i="4" s="1"/>
  <c r="K152" i="4" a="1"/>
  <c r="K152" i="4" s="1"/>
  <c r="K178" i="4" a="1"/>
  <c r="K178" i="4" s="1"/>
  <c r="L25" i="4" a="1"/>
  <c r="L25" i="4" s="1"/>
  <c r="L48" i="4" a="1"/>
  <c r="L48" i="4" s="1"/>
  <c r="L74" i="4" a="1"/>
  <c r="L74" i="4" s="1"/>
  <c r="L102" i="4" a="1"/>
  <c r="L102" i="4" s="1"/>
  <c r="L126" i="4" a="1"/>
  <c r="L126" i="4" s="1"/>
  <c r="L152" i="4" a="1"/>
  <c r="L152" i="4" s="1"/>
  <c r="L178" i="4" a="1"/>
  <c r="L178" i="4" s="1"/>
  <c r="M25" i="4" a="1"/>
  <c r="M25" i="4" s="1"/>
  <c r="M48" i="4" a="1"/>
  <c r="M48" i="4" s="1"/>
  <c r="M74" i="4" a="1"/>
  <c r="M74" i="4" s="1"/>
  <c r="M102" i="4" a="1"/>
  <c r="M102" i="4" s="1"/>
  <c r="M126" i="4" a="1"/>
  <c r="M126" i="4" s="1"/>
  <c r="M152" i="4" a="1"/>
  <c r="M152" i="4" s="1"/>
  <c r="M178" i="4" a="1"/>
  <c r="M178" i="4" s="1"/>
  <c r="Q25" i="4" a="1"/>
  <c r="Q25" i="4" s="1"/>
  <c r="Q48" i="4" a="1"/>
  <c r="Q48" i="4" s="1"/>
  <c r="Q74" i="4" a="1"/>
  <c r="Q74" i="4" s="1"/>
  <c r="Q102" i="4" a="1"/>
  <c r="Q102" i="4" s="1"/>
  <c r="Q126" i="4" a="1"/>
  <c r="Q126" i="4" s="1"/>
  <c r="Q152" i="4" a="1"/>
  <c r="Q152" i="4" s="1"/>
  <c r="Q178" i="4" a="1"/>
  <c r="Q178" i="4" s="1"/>
  <c r="R25" i="4" a="1"/>
  <c r="R25" i="4" s="1"/>
  <c r="R48" i="4" a="1"/>
  <c r="R48" i="4" s="1"/>
  <c r="R74" i="4" a="1"/>
  <c r="R74" i="4" s="1"/>
  <c r="R102" i="4" a="1"/>
  <c r="R102" i="4" s="1"/>
  <c r="R126" i="4" a="1"/>
  <c r="R126" i="4" s="1"/>
  <c r="R152" i="4" a="1"/>
  <c r="R152" i="4" s="1"/>
  <c r="R178" i="4" a="1"/>
  <c r="R178" i="4" s="1"/>
  <c r="S25" i="4" a="1"/>
  <c r="S25" i="4" s="1"/>
  <c r="S48" i="4" a="1"/>
  <c r="S48" i="4" s="1"/>
  <c r="S74" i="4" a="1"/>
  <c r="S74" i="4" s="1"/>
  <c r="S102" i="4" a="1"/>
  <c r="S102" i="4" s="1"/>
  <c r="S126" i="4" a="1"/>
  <c r="S126" i="4" s="1"/>
  <c r="S152" i="4" a="1"/>
  <c r="S152" i="4" s="1"/>
  <c r="S178" i="4" a="1"/>
  <c r="S178" i="4" s="1"/>
  <c r="T25" i="4" a="1"/>
  <c r="T25" i="4" s="1"/>
  <c r="T48" i="4" a="1"/>
  <c r="T48" i="4" s="1"/>
  <c r="T74" i="4" a="1"/>
  <c r="T74" i="4" s="1"/>
  <c r="T102" i="4" a="1"/>
  <c r="T102" i="4" s="1"/>
  <c r="T126" i="4" a="1"/>
  <c r="T126" i="4" s="1"/>
  <c r="T152" i="4" a="1"/>
  <c r="T152" i="4" s="1"/>
  <c r="T178" i="4" a="1"/>
  <c r="T178" i="4" s="1"/>
  <c r="U25" i="4" a="1"/>
  <c r="U25" i="4" s="1"/>
  <c r="U48" i="4" a="1"/>
  <c r="U48" i="4" s="1"/>
  <c r="U74" i="4" a="1"/>
  <c r="U74" i="4" s="1"/>
  <c r="U102" i="4" a="1"/>
  <c r="U102" i="4" s="1"/>
  <c r="U126" i="4" a="1"/>
  <c r="U126" i="4" s="1"/>
  <c r="U152" i="4" a="1"/>
  <c r="U152" i="4" s="1"/>
  <c r="U178" i="4" a="1"/>
  <c r="U178" i="4" s="1"/>
  <c r="V25" i="4" a="1"/>
  <c r="V25" i="4" s="1"/>
  <c r="V48" i="4" a="1"/>
  <c r="V48" i="4" s="1"/>
  <c r="V74" i="4" a="1"/>
  <c r="V74" i="4" s="1"/>
  <c r="V102" i="4" a="1"/>
  <c r="V102" i="4" s="1"/>
  <c r="V126" i="4" a="1"/>
  <c r="V126" i="4" s="1"/>
  <c r="V152" i="4" a="1"/>
  <c r="V152" i="4" s="1"/>
  <c r="V178" i="4" a="1"/>
  <c r="V178" i="4" s="1"/>
  <c r="W25" i="4" a="1"/>
  <c r="W25" i="4" s="1"/>
  <c r="W48" i="4" a="1"/>
  <c r="W48" i="4" s="1"/>
  <c r="W74" i="4" a="1"/>
  <c r="W74" i="4" s="1"/>
  <c r="W102" i="4" a="1"/>
  <c r="W102" i="4" s="1"/>
  <c r="W126" i="4" a="1"/>
  <c r="W126" i="4" s="1"/>
  <c r="W152" i="4" a="1"/>
  <c r="W152" i="4" s="1"/>
  <c r="W178" i="4" a="1"/>
  <c r="W178" i="4" s="1"/>
  <c r="X25" i="4" a="1"/>
  <c r="X25" i="4" s="1"/>
  <c r="X48" i="4" a="1"/>
  <c r="X48" i="4" s="1"/>
  <c r="X74" i="4" a="1"/>
  <c r="X74" i="4" s="1"/>
  <c r="X102" i="4" a="1"/>
  <c r="X102" i="4" s="1"/>
  <c r="X126" i="4" a="1"/>
  <c r="X126" i="4" s="1"/>
  <c r="X152" i="4" a="1"/>
  <c r="X152" i="4" s="1"/>
  <c r="X178" i="4" a="1"/>
  <c r="X178" i="4" s="1"/>
  <c r="Y25" i="4" a="1"/>
  <c r="Y25" i="4" s="1"/>
  <c r="Y48" i="4" a="1"/>
  <c r="Y48" i="4" s="1"/>
  <c r="Y74" i="4" a="1"/>
  <c r="Y74" i="4" s="1"/>
  <c r="Y102" i="4" a="1"/>
  <c r="Y102" i="4" s="1"/>
  <c r="Y126" i="4" a="1"/>
  <c r="Y126" i="4" s="1"/>
  <c r="Y152" i="4" a="1"/>
  <c r="Y152" i="4" s="1"/>
  <c r="Y178" i="4" a="1"/>
  <c r="Y178" i="4" s="1"/>
  <c r="Z25" i="4" a="1"/>
  <c r="Z25" i="4" s="1"/>
  <c r="Z48" i="4" a="1"/>
  <c r="Z48" i="4" s="1"/>
  <c r="Z74" i="4" a="1"/>
  <c r="Z74" i="4" s="1"/>
  <c r="Z102" i="4" a="1"/>
  <c r="Z102" i="4" s="1"/>
  <c r="Z126" i="4" a="1"/>
  <c r="Z126" i="4" s="1"/>
  <c r="Z152" i="4" a="1"/>
  <c r="Z152" i="4" s="1"/>
  <c r="Z178" i="4" a="1"/>
  <c r="Z178" i="4" s="1"/>
  <c r="C47" i="4"/>
  <c r="C73" i="4"/>
  <c r="C101" i="4"/>
  <c r="C125" i="4"/>
  <c r="C151" i="4"/>
  <c r="C177" i="4"/>
  <c r="D47" i="4"/>
  <c r="D73" i="4"/>
  <c r="D101" i="4"/>
  <c r="D125" i="4"/>
  <c r="D151" i="4"/>
  <c r="D177" i="4"/>
  <c r="E47" i="4" a="1"/>
  <c r="E47" i="4" s="1"/>
  <c r="E73" i="4" a="1"/>
  <c r="E73" i="4" s="1"/>
  <c r="E101" i="4" a="1"/>
  <c r="E101" i="4" s="1"/>
  <c r="E125" i="4" a="1"/>
  <c r="E125" i="4" s="1"/>
  <c r="E151" i="4" a="1"/>
  <c r="E151" i="4" s="1"/>
  <c r="E177" i="4" a="1"/>
  <c r="E177" i="4" s="1"/>
  <c r="F47" i="4" a="1"/>
  <c r="F47" i="4" s="1"/>
  <c r="F73" i="4" a="1"/>
  <c r="F73" i="4" s="1"/>
  <c r="F101" i="4" a="1"/>
  <c r="F101" i="4" s="1"/>
  <c r="F125" i="4" a="1"/>
  <c r="F125" i="4" s="1"/>
  <c r="F151" i="4" a="1"/>
  <c r="F151" i="4" s="1"/>
  <c r="F177" i="4" a="1"/>
  <c r="F177" i="4" s="1"/>
  <c r="G47" i="4" a="1"/>
  <c r="G47" i="4" s="1"/>
  <c r="G73" i="4" a="1"/>
  <c r="G73" i="4" s="1"/>
  <c r="G101" i="4" a="1"/>
  <c r="G101" i="4" s="1"/>
  <c r="G125" i="4" a="1"/>
  <c r="G125" i="4" s="1"/>
  <c r="G151" i="4" a="1"/>
  <c r="G151" i="4" s="1"/>
  <c r="G177" i="4" a="1"/>
  <c r="G177" i="4" s="1"/>
  <c r="H47" i="4" a="1"/>
  <c r="H47" i="4" s="1"/>
  <c r="H73" i="4" a="1"/>
  <c r="H73" i="4" s="1"/>
  <c r="H101" i="4" a="1"/>
  <c r="H101" i="4" s="1"/>
  <c r="H125" i="4" a="1"/>
  <c r="H125" i="4" s="1"/>
  <c r="H151" i="4" a="1"/>
  <c r="H151" i="4" s="1"/>
  <c r="H177" i="4" a="1"/>
  <c r="H177" i="4" s="1"/>
  <c r="I47" i="4" a="1"/>
  <c r="I47" i="4" s="1"/>
  <c r="I73" i="4" a="1"/>
  <c r="I73" i="4" s="1"/>
  <c r="I101" i="4" a="1"/>
  <c r="I101" i="4" s="1"/>
  <c r="I125" i="4" a="1"/>
  <c r="I125" i="4" s="1"/>
  <c r="I151" i="4" a="1"/>
  <c r="I151" i="4" s="1"/>
  <c r="I177" i="4" a="1"/>
  <c r="I177" i="4" s="1"/>
  <c r="J47" i="4" a="1"/>
  <c r="J47" i="4" s="1"/>
  <c r="J73" i="4" a="1"/>
  <c r="J73" i="4" s="1"/>
  <c r="J101" i="4" a="1"/>
  <c r="J101" i="4" s="1"/>
  <c r="J125" i="4" a="1"/>
  <c r="J125" i="4" s="1"/>
  <c r="J151" i="4" a="1"/>
  <c r="J151" i="4" s="1"/>
  <c r="J177" i="4" a="1"/>
  <c r="J177" i="4" s="1"/>
  <c r="K47" i="4" a="1"/>
  <c r="K47" i="4" s="1"/>
  <c r="K73" i="4" a="1"/>
  <c r="K73" i="4" s="1"/>
  <c r="K101" i="4" a="1"/>
  <c r="K101" i="4" s="1"/>
  <c r="K125" i="4" a="1"/>
  <c r="K125" i="4" s="1"/>
  <c r="K151" i="4" a="1"/>
  <c r="K151" i="4" s="1"/>
  <c r="K177" i="4" a="1"/>
  <c r="K177" i="4" s="1"/>
  <c r="L47" i="4" a="1"/>
  <c r="L47" i="4" s="1"/>
  <c r="L73" i="4" a="1"/>
  <c r="L73" i="4" s="1"/>
  <c r="L101" i="4" a="1"/>
  <c r="L101" i="4" s="1"/>
  <c r="L125" i="4" a="1"/>
  <c r="L125" i="4" s="1"/>
  <c r="L151" i="4" a="1"/>
  <c r="L151" i="4" s="1"/>
  <c r="L177" i="4" a="1"/>
  <c r="L177" i="4" s="1"/>
  <c r="M47" i="4" a="1"/>
  <c r="M47" i="4" s="1"/>
  <c r="M73" i="4" a="1"/>
  <c r="M73" i="4" s="1"/>
  <c r="M101" i="4" a="1"/>
  <c r="M101" i="4" s="1"/>
  <c r="M125" i="4" a="1"/>
  <c r="M125" i="4" s="1"/>
  <c r="M151" i="4" a="1"/>
  <c r="M151" i="4" s="1"/>
  <c r="M177" i="4" a="1"/>
  <c r="M177" i="4" s="1"/>
  <c r="Q47" i="4" a="1"/>
  <c r="Q47" i="4" s="1"/>
  <c r="Q73" i="4" a="1"/>
  <c r="Q73" i="4" s="1"/>
  <c r="Q101" i="4" a="1"/>
  <c r="Q101" i="4" s="1"/>
  <c r="Q125" i="4" a="1"/>
  <c r="Q125" i="4" s="1"/>
  <c r="Q151" i="4" a="1"/>
  <c r="Q151" i="4" s="1"/>
  <c r="Q177" i="4" a="1"/>
  <c r="Q177" i="4" s="1"/>
  <c r="R47" i="4" a="1"/>
  <c r="R47" i="4" s="1"/>
  <c r="R73" i="4" a="1"/>
  <c r="R73" i="4" s="1"/>
  <c r="R101" i="4" a="1"/>
  <c r="R101" i="4" s="1"/>
  <c r="R125" i="4" a="1"/>
  <c r="R125" i="4" s="1"/>
  <c r="R151" i="4" a="1"/>
  <c r="R151" i="4" s="1"/>
  <c r="R177" i="4" a="1"/>
  <c r="R177" i="4" s="1"/>
  <c r="S47" i="4" a="1"/>
  <c r="S47" i="4" s="1"/>
  <c r="S73" i="4" a="1"/>
  <c r="S73" i="4" s="1"/>
  <c r="S101" i="4" a="1"/>
  <c r="S101" i="4" s="1"/>
  <c r="S125" i="4" a="1"/>
  <c r="S125" i="4" s="1"/>
  <c r="S151" i="4" a="1"/>
  <c r="S151" i="4" s="1"/>
  <c r="S177" i="4" a="1"/>
  <c r="S177" i="4" s="1"/>
  <c r="T47" i="4" a="1"/>
  <c r="T47" i="4" s="1"/>
  <c r="T73" i="4" a="1"/>
  <c r="T73" i="4" s="1"/>
  <c r="T101" i="4" a="1"/>
  <c r="T101" i="4" s="1"/>
  <c r="T125" i="4" a="1"/>
  <c r="T125" i="4" s="1"/>
  <c r="T151" i="4" a="1"/>
  <c r="T151" i="4" s="1"/>
  <c r="T177" i="4" a="1"/>
  <c r="T177" i="4" s="1"/>
  <c r="U47" i="4" a="1"/>
  <c r="U47" i="4" s="1"/>
  <c r="U73" i="4" a="1"/>
  <c r="U73" i="4" s="1"/>
  <c r="U101" i="4" a="1"/>
  <c r="U101" i="4" s="1"/>
  <c r="U125" i="4" a="1"/>
  <c r="U125" i="4" s="1"/>
  <c r="U151" i="4" a="1"/>
  <c r="U151" i="4" s="1"/>
  <c r="U177" i="4" a="1"/>
  <c r="U177" i="4" s="1"/>
  <c r="V47" i="4" a="1"/>
  <c r="V47" i="4" s="1"/>
  <c r="V73" i="4" a="1"/>
  <c r="V73" i="4" s="1"/>
  <c r="V101" i="4" a="1"/>
  <c r="V101" i="4" s="1"/>
  <c r="V125" i="4" a="1"/>
  <c r="V125" i="4" s="1"/>
  <c r="V151" i="4" a="1"/>
  <c r="V151" i="4" s="1"/>
  <c r="V177" i="4" a="1"/>
  <c r="V177" i="4" s="1"/>
  <c r="W47" i="4" a="1"/>
  <c r="W47" i="4" s="1"/>
  <c r="W73" i="4" a="1"/>
  <c r="W73" i="4" s="1"/>
  <c r="W101" i="4" a="1"/>
  <c r="W101" i="4" s="1"/>
  <c r="W125" i="4" a="1"/>
  <c r="W125" i="4" s="1"/>
  <c r="W151" i="4" a="1"/>
  <c r="W151" i="4" s="1"/>
  <c r="W177" i="4" a="1"/>
  <c r="W177" i="4" s="1"/>
  <c r="X47" i="4" a="1"/>
  <c r="X47" i="4" s="1"/>
  <c r="X73" i="4" a="1"/>
  <c r="X73" i="4" s="1"/>
  <c r="X101" i="4" a="1"/>
  <c r="X101" i="4" s="1"/>
  <c r="X125" i="4" a="1"/>
  <c r="X125" i="4" s="1"/>
  <c r="X151" i="4" a="1"/>
  <c r="X151" i="4" s="1"/>
  <c r="X177" i="4" a="1"/>
  <c r="X177" i="4" s="1"/>
  <c r="Y47" i="4" a="1"/>
  <c r="Y47" i="4" s="1"/>
  <c r="Y73" i="4" a="1"/>
  <c r="Y73" i="4" s="1"/>
  <c r="Y101" i="4" a="1"/>
  <c r="Y101" i="4" s="1"/>
  <c r="Y125" i="4" a="1"/>
  <c r="Y125" i="4" s="1"/>
  <c r="Y151" i="4" a="1"/>
  <c r="Y151" i="4" s="1"/>
  <c r="Y177" i="4" a="1"/>
  <c r="Y177" i="4" s="1"/>
  <c r="Z47" i="4" a="1"/>
  <c r="Z47" i="4" s="1"/>
  <c r="Z73" i="4" a="1"/>
  <c r="Z73" i="4" s="1"/>
  <c r="Z101" i="4" a="1"/>
  <c r="Z101" i="4" s="1"/>
  <c r="Z125" i="4" a="1"/>
  <c r="Z125" i="4" s="1"/>
  <c r="Z151" i="4" a="1"/>
  <c r="Z151" i="4" s="1"/>
  <c r="Z177" i="4" a="1"/>
  <c r="Z177" i="4" s="1"/>
  <c r="C24" i="4"/>
  <c r="D24" i="4"/>
  <c r="E24" i="4" a="1"/>
  <c r="E24" i="4" s="1"/>
  <c r="F24" i="4" a="1"/>
  <c r="F24" i="4" s="1"/>
  <c r="G24" i="4" a="1"/>
  <c r="G24" i="4" s="1"/>
  <c r="H24" i="4" a="1"/>
  <c r="H24" i="4" s="1"/>
  <c r="I24" i="4" a="1"/>
  <c r="I24" i="4" s="1"/>
  <c r="J24" i="4" a="1"/>
  <c r="J24" i="4" s="1"/>
  <c r="K24" i="4" a="1"/>
  <c r="K24" i="4" s="1"/>
  <c r="L24" i="4" a="1"/>
  <c r="L24" i="4" s="1"/>
  <c r="M24" i="4" a="1"/>
  <c r="M24" i="4" s="1"/>
  <c r="Q24" i="4" a="1"/>
  <c r="Q24" i="4" s="1"/>
  <c r="R24" i="4" a="1"/>
  <c r="R24" i="4" s="1"/>
  <c r="S24" i="4" a="1"/>
  <c r="S24" i="4" s="1"/>
  <c r="T24" i="4" a="1"/>
  <c r="T24" i="4" s="1"/>
  <c r="U24" i="4" a="1"/>
  <c r="U24" i="4" s="1"/>
  <c r="V24" i="4" a="1"/>
  <c r="V24" i="4" s="1"/>
  <c r="W24" i="4" a="1"/>
  <c r="W24" i="4" s="1"/>
  <c r="X24" i="4" a="1"/>
  <c r="X24" i="4" s="1"/>
  <c r="Y24" i="4" a="1"/>
  <c r="Y24" i="4" s="1"/>
  <c r="Z24" i="4" a="1"/>
  <c r="Z24" i="4" s="1"/>
  <c r="N25" i="4" l="1"/>
  <c r="O48" i="4"/>
  <c r="O102" i="4"/>
  <c r="O178" i="4"/>
  <c r="O152" i="4"/>
  <c r="AA178" i="4"/>
  <c r="O126" i="4"/>
  <c r="AA152" i="4"/>
  <c r="AA126" i="4"/>
  <c r="O74" i="4"/>
  <c r="AA102" i="4"/>
  <c r="AA74" i="4"/>
  <c r="AA48" i="4"/>
  <c r="O25" i="4"/>
  <c r="P25" i="4" s="1"/>
  <c r="AA25" i="4"/>
  <c r="N178" i="4"/>
  <c r="P178" i="4" s="1"/>
  <c r="N152" i="4"/>
  <c r="N126" i="4"/>
  <c r="N102" i="4"/>
  <c r="P102" i="4" s="1"/>
  <c r="N74" i="4"/>
  <c r="N48" i="4"/>
  <c r="P48" i="4" s="1"/>
  <c r="N101" i="4"/>
  <c r="N73" i="4"/>
  <c r="O125" i="4"/>
  <c r="AA151" i="4"/>
  <c r="N47" i="4"/>
  <c r="O177" i="4"/>
  <c r="O101" i="4"/>
  <c r="AA177" i="4"/>
  <c r="AA73" i="4"/>
  <c r="AA47" i="4"/>
  <c r="O151" i="4"/>
  <c r="O73" i="4"/>
  <c r="O47" i="4"/>
  <c r="AA101" i="4"/>
  <c r="N177" i="4"/>
  <c r="N151" i="4"/>
  <c r="AA125" i="4"/>
  <c r="N125" i="4"/>
  <c r="O24" i="4"/>
  <c r="AA24" i="4"/>
  <c r="N24" i="4"/>
  <c r="P101" i="4" l="1"/>
  <c r="P24" i="4"/>
  <c r="P73" i="4"/>
  <c r="P152" i="4"/>
  <c r="P47" i="4"/>
  <c r="P126" i="4"/>
  <c r="P125" i="4"/>
  <c r="P151" i="4"/>
  <c r="P177" i="4"/>
  <c r="P74" i="4"/>
  <c r="O34" i="11"/>
  <c r="B8" i="16" l="1"/>
  <c r="G8" i="15"/>
  <c r="D8" i="15"/>
  <c r="B8" i="15"/>
  <c r="I8" i="15"/>
  <c r="K8" i="15" s="1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E154" i="4" a="1"/>
  <c r="E154" i="4" s="1"/>
  <c r="E155" i="4" a="1"/>
  <c r="E155" i="4" s="1"/>
  <c r="E156" i="4" a="1"/>
  <c r="E156" i="4" s="1"/>
  <c r="E157" i="4" a="1"/>
  <c r="E157" i="4" s="1"/>
  <c r="E158" i="4" a="1"/>
  <c r="E158" i="4" s="1"/>
  <c r="E159" i="4" a="1"/>
  <c r="E159" i="4" s="1"/>
  <c r="E160" i="4" a="1"/>
  <c r="E160" i="4" s="1"/>
  <c r="E161" i="4" a="1"/>
  <c r="E161" i="4" s="1"/>
  <c r="E162" i="4" a="1"/>
  <c r="E162" i="4" s="1"/>
  <c r="E163" i="4" a="1"/>
  <c r="E163" i="4" s="1"/>
  <c r="E164" i="4" a="1"/>
  <c r="E164" i="4" s="1"/>
  <c r="E165" i="4" a="1"/>
  <c r="E165" i="4" s="1"/>
  <c r="E166" i="4" a="1"/>
  <c r="E166" i="4" s="1"/>
  <c r="E167" i="4" a="1"/>
  <c r="E167" i="4" s="1"/>
  <c r="E168" i="4" a="1"/>
  <c r="E168" i="4" s="1"/>
  <c r="E169" i="4" a="1"/>
  <c r="E169" i="4" s="1"/>
  <c r="E170" i="4" a="1"/>
  <c r="E170" i="4" s="1"/>
  <c r="E171" i="4" a="1"/>
  <c r="E171" i="4" s="1"/>
  <c r="E172" i="4" a="1"/>
  <c r="E172" i="4" s="1"/>
  <c r="E173" i="4" a="1"/>
  <c r="E173" i="4" s="1"/>
  <c r="E174" i="4" a="1"/>
  <c r="E174" i="4" s="1"/>
  <c r="E175" i="4" a="1"/>
  <c r="E175" i="4" s="1"/>
  <c r="E176" i="4" a="1"/>
  <c r="E176" i="4" s="1"/>
  <c r="F154" i="4" a="1"/>
  <c r="F154" i="4" s="1"/>
  <c r="F155" i="4" a="1"/>
  <c r="F155" i="4" s="1"/>
  <c r="F156" i="4" a="1"/>
  <c r="F156" i="4" s="1"/>
  <c r="F157" i="4" a="1"/>
  <c r="F157" i="4" s="1"/>
  <c r="F158" i="4" a="1"/>
  <c r="F158" i="4" s="1"/>
  <c r="F159" i="4" a="1"/>
  <c r="F159" i="4" s="1"/>
  <c r="F160" i="4" a="1"/>
  <c r="F160" i="4" s="1"/>
  <c r="F161" i="4" a="1"/>
  <c r="F161" i="4" s="1"/>
  <c r="F162" i="4" a="1"/>
  <c r="F162" i="4" s="1"/>
  <c r="F163" i="4" a="1"/>
  <c r="F163" i="4" s="1"/>
  <c r="F164" i="4" a="1"/>
  <c r="F164" i="4" s="1"/>
  <c r="F165" i="4" a="1"/>
  <c r="F165" i="4" s="1"/>
  <c r="F166" i="4" a="1"/>
  <c r="F166" i="4" s="1"/>
  <c r="F167" i="4" a="1"/>
  <c r="F167" i="4" s="1"/>
  <c r="F168" i="4" a="1"/>
  <c r="F168" i="4" s="1"/>
  <c r="F169" i="4" a="1"/>
  <c r="F169" i="4" s="1"/>
  <c r="F170" i="4" a="1"/>
  <c r="F170" i="4" s="1"/>
  <c r="F171" i="4" a="1"/>
  <c r="F171" i="4" s="1"/>
  <c r="F172" i="4" a="1"/>
  <c r="F172" i="4" s="1"/>
  <c r="F173" i="4" a="1"/>
  <c r="F173" i="4" s="1"/>
  <c r="F174" i="4" a="1"/>
  <c r="F174" i="4" s="1"/>
  <c r="F175" i="4" a="1"/>
  <c r="F175" i="4" s="1"/>
  <c r="F176" i="4" a="1"/>
  <c r="F176" i="4" s="1"/>
  <c r="G154" i="4" a="1"/>
  <c r="G154" i="4" s="1"/>
  <c r="G155" i="4" a="1"/>
  <c r="G155" i="4" s="1"/>
  <c r="G156" i="4" a="1"/>
  <c r="G156" i="4" s="1"/>
  <c r="G157" i="4" a="1"/>
  <c r="G157" i="4" s="1"/>
  <c r="G158" i="4" a="1"/>
  <c r="G158" i="4" s="1"/>
  <c r="G159" i="4" a="1"/>
  <c r="G159" i="4" s="1"/>
  <c r="G160" i="4" a="1"/>
  <c r="G160" i="4" s="1"/>
  <c r="G161" i="4" a="1"/>
  <c r="G161" i="4" s="1"/>
  <c r="G162" i="4" a="1"/>
  <c r="G162" i="4" s="1"/>
  <c r="G163" i="4" a="1"/>
  <c r="G163" i="4" s="1"/>
  <c r="G164" i="4" a="1"/>
  <c r="G164" i="4" s="1"/>
  <c r="G165" i="4" a="1"/>
  <c r="G165" i="4" s="1"/>
  <c r="G166" i="4" a="1"/>
  <c r="G166" i="4" s="1"/>
  <c r="G167" i="4" a="1"/>
  <c r="G167" i="4" s="1"/>
  <c r="G168" i="4" a="1"/>
  <c r="G168" i="4" s="1"/>
  <c r="G169" i="4" a="1"/>
  <c r="G169" i="4" s="1"/>
  <c r="G170" i="4" a="1"/>
  <c r="G170" i="4" s="1"/>
  <c r="G171" i="4" a="1"/>
  <c r="G171" i="4" s="1"/>
  <c r="G172" i="4" a="1"/>
  <c r="G172" i="4" s="1"/>
  <c r="G173" i="4" a="1"/>
  <c r="G173" i="4" s="1"/>
  <c r="G174" i="4" a="1"/>
  <c r="G174" i="4" s="1"/>
  <c r="G175" i="4" a="1"/>
  <c r="G175" i="4" s="1"/>
  <c r="G176" i="4" a="1"/>
  <c r="G176" i="4" s="1"/>
  <c r="H154" i="4" a="1"/>
  <c r="H154" i="4" s="1"/>
  <c r="H155" i="4" a="1"/>
  <c r="H155" i="4" s="1"/>
  <c r="H156" i="4" a="1"/>
  <c r="H156" i="4" s="1"/>
  <c r="H157" i="4" a="1"/>
  <c r="H157" i="4" s="1"/>
  <c r="H158" i="4" a="1"/>
  <c r="H158" i="4" s="1"/>
  <c r="H159" i="4" a="1"/>
  <c r="H159" i="4" s="1"/>
  <c r="H160" i="4" a="1"/>
  <c r="H160" i="4" s="1"/>
  <c r="H161" i="4" a="1"/>
  <c r="H161" i="4" s="1"/>
  <c r="H162" i="4" a="1"/>
  <c r="H162" i="4" s="1"/>
  <c r="H163" i="4" a="1"/>
  <c r="H163" i="4" s="1"/>
  <c r="H164" i="4" a="1"/>
  <c r="H164" i="4" s="1"/>
  <c r="H165" i="4" a="1"/>
  <c r="H165" i="4" s="1"/>
  <c r="H166" i="4" a="1"/>
  <c r="H166" i="4" s="1"/>
  <c r="H167" i="4" a="1"/>
  <c r="H167" i="4" s="1"/>
  <c r="H168" i="4" a="1"/>
  <c r="H168" i="4" s="1"/>
  <c r="H169" i="4" a="1"/>
  <c r="H169" i="4" s="1"/>
  <c r="H170" i="4" a="1"/>
  <c r="H170" i="4" s="1"/>
  <c r="H171" i="4" a="1"/>
  <c r="H171" i="4" s="1"/>
  <c r="H172" i="4" a="1"/>
  <c r="H172" i="4" s="1"/>
  <c r="H173" i="4" a="1"/>
  <c r="H173" i="4" s="1"/>
  <c r="H174" i="4" a="1"/>
  <c r="H174" i="4" s="1"/>
  <c r="H175" i="4" a="1"/>
  <c r="H175" i="4" s="1"/>
  <c r="H176" i="4" a="1"/>
  <c r="H176" i="4" s="1"/>
  <c r="I154" i="4" a="1"/>
  <c r="I154" i="4" s="1"/>
  <c r="I155" i="4" a="1"/>
  <c r="I155" i="4" s="1"/>
  <c r="I156" i="4" a="1"/>
  <c r="I156" i="4" s="1"/>
  <c r="I157" i="4" a="1"/>
  <c r="I157" i="4" s="1"/>
  <c r="I158" i="4" a="1"/>
  <c r="I158" i="4" s="1"/>
  <c r="I159" i="4" a="1"/>
  <c r="I159" i="4" s="1"/>
  <c r="I160" i="4" a="1"/>
  <c r="I160" i="4" s="1"/>
  <c r="I161" i="4" a="1"/>
  <c r="I161" i="4" s="1"/>
  <c r="I162" i="4" a="1"/>
  <c r="I162" i="4" s="1"/>
  <c r="I163" i="4" a="1"/>
  <c r="I163" i="4" s="1"/>
  <c r="I164" i="4" a="1"/>
  <c r="I164" i="4" s="1"/>
  <c r="I165" i="4" a="1"/>
  <c r="I165" i="4" s="1"/>
  <c r="I166" i="4" a="1"/>
  <c r="I166" i="4" s="1"/>
  <c r="I167" i="4" a="1"/>
  <c r="I167" i="4" s="1"/>
  <c r="I168" i="4" a="1"/>
  <c r="I168" i="4" s="1"/>
  <c r="I169" i="4" a="1"/>
  <c r="I169" i="4" s="1"/>
  <c r="I170" i="4" a="1"/>
  <c r="I170" i="4" s="1"/>
  <c r="I171" i="4" a="1"/>
  <c r="I171" i="4" s="1"/>
  <c r="I172" i="4" a="1"/>
  <c r="I172" i="4" s="1"/>
  <c r="I173" i="4" a="1"/>
  <c r="I173" i="4" s="1"/>
  <c r="I174" i="4" a="1"/>
  <c r="I174" i="4" s="1"/>
  <c r="I175" i="4" a="1"/>
  <c r="I175" i="4" s="1"/>
  <c r="I176" i="4" a="1"/>
  <c r="I176" i="4" s="1"/>
  <c r="J154" i="4" a="1"/>
  <c r="J154" i="4" s="1"/>
  <c r="J155" i="4" a="1"/>
  <c r="J155" i="4" s="1"/>
  <c r="J156" i="4" a="1"/>
  <c r="J156" i="4" s="1"/>
  <c r="J157" i="4" a="1"/>
  <c r="J157" i="4" s="1"/>
  <c r="J158" i="4" a="1"/>
  <c r="J158" i="4" s="1"/>
  <c r="J159" i="4" a="1"/>
  <c r="J159" i="4" s="1"/>
  <c r="J160" i="4" a="1"/>
  <c r="J160" i="4" s="1"/>
  <c r="J161" i="4" a="1"/>
  <c r="J161" i="4" s="1"/>
  <c r="J162" i="4" a="1"/>
  <c r="J162" i="4" s="1"/>
  <c r="J163" i="4" a="1"/>
  <c r="J163" i="4" s="1"/>
  <c r="J164" i="4" a="1"/>
  <c r="J164" i="4" s="1"/>
  <c r="J165" i="4" a="1"/>
  <c r="J165" i="4" s="1"/>
  <c r="J166" i="4" a="1"/>
  <c r="J166" i="4" s="1"/>
  <c r="J167" i="4" a="1"/>
  <c r="J167" i="4" s="1"/>
  <c r="J168" i="4" a="1"/>
  <c r="J168" i="4" s="1"/>
  <c r="J169" i="4" a="1"/>
  <c r="J169" i="4" s="1"/>
  <c r="J170" i="4" a="1"/>
  <c r="J170" i="4" s="1"/>
  <c r="J171" i="4" a="1"/>
  <c r="J171" i="4" s="1"/>
  <c r="J172" i="4" a="1"/>
  <c r="J172" i="4" s="1"/>
  <c r="J173" i="4" a="1"/>
  <c r="J173" i="4" s="1"/>
  <c r="J174" i="4" a="1"/>
  <c r="J174" i="4" s="1"/>
  <c r="J175" i="4" a="1"/>
  <c r="J175" i="4" s="1"/>
  <c r="J176" i="4" a="1"/>
  <c r="J176" i="4" s="1"/>
  <c r="K154" i="4" a="1"/>
  <c r="K154" i="4" s="1"/>
  <c r="K155" i="4" a="1"/>
  <c r="K155" i="4" s="1"/>
  <c r="K156" i="4" a="1"/>
  <c r="K156" i="4" s="1"/>
  <c r="K157" i="4" a="1"/>
  <c r="K157" i="4" s="1"/>
  <c r="K158" i="4" a="1"/>
  <c r="K158" i="4" s="1"/>
  <c r="K159" i="4" a="1"/>
  <c r="K159" i="4" s="1"/>
  <c r="K160" i="4" a="1"/>
  <c r="K160" i="4" s="1"/>
  <c r="K161" i="4" a="1"/>
  <c r="K161" i="4" s="1"/>
  <c r="K162" i="4" a="1"/>
  <c r="K162" i="4" s="1"/>
  <c r="K163" i="4" a="1"/>
  <c r="K163" i="4" s="1"/>
  <c r="K164" i="4" a="1"/>
  <c r="K164" i="4" s="1"/>
  <c r="K165" i="4" a="1"/>
  <c r="K165" i="4" s="1"/>
  <c r="K166" i="4" a="1"/>
  <c r="K166" i="4" s="1"/>
  <c r="K167" i="4" a="1"/>
  <c r="K167" i="4" s="1"/>
  <c r="K168" i="4" a="1"/>
  <c r="K168" i="4" s="1"/>
  <c r="K169" i="4" a="1"/>
  <c r="K169" i="4" s="1"/>
  <c r="K170" i="4" a="1"/>
  <c r="K170" i="4" s="1"/>
  <c r="K171" i="4" a="1"/>
  <c r="K171" i="4" s="1"/>
  <c r="K172" i="4" a="1"/>
  <c r="K172" i="4" s="1"/>
  <c r="K173" i="4" a="1"/>
  <c r="K173" i="4" s="1"/>
  <c r="K174" i="4" a="1"/>
  <c r="K174" i="4" s="1"/>
  <c r="K175" i="4" a="1"/>
  <c r="K175" i="4" s="1"/>
  <c r="K176" i="4" a="1"/>
  <c r="K176" i="4" s="1"/>
  <c r="L154" i="4" a="1"/>
  <c r="L154" i="4" s="1"/>
  <c r="L155" i="4" a="1"/>
  <c r="L155" i="4" s="1"/>
  <c r="L156" i="4" a="1"/>
  <c r="L156" i="4" s="1"/>
  <c r="L157" i="4" a="1"/>
  <c r="L157" i="4" s="1"/>
  <c r="L158" i="4" a="1"/>
  <c r="L158" i="4" s="1"/>
  <c r="L159" i="4" a="1"/>
  <c r="L159" i="4" s="1"/>
  <c r="L160" i="4" a="1"/>
  <c r="L160" i="4" s="1"/>
  <c r="L161" i="4" a="1"/>
  <c r="L161" i="4" s="1"/>
  <c r="L162" i="4" a="1"/>
  <c r="L162" i="4" s="1"/>
  <c r="L163" i="4" a="1"/>
  <c r="L163" i="4" s="1"/>
  <c r="L164" i="4" a="1"/>
  <c r="L164" i="4" s="1"/>
  <c r="L165" i="4" a="1"/>
  <c r="L165" i="4" s="1"/>
  <c r="L166" i="4" a="1"/>
  <c r="L166" i="4" s="1"/>
  <c r="L167" i="4" a="1"/>
  <c r="L167" i="4" s="1"/>
  <c r="L168" i="4" a="1"/>
  <c r="L168" i="4" s="1"/>
  <c r="L169" i="4" a="1"/>
  <c r="L169" i="4" s="1"/>
  <c r="L170" i="4" a="1"/>
  <c r="L170" i="4" s="1"/>
  <c r="L171" i="4" a="1"/>
  <c r="L171" i="4" s="1"/>
  <c r="L172" i="4" a="1"/>
  <c r="L172" i="4" s="1"/>
  <c r="L173" i="4" a="1"/>
  <c r="L173" i="4" s="1"/>
  <c r="L174" i="4" a="1"/>
  <c r="L174" i="4" s="1"/>
  <c r="L175" i="4" a="1"/>
  <c r="L175" i="4" s="1"/>
  <c r="L176" i="4" a="1"/>
  <c r="L176" i="4" s="1"/>
  <c r="M154" i="4" a="1"/>
  <c r="M154" i="4" s="1"/>
  <c r="M155" i="4" a="1"/>
  <c r="M155" i="4" s="1"/>
  <c r="M156" i="4" a="1"/>
  <c r="M156" i="4" s="1"/>
  <c r="M157" i="4" a="1"/>
  <c r="M157" i="4" s="1"/>
  <c r="M158" i="4" a="1"/>
  <c r="M158" i="4" s="1"/>
  <c r="M159" i="4" a="1"/>
  <c r="M159" i="4" s="1"/>
  <c r="M160" i="4" a="1"/>
  <c r="M160" i="4" s="1"/>
  <c r="M161" i="4" a="1"/>
  <c r="M161" i="4" s="1"/>
  <c r="M162" i="4" a="1"/>
  <c r="M162" i="4" s="1"/>
  <c r="M163" i="4" a="1"/>
  <c r="M163" i="4" s="1"/>
  <c r="M164" i="4" a="1"/>
  <c r="M164" i="4" s="1"/>
  <c r="M165" i="4" a="1"/>
  <c r="M165" i="4" s="1"/>
  <c r="M166" i="4" a="1"/>
  <c r="M166" i="4" s="1"/>
  <c r="M167" i="4" a="1"/>
  <c r="M167" i="4" s="1"/>
  <c r="M168" i="4" a="1"/>
  <c r="M168" i="4" s="1"/>
  <c r="M169" i="4" a="1"/>
  <c r="M169" i="4" s="1"/>
  <c r="M170" i="4" a="1"/>
  <c r="M170" i="4" s="1"/>
  <c r="M171" i="4" a="1"/>
  <c r="M171" i="4" s="1"/>
  <c r="M172" i="4" a="1"/>
  <c r="M172" i="4" s="1"/>
  <c r="M173" i="4" a="1"/>
  <c r="M173" i="4" s="1"/>
  <c r="M174" i="4" a="1"/>
  <c r="M174" i="4" s="1"/>
  <c r="M175" i="4" a="1"/>
  <c r="M175" i="4" s="1"/>
  <c r="M176" i="4" a="1"/>
  <c r="M176" i="4" s="1"/>
  <c r="Q154" i="4" a="1"/>
  <c r="Q154" i="4" s="1"/>
  <c r="Q155" i="4" a="1"/>
  <c r="Q155" i="4" s="1"/>
  <c r="Q156" i="4" a="1"/>
  <c r="Q156" i="4" s="1"/>
  <c r="Q157" i="4" a="1"/>
  <c r="Q157" i="4" s="1"/>
  <c r="Q158" i="4" a="1"/>
  <c r="Q158" i="4" s="1"/>
  <c r="Q159" i="4" a="1"/>
  <c r="Q159" i="4" s="1"/>
  <c r="Q160" i="4" a="1"/>
  <c r="Q160" i="4" s="1"/>
  <c r="Q161" i="4" a="1"/>
  <c r="Q161" i="4" s="1"/>
  <c r="Q162" i="4" a="1"/>
  <c r="Q162" i="4" s="1"/>
  <c r="Q163" i="4" a="1"/>
  <c r="Q163" i="4" s="1"/>
  <c r="Q164" i="4" a="1"/>
  <c r="Q164" i="4" s="1"/>
  <c r="Q165" i="4" a="1"/>
  <c r="Q165" i="4" s="1"/>
  <c r="Q166" i="4" a="1"/>
  <c r="Q166" i="4" s="1"/>
  <c r="Q167" i="4" a="1"/>
  <c r="Q167" i="4" s="1"/>
  <c r="Q168" i="4" a="1"/>
  <c r="Q168" i="4" s="1"/>
  <c r="Q169" i="4" a="1"/>
  <c r="Q169" i="4" s="1"/>
  <c r="Q170" i="4" a="1"/>
  <c r="Q170" i="4" s="1"/>
  <c r="Q171" i="4" a="1"/>
  <c r="Q171" i="4" s="1"/>
  <c r="Q172" i="4" a="1"/>
  <c r="Q172" i="4" s="1"/>
  <c r="Q173" i="4" a="1"/>
  <c r="Q173" i="4" s="1"/>
  <c r="Q174" i="4" a="1"/>
  <c r="Q174" i="4" s="1"/>
  <c r="Q175" i="4" a="1"/>
  <c r="Q175" i="4" s="1"/>
  <c r="Q176" i="4" a="1"/>
  <c r="Q176" i="4" s="1"/>
  <c r="R154" i="4" a="1"/>
  <c r="R154" i="4" s="1"/>
  <c r="R155" i="4" a="1"/>
  <c r="R155" i="4" s="1"/>
  <c r="R156" i="4" a="1"/>
  <c r="R156" i="4" s="1"/>
  <c r="R157" i="4" a="1"/>
  <c r="R157" i="4" s="1"/>
  <c r="R158" i="4" a="1"/>
  <c r="R158" i="4" s="1"/>
  <c r="R159" i="4" a="1"/>
  <c r="R159" i="4" s="1"/>
  <c r="R160" i="4" a="1"/>
  <c r="R160" i="4" s="1"/>
  <c r="R161" i="4" a="1"/>
  <c r="R161" i="4" s="1"/>
  <c r="R162" i="4" a="1"/>
  <c r="R162" i="4" s="1"/>
  <c r="R163" i="4" a="1"/>
  <c r="R163" i="4" s="1"/>
  <c r="R164" i="4" a="1"/>
  <c r="R164" i="4" s="1"/>
  <c r="R165" i="4" a="1"/>
  <c r="R165" i="4" s="1"/>
  <c r="R166" i="4" a="1"/>
  <c r="R166" i="4" s="1"/>
  <c r="R167" i="4" a="1"/>
  <c r="R167" i="4" s="1"/>
  <c r="R168" i="4" a="1"/>
  <c r="R168" i="4" s="1"/>
  <c r="R169" i="4" a="1"/>
  <c r="R169" i="4" s="1"/>
  <c r="R170" i="4" a="1"/>
  <c r="R170" i="4" s="1"/>
  <c r="R171" i="4" a="1"/>
  <c r="R171" i="4" s="1"/>
  <c r="R172" i="4" a="1"/>
  <c r="R172" i="4" s="1"/>
  <c r="R173" i="4" a="1"/>
  <c r="R173" i="4" s="1"/>
  <c r="R174" i="4" a="1"/>
  <c r="R174" i="4" s="1"/>
  <c r="R175" i="4" a="1"/>
  <c r="R175" i="4" s="1"/>
  <c r="R176" i="4" a="1"/>
  <c r="R176" i="4" s="1"/>
  <c r="S154" i="4" a="1"/>
  <c r="S154" i="4" s="1"/>
  <c r="S155" i="4" a="1"/>
  <c r="S155" i="4" s="1"/>
  <c r="S156" i="4" a="1"/>
  <c r="S156" i="4" s="1"/>
  <c r="S157" i="4" a="1"/>
  <c r="S157" i="4" s="1"/>
  <c r="S158" i="4" a="1"/>
  <c r="S158" i="4" s="1"/>
  <c r="S159" i="4" a="1"/>
  <c r="S159" i="4" s="1"/>
  <c r="S160" i="4" a="1"/>
  <c r="S160" i="4" s="1"/>
  <c r="S161" i="4" a="1"/>
  <c r="S161" i="4" s="1"/>
  <c r="S162" i="4" a="1"/>
  <c r="S162" i="4" s="1"/>
  <c r="S163" i="4" a="1"/>
  <c r="S163" i="4" s="1"/>
  <c r="S164" i="4" a="1"/>
  <c r="S164" i="4" s="1"/>
  <c r="S165" i="4" a="1"/>
  <c r="S165" i="4" s="1"/>
  <c r="S166" i="4" a="1"/>
  <c r="S166" i="4" s="1"/>
  <c r="S167" i="4" a="1"/>
  <c r="S167" i="4" s="1"/>
  <c r="S168" i="4" a="1"/>
  <c r="S168" i="4" s="1"/>
  <c r="S169" i="4" a="1"/>
  <c r="S169" i="4" s="1"/>
  <c r="S170" i="4" a="1"/>
  <c r="S170" i="4" s="1"/>
  <c r="S171" i="4" a="1"/>
  <c r="S171" i="4" s="1"/>
  <c r="S172" i="4" a="1"/>
  <c r="S172" i="4" s="1"/>
  <c r="S173" i="4" a="1"/>
  <c r="S173" i="4" s="1"/>
  <c r="S174" i="4" a="1"/>
  <c r="S174" i="4" s="1"/>
  <c r="S175" i="4" a="1"/>
  <c r="S175" i="4" s="1"/>
  <c r="S176" i="4" a="1"/>
  <c r="S176" i="4" s="1"/>
  <c r="T154" i="4" a="1"/>
  <c r="T154" i="4" s="1"/>
  <c r="T155" i="4" a="1"/>
  <c r="T155" i="4" s="1"/>
  <c r="T156" i="4" a="1"/>
  <c r="T156" i="4" s="1"/>
  <c r="T157" i="4" a="1"/>
  <c r="T157" i="4" s="1"/>
  <c r="T158" i="4" a="1"/>
  <c r="T158" i="4" s="1"/>
  <c r="T159" i="4" a="1"/>
  <c r="T159" i="4" s="1"/>
  <c r="T160" i="4" a="1"/>
  <c r="T160" i="4" s="1"/>
  <c r="T161" i="4" a="1"/>
  <c r="T161" i="4" s="1"/>
  <c r="T162" i="4" a="1"/>
  <c r="T162" i="4" s="1"/>
  <c r="T163" i="4" a="1"/>
  <c r="T163" i="4" s="1"/>
  <c r="T164" i="4" a="1"/>
  <c r="T164" i="4" s="1"/>
  <c r="T165" i="4" a="1"/>
  <c r="T165" i="4" s="1"/>
  <c r="T166" i="4" a="1"/>
  <c r="T166" i="4" s="1"/>
  <c r="T167" i="4" a="1"/>
  <c r="T167" i="4" s="1"/>
  <c r="T168" i="4" a="1"/>
  <c r="T168" i="4" s="1"/>
  <c r="T169" i="4" a="1"/>
  <c r="T169" i="4" s="1"/>
  <c r="T170" i="4" a="1"/>
  <c r="T170" i="4" s="1"/>
  <c r="T171" i="4" a="1"/>
  <c r="T171" i="4" s="1"/>
  <c r="T172" i="4" a="1"/>
  <c r="T172" i="4" s="1"/>
  <c r="T173" i="4" a="1"/>
  <c r="T173" i="4" s="1"/>
  <c r="T174" i="4" a="1"/>
  <c r="T174" i="4" s="1"/>
  <c r="T175" i="4" a="1"/>
  <c r="T175" i="4" s="1"/>
  <c r="T176" i="4" a="1"/>
  <c r="T176" i="4" s="1"/>
  <c r="U154" i="4" a="1"/>
  <c r="U154" i="4" s="1"/>
  <c r="U155" i="4" a="1"/>
  <c r="U155" i="4" s="1"/>
  <c r="U156" i="4" a="1"/>
  <c r="U156" i="4" s="1"/>
  <c r="U157" i="4" a="1"/>
  <c r="U157" i="4" s="1"/>
  <c r="U158" i="4" a="1"/>
  <c r="U158" i="4" s="1"/>
  <c r="U159" i="4" a="1"/>
  <c r="U159" i="4" s="1"/>
  <c r="U160" i="4" a="1"/>
  <c r="U160" i="4" s="1"/>
  <c r="U161" i="4" a="1"/>
  <c r="U161" i="4" s="1"/>
  <c r="U162" i="4" a="1"/>
  <c r="U162" i="4" s="1"/>
  <c r="U163" i="4" a="1"/>
  <c r="U163" i="4" s="1"/>
  <c r="U164" i="4" a="1"/>
  <c r="U164" i="4" s="1"/>
  <c r="U165" i="4" a="1"/>
  <c r="U165" i="4" s="1"/>
  <c r="U166" i="4" a="1"/>
  <c r="U166" i="4" s="1"/>
  <c r="U167" i="4" a="1"/>
  <c r="U167" i="4" s="1"/>
  <c r="U168" i="4" a="1"/>
  <c r="U168" i="4" s="1"/>
  <c r="U169" i="4" a="1"/>
  <c r="U169" i="4" s="1"/>
  <c r="U170" i="4" a="1"/>
  <c r="U170" i="4" s="1"/>
  <c r="U171" i="4" a="1"/>
  <c r="U171" i="4" s="1"/>
  <c r="U172" i="4" a="1"/>
  <c r="U172" i="4" s="1"/>
  <c r="U173" i="4" a="1"/>
  <c r="U173" i="4" s="1"/>
  <c r="U174" i="4" a="1"/>
  <c r="U174" i="4" s="1"/>
  <c r="U175" i="4" a="1"/>
  <c r="U175" i="4" s="1"/>
  <c r="U176" i="4" a="1"/>
  <c r="U176" i="4" s="1"/>
  <c r="V154" i="4" a="1"/>
  <c r="V154" i="4" s="1"/>
  <c r="V155" i="4" a="1"/>
  <c r="V155" i="4" s="1"/>
  <c r="V156" i="4" a="1"/>
  <c r="V156" i="4" s="1"/>
  <c r="V157" i="4" a="1"/>
  <c r="V157" i="4" s="1"/>
  <c r="V158" i="4" a="1"/>
  <c r="V158" i="4" s="1"/>
  <c r="V159" i="4" a="1"/>
  <c r="V159" i="4" s="1"/>
  <c r="V160" i="4" a="1"/>
  <c r="V160" i="4" s="1"/>
  <c r="V161" i="4" a="1"/>
  <c r="V161" i="4" s="1"/>
  <c r="V162" i="4" a="1"/>
  <c r="V162" i="4" s="1"/>
  <c r="V163" i="4" a="1"/>
  <c r="V163" i="4" s="1"/>
  <c r="V164" i="4" a="1"/>
  <c r="V164" i="4" s="1"/>
  <c r="V165" i="4" a="1"/>
  <c r="V165" i="4" s="1"/>
  <c r="V166" i="4" a="1"/>
  <c r="V166" i="4" s="1"/>
  <c r="V167" i="4" a="1"/>
  <c r="V167" i="4" s="1"/>
  <c r="V168" i="4" a="1"/>
  <c r="V168" i="4" s="1"/>
  <c r="V169" i="4" a="1"/>
  <c r="V169" i="4" s="1"/>
  <c r="V170" i="4" a="1"/>
  <c r="V170" i="4" s="1"/>
  <c r="V171" i="4" a="1"/>
  <c r="V171" i="4" s="1"/>
  <c r="V172" i="4" a="1"/>
  <c r="V172" i="4" s="1"/>
  <c r="V173" i="4" a="1"/>
  <c r="V173" i="4" s="1"/>
  <c r="V174" i="4" a="1"/>
  <c r="V174" i="4" s="1"/>
  <c r="V175" i="4" a="1"/>
  <c r="V175" i="4" s="1"/>
  <c r="V176" i="4" a="1"/>
  <c r="V176" i="4" s="1"/>
  <c r="W154" i="4" a="1"/>
  <c r="W154" i="4" s="1"/>
  <c r="W155" i="4" a="1"/>
  <c r="W155" i="4" s="1"/>
  <c r="W156" i="4" a="1"/>
  <c r="W156" i="4" s="1"/>
  <c r="W157" i="4" a="1"/>
  <c r="W157" i="4" s="1"/>
  <c r="W158" i="4" a="1"/>
  <c r="W158" i="4" s="1"/>
  <c r="W159" i="4" a="1"/>
  <c r="W159" i="4" s="1"/>
  <c r="W160" i="4" a="1"/>
  <c r="W160" i="4" s="1"/>
  <c r="W161" i="4" a="1"/>
  <c r="W161" i="4" s="1"/>
  <c r="W162" i="4" a="1"/>
  <c r="W162" i="4" s="1"/>
  <c r="W163" i="4" a="1"/>
  <c r="W163" i="4" s="1"/>
  <c r="W164" i="4" a="1"/>
  <c r="W164" i="4" s="1"/>
  <c r="W165" i="4" a="1"/>
  <c r="W165" i="4" s="1"/>
  <c r="W166" i="4" a="1"/>
  <c r="W166" i="4" s="1"/>
  <c r="W167" i="4" a="1"/>
  <c r="W167" i="4" s="1"/>
  <c r="W168" i="4" a="1"/>
  <c r="W168" i="4" s="1"/>
  <c r="W169" i="4" a="1"/>
  <c r="W169" i="4" s="1"/>
  <c r="W170" i="4" a="1"/>
  <c r="W170" i="4" s="1"/>
  <c r="W171" i="4" a="1"/>
  <c r="W171" i="4" s="1"/>
  <c r="W172" i="4" a="1"/>
  <c r="W172" i="4" s="1"/>
  <c r="W173" i="4" a="1"/>
  <c r="W173" i="4" s="1"/>
  <c r="W174" i="4" a="1"/>
  <c r="W174" i="4" s="1"/>
  <c r="W175" i="4" a="1"/>
  <c r="W175" i="4" s="1"/>
  <c r="W176" i="4" a="1"/>
  <c r="W176" i="4" s="1"/>
  <c r="X154" i="4" a="1"/>
  <c r="X154" i="4" s="1"/>
  <c r="X155" i="4" a="1"/>
  <c r="X155" i="4" s="1"/>
  <c r="X156" i="4" a="1"/>
  <c r="X156" i="4" s="1"/>
  <c r="X157" i="4" a="1"/>
  <c r="X157" i="4" s="1"/>
  <c r="X158" i="4" a="1"/>
  <c r="X158" i="4" s="1"/>
  <c r="X159" i="4" a="1"/>
  <c r="X159" i="4" s="1"/>
  <c r="X160" i="4" a="1"/>
  <c r="X160" i="4" s="1"/>
  <c r="X161" i="4" a="1"/>
  <c r="X161" i="4" s="1"/>
  <c r="X162" i="4" a="1"/>
  <c r="X162" i="4" s="1"/>
  <c r="X163" i="4" a="1"/>
  <c r="X163" i="4" s="1"/>
  <c r="X164" i="4" a="1"/>
  <c r="X164" i="4" s="1"/>
  <c r="X165" i="4" a="1"/>
  <c r="X165" i="4" s="1"/>
  <c r="X166" i="4" a="1"/>
  <c r="X166" i="4" s="1"/>
  <c r="X167" i="4" a="1"/>
  <c r="X167" i="4" s="1"/>
  <c r="X168" i="4" a="1"/>
  <c r="X168" i="4" s="1"/>
  <c r="X169" i="4" a="1"/>
  <c r="X169" i="4" s="1"/>
  <c r="X170" i="4" a="1"/>
  <c r="X170" i="4" s="1"/>
  <c r="X171" i="4" a="1"/>
  <c r="X171" i="4" s="1"/>
  <c r="X172" i="4" a="1"/>
  <c r="X172" i="4" s="1"/>
  <c r="X173" i="4" a="1"/>
  <c r="X173" i="4" s="1"/>
  <c r="X174" i="4" a="1"/>
  <c r="X174" i="4" s="1"/>
  <c r="X175" i="4" a="1"/>
  <c r="X175" i="4" s="1"/>
  <c r="X176" i="4" a="1"/>
  <c r="X176" i="4" s="1"/>
  <c r="Y154" i="4" a="1"/>
  <c r="Y154" i="4" s="1"/>
  <c r="Y155" i="4" a="1"/>
  <c r="Y155" i="4" s="1"/>
  <c r="Y156" i="4" a="1"/>
  <c r="Y156" i="4" s="1"/>
  <c r="Y157" i="4" a="1"/>
  <c r="Y157" i="4" s="1"/>
  <c r="Y158" i="4" a="1"/>
  <c r="Y158" i="4" s="1"/>
  <c r="Y159" i="4" a="1"/>
  <c r="Y159" i="4" s="1"/>
  <c r="Y160" i="4" a="1"/>
  <c r="Y160" i="4" s="1"/>
  <c r="Y161" i="4" a="1"/>
  <c r="Y161" i="4" s="1"/>
  <c r="Y162" i="4" a="1"/>
  <c r="Y162" i="4" s="1"/>
  <c r="Y163" i="4" a="1"/>
  <c r="Y163" i="4" s="1"/>
  <c r="Y164" i="4" a="1"/>
  <c r="Y164" i="4" s="1"/>
  <c r="Y165" i="4" a="1"/>
  <c r="Y165" i="4" s="1"/>
  <c r="Y166" i="4" a="1"/>
  <c r="Y166" i="4" s="1"/>
  <c r="Y167" i="4" a="1"/>
  <c r="Y167" i="4" s="1"/>
  <c r="Y168" i="4" a="1"/>
  <c r="Y168" i="4" s="1"/>
  <c r="Y169" i="4" a="1"/>
  <c r="Y169" i="4" s="1"/>
  <c r="Y170" i="4" a="1"/>
  <c r="Y170" i="4" s="1"/>
  <c r="Y171" i="4" a="1"/>
  <c r="Y171" i="4" s="1"/>
  <c r="Y172" i="4" a="1"/>
  <c r="Y172" i="4" s="1"/>
  <c r="Y173" i="4" a="1"/>
  <c r="Y173" i="4" s="1"/>
  <c r="Y174" i="4" a="1"/>
  <c r="Y174" i="4" s="1"/>
  <c r="Y175" i="4" a="1"/>
  <c r="Y175" i="4" s="1"/>
  <c r="Y176" i="4" a="1"/>
  <c r="Y176" i="4" s="1"/>
  <c r="Z154" i="4" a="1"/>
  <c r="Z154" i="4" s="1"/>
  <c r="Z155" i="4" a="1"/>
  <c r="Z155" i="4" s="1"/>
  <c r="Z156" i="4" a="1"/>
  <c r="Z156" i="4" s="1"/>
  <c r="Z157" i="4" a="1"/>
  <c r="Z157" i="4" s="1"/>
  <c r="Z158" i="4" a="1"/>
  <c r="Z158" i="4" s="1"/>
  <c r="Z159" i="4" a="1"/>
  <c r="Z159" i="4" s="1"/>
  <c r="Z160" i="4" a="1"/>
  <c r="Z160" i="4" s="1"/>
  <c r="Z161" i="4" a="1"/>
  <c r="Z161" i="4" s="1"/>
  <c r="Z162" i="4" a="1"/>
  <c r="Z162" i="4" s="1"/>
  <c r="Z163" i="4" a="1"/>
  <c r="Z163" i="4" s="1"/>
  <c r="Z164" i="4" a="1"/>
  <c r="Z164" i="4" s="1"/>
  <c r="Z165" i="4" a="1"/>
  <c r="Z165" i="4" s="1"/>
  <c r="Z166" i="4" a="1"/>
  <c r="Z166" i="4" s="1"/>
  <c r="Z167" i="4" a="1"/>
  <c r="Z167" i="4" s="1"/>
  <c r="Z168" i="4" a="1"/>
  <c r="Z168" i="4" s="1"/>
  <c r="Z169" i="4" a="1"/>
  <c r="Z169" i="4" s="1"/>
  <c r="Z170" i="4" a="1"/>
  <c r="Z170" i="4" s="1"/>
  <c r="Z171" i="4" a="1"/>
  <c r="Z171" i="4" s="1"/>
  <c r="Z172" i="4" a="1"/>
  <c r="Z172" i="4" s="1"/>
  <c r="Z173" i="4" a="1"/>
  <c r="Z173" i="4" s="1"/>
  <c r="Z174" i="4" a="1"/>
  <c r="Z174" i="4" s="1"/>
  <c r="Z175" i="4" a="1"/>
  <c r="Z175" i="4" s="1"/>
  <c r="Z176" i="4" a="1"/>
  <c r="Z176" i="4" s="1"/>
  <c r="C153" i="4"/>
  <c r="D153" i="4"/>
  <c r="E153" i="4" a="1"/>
  <c r="E153" i="4" s="1"/>
  <c r="F153" i="4" a="1"/>
  <c r="F153" i="4" s="1"/>
  <c r="G153" i="4" a="1"/>
  <c r="G153" i="4" s="1"/>
  <c r="H153" i="4" a="1"/>
  <c r="H153" i="4" s="1"/>
  <c r="I153" i="4" a="1"/>
  <c r="I153" i="4" s="1"/>
  <c r="J153" i="4" a="1"/>
  <c r="J153" i="4" s="1"/>
  <c r="K153" i="4" a="1"/>
  <c r="K153" i="4" s="1"/>
  <c r="L153" i="4" a="1"/>
  <c r="L153" i="4" s="1"/>
  <c r="M153" i="4" a="1"/>
  <c r="M153" i="4" s="1"/>
  <c r="Q153" i="4" a="1"/>
  <c r="Q153" i="4" s="1"/>
  <c r="R153" i="4" a="1"/>
  <c r="R153" i="4" s="1"/>
  <c r="S153" i="4" a="1"/>
  <c r="S153" i="4" s="1"/>
  <c r="T153" i="4" a="1"/>
  <c r="T153" i="4" s="1"/>
  <c r="U153" i="4" a="1"/>
  <c r="U153" i="4" s="1"/>
  <c r="V153" i="4" a="1"/>
  <c r="V153" i="4" s="1"/>
  <c r="W153" i="4" a="1"/>
  <c r="W153" i="4" s="1"/>
  <c r="X153" i="4" a="1"/>
  <c r="X153" i="4" s="1"/>
  <c r="Y153" i="4" a="1"/>
  <c r="Y153" i="4" s="1"/>
  <c r="Z153" i="4" a="1"/>
  <c r="Z153" i="4" s="1"/>
  <c r="K8" i="6"/>
  <c r="L8" i="6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787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32" i="2"/>
  <c r="O174" i="4" l="1"/>
  <c r="N154" i="4"/>
  <c r="N169" i="4"/>
  <c r="O160" i="4"/>
  <c r="O173" i="4"/>
  <c r="O159" i="4"/>
  <c r="N168" i="4"/>
  <c r="O172" i="4"/>
  <c r="O158" i="4"/>
  <c r="N167" i="4"/>
  <c r="O157" i="4"/>
  <c r="N166" i="4"/>
  <c r="N164" i="4"/>
  <c r="AA157" i="4"/>
  <c r="O171" i="4"/>
  <c r="N153" i="4"/>
  <c r="AA155" i="4"/>
  <c r="AA165" i="4"/>
  <c r="O156" i="4"/>
  <c r="N165" i="4"/>
  <c r="AA154" i="4"/>
  <c r="O170" i="4"/>
  <c r="O155" i="4"/>
  <c r="AA176" i="4"/>
  <c r="O169" i="4"/>
  <c r="P169" i="4" s="1"/>
  <c r="N163" i="4"/>
  <c r="O153" i="4"/>
  <c r="AA175" i="4"/>
  <c r="O168" i="4"/>
  <c r="O154" i="4"/>
  <c r="P154" i="4" s="1"/>
  <c r="N162" i="4"/>
  <c r="AA158" i="4"/>
  <c r="AA156" i="4"/>
  <c r="AA167" i="4"/>
  <c r="AA174" i="4"/>
  <c r="O167" i="4"/>
  <c r="N176" i="4"/>
  <c r="AA166" i="4"/>
  <c r="AA173" i="4"/>
  <c r="AA169" i="4"/>
  <c r="AA161" i="4"/>
  <c r="O166" i="4"/>
  <c r="N175" i="4"/>
  <c r="N161" i="4"/>
  <c r="AA172" i="4"/>
  <c r="AA162" i="4"/>
  <c r="O165" i="4"/>
  <c r="N174" i="4"/>
  <c r="P174" i="4" s="1"/>
  <c r="N160" i="4"/>
  <c r="AA153" i="4"/>
  <c r="AA164" i="4"/>
  <c r="AA171" i="4"/>
  <c r="O164" i="4"/>
  <c r="N173" i="4"/>
  <c r="P173" i="4" s="1"/>
  <c r="N159" i="4"/>
  <c r="AA163" i="4"/>
  <c r="AA170" i="4"/>
  <c r="O163" i="4"/>
  <c r="N172" i="4"/>
  <c r="P172" i="4" s="1"/>
  <c r="N158" i="4"/>
  <c r="P158" i="4" s="1"/>
  <c r="N171" i="4"/>
  <c r="N157" i="4"/>
  <c r="P157" i="4" s="1"/>
  <c r="O176" i="4"/>
  <c r="O162" i="4"/>
  <c r="N170" i="4"/>
  <c r="N156" i="4"/>
  <c r="AA160" i="4"/>
  <c r="AA168" i="4"/>
  <c r="AA159" i="4"/>
  <c r="O175" i="4"/>
  <c r="O161" i="4"/>
  <c r="N155" i="4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28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63" i="1"/>
  <c r="P160" i="4" l="1"/>
  <c r="P164" i="4"/>
  <c r="P166" i="4"/>
  <c r="P168" i="4"/>
  <c r="P159" i="4"/>
  <c r="P170" i="4"/>
  <c r="P171" i="4"/>
  <c r="P167" i="4"/>
  <c r="P153" i="4"/>
  <c r="P176" i="4"/>
  <c r="P156" i="4"/>
  <c r="P165" i="4"/>
  <c r="P162" i="4"/>
  <c r="P161" i="4"/>
  <c r="P175" i="4"/>
  <c r="P155" i="4"/>
  <c r="P163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E128" i="4" a="1"/>
  <c r="E128" i="4" s="1"/>
  <c r="E129" i="4" a="1"/>
  <c r="E129" i="4" s="1"/>
  <c r="E130" i="4" a="1"/>
  <c r="E130" i="4" s="1"/>
  <c r="E131" i="4" a="1"/>
  <c r="E131" i="4" s="1"/>
  <c r="E132" i="4" a="1"/>
  <c r="E132" i="4" s="1"/>
  <c r="E133" i="4" a="1"/>
  <c r="E133" i="4" s="1"/>
  <c r="E134" i="4" a="1"/>
  <c r="E134" i="4" s="1"/>
  <c r="E135" i="4" a="1"/>
  <c r="E135" i="4" s="1"/>
  <c r="E136" i="4" a="1"/>
  <c r="E136" i="4" s="1"/>
  <c r="E137" i="4" a="1"/>
  <c r="E137" i="4" s="1"/>
  <c r="E138" i="4" a="1"/>
  <c r="E138" i="4" s="1"/>
  <c r="E139" i="4" a="1"/>
  <c r="E139" i="4" s="1"/>
  <c r="E140" i="4" a="1"/>
  <c r="E140" i="4" s="1"/>
  <c r="E141" i="4" a="1"/>
  <c r="E141" i="4" s="1"/>
  <c r="E142" i="4" a="1"/>
  <c r="E142" i="4" s="1"/>
  <c r="E143" i="4" a="1"/>
  <c r="E143" i="4" s="1"/>
  <c r="E144" i="4" a="1"/>
  <c r="E144" i="4" s="1"/>
  <c r="E145" i="4" a="1"/>
  <c r="E145" i="4" s="1"/>
  <c r="E146" i="4" a="1"/>
  <c r="E146" i="4" s="1"/>
  <c r="E147" i="4" a="1"/>
  <c r="E147" i="4" s="1"/>
  <c r="E148" i="4" a="1"/>
  <c r="E148" i="4" s="1"/>
  <c r="E149" i="4" a="1"/>
  <c r="E149" i="4" s="1"/>
  <c r="E150" i="4" a="1"/>
  <c r="E150" i="4" s="1"/>
  <c r="F128" i="4" a="1"/>
  <c r="F128" i="4" s="1"/>
  <c r="F129" i="4" a="1"/>
  <c r="F129" i="4" s="1"/>
  <c r="F130" i="4" a="1"/>
  <c r="F130" i="4" s="1"/>
  <c r="F131" i="4" a="1"/>
  <c r="F131" i="4" s="1"/>
  <c r="F132" i="4" a="1"/>
  <c r="F132" i="4" s="1"/>
  <c r="F133" i="4" a="1"/>
  <c r="F133" i="4" s="1"/>
  <c r="F134" i="4" a="1"/>
  <c r="F134" i="4" s="1"/>
  <c r="F135" i="4" a="1"/>
  <c r="F135" i="4" s="1"/>
  <c r="F136" i="4" a="1"/>
  <c r="F136" i="4" s="1"/>
  <c r="F137" i="4" a="1"/>
  <c r="F137" i="4" s="1"/>
  <c r="F138" i="4" a="1"/>
  <c r="F138" i="4" s="1"/>
  <c r="F139" i="4" a="1"/>
  <c r="F139" i="4" s="1"/>
  <c r="F140" i="4" a="1"/>
  <c r="F140" i="4" s="1"/>
  <c r="F141" i="4" a="1"/>
  <c r="F141" i="4" s="1"/>
  <c r="F142" i="4" a="1"/>
  <c r="F142" i="4" s="1"/>
  <c r="F143" i="4" a="1"/>
  <c r="F143" i="4" s="1"/>
  <c r="F144" i="4" a="1"/>
  <c r="F144" i="4" s="1"/>
  <c r="F145" i="4" a="1"/>
  <c r="F145" i="4" s="1"/>
  <c r="F146" i="4" a="1"/>
  <c r="F146" i="4" s="1"/>
  <c r="F147" i="4" a="1"/>
  <c r="F147" i="4" s="1"/>
  <c r="F148" i="4" a="1"/>
  <c r="F148" i="4" s="1"/>
  <c r="F149" i="4" a="1"/>
  <c r="F149" i="4" s="1"/>
  <c r="F150" i="4" a="1"/>
  <c r="F150" i="4" s="1"/>
  <c r="G128" i="4" a="1"/>
  <c r="G128" i="4" s="1"/>
  <c r="G129" i="4" a="1"/>
  <c r="G129" i="4" s="1"/>
  <c r="G130" i="4" a="1"/>
  <c r="G130" i="4" s="1"/>
  <c r="G131" i="4" a="1"/>
  <c r="G131" i="4" s="1"/>
  <c r="G132" i="4" a="1"/>
  <c r="G132" i="4" s="1"/>
  <c r="G133" i="4" a="1"/>
  <c r="G133" i="4" s="1"/>
  <c r="G134" i="4" a="1"/>
  <c r="G134" i="4" s="1"/>
  <c r="G135" i="4" a="1"/>
  <c r="G135" i="4" s="1"/>
  <c r="G136" i="4" a="1"/>
  <c r="G136" i="4" s="1"/>
  <c r="G137" i="4" a="1"/>
  <c r="G137" i="4" s="1"/>
  <c r="G138" i="4" a="1"/>
  <c r="G138" i="4" s="1"/>
  <c r="G139" i="4" a="1"/>
  <c r="G139" i="4" s="1"/>
  <c r="G140" i="4" a="1"/>
  <c r="G140" i="4" s="1"/>
  <c r="G141" i="4" a="1"/>
  <c r="G141" i="4" s="1"/>
  <c r="G142" i="4" a="1"/>
  <c r="G142" i="4" s="1"/>
  <c r="G143" i="4" a="1"/>
  <c r="G143" i="4" s="1"/>
  <c r="G144" i="4" a="1"/>
  <c r="G144" i="4" s="1"/>
  <c r="G145" i="4" a="1"/>
  <c r="G145" i="4" s="1"/>
  <c r="G146" i="4" a="1"/>
  <c r="G146" i="4" s="1"/>
  <c r="G147" i="4" a="1"/>
  <c r="G147" i="4" s="1"/>
  <c r="G148" i="4" a="1"/>
  <c r="G148" i="4" s="1"/>
  <c r="G149" i="4" a="1"/>
  <c r="G149" i="4" s="1"/>
  <c r="G150" i="4" a="1"/>
  <c r="G150" i="4" s="1"/>
  <c r="H128" i="4" a="1"/>
  <c r="H128" i="4" s="1"/>
  <c r="H129" i="4" a="1"/>
  <c r="H129" i="4" s="1"/>
  <c r="H130" i="4" a="1"/>
  <c r="H130" i="4" s="1"/>
  <c r="H131" i="4" a="1"/>
  <c r="H131" i="4" s="1"/>
  <c r="H132" i="4" a="1"/>
  <c r="H132" i="4" s="1"/>
  <c r="H133" i="4" a="1"/>
  <c r="H133" i="4" s="1"/>
  <c r="H134" i="4" a="1"/>
  <c r="H134" i="4" s="1"/>
  <c r="H135" i="4" a="1"/>
  <c r="H135" i="4" s="1"/>
  <c r="H136" i="4" a="1"/>
  <c r="H136" i="4" s="1"/>
  <c r="H137" i="4" a="1"/>
  <c r="H137" i="4" s="1"/>
  <c r="H138" i="4" a="1"/>
  <c r="H138" i="4" s="1"/>
  <c r="H139" i="4" a="1"/>
  <c r="H139" i="4" s="1"/>
  <c r="H140" i="4" a="1"/>
  <c r="H140" i="4" s="1"/>
  <c r="H141" i="4" a="1"/>
  <c r="H141" i="4" s="1"/>
  <c r="H142" i="4" a="1"/>
  <c r="H142" i="4" s="1"/>
  <c r="H143" i="4" a="1"/>
  <c r="H143" i="4" s="1"/>
  <c r="H144" i="4" a="1"/>
  <c r="H144" i="4" s="1"/>
  <c r="H145" i="4" a="1"/>
  <c r="H145" i="4" s="1"/>
  <c r="H146" i="4" a="1"/>
  <c r="H146" i="4" s="1"/>
  <c r="H147" i="4" a="1"/>
  <c r="H147" i="4" s="1"/>
  <c r="H148" i="4" a="1"/>
  <c r="H148" i="4" s="1"/>
  <c r="H149" i="4" a="1"/>
  <c r="H149" i="4" s="1"/>
  <c r="H150" i="4" a="1"/>
  <c r="H150" i="4" s="1"/>
  <c r="I128" i="4" a="1"/>
  <c r="I128" i="4" s="1"/>
  <c r="I129" i="4" a="1"/>
  <c r="I129" i="4" s="1"/>
  <c r="I130" i="4" a="1"/>
  <c r="I130" i="4" s="1"/>
  <c r="I131" i="4" a="1"/>
  <c r="I131" i="4" s="1"/>
  <c r="I132" i="4" a="1"/>
  <c r="I132" i="4" s="1"/>
  <c r="I133" i="4" a="1"/>
  <c r="I133" i="4" s="1"/>
  <c r="I134" i="4" a="1"/>
  <c r="I134" i="4" s="1"/>
  <c r="I135" i="4" a="1"/>
  <c r="I135" i="4" s="1"/>
  <c r="I136" i="4" a="1"/>
  <c r="I136" i="4" s="1"/>
  <c r="I137" i="4" a="1"/>
  <c r="I137" i="4" s="1"/>
  <c r="I138" i="4" a="1"/>
  <c r="I138" i="4" s="1"/>
  <c r="I139" i="4" a="1"/>
  <c r="I139" i="4" s="1"/>
  <c r="I140" i="4" a="1"/>
  <c r="I140" i="4" s="1"/>
  <c r="I141" i="4" a="1"/>
  <c r="I141" i="4" s="1"/>
  <c r="I142" i="4" a="1"/>
  <c r="I142" i="4" s="1"/>
  <c r="I143" i="4" a="1"/>
  <c r="I143" i="4" s="1"/>
  <c r="I144" i="4" a="1"/>
  <c r="I144" i="4" s="1"/>
  <c r="I145" i="4" a="1"/>
  <c r="I145" i="4" s="1"/>
  <c r="I146" i="4" a="1"/>
  <c r="I146" i="4" s="1"/>
  <c r="I147" i="4" a="1"/>
  <c r="I147" i="4" s="1"/>
  <c r="I148" i="4" a="1"/>
  <c r="I148" i="4" s="1"/>
  <c r="I149" i="4" a="1"/>
  <c r="I149" i="4" s="1"/>
  <c r="I150" i="4" a="1"/>
  <c r="I150" i="4" s="1"/>
  <c r="J128" i="4" a="1"/>
  <c r="J128" i="4" s="1"/>
  <c r="J129" i="4" a="1"/>
  <c r="J129" i="4" s="1"/>
  <c r="J130" i="4" a="1"/>
  <c r="J130" i="4" s="1"/>
  <c r="J131" i="4" a="1"/>
  <c r="J131" i="4" s="1"/>
  <c r="J132" i="4" a="1"/>
  <c r="J132" i="4" s="1"/>
  <c r="J133" i="4" a="1"/>
  <c r="J133" i="4" s="1"/>
  <c r="J134" i="4" a="1"/>
  <c r="J134" i="4" s="1"/>
  <c r="J135" i="4" a="1"/>
  <c r="J135" i="4" s="1"/>
  <c r="J136" i="4" a="1"/>
  <c r="J136" i="4" s="1"/>
  <c r="J137" i="4" a="1"/>
  <c r="J137" i="4" s="1"/>
  <c r="J138" i="4" a="1"/>
  <c r="J138" i="4" s="1"/>
  <c r="J139" i="4" a="1"/>
  <c r="J139" i="4" s="1"/>
  <c r="J140" i="4" a="1"/>
  <c r="J140" i="4" s="1"/>
  <c r="J141" i="4" a="1"/>
  <c r="J141" i="4" s="1"/>
  <c r="J142" i="4" a="1"/>
  <c r="J142" i="4" s="1"/>
  <c r="J143" i="4" a="1"/>
  <c r="J143" i="4" s="1"/>
  <c r="J144" i="4" a="1"/>
  <c r="J144" i="4" s="1"/>
  <c r="J145" i="4" a="1"/>
  <c r="J145" i="4" s="1"/>
  <c r="J146" i="4" a="1"/>
  <c r="J146" i="4" s="1"/>
  <c r="J147" i="4" a="1"/>
  <c r="J147" i="4" s="1"/>
  <c r="J148" i="4" a="1"/>
  <c r="J148" i="4" s="1"/>
  <c r="J149" i="4" a="1"/>
  <c r="J149" i="4" s="1"/>
  <c r="J150" i="4" a="1"/>
  <c r="J150" i="4" s="1"/>
  <c r="K128" i="4" a="1"/>
  <c r="K128" i="4" s="1"/>
  <c r="K129" i="4" a="1"/>
  <c r="K129" i="4" s="1"/>
  <c r="K130" i="4" a="1"/>
  <c r="K130" i="4" s="1"/>
  <c r="K131" i="4" a="1"/>
  <c r="K131" i="4" s="1"/>
  <c r="K132" i="4" a="1"/>
  <c r="K132" i="4" s="1"/>
  <c r="K133" i="4" a="1"/>
  <c r="K133" i="4" s="1"/>
  <c r="K134" i="4" a="1"/>
  <c r="K134" i="4" s="1"/>
  <c r="K135" i="4" a="1"/>
  <c r="K135" i="4" s="1"/>
  <c r="K136" i="4" a="1"/>
  <c r="K136" i="4" s="1"/>
  <c r="K137" i="4" a="1"/>
  <c r="K137" i="4" s="1"/>
  <c r="K138" i="4" a="1"/>
  <c r="K138" i="4" s="1"/>
  <c r="K139" i="4" a="1"/>
  <c r="K139" i="4" s="1"/>
  <c r="K140" i="4" a="1"/>
  <c r="K140" i="4" s="1"/>
  <c r="K141" i="4" a="1"/>
  <c r="K141" i="4" s="1"/>
  <c r="K142" i="4" a="1"/>
  <c r="K142" i="4" s="1"/>
  <c r="K143" i="4" a="1"/>
  <c r="K143" i="4" s="1"/>
  <c r="K144" i="4" a="1"/>
  <c r="K144" i="4" s="1"/>
  <c r="K145" i="4" a="1"/>
  <c r="K145" i="4" s="1"/>
  <c r="K146" i="4" a="1"/>
  <c r="K146" i="4" s="1"/>
  <c r="K147" i="4" a="1"/>
  <c r="K147" i="4" s="1"/>
  <c r="K148" i="4" a="1"/>
  <c r="K148" i="4" s="1"/>
  <c r="K149" i="4" a="1"/>
  <c r="K149" i="4" s="1"/>
  <c r="K150" i="4" a="1"/>
  <c r="K150" i="4" s="1"/>
  <c r="L128" i="4" a="1"/>
  <c r="L128" i="4" s="1"/>
  <c r="L129" i="4" a="1"/>
  <c r="L129" i="4" s="1"/>
  <c r="L130" i="4" a="1"/>
  <c r="L130" i="4" s="1"/>
  <c r="L131" i="4" a="1"/>
  <c r="L131" i="4" s="1"/>
  <c r="L132" i="4" a="1"/>
  <c r="L132" i="4" s="1"/>
  <c r="L133" i="4" a="1"/>
  <c r="L133" i="4" s="1"/>
  <c r="L134" i="4" a="1"/>
  <c r="L134" i="4" s="1"/>
  <c r="L135" i="4" a="1"/>
  <c r="L135" i="4" s="1"/>
  <c r="L136" i="4" a="1"/>
  <c r="L136" i="4" s="1"/>
  <c r="L137" i="4" a="1"/>
  <c r="L137" i="4" s="1"/>
  <c r="L138" i="4" a="1"/>
  <c r="L138" i="4" s="1"/>
  <c r="L139" i="4" a="1"/>
  <c r="L139" i="4" s="1"/>
  <c r="L140" i="4" a="1"/>
  <c r="L140" i="4" s="1"/>
  <c r="L141" i="4" a="1"/>
  <c r="L141" i="4" s="1"/>
  <c r="L142" i="4" a="1"/>
  <c r="L142" i="4" s="1"/>
  <c r="L143" i="4" a="1"/>
  <c r="L143" i="4" s="1"/>
  <c r="L144" i="4" a="1"/>
  <c r="L144" i="4" s="1"/>
  <c r="L145" i="4" a="1"/>
  <c r="L145" i="4" s="1"/>
  <c r="L146" i="4" a="1"/>
  <c r="L146" i="4" s="1"/>
  <c r="L147" i="4" a="1"/>
  <c r="L147" i="4" s="1"/>
  <c r="L148" i="4" a="1"/>
  <c r="L148" i="4" s="1"/>
  <c r="L149" i="4" a="1"/>
  <c r="L149" i="4" s="1"/>
  <c r="L150" i="4" a="1"/>
  <c r="L150" i="4" s="1"/>
  <c r="M128" i="4" a="1"/>
  <c r="M128" i="4" s="1"/>
  <c r="M129" i="4" a="1"/>
  <c r="M129" i="4" s="1"/>
  <c r="M130" i="4" a="1"/>
  <c r="M130" i="4" s="1"/>
  <c r="M131" i="4" a="1"/>
  <c r="M131" i="4" s="1"/>
  <c r="M132" i="4" a="1"/>
  <c r="M132" i="4" s="1"/>
  <c r="M133" i="4" a="1"/>
  <c r="M133" i="4" s="1"/>
  <c r="M134" i="4" a="1"/>
  <c r="M134" i="4" s="1"/>
  <c r="M135" i="4" a="1"/>
  <c r="M135" i="4" s="1"/>
  <c r="M136" i="4" a="1"/>
  <c r="M136" i="4" s="1"/>
  <c r="M137" i="4" a="1"/>
  <c r="M137" i="4" s="1"/>
  <c r="M138" i="4" a="1"/>
  <c r="M138" i="4" s="1"/>
  <c r="M139" i="4" a="1"/>
  <c r="M139" i="4" s="1"/>
  <c r="M140" i="4" a="1"/>
  <c r="M140" i="4" s="1"/>
  <c r="M141" i="4" a="1"/>
  <c r="M141" i="4" s="1"/>
  <c r="M142" i="4" a="1"/>
  <c r="M142" i="4" s="1"/>
  <c r="M143" i="4" a="1"/>
  <c r="M143" i="4" s="1"/>
  <c r="M144" i="4" a="1"/>
  <c r="M144" i="4" s="1"/>
  <c r="M145" i="4" a="1"/>
  <c r="M145" i="4" s="1"/>
  <c r="M146" i="4" a="1"/>
  <c r="M146" i="4" s="1"/>
  <c r="M147" i="4" a="1"/>
  <c r="M147" i="4" s="1"/>
  <c r="M148" i="4" a="1"/>
  <c r="M148" i="4" s="1"/>
  <c r="M149" i="4" a="1"/>
  <c r="M149" i="4" s="1"/>
  <c r="M150" i="4" a="1"/>
  <c r="M150" i="4" s="1"/>
  <c r="Q128" i="4" a="1"/>
  <c r="Q128" i="4" s="1"/>
  <c r="Q129" i="4" a="1"/>
  <c r="Q129" i="4" s="1"/>
  <c r="Q130" i="4" a="1"/>
  <c r="Q130" i="4" s="1"/>
  <c r="Q131" i="4" a="1"/>
  <c r="Q131" i="4" s="1"/>
  <c r="Q132" i="4" a="1"/>
  <c r="Q132" i="4" s="1"/>
  <c r="Q133" i="4" a="1"/>
  <c r="Q133" i="4" s="1"/>
  <c r="Q134" i="4" a="1"/>
  <c r="Q134" i="4" s="1"/>
  <c r="Q135" i="4" a="1"/>
  <c r="Q135" i="4" s="1"/>
  <c r="Q136" i="4" a="1"/>
  <c r="Q136" i="4" s="1"/>
  <c r="Q137" i="4" a="1"/>
  <c r="Q137" i="4" s="1"/>
  <c r="Q138" i="4" a="1"/>
  <c r="Q138" i="4" s="1"/>
  <c r="Q139" i="4" a="1"/>
  <c r="Q139" i="4" s="1"/>
  <c r="Q140" i="4" a="1"/>
  <c r="Q140" i="4" s="1"/>
  <c r="Q141" i="4" a="1"/>
  <c r="Q141" i="4" s="1"/>
  <c r="Q142" i="4" a="1"/>
  <c r="Q142" i="4" s="1"/>
  <c r="Q143" i="4" a="1"/>
  <c r="Q143" i="4" s="1"/>
  <c r="Q144" i="4" a="1"/>
  <c r="Q144" i="4" s="1"/>
  <c r="Q145" i="4" a="1"/>
  <c r="Q145" i="4" s="1"/>
  <c r="Q146" i="4" a="1"/>
  <c r="Q146" i="4" s="1"/>
  <c r="Q147" i="4" a="1"/>
  <c r="Q147" i="4" s="1"/>
  <c r="Q148" i="4" a="1"/>
  <c r="Q148" i="4" s="1"/>
  <c r="Q149" i="4" a="1"/>
  <c r="Q149" i="4" s="1"/>
  <c r="Q150" i="4" a="1"/>
  <c r="Q150" i="4" s="1"/>
  <c r="R128" i="4" a="1"/>
  <c r="R128" i="4" s="1"/>
  <c r="R129" i="4" a="1"/>
  <c r="R129" i="4" s="1"/>
  <c r="R130" i="4" a="1"/>
  <c r="R130" i="4" s="1"/>
  <c r="R131" i="4" a="1"/>
  <c r="R131" i="4" s="1"/>
  <c r="R132" i="4" a="1"/>
  <c r="R132" i="4" s="1"/>
  <c r="R133" i="4" a="1"/>
  <c r="R133" i="4" s="1"/>
  <c r="R134" i="4" a="1"/>
  <c r="R134" i="4" s="1"/>
  <c r="R135" i="4" a="1"/>
  <c r="R135" i="4" s="1"/>
  <c r="R136" i="4" a="1"/>
  <c r="R136" i="4" s="1"/>
  <c r="R137" i="4" a="1"/>
  <c r="R137" i="4" s="1"/>
  <c r="R138" i="4" a="1"/>
  <c r="R138" i="4" s="1"/>
  <c r="R139" i="4" a="1"/>
  <c r="R139" i="4" s="1"/>
  <c r="R140" i="4" a="1"/>
  <c r="R140" i="4" s="1"/>
  <c r="R141" i="4" a="1"/>
  <c r="R141" i="4" s="1"/>
  <c r="R142" i="4" a="1"/>
  <c r="R142" i="4" s="1"/>
  <c r="R143" i="4" a="1"/>
  <c r="R143" i="4" s="1"/>
  <c r="R144" i="4" a="1"/>
  <c r="R144" i="4" s="1"/>
  <c r="R145" i="4" a="1"/>
  <c r="R145" i="4" s="1"/>
  <c r="R146" i="4" a="1"/>
  <c r="R146" i="4" s="1"/>
  <c r="R147" i="4" a="1"/>
  <c r="R147" i="4" s="1"/>
  <c r="R148" i="4" a="1"/>
  <c r="R148" i="4" s="1"/>
  <c r="R149" i="4" a="1"/>
  <c r="R149" i="4" s="1"/>
  <c r="R150" i="4" a="1"/>
  <c r="R150" i="4" s="1"/>
  <c r="S128" i="4" a="1"/>
  <c r="S128" i="4" s="1"/>
  <c r="S129" i="4" a="1"/>
  <c r="S129" i="4" s="1"/>
  <c r="S130" i="4" a="1"/>
  <c r="S130" i="4" s="1"/>
  <c r="S131" i="4" a="1"/>
  <c r="S131" i="4" s="1"/>
  <c r="S132" i="4" a="1"/>
  <c r="S132" i="4" s="1"/>
  <c r="S133" i="4" a="1"/>
  <c r="S133" i="4" s="1"/>
  <c r="S134" i="4" a="1"/>
  <c r="S134" i="4" s="1"/>
  <c r="S135" i="4" a="1"/>
  <c r="S135" i="4" s="1"/>
  <c r="S136" i="4" a="1"/>
  <c r="S136" i="4" s="1"/>
  <c r="S137" i="4" a="1"/>
  <c r="S137" i="4" s="1"/>
  <c r="S138" i="4" a="1"/>
  <c r="S138" i="4" s="1"/>
  <c r="S139" i="4" a="1"/>
  <c r="S139" i="4" s="1"/>
  <c r="S140" i="4" a="1"/>
  <c r="S140" i="4" s="1"/>
  <c r="S141" i="4" a="1"/>
  <c r="S141" i="4" s="1"/>
  <c r="S142" i="4" a="1"/>
  <c r="S142" i="4" s="1"/>
  <c r="S143" i="4" a="1"/>
  <c r="S143" i="4" s="1"/>
  <c r="S144" i="4" a="1"/>
  <c r="S144" i="4" s="1"/>
  <c r="S145" i="4" a="1"/>
  <c r="S145" i="4" s="1"/>
  <c r="S146" i="4" a="1"/>
  <c r="S146" i="4" s="1"/>
  <c r="S147" i="4" a="1"/>
  <c r="S147" i="4" s="1"/>
  <c r="S148" i="4" a="1"/>
  <c r="S148" i="4" s="1"/>
  <c r="S149" i="4" a="1"/>
  <c r="S149" i="4" s="1"/>
  <c r="S150" i="4" a="1"/>
  <c r="S150" i="4" s="1"/>
  <c r="T128" i="4" a="1"/>
  <c r="T128" i="4" s="1"/>
  <c r="T129" i="4" a="1"/>
  <c r="T129" i="4" s="1"/>
  <c r="T130" i="4" a="1"/>
  <c r="T130" i="4" s="1"/>
  <c r="T131" i="4" a="1"/>
  <c r="T131" i="4" s="1"/>
  <c r="T132" i="4" a="1"/>
  <c r="T132" i="4" s="1"/>
  <c r="T133" i="4" a="1"/>
  <c r="T133" i="4" s="1"/>
  <c r="T134" i="4" a="1"/>
  <c r="T134" i="4" s="1"/>
  <c r="T135" i="4" a="1"/>
  <c r="T135" i="4" s="1"/>
  <c r="T136" i="4" a="1"/>
  <c r="T136" i="4" s="1"/>
  <c r="T137" i="4" a="1"/>
  <c r="T137" i="4" s="1"/>
  <c r="T138" i="4" a="1"/>
  <c r="T138" i="4" s="1"/>
  <c r="T139" i="4" a="1"/>
  <c r="T139" i="4" s="1"/>
  <c r="T140" i="4" a="1"/>
  <c r="T140" i="4" s="1"/>
  <c r="T141" i="4" a="1"/>
  <c r="T141" i="4" s="1"/>
  <c r="T142" i="4" a="1"/>
  <c r="T142" i="4" s="1"/>
  <c r="T143" i="4" a="1"/>
  <c r="T143" i="4" s="1"/>
  <c r="T144" i="4" a="1"/>
  <c r="T144" i="4" s="1"/>
  <c r="T145" i="4" a="1"/>
  <c r="T145" i="4" s="1"/>
  <c r="T146" i="4" a="1"/>
  <c r="T146" i="4" s="1"/>
  <c r="T147" i="4" a="1"/>
  <c r="T147" i="4" s="1"/>
  <c r="T148" i="4" a="1"/>
  <c r="T148" i="4" s="1"/>
  <c r="T149" i="4" a="1"/>
  <c r="T149" i="4" s="1"/>
  <c r="T150" i="4" a="1"/>
  <c r="T150" i="4" s="1"/>
  <c r="U128" i="4" a="1"/>
  <c r="U128" i="4" s="1"/>
  <c r="U129" i="4" a="1"/>
  <c r="U129" i="4" s="1"/>
  <c r="U130" i="4" a="1"/>
  <c r="U130" i="4" s="1"/>
  <c r="U131" i="4" a="1"/>
  <c r="U131" i="4" s="1"/>
  <c r="U132" i="4" a="1"/>
  <c r="U132" i="4" s="1"/>
  <c r="U133" i="4" a="1"/>
  <c r="U133" i="4" s="1"/>
  <c r="U134" i="4" a="1"/>
  <c r="U134" i="4" s="1"/>
  <c r="U135" i="4" a="1"/>
  <c r="U135" i="4" s="1"/>
  <c r="U136" i="4" a="1"/>
  <c r="U136" i="4" s="1"/>
  <c r="U137" i="4" a="1"/>
  <c r="U137" i="4" s="1"/>
  <c r="U138" i="4" a="1"/>
  <c r="U138" i="4" s="1"/>
  <c r="U139" i="4" a="1"/>
  <c r="U139" i="4" s="1"/>
  <c r="U140" i="4" a="1"/>
  <c r="U140" i="4" s="1"/>
  <c r="U141" i="4" a="1"/>
  <c r="U141" i="4" s="1"/>
  <c r="U142" i="4" a="1"/>
  <c r="U142" i="4" s="1"/>
  <c r="U143" i="4" a="1"/>
  <c r="U143" i="4" s="1"/>
  <c r="U144" i="4" a="1"/>
  <c r="U144" i="4" s="1"/>
  <c r="U145" i="4" a="1"/>
  <c r="U145" i="4" s="1"/>
  <c r="U146" i="4" a="1"/>
  <c r="U146" i="4" s="1"/>
  <c r="U147" i="4" a="1"/>
  <c r="U147" i="4" s="1"/>
  <c r="U148" i="4" a="1"/>
  <c r="U148" i="4" s="1"/>
  <c r="U149" i="4" a="1"/>
  <c r="U149" i="4" s="1"/>
  <c r="U150" i="4" a="1"/>
  <c r="U150" i="4" s="1"/>
  <c r="V128" i="4" a="1"/>
  <c r="V128" i="4" s="1"/>
  <c r="V129" i="4" a="1"/>
  <c r="V129" i="4" s="1"/>
  <c r="V130" i="4" a="1"/>
  <c r="V130" i="4" s="1"/>
  <c r="V131" i="4" a="1"/>
  <c r="V131" i="4" s="1"/>
  <c r="V132" i="4" a="1"/>
  <c r="V132" i="4" s="1"/>
  <c r="V133" i="4" a="1"/>
  <c r="V133" i="4" s="1"/>
  <c r="V134" i="4" a="1"/>
  <c r="V134" i="4" s="1"/>
  <c r="V135" i="4" a="1"/>
  <c r="V135" i="4" s="1"/>
  <c r="V136" i="4" a="1"/>
  <c r="V136" i="4" s="1"/>
  <c r="V137" i="4" a="1"/>
  <c r="V137" i="4" s="1"/>
  <c r="V138" i="4" a="1"/>
  <c r="V138" i="4" s="1"/>
  <c r="V139" i="4" a="1"/>
  <c r="V139" i="4" s="1"/>
  <c r="V140" i="4" a="1"/>
  <c r="V140" i="4" s="1"/>
  <c r="V141" i="4" a="1"/>
  <c r="V141" i="4" s="1"/>
  <c r="V142" i="4" a="1"/>
  <c r="V142" i="4" s="1"/>
  <c r="V143" i="4" a="1"/>
  <c r="V143" i="4" s="1"/>
  <c r="V144" i="4" a="1"/>
  <c r="V144" i="4" s="1"/>
  <c r="V145" i="4" a="1"/>
  <c r="V145" i="4" s="1"/>
  <c r="V146" i="4" a="1"/>
  <c r="V146" i="4" s="1"/>
  <c r="V147" i="4" a="1"/>
  <c r="V147" i="4" s="1"/>
  <c r="V148" i="4" a="1"/>
  <c r="V148" i="4" s="1"/>
  <c r="V149" i="4" a="1"/>
  <c r="V149" i="4" s="1"/>
  <c r="V150" i="4" a="1"/>
  <c r="V150" i="4" s="1"/>
  <c r="W128" i="4" a="1"/>
  <c r="W128" i="4" s="1"/>
  <c r="W129" i="4" a="1"/>
  <c r="W129" i="4" s="1"/>
  <c r="W130" i="4" a="1"/>
  <c r="W130" i="4" s="1"/>
  <c r="W131" i="4" a="1"/>
  <c r="W131" i="4" s="1"/>
  <c r="W132" i="4" a="1"/>
  <c r="W132" i="4" s="1"/>
  <c r="W133" i="4" a="1"/>
  <c r="W133" i="4" s="1"/>
  <c r="W134" i="4" a="1"/>
  <c r="W134" i="4" s="1"/>
  <c r="W135" i="4" a="1"/>
  <c r="W135" i="4" s="1"/>
  <c r="W136" i="4" a="1"/>
  <c r="W136" i="4" s="1"/>
  <c r="W137" i="4" a="1"/>
  <c r="W137" i="4" s="1"/>
  <c r="W138" i="4" a="1"/>
  <c r="W138" i="4" s="1"/>
  <c r="W139" i="4" a="1"/>
  <c r="W139" i="4" s="1"/>
  <c r="W140" i="4" a="1"/>
  <c r="W140" i="4" s="1"/>
  <c r="W141" i="4" a="1"/>
  <c r="W141" i="4" s="1"/>
  <c r="W142" i="4" a="1"/>
  <c r="W142" i="4" s="1"/>
  <c r="W143" i="4" a="1"/>
  <c r="W143" i="4" s="1"/>
  <c r="W144" i="4" a="1"/>
  <c r="W144" i="4" s="1"/>
  <c r="W145" i="4" a="1"/>
  <c r="W145" i="4" s="1"/>
  <c r="W146" i="4" a="1"/>
  <c r="W146" i="4" s="1"/>
  <c r="W147" i="4" a="1"/>
  <c r="W147" i="4" s="1"/>
  <c r="W148" i="4" a="1"/>
  <c r="W148" i="4" s="1"/>
  <c r="W149" i="4" a="1"/>
  <c r="W149" i="4" s="1"/>
  <c r="W150" i="4" a="1"/>
  <c r="W150" i="4" s="1"/>
  <c r="X128" i="4" a="1"/>
  <c r="X128" i="4" s="1"/>
  <c r="X129" i="4" a="1"/>
  <c r="X129" i="4" s="1"/>
  <c r="X130" i="4" a="1"/>
  <c r="X130" i="4" s="1"/>
  <c r="X131" i="4" a="1"/>
  <c r="X131" i="4" s="1"/>
  <c r="X132" i="4" a="1"/>
  <c r="X132" i="4" s="1"/>
  <c r="X133" i="4" a="1"/>
  <c r="X133" i="4" s="1"/>
  <c r="X134" i="4" a="1"/>
  <c r="X134" i="4" s="1"/>
  <c r="X135" i="4" a="1"/>
  <c r="X135" i="4" s="1"/>
  <c r="X136" i="4" a="1"/>
  <c r="X136" i="4" s="1"/>
  <c r="X137" i="4" a="1"/>
  <c r="X137" i="4" s="1"/>
  <c r="X138" i="4" a="1"/>
  <c r="X138" i="4" s="1"/>
  <c r="X139" i="4" a="1"/>
  <c r="X139" i="4" s="1"/>
  <c r="X140" i="4" a="1"/>
  <c r="X140" i="4" s="1"/>
  <c r="X141" i="4" a="1"/>
  <c r="X141" i="4" s="1"/>
  <c r="X142" i="4" a="1"/>
  <c r="X142" i="4" s="1"/>
  <c r="X143" i="4" a="1"/>
  <c r="X143" i="4" s="1"/>
  <c r="X144" i="4" a="1"/>
  <c r="X144" i="4" s="1"/>
  <c r="X145" i="4" a="1"/>
  <c r="X145" i="4" s="1"/>
  <c r="X146" i="4" a="1"/>
  <c r="X146" i="4" s="1"/>
  <c r="X147" i="4" a="1"/>
  <c r="X147" i="4" s="1"/>
  <c r="X148" i="4" a="1"/>
  <c r="X148" i="4" s="1"/>
  <c r="X149" i="4" a="1"/>
  <c r="X149" i="4" s="1"/>
  <c r="X150" i="4" a="1"/>
  <c r="X150" i="4" s="1"/>
  <c r="Y128" i="4" a="1"/>
  <c r="Y128" i="4" s="1"/>
  <c r="Y129" i="4" a="1"/>
  <c r="Y129" i="4" s="1"/>
  <c r="Y130" i="4" a="1"/>
  <c r="Y130" i="4" s="1"/>
  <c r="Y131" i="4" a="1"/>
  <c r="Y131" i="4" s="1"/>
  <c r="Y132" i="4" a="1"/>
  <c r="Y132" i="4" s="1"/>
  <c r="Y133" i="4" a="1"/>
  <c r="Y133" i="4" s="1"/>
  <c r="Y134" i="4" a="1"/>
  <c r="Y134" i="4" s="1"/>
  <c r="Y135" i="4" a="1"/>
  <c r="Y135" i="4" s="1"/>
  <c r="Y136" i="4" a="1"/>
  <c r="Y136" i="4" s="1"/>
  <c r="Y137" i="4" a="1"/>
  <c r="Y137" i="4" s="1"/>
  <c r="Y138" i="4" a="1"/>
  <c r="Y138" i="4" s="1"/>
  <c r="Y139" i="4" a="1"/>
  <c r="Y139" i="4" s="1"/>
  <c r="Y140" i="4" a="1"/>
  <c r="Y140" i="4" s="1"/>
  <c r="Y141" i="4" a="1"/>
  <c r="Y141" i="4" s="1"/>
  <c r="Y142" i="4" a="1"/>
  <c r="Y142" i="4" s="1"/>
  <c r="Y143" i="4" a="1"/>
  <c r="Y143" i="4" s="1"/>
  <c r="Y144" i="4" a="1"/>
  <c r="Y144" i="4" s="1"/>
  <c r="Y145" i="4" a="1"/>
  <c r="Y145" i="4" s="1"/>
  <c r="Y146" i="4" a="1"/>
  <c r="Y146" i="4" s="1"/>
  <c r="Y147" i="4" a="1"/>
  <c r="Y147" i="4" s="1"/>
  <c r="Y148" i="4" a="1"/>
  <c r="Y148" i="4" s="1"/>
  <c r="Y149" i="4" a="1"/>
  <c r="Y149" i="4" s="1"/>
  <c r="Y150" i="4" a="1"/>
  <c r="Y150" i="4" s="1"/>
  <c r="Z128" i="4" a="1"/>
  <c r="Z128" i="4" s="1"/>
  <c r="Z129" i="4" a="1"/>
  <c r="Z129" i="4" s="1"/>
  <c r="Z130" i="4" a="1"/>
  <c r="Z130" i="4" s="1"/>
  <c r="Z131" i="4" a="1"/>
  <c r="Z131" i="4" s="1"/>
  <c r="Z132" i="4" a="1"/>
  <c r="Z132" i="4" s="1"/>
  <c r="Z133" i="4" a="1"/>
  <c r="Z133" i="4" s="1"/>
  <c r="Z134" i="4" a="1"/>
  <c r="Z134" i="4" s="1"/>
  <c r="Z135" i="4" a="1"/>
  <c r="Z135" i="4" s="1"/>
  <c r="Z136" i="4" a="1"/>
  <c r="Z136" i="4" s="1"/>
  <c r="Z137" i="4" a="1"/>
  <c r="Z137" i="4" s="1"/>
  <c r="Z138" i="4" a="1"/>
  <c r="Z138" i="4" s="1"/>
  <c r="Z139" i="4" a="1"/>
  <c r="Z139" i="4" s="1"/>
  <c r="Z140" i="4" a="1"/>
  <c r="Z140" i="4" s="1"/>
  <c r="Z141" i="4" a="1"/>
  <c r="Z141" i="4" s="1"/>
  <c r="Z142" i="4" a="1"/>
  <c r="Z142" i="4" s="1"/>
  <c r="Z143" i="4" a="1"/>
  <c r="Z143" i="4" s="1"/>
  <c r="Z144" i="4" a="1"/>
  <c r="Z144" i="4" s="1"/>
  <c r="Z145" i="4" a="1"/>
  <c r="Z145" i="4" s="1"/>
  <c r="Z146" i="4" a="1"/>
  <c r="Z146" i="4" s="1"/>
  <c r="Z147" i="4" a="1"/>
  <c r="Z147" i="4" s="1"/>
  <c r="Z148" i="4" a="1"/>
  <c r="Z148" i="4" s="1"/>
  <c r="Z149" i="4" a="1"/>
  <c r="Z149" i="4" s="1"/>
  <c r="Z150" i="4" a="1"/>
  <c r="Z150" i="4" s="1"/>
  <c r="C127" i="4"/>
  <c r="D127" i="4"/>
  <c r="E127" i="4" a="1"/>
  <c r="E127" i="4" s="1"/>
  <c r="F127" i="4" a="1"/>
  <c r="F127" i="4" s="1"/>
  <c r="G127" i="4" a="1"/>
  <c r="G127" i="4" s="1"/>
  <c r="H127" i="4" a="1"/>
  <c r="H127" i="4" s="1"/>
  <c r="I127" i="4" a="1"/>
  <c r="I127" i="4" s="1"/>
  <c r="J127" i="4" a="1"/>
  <c r="J127" i="4" s="1"/>
  <c r="K127" i="4" a="1"/>
  <c r="K127" i="4" s="1"/>
  <c r="L127" i="4" a="1"/>
  <c r="L127" i="4" s="1"/>
  <c r="M127" i="4" a="1"/>
  <c r="M127" i="4" s="1"/>
  <c r="Q127" i="4" a="1"/>
  <c r="Q127" i="4" s="1"/>
  <c r="R127" i="4" a="1"/>
  <c r="R127" i="4" s="1"/>
  <c r="S127" i="4" a="1"/>
  <c r="S127" i="4" s="1"/>
  <c r="T127" i="4" a="1"/>
  <c r="T127" i="4" s="1"/>
  <c r="U127" i="4" a="1"/>
  <c r="U127" i="4" s="1"/>
  <c r="V127" i="4" a="1"/>
  <c r="V127" i="4" s="1"/>
  <c r="W127" i="4" a="1"/>
  <c r="W127" i="4" s="1"/>
  <c r="X127" i="4" a="1"/>
  <c r="X127" i="4" s="1"/>
  <c r="Y127" i="4" a="1"/>
  <c r="Y127" i="4" s="1"/>
  <c r="Z127" i="4" a="1"/>
  <c r="Z127" i="4" s="1"/>
  <c r="N128" i="4" l="1"/>
  <c r="N143" i="4"/>
  <c r="O134" i="4"/>
  <c r="O148" i="4"/>
  <c r="O147" i="4"/>
  <c r="O133" i="4"/>
  <c r="N142" i="4"/>
  <c r="AA142" i="4"/>
  <c r="O146" i="4"/>
  <c r="O132" i="4"/>
  <c r="N141" i="4"/>
  <c r="O131" i="4"/>
  <c r="N140" i="4"/>
  <c r="N138" i="4"/>
  <c r="AA134" i="4"/>
  <c r="AA133" i="4"/>
  <c r="AA132" i="4"/>
  <c r="O145" i="4"/>
  <c r="AA131" i="4"/>
  <c r="O130" i="4"/>
  <c r="N139" i="4"/>
  <c r="AA130" i="4"/>
  <c r="O144" i="4"/>
  <c r="O129" i="4"/>
  <c r="AA129" i="4"/>
  <c r="O143" i="4"/>
  <c r="P143" i="4" s="1"/>
  <c r="N137" i="4"/>
  <c r="AA139" i="4"/>
  <c r="O142" i="4"/>
  <c r="P142" i="4" s="1"/>
  <c r="O128" i="4"/>
  <c r="N136" i="4"/>
  <c r="AA150" i="4"/>
  <c r="O141" i="4"/>
  <c r="N150" i="4"/>
  <c r="AA149" i="4"/>
  <c r="O140" i="4"/>
  <c r="N149" i="4"/>
  <c r="N135" i="4"/>
  <c r="AA141" i="4"/>
  <c r="AA135" i="4"/>
  <c r="O139" i="4"/>
  <c r="N148" i="4"/>
  <c r="P148" i="4" s="1"/>
  <c r="N134" i="4"/>
  <c r="P134" i="4" s="1"/>
  <c r="AA140" i="4"/>
  <c r="AA148" i="4"/>
  <c r="AA143" i="4"/>
  <c r="O138" i="4"/>
  <c r="N147" i="4"/>
  <c r="P147" i="4" s="1"/>
  <c r="N133" i="4"/>
  <c r="AA147" i="4"/>
  <c r="AA128" i="4"/>
  <c r="O137" i="4"/>
  <c r="N146" i="4"/>
  <c r="N132" i="4"/>
  <c r="AA138" i="4"/>
  <c r="AA146" i="4"/>
  <c r="AA136" i="4"/>
  <c r="N145" i="4"/>
  <c r="N131" i="4"/>
  <c r="AA137" i="4"/>
  <c r="AA145" i="4"/>
  <c r="O150" i="4"/>
  <c r="O136" i="4"/>
  <c r="N144" i="4"/>
  <c r="N130" i="4"/>
  <c r="AA144" i="4"/>
  <c r="O149" i="4"/>
  <c r="O135" i="4"/>
  <c r="N129" i="4"/>
  <c r="O127" i="4"/>
  <c r="N127" i="4"/>
  <c r="AA127" i="4"/>
  <c r="P128" i="4" l="1"/>
  <c r="P133" i="4"/>
  <c r="P127" i="4"/>
  <c r="P131" i="4"/>
  <c r="P132" i="4"/>
  <c r="P146" i="4"/>
  <c r="P141" i="4"/>
  <c r="P138" i="4"/>
  <c r="P129" i="4"/>
  <c r="P150" i="4"/>
  <c r="P130" i="4"/>
  <c r="P149" i="4"/>
  <c r="P140" i="4"/>
  <c r="P139" i="4"/>
  <c r="P135" i="4"/>
  <c r="P144" i="4"/>
  <c r="P136" i="4"/>
  <c r="P137" i="4"/>
  <c r="P145" i="4"/>
  <c r="O194" i="11" l="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J207" i="11"/>
  <c r="I207" i="11"/>
  <c r="J206" i="11"/>
  <c r="I206" i="11"/>
  <c r="J204" i="11"/>
  <c r="I204" i="11"/>
  <c r="J201" i="11"/>
  <c r="I201" i="11"/>
  <c r="J200" i="11"/>
  <c r="I200" i="11"/>
  <c r="J199" i="11"/>
  <c r="I199" i="11"/>
  <c r="J198" i="11"/>
  <c r="I198" i="11"/>
  <c r="K7" i="6" l="1"/>
  <c r="L7" i="6"/>
  <c r="B7" i="16"/>
  <c r="G7" i="15" l="1"/>
  <c r="D7" i="15"/>
  <c r="B7" i="15"/>
  <c r="O192" i="11"/>
  <c r="O193" i="11"/>
  <c r="O191" i="11"/>
  <c r="O189" i="11" l="1"/>
  <c r="O190" i="11"/>
  <c r="O188" i="11"/>
  <c r="O187" i="11"/>
  <c r="O186" i="11" l="1"/>
  <c r="O185" i="11"/>
  <c r="O181" i="11"/>
  <c r="O182" i="11"/>
  <c r="O183" i="11"/>
  <c r="O184" i="11"/>
  <c r="I7" i="15"/>
  <c r="K7" i="15" s="1"/>
  <c r="O180" i="11"/>
  <c r="O179" i="11"/>
  <c r="O178" i="11"/>
  <c r="O177" i="11"/>
  <c r="O176" i="11"/>
  <c r="O175" i="11"/>
  <c r="O174" i="11"/>
  <c r="O171" i="11"/>
  <c r="O172" i="11"/>
  <c r="O173" i="11"/>
  <c r="O170" i="11"/>
  <c r="O169" i="11"/>
  <c r="O168" i="11"/>
  <c r="O167" i="11"/>
  <c r="O166" i="11"/>
  <c r="O165" i="11"/>
  <c r="O164" i="11"/>
  <c r="O163" i="11"/>
  <c r="O162" i="11"/>
  <c r="O161" i="11"/>
  <c r="O160" i="1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39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18" i="1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11" i="2"/>
  <c r="B6" i="16" l="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J144" i="11"/>
  <c r="I144" i="11"/>
  <c r="J145" i="11"/>
  <c r="I145" i="11"/>
  <c r="J143" i="11"/>
  <c r="J142" i="11"/>
  <c r="I142" i="11"/>
  <c r="J141" i="11"/>
  <c r="I141" i="11"/>
  <c r="J140" i="11"/>
  <c r="I140" i="11"/>
  <c r="J137" i="11"/>
  <c r="J136" i="11"/>
  <c r="J135" i="11"/>
  <c r="I135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D6" i="15"/>
  <c r="G6" i="15"/>
  <c r="B6" i="15"/>
  <c r="K6" i="6"/>
  <c r="L6" i="6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E104" i="4" a="1"/>
  <c r="E104" i="4" s="1"/>
  <c r="E105" i="4" a="1"/>
  <c r="E105" i="4" s="1"/>
  <c r="E106" i="4" a="1"/>
  <c r="E106" i="4" s="1"/>
  <c r="E107" i="4" a="1"/>
  <c r="E107" i="4" s="1"/>
  <c r="E108" i="4" a="1"/>
  <c r="E108" i="4" s="1"/>
  <c r="E109" i="4" a="1"/>
  <c r="E109" i="4" s="1"/>
  <c r="E110" i="4" a="1"/>
  <c r="E110" i="4" s="1"/>
  <c r="E111" i="4" a="1"/>
  <c r="E111" i="4" s="1"/>
  <c r="E112" i="4" a="1"/>
  <c r="E112" i="4" s="1"/>
  <c r="E113" i="4" a="1"/>
  <c r="E113" i="4" s="1"/>
  <c r="E114" i="4" a="1"/>
  <c r="E114" i="4" s="1"/>
  <c r="E115" i="4" a="1"/>
  <c r="E115" i="4" s="1"/>
  <c r="E116" i="4" a="1"/>
  <c r="E116" i="4" s="1"/>
  <c r="E117" i="4" a="1"/>
  <c r="E117" i="4" s="1"/>
  <c r="E118" i="4" a="1"/>
  <c r="E118" i="4" s="1"/>
  <c r="E119" i="4" a="1"/>
  <c r="E119" i="4" s="1"/>
  <c r="E120" i="4" a="1"/>
  <c r="E120" i="4" s="1"/>
  <c r="E121" i="4" a="1"/>
  <c r="E121" i="4" s="1"/>
  <c r="E122" i="4" a="1"/>
  <c r="E122" i="4" s="1"/>
  <c r="E123" i="4" a="1"/>
  <c r="E123" i="4" s="1"/>
  <c r="E124" i="4" a="1"/>
  <c r="E124" i="4" s="1"/>
  <c r="F104" i="4" a="1"/>
  <c r="F104" i="4" s="1"/>
  <c r="F105" i="4" a="1"/>
  <c r="F105" i="4" s="1"/>
  <c r="F106" i="4" a="1"/>
  <c r="F106" i="4" s="1"/>
  <c r="F107" i="4" a="1"/>
  <c r="F107" i="4" s="1"/>
  <c r="F108" i="4" a="1"/>
  <c r="F108" i="4" s="1"/>
  <c r="F109" i="4" a="1"/>
  <c r="F109" i="4" s="1"/>
  <c r="F110" i="4" a="1"/>
  <c r="F110" i="4" s="1"/>
  <c r="F111" i="4" a="1"/>
  <c r="F111" i="4" s="1"/>
  <c r="F112" i="4" a="1"/>
  <c r="F112" i="4" s="1"/>
  <c r="F113" i="4" a="1"/>
  <c r="F113" i="4" s="1"/>
  <c r="F114" i="4" a="1"/>
  <c r="F114" i="4" s="1"/>
  <c r="F115" i="4" a="1"/>
  <c r="F115" i="4" s="1"/>
  <c r="F116" i="4" a="1"/>
  <c r="F116" i="4" s="1"/>
  <c r="F117" i="4" a="1"/>
  <c r="F117" i="4" s="1"/>
  <c r="F118" i="4" a="1"/>
  <c r="F118" i="4" s="1"/>
  <c r="F119" i="4" a="1"/>
  <c r="F119" i="4" s="1"/>
  <c r="F120" i="4" a="1"/>
  <c r="F120" i="4" s="1"/>
  <c r="F121" i="4" a="1"/>
  <c r="F121" i="4" s="1"/>
  <c r="F122" i="4" a="1"/>
  <c r="F122" i="4" s="1"/>
  <c r="F123" i="4" a="1"/>
  <c r="F123" i="4" s="1"/>
  <c r="F124" i="4" a="1"/>
  <c r="F124" i="4" s="1"/>
  <c r="G104" i="4" a="1"/>
  <c r="G104" i="4" s="1"/>
  <c r="G105" i="4" a="1"/>
  <c r="G105" i="4" s="1"/>
  <c r="G106" i="4" a="1"/>
  <c r="G106" i="4" s="1"/>
  <c r="G107" i="4" a="1"/>
  <c r="G107" i="4" s="1"/>
  <c r="G108" i="4" a="1"/>
  <c r="G108" i="4" s="1"/>
  <c r="G109" i="4" a="1"/>
  <c r="G109" i="4" s="1"/>
  <c r="G110" i="4" a="1"/>
  <c r="G110" i="4" s="1"/>
  <c r="G111" i="4" a="1"/>
  <c r="G111" i="4" s="1"/>
  <c r="G112" i="4" a="1"/>
  <c r="G112" i="4" s="1"/>
  <c r="G113" i="4" a="1"/>
  <c r="G113" i="4" s="1"/>
  <c r="G114" i="4" a="1"/>
  <c r="G114" i="4" s="1"/>
  <c r="G115" i="4" a="1"/>
  <c r="G115" i="4" s="1"/>
  <c r="G116" i="4" a="1"/>
  <c r="G116" i="4" s="1"/>
  <c r="G117" i="4" a="1"/>
  <c r="G117" i="4" s="1"/>
  <c r="G118" i="4" a="1"/>
  <c r="G118" i="4" s="1"/>
  <c r="G119" i="4" a="1"/>
  <c r="G119" i="4" s="1"/>
  <c r="G120" i="4" a="1"/>
  <c r="G120" i="4" s="1"/>
  <c r="G121" i="4" a="1"/>
  <c r="G121" i="4" s="1"/>
  <c r="G122" i="4" a="1"/>
  <c r="G122" i="4" s="1"/>
  <c r="G123" i="4" a="1"/>
  <c r="G123" i="4" s="1"/>
  <c r="G124" i="4" a="1"/>
  <c r="G124" i="4" s="1"/>
  <c r="H104" i="4" a="1"/>
  <c r="H104" i="4" s="1"/>
  <c r="H105" i="4" a="1"/>
  <c r="H105" i="4" s="1"/>
  <c r="H106" i="4" a="1"/>
  <c r="H106" i="4" s="1"/>
  <c r="H107" i="4" a="1"/>
  <c r="H107" i="4" s="1"/>
  <c r="H108" i="4" a="1"/>
  <c r="H108" i="4" s="1"/>
  <c r="H109" i="4" a="1"/>
  <c r="H109" i="4" s="1"/>
  <c r="H110" i="4" a="1"/>
  <c r="H110" i="4" s="1"/>
  <c r="H111" i="4" a="1"/>
  <c r="H111" i="4" s="1"/>
  <c r="H112" i="4" a="1"/>
  <c r="H112" i="4" s="1"/>
  <c r="H113" i="4" a="1"/>
  <c r="H113" i="4" s="1"/>
  <c r="H114" i="4" a="1"/>
  <c r="H114" i="4" s="1"/>
  <c r="H115" i="4" a="1"/>
  <c r="H115" i="4" s="1"/>
  <c r="H116" i="4" a="1"/>
  <c r="H116" i="4" s="1"/>
  <c r="H117" i="4" a="1"/>
  <c r="H117" i="4" s="1"/>
  <c r="H118" i="4" a="1"/>
  <c r="H118" i="4" s="1"/>
  <c r="H119" i="4" a="1"/>
  <c r="H119" i="4" s="1"/>
  <c r="H120" i="4" a="1"/>
  <c r="H120" i="4" s="1"/>
  <c r="H121" i="4" a="1"/>
  <c r="H121" i="4" s="1"/>
  <c r="H122" i="4" a="1"/>
  <c r="H122" i="4" s="1"/>
  <c r="H123" i="4" a="1"/>
  <c r="H123" i="4" s="1"/>
  <c r="H124" i="4" a="1"/>
  <c r="H124" i="4" s="1"/>
  <c r="I104" i="4" a="1"/>
  <c r="I104" i="4" s="1"/>
  <c r="I105" i="4" a="1"/>
  <c r="I105" i="4" s="1"/>
  <c r="I106" i="4" a="1"/>
  <c r="I106" i="4" s="1"/>
  <c r="I107" i="4" a="1"/>
  <c r="I107" i="4" s="1"/>
  <c r="I108" i="4" a="1"/>
  <c r="I108" i="4" s="1"/>
  <c r="I109" i="4" a="1"/>
  <c r="I109" i="4" s="1"/>
  <c r="I110" i="4" a="1"/>
  <c r="I110" i="4" s="1"/>
  <c r="I111" i="4" a="1"/>
  <c r="I111" i="4" s="1"/>
  <c r="I112" i="4" a="1"/>
  <c r="I112" i="4" s="1"/>
  <c r="I113" i="4" a="1"/>
  <c r="I113" i="4" s="1"/>
  <c r="I114" i="4" a="1"/>
  <c r="I114" i="4" s="1"/>
  <c r="I115" i="4" a="1"/>
  <c r="I115" i="4" s="1"/>
  <c r="I116" i="4" a="1"/>
  <c r="I116" i="4" s="1"/>
  <c r="I117" i="4" a="1"/>
  <c r="I117" i="4" s="1"/>
  <c r="I118" i="4" a="1"/>
  <c r="I118" i="4" s="1"/>
  <c r="I119" i="4" a="1"/>
  <c r="I119" i="4" s="1"/>
  <c r="I120" i="4" a="1"/>
  <c r="I120" i="4" s="1"/>
  <c r="I121" i="4" a="1"/>
  <c r="I121" i="4" s="1"/>
  <c r="I122" i="4" a="1"/>
  <c r="I122" i="4" s="1"/>
  <c r="I123" i="4" a="1"/>
  <c r="I123" i="4" s="1"/>
  <c r="I124" i="4" a="1"/>
  <c r="I124" i="4" s="1"/>
  <c r="J104" i="4" a="1"/>
  <c r="J104" i="4" s="1"/>
  <c r="J105" i="4" a="1"/>
  <c r="J105" i="4" s="1"/>
  <c r="J106" i="4" a="1"/>
  <c r="J106" i="4" s="1"/>
  <c r="J107" i="4" a="1"/>
  <c r="J107" i="4" s="1"/>
  <c r="J108" i="4" a="1"/>
  <c r="J108" i="4" s="1"/>
  <c r="J109" i="4" a="1"/>
  <c r="J109" i="4" s="1"/>
  <c r="J110" i="4" a="1"/>
  <c r="J110" i="4" s="1"/>
  <c r="J111" i="4" a="1"/>
  <c r="J111" i="4" s="1"/>
  <c r="J112" i="4" a="1"/>
  <c r="J112" i="4" s="1"/>
  <c r="J113" i="4" a="1"/>
  <c r="J113" i="4" s="1"/>
  <c r="J114" i="4" a="1"/>
  <c r="J114" i="4" s="1"/>
  <c r="J115" i="4" a="1"/>
  <c r="J115" i="4" s="1"/>
  <c r="J116" i="4" a="1"/>
  <c r="J116" i="4" s="1"/>
  <c r="J117" i="4" a="1"/>
  <c r="J117" i="4" s="1"/>
  <c r="J118" i="4" a="1"/>
  <c r="J118" i="4" s="1"/>
  <c r="J119" i="4" a="1"/>
  <c r="J119" i="4" s="1"/>
  <c r="J120" i="4" a="1"/>
  <c r="J120" i="4" s="1"/>
  <c r="J121" i="4" a="1"/>
  <c r="J121" i="4" s="1"/>
  <c r="J122" i="4" a="1"/>
  <c r="J122" i="4" s="1"/>
  <c r="J123" i="4" a="1"/>
  <c r="J123" i="4" s="1"/>
  <c r="J124" i="4" a="1"/>
  <c r="J124" i="4" s="1"/>
  <c r="K104" i="4" a="1"/>
  <c r="K104" i="4" s="1"/>
  <c r="K105" i="4" a="1"/>
  <c r="K105" i="4" s="1"/>
  <c r="K106" i="4" a="1"/>
  <c r="K106" i="4" s="1"/>
  <c r="K107" i="4" a="1"/>
  <c r="K107" i="4" s="1"/>
  <c r="K108" i="4" a="1"/>
  <c r="K108" i="4" s="1"/>
  <c r="K109" i="4" a="1"/>
  <c r="K109" i="4" s="1"/>
  <c r="K110" i="4" a="1"/>
  <c r="K110" i="4" s="1"/>
  <c r="K111" i="4" a="1"/>
  <c r="K111" i="4" s="1"/>
  <c r="K112" i="4" a="1"/>
  <c r="K112" i="4" s="1"/>
  <c r="K113" i="4" a="1"/>
  <c r="K113" i="4" s="1"/>
  <c r="K114" i="4" a="1"/>
  <c r="K114" i="4" s="1"/>
  <c r="K115" i="4" a="1"/>
  <c r="K115" i="4" s="1"/>
  <c r="K116" i="4" a="1"/>
  <c r="K116" i="4" s="1"/>
  <c r="K117" i="4" a="1"/>
  <c r="K117" i="4" s="1"/>
  <c r="K118" i="4" a="1"/>
  <c r="K118" i="4" s="1"/>
  <c r="K119" i="4" a="1"/>
  <c r="K119" i="4" s="1"/>
  <c r="K120" i="4" a="1"/>
  <c r="K120" i="4" s="1"/>
  <c r="K121" i="4" a="1"/>
  <c r="K121" i="4" s="1"/>
  <c r="K122" i="4" a="1"/>
  <c r="K122" i="4" s="1"/>
  <c r="K123" i="4" a="1"/>
  <c r="K123" i="4" s="1"/>
  <c r="K124" i="4" a="1"/>
  <c r="K124" i="4" s="1"/>
  <c r="L104" i="4" a="1"/>
  <c r="L104" i="4" s="1"/>
  <c r="L105" i="4" a="1"/>
  <c r="L105" i="4" s="1"/>
  <c r="L106" i="4" a="1"/>
  <c r="L106" i="4" s="1"/>
  <c r="L107" i="4" a="1"/>
  <c r="L107" i="4" s="1"/>
  <c r="L108" i="4" a="1"/>
  <c r="L108" i="4" s="1"/>
  <c r="L109" i="4" a="1"/>
  <c r="L109" i="4" s="1"/>
  <c r="L110" i="4" a="1"/>
  <c r="L110" i="4" s="1"/>
  <c r="L111" i="4" a="1"/>
  <c r="L111" i="4" s="1"/>
  <c r="L112" i="4" a="1"/>
  <c r="L112" i="4" s="1"/>
  <c r="L113" i="4" a="1"/>
  <c r="L113" i="4" s="1"/>
  <c r="L114" i="4" a="1"/>
  <c r="L114" i="4" s="1"/>
  <c r="L115" i="4" a="1"/>
  <c r="L115" i="4" s="1"/>
  <c r="L116" i="4" a="1"/>
  <c r="L116" i="4" s="1"/>
  <c r="L117" i="4" a="1"/>
  <c r="L117" i="4" s="1"/>
  <c r="L118" i="4" a="1"/>
  <c r="L118" i="4" s="1"/>
  <c r="L119" i="4" a="1"/>
  <c r="L119" i="4" s="1"/>
  <c r="L120" i="4" a="1"/>
  <c r="L120" i="4" s="1"/>
  <c r="L121" i="4" a="1"/>
  <c r="L121" i="4" s="1"/>
  <c r="L122" i="4" a="1"/>
  <c r="L122" i="4" s="1"/>
  <c r="L123" i="4" a="1"/>
  <c r="L123" i="4" s="1"/>
  <c r="L124" i="4" a="1"/>
  <c r="L124" i="4" s="1"/>
  <c r="M104" i="4" a="1"/>
  <c r="M104" i="4" s="1"/>
  <c r="M105" i="4" a="1"/>
  <c r="M105" i="4" s="1"/>
  <c r="M106" i="4" a="1"/>
  <c r="M106" i="4" s="1"/>
  <c r="M107" i="4" a="1"/>
  <c r="M107" i="4" s="1"/>
  <c r="M108" i="4" a="1"/>
  <c r="M108" i="4" s="1"/>
  <c r="M109" i="4" a="1"/>
  <c r="M109" i="4" s="1"/>
  <c r="M110" i="4" a="1"/>
  <c r="M110" i="4" s="1"/>
  <c r="M111" i="4" a="1"/>
  <c r="M111" i="4" s="1"/>
  <c r="M112" i="4" a="1"/>
  <c r="M112" i="4" s="1"/>
  <c r="M113" i="4" a="1"/>
  <c r="M113" i="4" s="1"/>
  <c r="M114" i="4" a="1"/>
  <c r="M114" i="4" s="1"/>
  <c r="M115" i="4" a="1"/>
  <c r="M115" i="4" s="1"/>
  <c r="M116" i="4" a="1"/>
  <c r="M116" i="4" s="1"/>
  <c r="M117" i="4" a="1"/>
  <c r="M117" i="4" s="1"/>
  <c r="M118" i="4" a="1"/>
  <c r="M118" i="4" s="1"/>
  <c r="M119" i="4" a="1"/>
  <c r="M119" i="4" s="1"/>
  <c r="M120" i="4" a="1"/>
  <c r="M120" i="4" s="1"/>
  <c r="M121" i="4" a="1"/>
  <c r="M121" i="4" s="1"/>
  <c r="M122" i="4" a="1"/>
  <c r="M122" i="4" s="1"/>
  <c r="M123" i="4" a="1"/>
  <c r="M123" i="4" s="1"/>
  <c r="M124" i="4" a="1"/>
  <c r="M124" i="4" s="1"/>
  <c r="Q104" i="4" a="1"/>
  <c r="Q104" i="4" s="1"/>
  <c r="Q105" i="4" a="1"/>
  <c r="Q105" i="4" s="1"/>
  <c r="Q106" i="4" a="1"/>
  <c r="Q106" i="4" s="1"/>
  <c r="Q107" i="4" a="1"/>
  <c r="Q107" i="4" s="1"/>
  <c r="Q108" i="4" a="1"/>
  <c r="Q108" i="4" s="1"/>
  <c r="Q109" i="4" a="1"/>
  <c r="Q109" i="4" s="1"/>
  <c r="Q110" i="4" a="1"/>
  <c r="Q110" i="4" s="1"/>
  <c r="Q111" i="4" a="1"/>
  <c r="Q111" i="4" s="1"/>
  <c r="Q112" i="4" a="1"/>
  <c r="Q112" i="4" s="1"/>
  <c r="Q113" i="4" a="1"/>
  <c r="Q113" i="4" s="1"/>
  <c r="Q114" i="4" a="1"/>
  <c r="Q114" i="4" s="1"/>
  <c r="Q115" i="4" a="1"/>
  <c r="Q115" i="4" s="1"/>
  <c r="Q116" i="4" a="1"/>
  <c r="Q116" i="4" s="1"/>
  <c r="Q117" i="4" a="1"/>
  <c r="Q117" i="4" s="1"/>
  <c r="Q118" i="4" a="1"/>
  <c r="Q118" i="4" s="1"/>
  <c r="Q119" i="4" a="1"/>
  <c r="Q119" i="4" s="1"/>
  <c r="Q120" i="4" a="1"/>
  <c r="Q120" i="4" s="1"/>
  <c r="Q121" i="4" a="1"/>
  <c r="Q121" i="4" s="1"/>
  <c r="Q122" i="4" a="1"/>
  <c r="Q122" i="4" s="1"/>
  <c r="Q123" i="4" a="1"/>
  <c r="Q123" i="4" s="1"/>
  <c r="Q124" i="4" a="1"/>
  <c r="Q124" i="4" s="1"/>
  <c r="R104" i="4" a="1"/>
  <c r="R104" i="4" s="1"/>
  <c r="R105" i="4" a="1"/>
  <c r="R105" i="4" s="1"/>
  <c r="R106" i="4" a="1"/>
  <c r="R106" i="4" s="1"/>
  <c r="R107" i="4" a="1"/>
  <c r="R107" i="4" s="1"/>
  <c r="R108" i="4" a="1"/>
  <c r="R108" i="4" s="1"/>
  <c r="R109" i="4" a="1"/>
  <c r="R109" i="4" s="1"/>
  <c r="R110" i="4" a="1"/>
  <c r="R110" i="4" s="1"/>
  <c r="R111" i="4" a="1"/>
  <c r="R111" i="4" s="1"/>
  <c r="R112" i="4" a="1"/>
  <c r="R112" i="4" s="1"/>
  <c r="R113" i="4" a="1"/>
  <c r="R113" i="4" s="1"/>
  <c r="R114" i="4" a="1"/>
  <c r="R114" i="4" s="1"/>
  <c r="R115" i="4" a="1"/>
  <c r="R115" i="4" s="1"/>
  <c r="R116" i="4" a="1"/>
  <c r="R116" i="4" s="1"/>
  <c r="R117" i="4" a="1"/>
  <c r="R117" i="4" s="1"/>
  <c r="R118" i="4" a="1"/>
  <c r="R118" i="4" s="1"/>
  <c r="R119" i="4" a="1"/>
  <c r="R119" i="4" s="1"/>
  <c r="R120" i="4" a="1"/>
  <c r="R120" i="4" s="1"/>
  <c r="R121" i="4" a="1"/>
  <c r="R121" i="4" s="1"/>
  <c r="R122" i="4" a="1"/>
  <c r="R122" i="4" s="1"/>
  <c r="R123" i="4" a="1"/>
  <c r="R123" i="4" s="1"/>
  <c r="R124" i="4" a="1"/>
  <c r="R124" i="4" s="1"/>
  <c r="S104" i="4" a="1"/>
  <c r="S104" i="4" s="1"/>
  <c r="S105" i="4" a="1"/>
  <c r="S105" i="4" s="1"/>
  <c r="S106" i="4" a="1"/>
  <c r="S106" i="4" s="1"/>
  <c r="S107" i="4" a="1"/>
  <c r="S107" i="4" s="1"/>
  <c r="S108" i="4" a="1"/>
  <c r="S108" i="4" s="1"/>
  <c r="S109" i="4" a="1"/>
  <c r="S109" i="4" s="1"/>
  <c r="S110" i="4" a="1"/>
  <c r="S110" i="4" s="1"/>
  <c r="S111" i="4" a="1"/>
  <c r="S111" i="4" s="1"/>
  <c r="S112" i="4" a="1"/>
  <c r="S112" i="4" s="1"/>
  <c r="S113" i="4" a="1"/>
  <c r="S113" i="4" s="1"/>
  <c r="S114" i="4" a="1"/>
  <c r="S114" i="4" s="1"/>
  <c r="S115" i="4" a="1"/>
  <c r="S115" i="4" s="1"/>
  <c r="S116" i="4" a="1"/>
  <c r="S116" i="4" s="1"/>
  <c r="S117" i="4" a="1"/>
  <c r="S117" i="4" s="1"/>
  <c r="S118" i="4" a="1"/>
  <c r="S118" i="4" s="1"/>
  <c r="S119" i="4" a="1"/>
  <c r="S119" i="4" s="1"/>
  <c r="S120" i="4" a="1"/>
  <c r="S120" i="4" s="1"/>
  <c r="S121" i="4" a="1"/>
  <c r="S121" i="4" s="1"/>
  <c r="S122" i="4" a="1"/>
  <c r="S122" i="4" s="1"/>
  <c r="S123" i="4" a="1"/>
  <c r="S123" i="4" s="1"/>
  <c r="S124" i="4" a="1"/>
  <c r="S124" i="4" s="1"/>
  <c r="T104" i="4" a="1"/>
  <c r="T104" i="4" s="1"/>
  <c r="T105" i="4" a="1"/>
  <c r="T105" i="4" s="1"/>
  <c r="T106" i="4" a="1"/>
  <c r="T106" i="4" s="1"/>
  <c r="T107" i="4" a="1"/>
  <c r="T107" i="4" s="1"/>
  <c r="T108" i="4" a="1"/>
  <c r="T108" i="4" s="1"/>
  <c r="T109" i="4" a="1"/>
  <c r="T109" i="4" s="1"/>
  <c r="T110" i="4" a="1"/>
  <c r="T110" i="4" s="1"/>
  <c r="T111" i="4" a="1"/>
  <c r="T111" i="4" s="1"/>
  <c r="T112" i="4" a="1"/>
  <c r="T112" i="4" s="1"/>
  <c r="T113" i="4" a="1"/>
  <c r="T113" i="4" s="1"/>
  <c r="T114" i="4" a="1"/>
  <c r="T114" i="4" s="1"/>
  <c r="T115" i="4" a="1"/>
  <c r="T115" i="4" s="1"/>
  <c r="T116" i="4" a="1"/>
  <c r="T116" i="4" s="1"/>
  <c r="T117" i="4" a="1"/>
  <c r="T117" i="4" s="1"/>
  <c r="T118" i="4" a="1"/>
  <c r="T118" i="4" s="1"/>
  <c r="T119" i="4" a="1"/>
  <c r="T119" i="4" s="1"/>
  <c r="T120" i="4" a="1"/>
  <c r="T120" i="4" s="1"/>
  <c r="T121" i="4" a="1"/>
  <c r="T121" i="4" s="1"/>
  <c r="T122" i="4" a="1"/>
  <c r="T122" i="4" s="1"/>
  <c r="T123" i="4" a="1"/>
  <c r="T123" i="4" s="1"/>
  <c r="T124" i="4" a="1"/>
  <c r="T124" i="4" s="1"/>
  <c r="U104" i="4" a="1"/>
  <c r="U104" i="4" s="1"/>
  <c r="U105" i="4" a="1"/>
  <c r="U105" i="4" s="1"/>
  <c r="U106" i="4" a="1"/>
  <c r="U106" i="4" s="1"/>
  <c r="U107" i="4" a="1"/>
  <c r="U107" i="4" s="1"/>
  <c r="U108" i="4" a="1"/>
  <c r="U108" i="4" s="1"/>
  <c r="U109" i="4" a="1"/>
  <c r="U109" i="4" s="1"/>
  <c r="U110" i="4" a="1"/>
  <c r="U110" i="4" s="1"/>
  <c r="U111" i="4" a="1"/>
  <c r="U111" i="4" s="1"/>
  <c r="U112" i="4" a="1"/>
  <c r="U112" i="4" s="1"/>
  <c r="U113" i="4" a="1"/>
  <c r="U113" i="4" s="1"/>
  <c r="U114" i="4" a="1"/>
  <c r="U114" i="4" s="1"/>
  <c r="U115" i="4" a="1"/>
  <c r="U115" i="4" s="1"/>
  <c r="U116" i="4" a="1"/>
  <c r="U116" i="4" s="1"/>
  <c r="U117" i="4" a="1"/>
  <c r="U117" i="4" s="1"/>
  <c r="U118" i="4" a="1"/>
  <c r="U118" i="4" s="1"/>
  <c r="U119" i="4" a="1"/>
  <c r="U119" i="4" s="1"/>
  <c r="U120" i="4" a="1"/>
  <c r="U120" i="4" s="1"/>
  <c r="U121" i="4" a="1"/>
  <c r="U121" i="4" s="1"/>
  <c r="U122" i="4" a="1"/>
  <c r="U122" i="4" s="1"/>
  <c r="U123" i="4" a="1"/>
  <c r="U123" i="4" s="1"/>
  <c r="U124" i="4" a="1"/>
  <c r="U124" i="4" s="1"/>
  <c r="V104" i="4" a="1"/>
  <c r="V104" i="4" s="1"/>
  <c r="V105" i="4" a="1"/>
  <c r="V105" i="4" s="1"/>
  <c r="V106" i="4" a="1"/>
  <c r="V106" i="4" s="1"/>
  <c r="V107" i="4" a="1"/>
  <c r="V107" i="4" s="1"/>
  <c r="V108" i="4" a="1"/>
  <c r="V108" i="4" s="1"/>
  <c r="V109" i="4" a="1"/>
  <c r="V109" i="4" s="1"/>
  <c r="V110" i="4" a="1"/>
  <c r="V110" i="4" s="1"/>
  <c r="V111" i="4" a="1"/>
  <c r="V111" i="4" s="1"/>
  <c r="V112" i="4" a="1"/>
  <c r="V112" i="4" s="1"/>
  <c r="V113" i="4" a="1"/>
  <c r="V113" i="4" s="1"/>
  <c r="V114" i="4" a="1"/>
  <c r="V114" i="4" s="1"/>
  <c r="V115" i="4" a="1"/>
  <c r="V115" i="4" s="1"/>
  <c r="V116" i="4" a="1"/>
  <c r="V116" i="4" s="1"/>
  <c r="V117" i="4" a="1"/>
  <c r="V117" i="4" s="1"/>
  <c r="V118" i="4" a="1"/>
  <c r="V118" i="4" s="1"/>
  <c r="V119" i="4" a="1"/>
  <c r="V119" i="4" s="1"/>
  <c r="V120" i="4" a="1"/>
  <c r="V120" i="4" s="1"/>
  <c r="V121" i="4" a="1"/>
  <c r="V121" i="4" s="1"/>
  <c r="V122" i="4" a="1"/>
  <c r="V122" i="4" s="1"/>
  <c r="V123" i="4" a="1"/>
  <c r="V123" i="4" s="1"/>
  <c r="V124" i="4" a="1"/>
  <c r="V124" i="4" s="1"/>
  <c r="W104" i="4" a="1"/>
  <c r="W104" i="4" s="1"/>
  <c r="W105" i="4" a="1"/>
  <c r="W105" i="4" s="1"/>
  <c r="W106" i="4" a="1"/>
  <c r="W106" i="4" s="1"/>
  <c r="W107" i="4" a="1"/>
  <c r="W107" i="4" s="1"/>
  <c r="W108" i="4" a="1"/>
  <c r="W108" i="4" s="1"/>
  <c r="W109" i="4" a="1"/>
  <c r="W109" i="4" s="1"/>
  <c r="W110" i="4" a="1"/>
  <c r="W110" i="4" s="1"/>
  <c r="W111" i="4" a="1"/>
  <c r="W111" i="4" s="1"/>
  <c r="W112" i="4" a="1"/>
  <c r="W112" i="4" s="1"/>
  <c r="W113" i="4" a="1"/>
  <c r="W113" i="4" s="1"/>
  <c r="W114" i="4" a="1"/>
  <c r="W114" i="4" s="1"/>
  <c r="W115" i="4" a="1"/>
  <c r="W115" i="4" s="1"/>
  <c r="W116" i="4" a="1"/>
  <c r="W116" i="4" s="1"/>
  <c r="W117" i="4" a="1"/>
  <c r="W117" i="4" s="1"/>
  <c r="W118" i="4" a="1"/>
  <c r="W118" i="4" s="1"/>
  <c r="W119" i="4" a="1"/>
  <c r="W119" i="4" s="1"/>
  <c r="W120" i="4" a="1"/>
  <c r="W120" i="4" s="1"/>
  <c r="W121" i="4" a="1"/>
  <c r="W121" i="4" s="1"/>
  <c r="W122" i="4" a="1"/>
  <c r="W122" i="4" s="1"/>
  <c r="W123" i="4" a="1"/>
  <c r="W123" i="4" s="1"/>
  <c r="W124" i="4" a="1"/>
  <c r="W124" i="4" s="1"/>
  <c r="X104" i="4" a="1"/>
  <c r="X104" i="4" s="1"/>
  <c r="X105" i="4" a="1"/>
  <c r="X105" i="4" s="1"/>
  <c r="X106" i="4" a="1"/>
  <c r="X106" i="4" s="1"/>
  <c r="X107" i="4" a="1"/>
  <c r="X107" i="4" s="1"/>
  <c r="X108" i="4" a="1"/>
  <c r="X108" i="4" s="1"/>
  <c r="X109" i="4" a="1"/>
  <c r="X109" i="4" s="1"/>
  <c r="X110" i="4" a="1"/>
  <c r="X110" i="4" s="1"/>
  <c r="X111" i="4" a="1"/>
  <c r="X111" i="4" s="1"/>
  <c r="X112" i="4" a="1"/>
  <c r="X112" i="4" s="1"/>
  <c r="X113" i="4" a="1"/>
  <c r="X113" i="4" s="1"/>
  <c r="X114" i="4" a="1"/>
  <c r="X114" i="4" s="1"/>
  <c r="X115" i="4" a="1"/>
  <c r="X115" i="4" s="1"/>
  <c r="X116" i="4" a="1"/>
  <c r="X116" i="4" s="1"/>
  <c r="X117" i="4" a="1"/>
  <c r="X117" i="4" s="1"/>
  <c r="X118" i="4" a="1"/>
  <c r="X118" i="4" s="1"/>
  <c r="X119" i="4" a="1"/>
  <c r="X119" i="4" s="1"/>
  <c r="X120" i="4" a="1"/>
  <c r="X120" i="4" s="1"/>
  <c r="X121" i="4" a="1"/>
  <c r="X121" i="4" s="1"/>
  <c r="X122" i="4" a="1"/>
  <c r="X122" i="4" s="1"/>
  <c r="X123" i="4" a="1"/>
  <c r="X123" i="4" s="1"/>
  <c r="X124" i="4" a="1"/>
  <c r="X124" i="4" s="1"/>
  <c r="Y104" i="4" a="1"/>
  <c r="Y104" i="4" s="1"/>
  <c r="Y105" i="4" a="1"/>
  <c r="Y105" i="4" s="1"/>
  <c r="Y106" i="4" a="1"/>
  <c r="Y106" i="4" s="1"/>
  <c r="Y107" i="4" a="1"/>
  <c r="Y107" i="4" s="1"/>
  <c r="Y108" i="4" a="1"/>
  <c r="Y108" i="4" s="1"/>
  <c r="Y109" i="4" a="1"/>
  <c r="Y109" i="4" s="1"/>
  <c r="Y110" i="4" a="1"/>
  <c r="Y110" i="4" s="1"/>
  <c r="Y111" i="4" a="1"/>
  <c r="Y111" i="4" s="1"/>
  <c r="Y112" i="4" a="1"/>
  <c r="Y112" i="4" s="1"/>
  <c r="Y113" i="4" a="1"/>
  <c r="Y113" i="4" s="1"/>
  <c r="Y114" i="4" a="1"/>
  <c r="Y114" i="4" s="1"/>
  <c r="Y115" i="4" a="1"/>
  <c r="Y115" i="4" s="1"/>
  <c r="Y116" i="4" a="1"/>
  <c r="Y116" i="4" s="1"/>
  <c r="Y117" i="4" a="1"/>
  <c r="Y117" i="4" s="1"/>
  <c r="Y118" i="4" a="1"/>
  <c r="Y118" i="4" s="1"/>
  <c r="Y119" i="4" a="1"/>
  <c r="Y119" i="4" s="1"/>
  <c r="Y120" i="4" a="1"/>
  <c r="Y120" i="4" s="1"/>
  <c r="Y121" i="4" a="1"/>
  <c r="Y121" i="4" s="1"/>
  <c r="Y122" i="4" a="1"/>
  <c r="Y122" i="4" s="1"/>
  <c r="Y123" i="4" a="1"/>
  <c r="Y123" i="4" s="1"/>
  <c r="Y124" i="4" a="1"/>
  <c r="Y124" i="4" s="1"/>
  <c r="Z104" i="4" a="1"/>
  <c r="Z104" i="4" s="1"/>
  <c r="Z105" i="4" a="1"/>
  <c r="Z105" i="4" s="1"/>
  <c r="Z106" i="4" a="1"/>
  <c r="Z106" i="4" s="1"/>
  <c r="Z107" i="4" a="1"/>
  <c r="Z107" i="4" s="1"/>
  <c r="Z108" i="4" a="1"/>
  <c r="Z108" i="4" s="1"/>
  <c r="Z109" i="4" a="1"/>
  <c r="Z109" i="4" s="1"/>
  <c r="Z110" i="4" a="1"/>
  <c r="Z110" i="4" s="1"/>
  <c r="Z111" i="4" a="1"/>
  <c r="Z111" i="4" s="1"/>
  <c r="Z112" i="4" a="1"/>
  <c r="Z112" i="4" s="1"/>
  <c r="Z113" i="4" a="1"/>
  <c r="Z113" i="4" s="1"/>
  <c r="Z114" i="4" a="1"/>
  <c r="Z114" i="4" s="1"/>
  <c r="Z115" i="4" a="1"/>
  <c r="Z115" i="4" s="1"/>
  <c r="Z116" i="4" a="1"/>
  <c r="Z116" i="4" s="1"/>
  <c r="Z117" i="4" a="1"/>
  <c r="Z117" i="4" s="1"/>
  <c r="Z118" i="4" a="1"/>
  <c r="Z118" i="4" s="1"/>
  <c r="Z119" i="4" a="1"/>
  <c r="Z119" i="4" s="1"/>
  <c r="Z120" i="4" a="1"/>
  <c r="Z120" i="4" s="1"/>
  <c r="Z121" i="4" a="1"/>
  <c r="Z121" i="4" s="1"/>
  <c r="Z122" i="4" a="1"/>
  <c r="Z122" i="4" s="1"/>
  <c r="Z123" i="4" a="1"/>
  <c r="Z123" i="4" s="1"/>
  <c r="Z124" i="4" a="1"/>
  <c r="Z124" i="4" s="1"/>
  <c r="C103" i="4"/>
  <c r="D103" i="4"/>
  <c r="E103" i="4" a="1"/>
  <c r="E103" i="4" s="1"/>
  <c r="F103" i="4" a="1"/>
  <c r="F103" i="4" s="1"/>
  <c r="G103" i="4" a="1"/>
  <c r="G103" i="4" s="1"/>
  <c r="H103" i="4" a="1"/>
  <c r="H103" i="4" s="1"/>
  <c r="I103" i="4" a="1"/>
  <c r="I103" i="4" s="1"/>
  <c r="J103" i="4" a="1"/>
  <c r="J103" i="4" s="1"/>
  <c r="K103" i="4" a="1"/>
  <c r="K103" i="4" s="1"/>
  <c r="L103" i="4" a="1"/>
  <c r="L103" i="4" s="1"/>
  <c r="M103" i="4" a="1"/>
  <c r="M103" i="4" s="1"/>
  <c r="Q103" i="4" a="1"/>
  <c r="Q103" i="4" s="1"/>
  <c r="R103" i="4" a="1"/>
  <c r="R103" i="4" s="1"/>
  <c r="S103" i="4" a="1"/>
  <c r="S103" i="4" s="1"/>
  <c r="T103" i="4" a="1"/>
  <c r="T103" i="4" s="1"/>
  <c r="U103" i="4" a="1"/>
  <c r="U103" i="4" s="1"/>
  <c r="V103" i="4" a="1"/>
  <c r="V103" i="4" s="1"/>
  <c r="W103" i="4" a="1"/>
  <c r="W103" i="4" s="1"/>
  <c r="X103" i="4" a="1"/>
  <c r="X103" i="4" s="1"/>
  <c r="Y103" i="4" a="1"/>
  <c r="Y103" i="4" s="1"/>
  <c r="Z103" i="4" a="1"/>
  <c r="Z103" i="4" s="1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558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494" i="2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199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77" i="1"/>
  <c r="N117" i="4" l="1"/>
  <c r="O104" i="4"/>
  <c r="O122" i="4"/>
  <c r="N111" i="4"/>
  <c r="O114" i="4"/>
  <c r="O120" i="4"/>
  <c r="O116" i="4"/>
  <c r="O106" i="4"/>
  <c r="O112" i="4"/>
  <c r="N115" i="4"/>
  <c r="N109" i="4"/>
  <c r="N105" i="4"/>
  <c r="I6" i="15"/>
  <c r="K6" i="15" s="1"/>
  <c r="N119" i="4"/>
  <c r="O108" i="4"/>
  <c r="O118" i="4"/>
  <c r="N107" i="4"/>
  <c r="AA105" i="4"/>
  <c r="N121" i="4"/>
  <c r="O110" i="4"/>
  <c r="O124" i="4"/>
  <c r="N113" i="4"/>
  <c r="N123" i="4"/>
  <c r="AA122" i="4"/>
  <c r="AA114" i="4"/>
  <c r="AA106" i="4"/>
  <c r="AA124" i="4"/>
  <c r="AA119" i="4"/>
  <c r="AA116" i="4"/>
  <c r="AA111" i="4"/>
  <c r="AA108" i="4"/>
  <c r="AA104" i="4"/>
  <c r="O123" i="4"/>
  <c r="N112" i="4"/>
  <c r="O119" i="4"/>
  <c r="O105" i="4"/>
  <c r="N122" i="4"/>
  <c r="P122" i="4" s="1"/>
  <c r="N108" i="4"/>
  <c r="AA121" i="4"/>
  <c r="AA113" i="4"/>
  <c r="O115" i="4"/>
  <c r="N104" i="4"/>
  <c r="P104" i="4" s="1"/>
  <c r="O111" i="4"/>
  <c r="P111" i="4" s="1"/>
  <c r="N118" i="4"/>
  <c r="N114" i="4"/>
  <c r="AA118" i="4"/>
  <c r="AA110" i="4"/>
  <c r="AA107" i="4"/>
  <c r="AA123" i="4"/>
  <c r="AA120" i="4"/>
  <c r="AA115" i="4"/>
  <c r="AA112" i="4"/>
  <c r="O107" i="4"/>
  <c r="O121" i="4"/>
  <c r="P121" i="4" s="1"/>
  <c r="O117" i="4"/>
  <c r="P117" i="4" s="1"/>
  <c r="N124" i="4"/>
  <c r="N110" i="4"/>
  <c r="N106" i="4"/>
  <c r="P106" i="4" s="1"/>
  <c r="AA117" i="4"/>
  <c r="AA109" i="4"/>
  <c r="N120" i="4"/>
  <c r="O113" i="4"/>
  <c r="O109" i="4"/>
  <c r="N116" i="4"/>
  <c r="N103" i="4"/>
  <c r="AA103" i="4"/>
  <c r="O103" i="4"/>
  <c r="O52" i="11"/>
  <c r="P118" i="4" l="1"/>
  <c r="P105" i="4"/>
  <c r="P123" i="4"/>
  <c r="P108" i="4"/>
  <c r="P119" i="4"/>
  <c r="P116" i="4"/>
  <c r="P109" i="4"/>
  <c r="P113" i="4"/>
  <c r="P120" i="4"/>
  <c r="P110" i="4"/>
  <c r="P107" i="4"/>
  <c r="P114" i="4"/>
  <c r="P115" i="4"/>
  <c r="P112" i="4"/>
  <c r="P103" i="4"/>
  <c r="P124" i="4"/>
  <c r="O106" i="11"/>
  <c r="O107" i="11"/>
  <c r="O105" i="11"/>
  <c r="O96" i="11"/>
  <c r="O97" i="11"/>
  <c r="O98" i="11"/>
  <c r="O99" i="11"/>
  <c r="O100" i="11"/>
  <c r="O101" i="11"/>
  <c r="O102" i="11"/>
  <c r="O103" i="11"/>
  <c r="O104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59" i="11"/>
  <c r="O60" i="11"/>
  <c r="O61" i="11"/>
  <c r="O62" i="11"/>
  <c r="O63" i="11"/>
  <c r="O64" i="11"/>
  <c r="O65" i="11"/>
  <c r="O66" i="11"/>
  <c r="O67" i="11"/>
  <c r="O68" i="11"/>
  <c r="O69" i="11"/>
  <c r="O58" i="11"/>
  <c r="R2" i="4" a="1"/>
  <c r="R2" i="4" s="1"/>
  <c r="R3" i="4" a="1"/>
  <c r="R3" i="4" s="1"/>
  <c r="R4" i="4" a="1"/>
  <c r="R4" i="4" s="1"/>
  <c r="R5" i="4" a="1"/>
  <c r="R5" i="4" s="1"/>
  <c r="R6" i="4" a="1"/>
  <c r="R6" i="4" s="1"/>
  <c r="R7" i="4" a="1"/>
  <c r="R7" i="4" s="1"/>
  <c r="R8" i="4" a="1"/>
  <c r="R8" i="4" s="1"/>
  <c r="R9" i="4" a="1"/>
  <c r="R9" i="4" s="1"/>
  <c r="R10" i="4" a="1"/>
  <c r="R10" i="4" s="1"/>
  <c r="R11" i="4" a="1"/>
  <c r="R11" i="4" s="1"/>
  <c r="R12" i="4" a="1"/>
  <c r="R12" i="4" s="1"/>
  <c r="R13" i="4" a="1"/>
  <c r="R13" i="4" s="1"/>
  <c r="R14" i="4" a="1"/>
  <c r="R14" i="4" s="1"/>
  <c r="R15" i="4" a="1"/>
  <c r="R15" i="4" s="1"/>
  <c r="R16" i="4" a="1"/>
  <c r="R16" i="4" s="1"/>
  <c r="R17" i="4" a="1"/>
  <c r="R17" i="4" s="1"/>
  <c r="R18" i="4" a="1"/>
  <c r="R18" i="4" s="1"/>
  <c r="R19" i="4" a="1"/>
  <c r="R19" i="4" s="1"/>
  <c r="R20" i="4" a="1"/>
  <c r="R20" i="4" s="1"/>
  <c r="R21" i="4" a="1"/>
  <c r="R21" i="4" s="1"/>
  <c r="R22" i="4" a="1"/>
  <c r="R22" i="4" s="1"/>
  <c r="R23" i="4" a="1"/>
  <c r="R23" i="4" s="1"/>
  <c r="R26" i="4" a="1"/>
  <c r="R26" i="4" s="1"/>
  <c r="R27" i="4" a="1"/>
  <c r="R27" i="4" s="1"/>
  <c r="R28" i="4" a="1"/>
  <c r="R28" i="4" s="1"/>
  <c r="R29" i="4" a="1"/>
  <c r="R29" i="4" s="1"/>
  <c r="R30" i="4" a="1"/>
  <c r="R30" i="4" s="1"/>
  <c r="R31" i="4" a="1"/>
  <c r="R31" i="4" s="1"/>
  <c r="R32" i="4" a="1"/>
  <c r="R32" i="4" s="1"/>
  <c r="R33" i="4" a="1"/>
  <c r="R33" i="4" s="1"/>
  <c r="R34" i="4" a="1"/>
  <c r="R34" i="4" s="1"/>
  <c r="R35" i="4" a="1"/>
  <c r="R35" i="4" s="1"/>
  <c r="R36" i="4" a="1"/>
  <c r="R36" i="4" s="1"/>
  <c r="R37" i="4" a="1"/>
  <c r="R37" i="4" s="1"/>
  <c r="R38" i="4" a="1"/>
  <c r="R38" i="4" s="1"/>
  <c r="R39" i="4" a="1"/>
  <c r="R39" i="4" s="1"/>
  <c r="R40" i="4" a="1"/>
  <c r="R40" i="4" s="1"/>
  <c r="R41" i="4" a="1"/>
  <c r="R41" i="4" s="1"/>
  <c r="R42" i="4" a="1"/>
  <c r="R42" i="4" s="1"/>
  <c r="R43" i="4" a="1"/>
  <c r="R43" i="4" s="1"/>
  <c r="R44" i="4" a="1"/>
  <c r="R44" i="4" s="1"/>
  <c r="R45" i="4" a="1"/>
  <c r="R45" i="4" s="1"/>
  <c r="R46" i="4" a="1"/>
  <c r="R46" i="4" s="1"/>
  <c r="R49" i="4" a="1"/>
  <c r="R49" i="4" s="1"/>
  <c r="R50" i="4" a="1"/>
  <c r="R50" i="4" s="1"/>
  <c r="R51" i="4" a="1"/>
  <c r="R51" i="4" s="1"/>
  <c r="R52" i="4" a="1"/>
  <c r="R52" i="4" s="1"/>
  <c r="R53" i="4" a="1"/>
  <c r="R53" i="4" s="1"/>
  <c r="R54" i="4" a="1"/>
  <c r="R54" i="4" s="1"/>
  <c r="R55" i="4" a="1"/>
  <c r="R55" i="4" s="1"/>
  <c r="R56" i="4" a="1"/>
  <c r="R56" i="4" s="1"/>
  <c r="R57" i="4" a="1"/>
  <c r="R57" i="4" s="1"/>
  <c r="R58" i="4" a="1"/>
  <c r="R58" i="4" s="1"/>
  <c r="R59" i="4" a="1"/>
  <c r="R59" i="4" s="1"/>
  <c r="R60" i="4" a="1"/>
  <c r="R60" i="4" s="1"/>
  <c r="R61" i="4" a="1"/>
  <c r="R61" i="4" s="1"/>
  <c r="R62" i="4" a="1"/>
  <c r="R62" i="4" s="1"/>
  <c r="R63" i="4" a="1"/>
  <c r="R63" i="4" s="1"/>
  <c r="R64" i="4" a="1"/>
  <c r="R64" i="4" s="1"/>
  <c r="R65" i="4" a="1"/>
  <c r="R65" i="4" s="1"/>
  <c r="R66" i="4" a="1"/>
  <c r="R66" i="4" s="1"/>
  <c r="R67" i="4" a="1"/>
  <c r="R67" i="4" s="1"/>
  <c r="R68" i="4" a="1"/>
  <c r="R68" i="4" s="1"/>
  <c r="R69" i="4" a="1"/>
  <c r="R69" i="4" s="1"/>
  <c r="R70" i="4" a="1"/>
  <c r="R70" i="4" s="1"/>
  <c r="R71" i="4" a="1"/>
  <c r="R71" i="4" s="1"/>
  <c r="R72" i="4" a="1"/>
  <c r="R72" i="4" s="1"/>
  <c r="R75" i="4" a="1"/>
  <c r="R75" i="4" s="1"/>
  <c r="R76" i="4" a="1"/>
  <c r="R76" i="4" s="1"/>
  <c r="R77" i="4" a="1"/>
  <c r="R77" i="4" s="1"/>
  <c r="R78" i="4" a="1"/>
  <c r="R78" i="4" s="1"/>
  <c r="R79" i="4" a="1"/>
  <c r="R79" i="4" s="1"/>
  <c r="R80" i="4" a="1"/>
  <c r="R80" i="4" s="1"/>
  <c r="R81" i="4" a="1"/>
  <c r="R81" i="4" s="1"/>
  <c r="R82" i="4" a="1"/>
  <c r="R82" i="4" s="1"/>
  <c r="R83" i="4" a="1"/>
  <c r="R83" i="4" s="1"/>
  <c r="R84" i="4" a="1"/>
  <c r="R84" i="4" s="1"/>
  <c r="R85" i="4" a="1"/>
  <c r="R85" i="4" s="1"/>
  <c r="R86" i="4" a="1"/>
  <c r="R86" i="4" s="1"/>
  <c r="R87" i="4" a="1"/>
  <c r="R87" i="4" s="1"/>
  <c r="R88" i="4" a="1"/>
  <c r="R88" i="4" s="1"/>
  <c r="R89" i="4" a="1"/>
  <c r="R89" i="4" s="1"/>
  <c r="R90" i="4" a="1"/>
  <c r="R90" i="4" s="1"/>
  <c r="R91" i="4" a="1"/>
  <c r="R91" i="4" s="1"/>
  <c r="R92" i="4" a="1"/>
  <c r="R92" i="4" s="1"/>
  <c r="R93" i="4" a="1"/>
  <c r="R93" i="4" s="1"/>
  <c r="R94" i="4" a="1"/>
  <c r="R94" i="4" s="1"/>
  <c r="R95" i="4" a="1"/>
  <c r="R95" i="4" s="1"/>
  <c r="R96" i="4" a="1"/>
  <c r="R96" i="4" s="1"/>
  <c r="R97" i="4" a="1"/>
  <c r="R97" i="4" s="1"/>
  <c r="R98" i="4" a="1"/>
  <c r="R98" i="4" s="1"/>
  <c r="R99" i="4" a="1"/>
  <c r="R99" i="4" s="1"/>
  <c r="R100" i="4" a="1"/>
  <c r="R100" i="4" s="1"/>
  <c r="S2" i="4" a="1"/>
  <c r="S2" i="4" s="1"/>
  <c r="S3" i="4" a="1"/>
  <c r="S3" i="4" s="1"/>
  <c r="S4" i="4" a="1"/>
  <c r="S4" i="4" s="1"/>
  <c r="S5" i="4" a="1"/>
  <c r="S5" i="4" s="1"/>
  <c r="S6" i="4" a="1"/>
  <c r="S6" i="4" s="1"/>
  <c r="S7" i="4" a="1"/>
  <c r="S7" i="4" s="1"/>
  <c r="S8" i="4" a="1"/>
  <c r="S8" i="4" s="1"/>
  <c r="S9" i="4" a="1"/>
  <c r="S9" i="4" s="1"/>
  <c r="S10" i="4" a="1"/>
  <c r="S10" i="4" s="1"/>
  <c r="S11" i="4" a="1"/>
  <c r="S11" i="4" s="1"/>
  <c r="S12" i="4" a="1"/>
  <c r="S12" i="4" s="1"/>
  <c r="S13" i="4" a="1"/>
  <c r="S13" i="4" s="1"/>
  <c r="S14" i="4" a="1"/>
  <c r="S14" i="4" s="1"/>
  <c r="S15" i="4" a="1"/>
  <c r="S15" i="4" s="1"/>
  <c r="S16" i="4" a="1"/>
  <c r="S16" i="4" s="1"/>
  <c r="S17" i="4" a="1"/>
  <c r="S17" i="4" s="1"/>
  <c r="S18" i="4" a="1"/>
  <c r="S18" i="4" s="1"/>
  <c r="S19" i="4" a="1"/>
  <c r="S19" i="4" s="1"/>
  <c r="S20" i="4" a="1"/>
  <c r="S20" i="4" s="1"/>
  <c r="S21" i="4" a="1"/>
  <c r="S21" i="4" s="1"/>
  <c r="S22" i="4" a="1"/>
  <c r="S22" i="4" s="1"/>
  <c r="S23" i="4" a="1"/>
  <c r="S23" i="4" s="1"/>
  <c r="S26" i="4" a="1"/>
  <c r="S26" i="4" s="1"/>
  <c r="S27" i="4" a="1"/>
  <c r="S27" i="4" s="1"/>
  <c r="S28" i="4" a="1"/>
  <c r="S28" i="4" s="1"/>
  <c r="S29" i="4" a="1"/>
  <c r="S29" i="4" s="1"/>
  <c r="S30" i="4" a="1"/>
  <c r="S30" i="4" s="1"/>
  <c r="S31" i="4" a="1"/>
  <c r="S31" i="4" s="1"/>
  <c r="S32" i="4" a="1"/>
  <c r="S32" i="4" s="1"/>
  <c r="S33" i="4" a="1"/>
  <c r="S33" i="4" s="1"/>
  <c r="S34" i="4" a="1"/>
  <c r="S34" i="4" s="1"/>
  <c r="S35" i="4" a="1"/>
  <c r="S35" i="4" s="1"/>
  <c r="S36" i="4" a="1"/>
  <c r="S36" i="4" s="1"/>
  <c r="S37" i="4" a="1"/>
  <c r="S37" i="4" s="1"/>
  <c r="S38" i="4" a="1"/>
  <c r="S38" i="4" s="1"/>
  <c r="S39" i="4" a="1"/>
  <c r="S39" i="4" s="1"/>
  <c r="S40" i="4" a="1"/>
  <c r="S40" i="4" s="1"/>
  <c r="S41" i="4" a="1"/>
  <c r="S41" i="4" s="1"/>
  <c r="S42" i="4" a="1"/>
  <c r="S42" i="4" s="1"/>
  <c r="S43" i="4" a="1"/>
  <c r="S43" i="4" s="1"/>
  <c r="S44" i="4" a="1"/>
  <c r="S44" i="4" s="1"/>
  <c r="S45" i="4" a="1"/>
  <c r="S45" i="4" s="1"/>
  <c r="S46" i="4" a="1"/>
  <c r="S46" i="4" s="1"/>
  <c r="S49" i="4" a="1"/>
  <c r="S49" i="4" s="1"/>
  <c r="S50" i="4" a="1"/>
  <c r="S50" i="4" s="1"/>
  <c r="S51" i="4" a="1"/>
  <c r="S51" i="4" s="1"/>
  <c r="S52" i="4" a="1"/>
  <c r="S52" i="4" s="1"/>
  <c r="S53" i="4" a="1"/>
  <c r="S53" i="4" s="1"/>
  <c r="S54" i="4" a="1"/>
  <c r="S54" i="4" s="1"/>
  <c r="S55" i="4" a="1"/>
  <c r="S55" i="4" s="1"/>
  <c r="S56" i="4" a="1"/>
  <c r="S56" i="4" s="1"/>
  <c r="S57" i="4" a="1"/>
  <c r="S57" i="4" s="1"/>
  <c r="S58" i="4" a="1"/>
  <c r="S58" i="4" s="1"/>
  <c r="S59" i="4" a="1"/>
  <c r="S59" i="4" s="1"/>
  <c r="S60" i="4" a="1"/>
  <c r="S60" i="4" s="1"/>
  <c r="S61" i="4" a="1"/>
  <c r="S61" i="4" s="1"/>
  <c r="S62" i="4" a="1"/>
  <c r="S62" i="4" s="1"/>
  <c r="S63" i="4" a="1"/>
  <c r="S63" i="4" s="1"/>
  <c r="S64" i="4" a="1"/>
  <c r="S64" i="4" s="1"/>
  <c r="S65" i="4" a="1"/>
  <c r="S65" i="4" s="1"/>
  <c r="S66" i="4" a="1"/>
  <c r="S66" i="4" s="1"/>
  <c r="S67" i="4" a="1"/>
  <c r="S67" i="4" s="1"/>
  <c r="S68" i="4" a="1"/>
  <c r="S68" i="4" s="1"/>
  <c r="S69" i="4" a="1"/>
  <c r="S69" i="4" s="1"/>
  <c r="S70" i="4" a="1"/>
  <c r="S70" i="4" s="1"/>
  <c r="S71" i="4" a="1"/>
  <c r="S71" i="4" s="1"/>
  <c r="S72" i="4" a="1"/>
  <c r="S72" i="4" s="1"/>
  <c r="S75" i="4" a="1"/>
  <c r="S75" i="4" s="1"/>
  <c r="S76" i="4" a="1"/>
  <c r="S76" i="4" s="1"/>
  <c r="S77" i="4" a="1"/>
  <c r="S77" i="4" s="1"/>
  <c r="S78" i="4" a="1"/>
  <c r="S78" i="4" s="1"/>
  <c r="S79" i="4" a="1"/>
  <c r="S79" i="4" s="1"/>
  <c r="S80" i="4" a="1"/>
  <c r="S80" i="4" s="1"/>
  <c r="S81" i="4" a="1"/>
  <c r="S81" i="4" s="1"/>
  <c r="S82" i="4" a="1"/>
  <c r="S82" i="4" s="1"/>
  <c r="S83" i="4" a="1"/>
  <c r="S83" i="4" s="1"/>
  <c r="S84" i="4" a="1"/>
  <c r="S84" i="4" s="1"/>
  <c r="S85" i="4" a="1"/>
  <c r="S85" i="4" s="1"/>
  <c r="S86" i="4" a="1"/>
  <c r="S86" i="4" s="1"/>
  <c r="S87" i="4" a="1"/>
  <c r="S87" i="4" s="1"/>
  <c r="S88" i="4" a="1"/>
  <c r="S88" i="4" s="1"/>
  <c r="S89" i="4" a="1"/>
  <c r="S89" i="4" s="1"/>
  <c r="S90" i="4" a="1"/>
  <c r="S90" i="4" s="1"/>
  <c r="S91" i="4" a="1"/>
  <c r="S91" i="4" s="1"/>
  <c r="S92" i="4" a="1"/>
  <c r="S92" i="4" s="1"/>
  <c r="S93" i="4" a="1"/>
  <c r="S93" i="4" s="1"/>
  <c r="S94" i="4" a="1"/>
  <c r="S94" i="4" s="1"/>
  <c r="S95" i="4" a="1"/>
  <c r="S95" i="4" s="1"/>
  <c r="S96" i="4" a="1"/>
  <c r="S96" i="4" s="1"/>
  <c r="S97" i="4" a="1"/>
  <c r="S97" i="4" s="1"/>
  <c r="S98" i="4" a="1"/>
  <c r="S98" i="4" s="1"/>
  <c r="S99" i="4" a="1"/>
  <c r="S99" i="4" s="1"/>
  <c r="S100" i="4" a="1"/>
  <c r="S100" i="4" s="1"/>
  <c r="T2" i="4" a="1"/>
  <c r="T2" i="4" s="1"/>
  <c r="T3" i="4" a="1"/>
  <c r="T3" i="4" s="1"/>
  <c r="T4" i="4" a="1"/>
  <c r="T4" i="4" s="1"/>
  <c r="T5" i="4" a="1"/>
  <c r="T5" i="4" s="1"/>
  <c r="T6" i="4" a="1"/>
  <c r="T6" i="4" s="1"/>
  <c r="T7" i="4" a="1"/>
  <c r="T7" i="4" s="1"/>
  <c r="T8" i="4" a="1"/>
  <c r="T8" i="4" s="1"/>
  <c r="T9" i="4" a="1"/>
  <c r="T9" i="4" s="1"/>
  <c r="T10" i="4" a="1"/>
  <c r="T10" i="4" s="1"/>
  <c r="T11" i="4" a="1"/>
  <c r="T11" i="4" s="1"/>
  <c r="T12" i="4" a="1"/>
  <c r="T12" i="4" s="1"/>
  <c r="T13" i="4" a="1"/>
  <c r="T13" i="4" s="1"/>
  <c r="T14" i="4" a="1"/>
  <c r="T14" i="4" s="1"/>
  <c r="T15" i="4" a="1"/>
  <c r="T15" i="4" s="1"/>
  <c r="T16" i="4" a="1"/>
  <c r="T16" i="4" s="1"/>
  <c r="T17" i="4" a="1"/>
  <c r="T17" i="4" s="1"/>
  <c r="T18" i="4" a="1"/>
  <c r="T18" i="4" s="1"/>
  <c r="T19" i="4" a="1"/>
  <c r="T19" i="4" s="1"/>
  <c r="T20" i="4" a="1"/>
  <c r="T20" i="4" s="1"/>
  <c r="T21" i="4" a="1"/>
  <c r="T21" i="4" s="1"/>
  <c r="T22" i="4" a="1"/>
  <c r="T22" i="4" s="1"/>
  <c r="T23" i="4" a="1"/>
  <c r="T23" i="4" s="1"/>
  <c r="T26" i="4" a="1"/>
  <c r="T26" i="4" s="1"/>
  <c r="T27" i="4" a="1"/>
  <c r="T27" i="4" s="1"/>
  <c r="T28" i="4" a="1"/>
  <c r="T28" i="4" s="1"/>
  <c r="T29" i="4" a="1"/>
  <c r="T29" i="4" s="1"/>
  <c r="T30" i="4" a="1"/>
  <c r="T30" i="4" s="1"/>
  <c r="T31" i="4" a="1"/>
  <c r="T31" i="4" s="1"/>
  <c r="T32" i="4" a="1"/>
  <c r="T32" i="4" s="1"/>
  <c r="T33" i="4" a="1"/>
  <c r="T33" i="4" s="1"/>
  <c r="T34" i="4" a="1"/>
  <c r="T34" i="4" s="1"/>
  <c r="T35" i="4" a="1"/>
  <c r="T35" i="4" s="1"/>
  <c r="T36" i="4" a="1"/>
  <c r="T36" i="4" s="1"/>
  <c r="T37" i="4" a="1"/>
  <c r="T37" i="4" s="1"/>
  <c r="T38" i="4" a="1"/>
  <c r="T38" i="4" s="1"/>
  <c r="T39" i="4" a="1"/>
  <c r="T39" i="4" s="1"/>
  <c r="T40" i="4" a="1"/>
  <c r="T40" i="4" s="1"/>
  <c r="T41" i="4" a="1"/>
  <c r="T41" i="4" s="1"/>
  <c r="T42" i="4" a="1"/>
  <c r="T42" i="4" s="1"/>
  <c r="T43" i="4" a="1"/>
  <c r="T43" i="4" s="1"/>
  <c r="T44" i="4" a="1"/>
  <c r="T44" i="4" s="1"/>
  <c r="T45" i="4" a="1"/>
  <c r="T45" i="4" s="1"/>
  <c r="T46" i="4" a="1"/>
  <c r="T46" i="4" s="1"/>
  <c r="T49" i="4" a="1"/>
  <c r="T49" i="4" s="1"/>
  <c r="T50" i="4" a="1"/>
  <c r="T50" i="4" s="1"/>
  <c r="T51" i="4" a="1"/>
  <c r="T51" i="4" s="1"/>
  <c r="T52" i="4" a="1"/>
  <c r="T52" i="4" s="1"/>
  <c r="T53" i="4" a="1"/>
  <c r="T53" i="4" s="1"/>
  <c r="T54" i="4" a="1"/>
  <c r="T54" i="4" s="1"/>
  <c r="T55" i="4" a="1"/>
  <c r="T55" i="4" s="1"/>
  <c r="T56" i="4" a="1"/>
  <c r="T56" i="4" s="1"/>
  <c r="T57" i="4" a="1"/>
  <c r="T57" i="4" s="1"/>
  <c r="T58" i="4" a="1"/>
  <c r="T58" i="4" s="1"/>
  <c r="T59" i="4" a="1"/>
  <c r="T59" i="4" s="1"/>
  <c r="T60" i="4" a="1"/>
  <c r="T60" i="4" s="1"/>
  <c r="T61" i="4" a="1"/>
  <c r="T61" i="4" s="1"/>
  <c r="T62" i="4" a="1"/>
  <c r="T62" i="4" s="1"/>
  <c r="T63" i="4" a="1"/>
  <c r="T63" i="4" s="1"/>
  <c r="T64" i="4" a="1"/>
  <c r="T64" i="4" s="1"/>
  <c r="T65" i="4" a="1"/>
  <c r="T65" i="4" s="1"/>
  <c r="T66" i="4" a="1"/>
  <c r="T66" i="4" s="1"/>
  <c r="T67" i="4" a="1"/>
  <c r="T67" i="4" s="1"/>
  <c r="T68" i="4" a="1"/>
  <c r="T68" i="4" s="1"/>
  <c r="T69" i="4" a="1"/>
  <c r="T69" i="4" s="1"/>
  <c r="T70" i="4" a="1"/>
  <c r="T70" i="4" s="1"/>
  <c r="T71" i="4" a="1"/>
  <c r="T71" i="4" s="1"/>
  <c r="T72" i="4" a="1"/>
  <c r="T72" i="4" s="1"/>
  <c r="T75" i="4" a="1"/>
  <c r="T75" i="4" s="1"/>
  <c r="T76" i="4" a="1"/>
  <c r="T76" i="4" s="1"/>
  <c r="T77" i="4" a="1"/>
  <c r="T77" i="4" s="1"/>
  <c r="T78" i="4" a="1"/>
  <c r="T78" i="4" s="1"/>
  <c r="T79" i="4" a="1"/>
  <c r="T79" i="4" s="1"/>
  <c r="T80" i="4" a="1"/>
  <c r="T80" i="4" s="1"/>
  <c r="T81" i="4" a="1"/>
  <c r="T81" i="4" s="1"/>
  <c r="T82" i="4" a="1"/>
  <c r="T82" i="4" s="1"/>
  <c r="T83" i="4" a="1"/>
  <c r="T83" i="4" s="1"/>
  <c r="T84" i="4" a="1"/>
  <c r="T84" i="4" s="1"/>
  <c r="T85" i="4" a="1"/>
  <c r="T85" i="4" s="1"/>
  <c r="T86" i="4" a="1"/>
  <c r="T86" i="4" s="1"/>
  <c r="T87" i="4" a="1"/>
  <c r="T87" i="4" s="1"/>
  <c r="T88" i="4" a="1"/>
  <c r="T88" i="4" s="1"/>
  <c r="T89" i="4" a="1"/>
  <c r="T89" i="4" s="1"/>
  <c r="T90" i="4" a="1"/>
  <c r="T90" i="4" s="1"/>
  <c r="T91" i="4" a="1"/>
  <c r="T91" i="4" s="1"/>
  <c r="T92" i="4" a="1"/>
  <c r="T92" i="4" s="1"/>
  <c r="T93" i="4" a="1"/>
  <c r="T93" i="4" s="1"/>
  <c r="T94" i="4" a="1"/>
  <c r="T94" i="4" s="1"/>
  <c r="T95" i="4" a="1"/>
  <c r="T95" i="4" s="1"/>
  <c r="T96" i="4" a="1"/>
  <c r="T96" i="4" s="1"/>
  <c r="T97" i="4" a="1"/>
  <c r="T97" i="4" s="1"/>
  <c r="T98" i="4" a="1"/>
  <c r="T98" i="4" s="1"/>
  <c r="T99" i="4" a="1"/>
  <c r="T99" i="4" s="1"/>
  <c r="T100" i="4" a="1"/>
  <c r="T100" i="4" s="1"/>
  <c r="U2" i="4" a="1"/>
  <c r="U2" i="4" s="1"/>
  <c r="U3" i="4" a="1"/>
  <c r="U3" i="4" s="1"/>
  <c r="U4" i="4" a="1"/>
  <c r="U4" i="4" s="1"/>
  <c r="U5" i="4" a="1"/>
  <c r="U5" i="4" s="1"/>
  <c r="U6" i="4" a="1"/>
  <c r="U6" i="4" s="1"/>
  <c r="U7" i="4" a="1"/>
  <c r="U7" i="4" s="1"/>
  <c r="U8" i="4" a="1"/>
  <c r="U8" i="4" s="1"/>
  <c r="U9" i="4" a="1"/>
  <c r="U9" i="4" s="1"/>
  <c r="U10" i="4" a="1"/>
  <c r="U10" i="4" s="1"/>
  <c r="U11" i="4" a="1"/>
  <c r="U11" i="4" s="1"/>
  <c r="U12" i="4" a="1"/>
  <c r="U12" i="4" s="1"/>
  <c r="U13" i="4" a="1"/>
  <c r="U13" i="4" s="1"/>
  <c r="U14" i="4" a="1"/>
  <c r="U14" i="4" s="1"/>
  <c r="U15" i="4" a="1"/>
  <c r="U15" i="4" s="1"/>
  <c r="U16" i="4" a="1"/>
  <c r="U16" i="4" s="1"/>
  <c r="U17" i="4" a="1"/>
  <c r="U17" i="4" s="1"/>
  <c r="U18" i="4" a="1"/>
  <c r="U18" i="4" s="1"/>
  <c r="U19" i="4" a="1"/>
  <c r="U19" i="4" s="1"/>
  <c r="U20" i="4" a="1"/>
  <c r="U20" i="4" s="1"/>
  <c r="U21" i="4" a="1"/>
  <c r="U21" i="4" s="1"/>
  <c r="U22" i="4" a="1"/>
  <c r="U22" i="4" s="1"/>
  <c r="U23" i="4" a="1"/>
  <c r="U23" i="4" s="1"/>
  <c r="U26" i="4" a="1"/>
  <c r="U26" i="4" s="1"/>
  <c r="U27" i="4" a="1"/>
  <c r="U27" i="4" s="1"/>
  <c r="U28" i="4" a="1"/>
  <c r="U28" i="4" s="1"/>
  <c r="U29" i="4" a="1"/>
  <c r="U29" i="4" s="1"/>
  <c r="U30" i="4" a="1"/>
  <c r="U30" i="4" s="1"/>
  <c r="U31" i="4" a="1"/>
  <c r="U31" i="4" s="1"/>
  <c r="U32" i="4" a="1"/>
  <c r="U32" i="4" s="1"/>
  <c r="U33" i="4" a="1"/>
  <c r="U33" i="4" s="1"/>
  <c r="U34" i="4" a="1"/>
  <c r="U34" i="4" s="1"/>
  <c r="U35" i="4" a="1"/>
  <c r="U35" i="4" s="1"/>
  <c r="U36" i="4" a="1"/>
  <c r="U36" i="4" s="1"/>
  <c r="U37" i="4" a="1"/>
  <c r="U37" i="4" s="1"/>
  <c r="U38" i="4" a="1"/>
  <c r="U38" i="4" s="1"/>
  <c r="U39" i="4" a="1"/>
  <c r="U39" i="4" s="1"/>
  <c r="U40" i="4" a="1"/>
  <c r="U40" i="4" s="1"/>
  <c r="U41" i="4" a="1"/>
  <c r="U41" i="4" s="1"/>
  <c r="U42" i="4" a="1"/>
  <c r="U42" i="4" s="1"/>
  <c r="U43" i="4" a="1"/>
  <c r="U43" i="4" s="1"/>
  <c r="U44" i="4" a="1"/>
  <c r="U44" i="4" s="1"/>
  <c r="U45" i="4" a="1"/>
  <c r="U45" i="4" s="1"/>
  <c r="U46" i="4" a="1"/>
  <c r="U46" i="4" s="1"/>
  <c r="U49" i="4" a="1"/>
  <c r="U49" i="4" s="1"/>
  <c r="U50" i="4" a="1"/>
  <c r="U50" i="4" s="1"/>
  <c r="U51" i="4" a="1"/>
  <c r="U51" i="4" s="1"/>
  <c r="U52" i="4" a="1"/>
  <c r="U52" i="4" s="1"/>
  <c r="U53" i="4" a="1"/>
  <c r="U53" i="4" s="1"/>
  <c r="U54" i="4" a="1"/>
  <c r="U54" i="4" s="1"/>
  <c r="U55" i="4" a="1"/>
  <c r="U55" i="4" s="1"/>
  <c r="U56" i="4" a="1"/>
  <c r="U56" i="4" s="1"/>
  <c r="U57" i="4" a="1"/>
  <c r="U57" i="4" s="1"/>
  <c r="U58" i="4" a="1"/>
  <c r="U58" i="4" s="1"/>
  <c r="U59" i="4" a="1"/>
  <c r="U59" i="4" s="1"/>
  <c r="U60" i="4" a="1"/>
  <c r="U60" i="4" s="1"/>
  <c r="U61" i="4" a="1"/>
  <c r="U61" i="4" s="1"/>
  <c r="U62" i="4" a="1"/>
  <c r="U62" i="4" s="1"/>
  <c r="U63" i="4" a="1"/>
  <c r="U63" i="4" s="1"/>
  <c r="U64" i="4" a="1"/>
  <c r="U64" i="4" s="1"/>
  <c r="U65" i="4" a="1"/>
  <c r="U65" i="4" s="1"/>
  <c r="U66" i="4" a="1"/>
  <c r="U66" i="4" s="1"/>
  <c r="U67" i="4" a="1"/>
  <c r="U67" i="4" s="1"/>
  <c r="U68" i="4" a="1"/>
  <c r="U68" i="4" s="1"/>
  <c r="U69" i="4" a="1"/>
  <c r="U69" i="4" s="1"/>
  <c r="U70" i="4" a="1"/>
  <c r="U70" i="4" s="1"/>
  <c r="U71" i="4" a="1"/>
  <c r="U71" i="4" s="1"/>
  <c r="U72" i="4" a="1"/>
  <c r="U72" i="4" s="1"/>
  <c r="U75" i="4" a="1"/>
  <c r="U75" i="4" s="1"/>
  <c r="U76" i="4" a="1"/>
  <c r="U76" i="4" s="1"/>
  <c r="U77" i="4" a="1"/>
  <c r="U77" i="4" s="1"/>
  <c r="U78" i="4" a="1"/>
  <c r="U78" i="4" s="1"/>
  <c r="U79" i="4" a="1"/>
  <c r="U79" i="4" s="1"/>
  <c r="U80" i="4" a="1"/>
  <c r="U80" i="4" s="1"/>
  <c r="U81" i="4" a="1"/>
  <c r="U81" i="4" s="1"/>
  <c r="U82" i="4" a="1"/>
  <c r="U82" i="4" s="1"/>
  <c r="U83" i="4" a="1"/>
  <c r="U83" i="4" s="1"/>
  <c r="U84" i="4" a="1"/>
  <c r="U84" i="4" s="1"/>
  <c r="U85" i="4" a="1"/>
  <c r="U85" i="4" s="1"/>
  <c r="U86" i="4" a="1"/>
  <c r="U86" i="4" s="1"/>
  <c r="U87" i="4" a="1"/>
  <c r="U87" i="4" s="1"/>
  <c r="U88" i="4" a="1"/>
  <c r="U88" i="4" s="1"/>
  <c r="U89" i="4" a="1"/>
  <c r="U89" i="4" s="1"/>
  <c r="U90" i="4" a="1"/>
  <c r="U90" i="4" s="1"/>
  <c r="U91" i="4" a="1"/>
  <c r="U91" i="4" s="1"/>
  <c r="U92" i="4" a="1"/>
  <c r="U92" i="4" s="1"/>
  <c r="U93" i="4" a="1"/>
  <c r="U93" i="4" s="1"/>
  <c r="U94" i="4" a="1"/>
  <c r="U94" i="4" s="1"/>
  <c r="U95" i="4" a="1"/>
  <c r="U95" i="4" s="1"/>
  <c r="U96" i="4" a="1"/>
  <c r="U96" i="4" s="1"/>
  <c r="U97" i="4" a="1"/>
  <c r="U97" i="4" s="1"/>
  <c r="U98" i="4" a="1"/>
  <c r="U98" i="4" s="1"/>
  <c r="U99" i="4" a="1"/>
  <c r="U99" i="4" s="1"/>
  <c r="U100" i="4" a="1"/>
  <c r="U100" i="4" s="1"/>
  <c r="V2" i="4" a="1"/>
  <c r="V2" i="4" s="1"/>
  <c r="V3" i="4" a="1"/>
  <c r="V3" i="4" s="1"/>
  <c r="V4" i="4" a="1"/>
  <c r="V4" i="4" s="1"/>
  <c r="V5" i="4" a="1"/>
  <c r="V5" i="4" s="1"/>
  <c r="V6" i="4" a="1"/>
  <c r="V6" i="4" s="1"/>
  <c r="V7" i="4" a="1"/>
  <c r="V7" i="4" s="1"/>
  <c r="V8" i="4" a="1"/>
  <c r="V8" i="4" s="1"/>
  <c r="V9" i="4" a="1"/>
  <c r="V9" i="4" s="1"/>
  <c r="V10" i="4" a="1"/>
  <c r="V10" i="4" s="1"/>
  <c r="V11" i="4" a="1"/>
  <c r="V11" i="4" s="1"/>
  <c r="V12" i="4" a="1"/>
  <c r="V12" i="4" s="1"/>
  <c r="V13" i="4" a="1"/>
  <c r="V13" i="4" s="1"/>
  <c r="V14" i="4" a="1"/>
  <c r="V14" i="4" s="1"/>
  <c r="V15" i="4" a="1"/>
  <c r="V15" i="4" s="1"/>
  <c r="V16" i="4" a="1"/>
  <c r="V16" i="4" s="1"/>
  <c r="V17" i="4" a="1"/>
  <c r="V17" i="4" s="1"/>
  <c r="V18" i="4" a="1"/>
  <c r="V18" i="4" s="1"/>
  <c r="V19" i="4" a="1"/>
  <c r="V19" i="4" s="1"/>
  <c r="V20" i="4" a="1"/>
  <c r="V20" i="4" s="1"/>
  <c r="V21" i="4" a="1"/>
  <c r="V21" i="4" s="1"/>
  <c r="V22" i="4" a="1"/>
  <c r="V22" i="4" s="1"/>
  <c r="V23" i="4" a="1"/>
  <c r="V23" i="4" s="1"/>
  <c r="V26" i="4" a="1"/>
  <c r="V26" i="4" s="1"/>
  <c r="V27" i="4" a="1"/>
  <c r="V27" i="4" s="1"/>
  <c r="V28" i="4" a="1"/>
  <c r="V28" i="4" s="1"/>
  <c r="V29" i="4" a="1"/>
  <c r="V29" i="4" s="1"/>
  <c r="V30" i="4" a="1"/>
  <c r="V30" i="4" s="1"/>
  <c r="V31" i="4" a="1"/>
  <c r="V31" i="4" s="1"/>
  <c r="V32" i="4" a="1"/>
  <c r="V32" i="4" s="1"/>
  <c r="V33" i="4" a="1"/>
  <c r="V33" i="4" s="1"/>
  <c r="V34" i="4" a="1"/>
  <c r="V34" i="4" s="1"/>
  <c r="V35" i="4" a="1"/>
  <c r="V35" i="4" s="1"/>
  <c r="V36" i="4" a="1"/>
  <c r="V36" i="4" s="1"/>
  <c r="V37" i="4" a="1"/>
  <c r="V37" i="4" s="1"/>
  <c r="V38" i="4" a="1"/>
  <c r="V38" i="4" s="1"/>
  <c r="V39" i="4" a="1"/>
  <c r="V39" i="4" s="1"/>
  <c r="V40" i="4" a="1"/>
  <c r="V40" i="4" s="1"/>
  <c r="V41" i="4" a="1"/>
  <c r="V41" i="4" s="1"/>
  <c r="V42" i="4" a="1"/>
  <c r="V42" i="4" s="1"/>
  <c r="V43" i="4" a="1"/>
  <c r="V43" i="4" s="1"/>
  <c r="V44" i="4" a="1"/>
  <c r="V44" i="4" s="1"/>
  <c r="V45" i="4" a="1"/>
  <c r="V45" i="4" s="1"/>
  <c r="V46" i="4" a="1"/>
  <c r="V46" i="4" s="1"/>
  <c r="V49" i="4" a="1"/>
  <c r="V49" i="4" s="1"/>
  <c r="V50" i="4" a="1"/>
  <c r="V50" i="4" s="1"/>
  <c r="V51" i="4" a="1"/>
  <c r="V51" i="4" s="1"/>
  <c r="V52" i="4" a="1"/>
  <c r="V52" i="4" s="1"/>
  <c r="V53" i="4" a="1"/>
  <c r="V53" i="4" s="1"/>
  <c r="V54" i="4" a="1"/>
  <c r="V54" i="4" s="1"/>
  <c r="V55" i="4" a="1"/>
  <c r="V55" i="4" s="1"/>
  <c r="V56" i="4" a="1"/>
  <c r="V56" i="4" s="1"/>
  <c r="V57" i="4" a="1"/>
  <c r="V57" i="4" s="1"/>
  <c r="V58" i="4" a="1"/>
  <c r="V58" i="4" s="1"/>
  <c r="V59" i="4" a="1"/>
  <c r="V59" i="4" s="1"/>
  <c r="V60" i="4" a="1"/>
  <c r="V60" i="4" s="1"/>
  <c r="V61" i="4" a="1"/>
  <c r="V61" i="4" s="1"/>
  <c r="V62" i="4" a="1"/>
  <c r="V62" i="4" s="1"/>
  <c r="V63" i="4" a="1"/>
  <c r="V63" i="4" s="1"/>
  <c r="V64" i="4" a="1"/>
  <c r="V64" i="4" s="1"/>
  <c r="V65" i="4" a="1"/>
  <c r="V65" i="4" s="1"/>
  <c r="V66" i="4" a="1"/>
  <c r="V66" i="4" s="1"/>
  <c r="V67" i="4" a="1"/>
  <c r="V67" i="4" s="1"/>
  <c r="V68" i="4" a="1"/>
  <c r="V68" i="4" s="1"/>
  <c r="V69" i="4" a="1"/>
  <c r="V69" i="4" s="1"/>
  <c r="V70" i="4" a="1"/>
  <c r="V70" i="4" s="1"/>
  <c r="V71" i="4" a="1"/>
  <c r="V71" i="4" s="1"/>
  <c r="V72" i="4" a="1"/>
  <c r="V72" i="4" s="1"/>
  <c r="V75" i="4" a="1"/>
  <c r="V75" i="4" s="1"/>
  <c r="V76" i="4" a="1"/>
  <c r="V76" i="4" s="1"/>
  <c r="V77" i="4" a="1"/>
  <c r="V77" i="4" s="1"/>
  <c r="V78" i="4" a="1"/>
  <c r="V78" i="4" s="1"/>
  <c r="V79" i="4" a="1"/>
  <c r="V79" i="4" s="1"/>
  <c r="V80" i="4" a="1"/>
  <c r="V80" i="4" s="1"/>
  <c r="V81" i="4" a="1"/>
  <c r="V81" i="4" s="1"/>
  <c r="V82" i="4" a="1"/>
  <c r="V82" i="4" s="1"/>
  <c r="V83" i="4" a="1"/>
  <c r="V83" i="4" s="1"/>
  <c r="V84" i="4" a="1"/>
  <c r="V84" i="4" s="1"/>
  <c r="V85" i="4" a="1"/>
  <c r="V85" i="4" s="1"/>
  <c r="V86" i="4" a="1"/>
  <c r="V86" i="4" s="1"/>
  <c r="V87" i="4" a="1"/>
  <c r="V87" i="4" s="1"/>
  <c r="V88" i="4" a="1"/>
  <c r="V88" i="4" s="1"/>
  <c r="V89" i="4" a="1"/>
  <c r="V89" i="4" s="1"/>
  <c r="V90" i="4" a="1"/>
  <c r="V90" i="4" s="1"/>
  <c r="V91" i="4" a="1"/>
  <c r="V91" i="4" s="1"/>
  <c r="V92" i="4" a="1"/>
  <c r="V92" i="4" s="1"/>
  <c r="V93" i="4" a="1"/>
  <c r="V93" i="4" s="1"/>
  <c r="V94" i="4" a="1"/>
  <c r="V94" i="4" s="1"/>
  <c r="V95" i="4" a="1"/>
  <c r="V95" i="4" s="1"/>
  <c r="V96" i="4" a="1"/>
  <c r="V96" i="4" s="1"/>
  <c r="V97" i="4" a="1"/>
  <c r="V97" i="4" s="1"/>
  <c r="V98" i="4" a="1"/>
  <c r="V98" i="4" s="1"/>
  <c r="V99" i="4" a="1"/>
  <c r="V99" i="4" s="1"/>
  <c r="V100" i="4" a="1"/>
  <c r="V100" i="4" s="1"/>
  <c r="W2" i="4" a="1"/>
  <c r="W2" i="4" s="1"/>
  <c r="W3" i="4" a="1"/>
  <c r="W3" i="4" s="1"/>
  <c r="W4" i="4" a="1"/>
  <c r="W4" i="4" s="1"/>
  <c r="W5" i="4" a="1"/>
  <c r="W5" i="4" s="1"/>
  <c r="W6" i="4" a="1"/>
  <c r="W6" i="4" s="1"/>
  <c r="W7" i="4" a="1"/>
  <c r="W7" i="4" s="1"/>
  <c r="W8" i="4" a="1"/>
  <c r="W8" i="4" s="1"/>
  <c r="W9" i="4" a="1"/>
  <c r="W9" i="4" s="1"/>
  <c r="W10" i="4" a="1"/>
  <c r="W10" i="4" s="1"/>
  <c r="W11" i="4" a="1"/>
  <c r="W11" i="4" s="1"/>
  <c r="W12" i="4" a="1"/>
  <c r="W12" i="4" s="1"/>
  <c r="W13" i="4" a="1"/>
  <c r="W13" i="4" s="1"/>
  <c r="W14" i="4" a="1"/>
  <c r="W14" i="4" s="1"/>
  <c r="W15" i="4" a="1"/>
  <c r="W15" i="4" s="1"/>
  <c r="W16" i="4" a="1"/>
  <c r="W16" i="4" s="1"/>
  <c r="W17" i="4" a="1"/>
  <c r="W17" i="4" s="1"/>
  <c r="W18" i="4" a="1"/>
  <c r="W18" i="4" s="1"/>
  <c r="W19" i="4" a="1"/>
  <c r="W19" i="4" s="1"/>
  <c r="W20" i="4" a="1"/>
  <c r="W20" i="4" s="1"/>
  <c r="W21" i="4" a="1"/>
  <c r="W21" i="4" s="1"/>
  <c r="W22" i="4" a="1"/>
  <c r="W22" i="4" s="1"/>
  <c r="W23" i="4" a="1"/>
  <c r="W23" i="4" s="1"/>
  <c r="W26" i="4" a="1"/>
  <c r="W26" i="4" s="1"/>
  <c r="W27" i="4" a="1"/>
  <c r="W27" i="4" s="1"/>
  <c r="W28" i="4" a="1"/>
  <c r="W28" i="4" s="1"/>
  <c r="W29" i="4" a="1"/>
  <c r="W29" i="4" s="1"/>
  <c r="W30" i="4" a="1"/>
  <c r="W30" i="4" s="1"/>
  <c r="W31" i="4" a="1"/>
  <c r="W31" i="4" s="1"/>
  <c r="W32" i="4" a="1"/>
  <c r="W32" i="4" s="1"/>
  <c r="W33" i="4" a="1"/>
  <c r="W33" i="4" s="1"/>
  <c r="W34" i="4" a="1"/>
  <c r="W34" i="4" s="1"/>
  <c r="W35" i="4" a="1"/>
  <c r="W35" i="4" s="1"/>
  <c r="W36" i="4" a="1"/>
  <c r="W36" i="4" s="1"/>
  <c r="W37" i="4" a="1"/>
  <c r="W37" i="4" s="1"/>
  <c r="W38" i="4" a="1"/>
  <c r="W38" i="4" s="1"/>
  <c r="W39" i="4" a="1"/>
  <c r="W39" i="4" s="1"/>
  <c r="W40" i="4" a="1"/>
  <c r="W40" i="4" s="1"/>
  <c r="W41" i="4" a="1"/>
  <c r="W41" i="4" s="1"/>
  <c r="W42" i="4" a="1"/>
  <c r="W42" i="4" s="1"/>
  <c r="W43" i="4" a="1"/>
  <c r="W43" i="4" s="1"/>
  <c r="W44" i="4" a="1"/>
  <c r="W44" i="4" s="1"/>
  <c r="W45" i="4" a="1"/>
  <c r="W45" i="4" s="1"/>
  <c r="W46" i="4" a="1"/>
  <c r="W46" i="4" s="1"/>
  <c r="W49" i="4" a="1"/>
  <c r="W49" i="4" s="1"/>
  <c r="W50" i="4" a="1"/>
  <c r="W50" i="4" s="1"/>
  <c r="W51" i="4" a="1"/>
  <c r="W51" i="4" s="1"/>
  <c r="W52" i="4" a="1"/>
  <c r="W52" i="4" s="1"/>
  <c r="W53" i="4" a="1"/>
  <c r="W53" i="4" s="1"/>
  <c r="W54" i="4" a="1"/>
  <c r="W54" i="4" s="1"/>
  <c r="W55" i="4" a="1"/>
  <c r="W55" i="4" s="1"/>
  <c r="W56" i="4" a="1"/>
  <c r="W56" i="4" s="1"/>
  <c r="W57" i="4" a="1"/>
  <c r="W57" i="4" s="1"/>
  <c r="W58" i="4" a="1"/>
  <c r="W58" i="4" s="1"/>
  <c r="W59" i="4" a="1"/>
  <c r="W59" i="4" s="1"/>
  <c r="W60" i="4" a="1"/>
  <c r="W60" i="4" s="1"/>
  <c r="W61" i="4" a="1"/>
  <c r="W61" i="4" s="1"/>
  <c r="W62" i="4" a="1"/>
  <c r="W62" i="4" s="1"/>
  <c r="W63" i="4" a="1"/>
  <c r="W63" i="4" s="1"/>
  <c r="W64" i="4" a="1"/>
  <c r="W64" i="4" s="1"/>
  <c r="W65" i="4" a="1"/>
  <c r="W65" i="4" s="1"/>
  <c r="W66" i="4" a="1"/>
  <c r="W66" i="4" s="1"/>
  <c r="W67" i="4" a="1"/>
  <c r="W67" i="4" s="1"/>
  <c r="W68" i="4" a="1"/>
  <c r="W68" i="4" s="1"/>
  <c r="W69" i="4" a="1"/>
  <c r="W69" i="4" s="1"/>
  <c r="W70" i="4" a="1"/>
  <c r="W70" i="4" s="1"/>
  <c r="W71" i="4" a="1"/>
  <c r="W71" i="4" s="1"/>
  <c r="W72" i="4" a="1"/>
  <c r="W72" i="4" s="1"/>
  <c r="W75" i="4" a="1"/>
  <c r="W75" i="4" s="1"/>
  <c r="W76" i="4" a="1"/>
  <c r="W76" i="4" s="1"/>
  <c r="W77" i="4" a="1"/>
  <c r="W77" i="4" s="1"/>
  <c r="W78" i="4" a="1"/>
  <c r="W78" i="4" s="1"/>
  <c r="W79" i="4" a="1"/>
  <c r="W79" i="4" s="1"/>
  <c r="W80" i="4" a="1"/>
  <c r="W80" i="4" s="1"/>
  <c r="W81" i="4" a="1"/>
  <c r="W81" i="4" s="1"/>
  <c r="W82" i="4" a="1"/>
  <c r="W82" i="4" s="1"/>
  <c r="W83" i="4" a="1"/>
  <c r="W83" i="4" s="1"/>
  <c r="W84" i="4" a="1"/>
  <c r="W84" i="4" s="1"/>
  <c r="W85" i="4" a="1"/>
  <c r="W85" i="4" s="1"/>
  <c r="W86" i="4" a="1"/>
  <c r="W86" i="4" s="1"/>
  <c r="W87" i="4" a="1"/>
  <c r="W87" i="4" s="1"/>
  <c r="W88" i="4" a="1"/>
  <c r="W88" i="4" s="1"/>
  <c r="W89" i="4" a="1"/>
  <c r="W89" i="4" s="1"/>
  <c r="W90" i="4" a="1"/>
  <c r="W90" i="4" s="1"/>
  <c r="W91" i="4" a="1"/>
  <c r="W91" i="4" s="1"/>
  <c r="W92" i="4" a="1"/>
  <c r="W92" i="4" s="1"/>
  <c r="W93" i="4" a="1"/>
  <c r="W93" i="4" s="1"/>
  <c r="W94" i="4" a="1"/>
  <c r="W94" i="4" s="1"/>
  <c r="W95" i="4" a="1"/>
  <c r="W95" i="4" s="1"/>
  <c r="W96" i="4" a="1"/>
  <c r="W96" i="4" s="1"/>
  <c r="W97" i="4" a="1"/>
  <c r="W97" i="4" s="1"/>
  <c r="W98" i="4" a="1"/>
  <c r="W98" i="4" s="1"/>
  <c r="W99" i="4" a="1"/>
  <c r="W99" i="4" s="1"/>
  <c r="W100" i="4" a="1"/>
  <c r="W100" i="4" s="1"/>
  <c r="X2" i="4" a="1"/>
  <c r="X2" i="4" s="1"/>
  <c r="X3" i="4" a="1"/>
  <c r="X3" i="4" s="1"/>
  <c r="X4" i="4" a="1"/>
  <c r="X4" i="4" s="1"/>
  <c r="X5" i="4" a="1"/>
  <c r="X5" i="4" s="1"/>
  <c r="X6" i="4" a="1"/>
  <c r="X6" i="4" s="1"/>
  <c r="X7" i="4" a="1"/>
  <c r="X7" i="4" s="1"/>
  <c r="X8" i="4" a="1"/>
  <c r="X8" i="4" s="1"/>
  <c r="X9" i="4" a="1"/>
  <c r="X9" i="4" s="1"/>
  <c r="X10" i="4" a="1"/>
  <c r="X10" i="4" s="1"/>
  <c r="X11" i="4" a="1"/>
  <c r="X11" i="4" s="1"/>
  <c r="X12" i="4" a="1"/>
  <c r="X12" i="4" s="1"/>
  <c r="X13" i="4" a="1"/>
  <c r="X13" i="4" s="1"/>
  <c r="X14" i="4" a="1"/>
  <c r="X14" i="4" s="1"/>
  <c r="X15" i="4" a="1"/>
  <c r="X15" i="4" s="1"/>
  <c r="X16" i="4" a="1"/>
  <c r="X16" i="4" s="1"/>
  <c r="X17" i="4" a="1"/>
  <c r="X17" i="4" s="1"/>
  <c r="X18" i="4" a="1"/>
  <c r="X18" i="4" s="1"/>
  <c r="X19" i="4" a="1"/>
  <c r="X19" i="4" s="1"/>
  <c r="X20" i="4" a="1"/>
  <c r="X20" i="4" s="1"/>
  <c r="X21" i="4" a="1"/>
  <c r="X21" i="4" s="1"/>
  <c r="X22" i="4" a="1"/>
  <c r="X22" i="4" s="1"/>
  <c r="X23" i="4" a="1"/>
  <c r="X23" i="4" s="1"/>
  <c r="X26" i="4" a="1"/>
  <c r="X26" i="4" s="1"/>
  <c r="X27" i="4" a="1"/>
  <c r="X27" i="4" s="1"/>
  <c r="X28" i="4" a="1"/>
  <c r="X28" i="4" s="1"/>
  <c r="X29" i="4" a="1"/>
  <c r="X29" i="4" s="1"/>
  <c r="X30" i="4" a="1"/>
  <c r="X30" i="4" s="1"/>
  <c r="X31" i="4" a="1"/>
  <c r="X31" i="4" s="1"/>
  <c r="X32" i="4" a="1"/>
  <c r="X32" i="4" s="1"/>
  <c r="X33" i="4" a="1"/>
  <c r="X33" i="4" s="1"/>
  <c r="X34" i="4" a="1"/>
  <c r="X34" i="4" s="1"/>
  <c r="X35" i="4" a="1"/>
  <c r="X35" i="4" s="1"/>
  <c r="X36" i="4" a="1"/>
  <c r="X36" i="4" s="1"/>
  <c r="X37" i="4" a="1"/>
  <c r="X37" i="4" s="1"/>
  <c r="X38" i="4" a="1"/>
  <c r="X38" i="4" s="1"/>
  <c r="X39" i="4" a="1"/>
  <c r="X39" i="4" s="1"/>
  <c r="X40" i="4" a="1"/>
  <c r="X40" i="4" s="1"/>
  <c r="X41" i="4" a="1"/>
  <c r="X41" i="4" s="1"/>
  <c r="X42" i="4" a="1"/>
  <c r="X42" i="4" s="1"/>
  <c r="X43" i="4" a="1"/>
  <c r="X43" i="4" s="1"/>
  <c r="X44" i="4" a="1"/>
  <c r="X44" i="4" s="1"/>
  <c r="X45" i="4" a="1"/>
  <c r="X45" i="4" s="1"/>
  <c r="X46" i="4" a="1"/>
  <c r="X46" i="4" s="1"/>
  <c r="X49" i="4" a="1"/>
  <c r="X49" i="4" s="1"/>
  <c r="X50" i="4" a="1"/>
  <c r="X50" i="4" s="1"/>
  <c r="X51" i="4" a="1"/>
  <c r="X51" i="4" s="1"/>
  <c r="X52" i="4" a="1"/>
  <c r="X52" i="4" s="1"/>
  <c r="X53" i="4" a="1"/>
  <c r="X53" i="4" s="1"/>
  <c r="X54" i="4" a="1"/>
  <c r="X54" i="4" s="1"/>
  <c r="X55" i="4" a="1"/>
  <c r="X55" i="4" s="1"/>
  <c r="X56" i="4" a="1"/>
  <c r="X56" i="4" s="1"/>
  <c r="X57" i="4" a="1"/>
  <c r="X57" i="4" s="1"/>
  <c r="X58" i="4" a="1"/>
  <c r="X58" i="4" s="1"/>
  <c r="X59" i="4" a="1"/>
  <c r="X59" i="4" s="1"/>
  <c r="X60" i="4" a="1"/>
  <c r="X60" i="4" s="1"/>
  <c r="X61" i="4" a="1"/>
  <c r="X61" i="4" s="1"/>
  <c r="X62" i="4" a="1"/>
  <c r="X62" i="4" s="1"/>
  <c r="X63" i="4" a="1"/>
  <c r="X63" i="4" s="1"/>
  <c r="X64" i="4" a="1"/>
  <c r="X64" i="4" s="1"/>
  <c r="X65" i="4" a="1"/>
  <c r="X65" i="4" s="1"/>
  <c r="X66" i="4" a="1"/>
  <c r="X66" i="4" s="1"/>
  <c r="X67" i="4" a="1"/>
  <c r="X67" i="4" s="1"/>
  <c r="X68" i="4" a="1"/>
  <c r="X68" i="4" s="1"/>
  <c r="X69" i="4" a="1"/>
  <c r="X69" i="4" s="1"/>
  <c r="X70" i="4" a="1"/>
  <c r="X70" i="4" s="1"/>
  <c r="X71" i="4" a="1"/>
  <c r="X71" i="4" s="1"/>
  <c r="X72" i="4" a="1"/>
  <c r="X72" i="4" s="1"/>
  <c r="X75" i="4" a="1"/>
  <c r="X75" i="4" s="1"/>
  <c r="X76" i="4" a="1"/>
  <c r="X76" i="4" s="1"/>
  <c r="X77" i="4" a="1"/>
  <c r="X77" i="4" s="1"/>
  <c r="X78" i="4" a="1"/>
  <c r="X78" i="4" s="1"/>
  <c r="X79" i="4" a="1"/>
  <c r="X79" i="4" s="1"/>
  <c r="X80" i="4" a="1"/>
  <c r="X80" i="4" s="1"/>
  <c r="X81" i="4" a="1"/>
  <c r="X81" i="4" s="1"/>
  <c r="X82" i="4" a="1"/>
  <c r="X82" i="4" s="1"/>
  <c r="X83" i="4" a="1"/>
  <c r="X83" i="4" s="1"/>
  <c r="X84" i="4" a="1"/>
  <c r="X84" i="4" s="1"/>
  <c r="X85" i="4" a="1"/>
  <c r="X85" i="4" s="1"/>
  <c r="X86" i="4" a="1"/>
  <c r="X86" i="4" s="1"/>
  <c r="X87" i="4" a="1"/>
  <c r="X87" i="4" s="1"/>
  <c r="X88" i="4" a="1"/>
  <c r="X88" i="4" s="1"/>
  <c r="X89" i="4" a="1"/>
  <c r="X89" i="4" s="1"/>
  <c r="X90" i="4" a="1"/>
  <c r="X90" i="4" s="1"/>
  <c r="X91" i="4" a="1"/>
  <c r="X91" i="4" s="1"/>
  <c r="X92" i="4" a="1"/>
  <c r="X92" i="4" s="1"/>
  <c r="X93" i="4" a="1"/>
  <c r="X93" i="4" s="1"/>
  <c r="X94" i="4" a="1"/>
  <c r="X94" i="4" s="1"/>
  <c r="X95" i="4" a="1"/>
  <c r="X95" i="4" s="1"/>
  <c r="X96" i="4" a="1"/>
  <c r="X96" i="4" s="1"/>
  <c r="X97" i="4" a="1"/>
  <c r="X97" i="4" s="1"/>
  <c r="X98" i="4" a="1"/>
  <c r="X98" i="4" s="1"/>
  <c r="X99" i="4" a="1"/>
  <c r="X99" i="4" s="1"/>
  <c r="X100" i="4" a="1"/>
  <c r="X100" i="4" s="1"/>
  <c r="Y2" i="4" a="1"/>
  <c r="Y2" i="4" s="1"/>
  <c r="Y3" i="4" a="1"/>
  <c r="Y3" i="4" s="1"/>
  <c r="Y4" i="4" a="1"/>
  <c r="Y4" i="4" s="1"/>
  <c r="Y5" i="4" a="1"/>
  <c r="Y5" i="4" s="1"/>
  <c r="Y6" i="4" a="1"/>
  <c r="Y6" i="4" s="1"/>
  <c r="Y7" i="4" a="1"/>
  <c r="Y7" i="4" s="1"/>
  <c r="Y8" i="4" a="1"/>
  <c r="Y8" i="4" s="1"/>
  <c r="Y9" i="4" a="1"/>
  <c r="Y9" i="4" s="1"/>
  <c r="Y10" i="4" a="1"/>
  <c r="Y10" i="4" s="1"/>
  <c r="Y11" i="4" a="1"/>
  <c r="Y11" i="4" s="1"/>
  <c r="Y12" i="4" a="1"/>
  <c r="Y12" i="4" s="1"/>
  <c r="Y13" i="4" a="1"/>
  <c r="Y13" i="4" s="1"/>
  <c r="Y14" i="4" a="1"/>
  <c r="Y14" i="4" s="1"/>
  <c r="Y15" i="4" a="1"/>
  <c r="Y15" i="4" s="1"/>
  <c r="Y16" i="4" a="1"/>
  <c r="Y16" i="4" s="1"/>
  <c r="Y17" i="4" a="1"/>
  <c r="Y17" i="4" s="1"/>
  <c r="Y18" i="4" a="1"/>
  <c r="Y18" i="4" s="1"/>
  <c r="Y19" i="4" a="1"/>
  <c r="Y19" i="4" s="1"/>
  <c r="Y20" i="4" a="1"/>
  <c r="Y20" i="4" s="1"/>
  <c r="Y21" i="4" a="1"/>
  <c r="Y21" i="4" s="1"/>
  <c r="Y22" i="4" a="1"/>
  <c r="Y22" i="4" s="1"/>
  <c r="Y23" i="4" a="1"/>
  <c r="Y23" i="4" s="1"/>
  <c r="Y26" i="4" a="1"/>
  <c r="Y26" i="4" s="1"/>
  <c r="Y27" i="4" a="1"/>
  <c r="Y27" i="4" s="1"/>
  <c r="Y28" i="4" a="1"/>
  <c r="Y28" i="4" s="1"/>
  <c r="Y29" i="4" a="1"/>
  <c r="Y29" i="4" s="1"/>
  <c r="Y30" i="4" a="1"/>
  <c r="Y30" i="4" s="1"/>
  <c r="Y31" i="4" a="1"/>
  <c r="Y31" i="4" s="1"/>
  <c r="Y32" i="4" a="1"/>
  <c r="Y32" i="4" s="1"/>
  <c r="Y33" i="4" a="1"/>
  <c r="Y33" i="4" s="1"/>
  <c r="Y34" i="4" a="1"/>
  <c r="Y34" i="4" s="1"/>
  <c r="Y35" i="4" a="1"/>
  <c r="Y35" i="4" s="1"/>
  <c r="Y36" i="4" a="1"/>
  <c r="Y36" i="4" s="1"/>
  <c r="Y37" i="4" a="1"/>
  <c r="Y37" i="4" s="1"/>
  <c r="Y38" i="4" a="1"/>
  <c r="Y38" i="4" s="1"/>
  <c r="Y39" i="4" a="1"/>
  <c r="Y39" i="4" s="1"/>
  <c r="Y40" i="4" a="1"/>
  <c r="Y40" i="4" s="1"/>
  <c r="Y41" i="4" a="1"/>
  <c r="Y41" i="4" s="1"/>
  <c r="Y42" i="4" a="1"/>
  <c r="Y42" i="4" s="1"/>
  <c r="Y43" i="4" a="1"/>
  <c r="Y43" i="4" s="1"/>
  <c r="Y44" i="4" a="1"/>
  <c r="Y44" i="4" s="1"/>
  <c r="Y45" i="4" a="1"/>
  <c r="Y45" i="4" s="1"/>
  <c r="Y46" i="4" a="1"/>
  <c r="Y46" i="4" s="1"/>
  <c r="Y49" i="4" a="1"/>
  <c r="Y49" i="4" s="1"/>
  <c r="Y50" i="4" a="1"/>
  <c r="Y50" i="4" s="1"/>
  <c r="Y51" i="4" a="1"/>
  <c r="Y51" i="4" s="1"/>
  <c r="Y52" i="4" a="1"/>
  <c r="Y52" i="4" s="1"/>
  <c r="Y53" i="4" a="1"/>
  <c r="Y53" i="4" s="1"/>
  <c r="Y54" i="4" a="1"/>
  <c r="Y54" i="4" s="1"/>
  <c r="Y55" i="4" a="1"/>
  <c r="Y55" i="4" s="1"/>
  <c r="Y56" i="4" a="1"/>
  <c r="Y56" i="4" s="1"/>
  <c r="Y57" i="4" a="1"/>
  <c r="Y57" i="4" s="1"/>
  <c r="Y58" i="4" a="1"/>
  <c r="Y58" i="4" s="1"/>
  <c r="Y59" i="4" a="1"/>
  <c r="Y59" i="4" s="1"/>
  <c r="Y60" i="4" a="1"/>
  <c r="Y60" i="4" s="1"/>
  <c r="Y61" i="4" a="1"/>
  <c r="Y61" i="4" s="1"/>
  <c r="Y62" i="4" a="1"/>
  <c r="Y62" i="4" s="1"/>
  <c r="Y63" i="4" a="1"/>
  <c r="Y63" i="4" s="1"/>
  <c r="Y64" i="4" a="1"/>
  <c r="Y64" i="4" s="1"/>
  <c r="Y65" i="4" a="1"/>
  <c r="Y65" i="4" s="1"/>
  <c r="Y66" i="4" a="1"/>
  <c r="Y66" i="4" s="1"/>
  <c r="Y67" i="4" a="1"/>
  <c r="Y67" i="4" s="1"/>
  <c r="Y68" i="4" a="1"/>
  <c r="Y68" i="4" s="1"/>
  <c r="Y69" i="4" a="1"/>
  <c r="Y69" i="4" s="1"/>
  <c r="Y70" i="4" a="1"/>
  <c r="Y70" i="4" s="1"/>
  <c r="Y71" i="4" a="1"/>
  <c r="Y71" i="4" s="1"/>
  <c r="Y72" i="4" a="1"/>
  <c r="Y72" i="4" s="1"/>
  <c r="Y75" i="4" a="1"/>
  <c r="Y75" i="4" s="1"/>
  <c r="Y76" i="4" a="1"/>
  <c r="Y76" i="4" s="1"/>
  <c r="Y77" i="4" a="1"/>
  <c r="Y77" i="4" s="1"/>
  <c r="Y78" i="4" a="1"/>
  <c r="Y78" i="4" s="1"/>
  <c r="Y79" i="4" a="1"/>
  <c r="Y79" i="4" s="1"/>
  <c r="Y80" i="4" a="1"/>
  <c r="Y80" i="4" s="1"/>
  <c r="Y81" i="4" a="1"/>
  <c r="Y81" i="4" s="1"/>
  <c r="Y82" i="4" a="1"/>
  <c r="Y82" i="4" s="1"/>
  <c r="Y83" i="4" a="1"/>
  <c r="Y83" i="4" s="1"/>
  <c r="Y84" i="4" a="1"/>
  <c r="Y84" i="4" s="1"/>
  <c r="Y85" i="4" a="1"/>
  <c r="Y85" i="4" s="1"/>
  <c r="Y86" i="4" a="1"/>
  <c r="Y86" i="4" s="1"/>
  <c r="Y87" i="4" a="1"/>
  <c r="Y87" i="4" s="1"/>
  <c r="Y88" i="4" a="1"/>
  <c r="Y88" i="4" s="1"/>
  <c r="Y89" i="4" a="1"/>
  <c r="Y89" i="4" s="1"/>
  <c r="Y90" i="4" a="1"/>
  <c r="Y90" i="4" s="1"/>
  <c r="Y91" i="4" a="1"/>
  <c r="Y91" i="4" s="1"/>
  <c r="Y92" i="4" a="1"/>
  <c r="Y92" i="4" s="1"/>
  <c r="Y93" i="4" a="1"/>
  <c r="Y93" i="4" s="1"/>
  <c r="Y94" i="4" a="1"/>
  <c r="Y94" i="4" s="1"/>
  <c r="Y95" i="4" a="1"/>
  <c r="Y95" i="4" s="1"/>
  <c r="Y96" i="4" a="1"/>
  <c r="Y96" i="4" s="1"/>
  <c r="Y97" i="4" a="1"/>
  <c r="Y97" i="4" s="1"/>
  <c r="Y98" i="4" a="1"/>
  <c r="Y98" i="4" s="1"/>
  <c r="Y99" i="4" a="1"/>
  <c r="Y99" i="4" s="1"/>
  <c r="Y100" i="4" a="1"/>
  <c r="Y100" i="4" s="1"/>
  <c r="Z2" i="4" a="1"/>
  <c r="Z2" i="4" s="1"/>
  <c r="Z3" i="4" a="1"/>
  <c r="Z3" i="4" s="1"/>
  <c r="Z4" i="4" a="1"/>
  <c r="Z4" i="4" s="1"/>
  <c r="Z5" i="4" a="1"/>
  <c r="Z5" i="4" s="1"/>
  <c r="Z6" i="4" a="1"/>
  <c r="Z6" i="4" s="1"/>
  <c r="Z7" i="4" a="1"/>
  <c r="Z7" i="4" s="1"/>
  <c r="Z8" i="4" a="1"/>
  <c r="Z8" i="4" s="1"/>
  <c r="Z9" i="4" a="1"/>
  <c r="Z9" i="4" s="1"/>
  <c r="Z10" i="4" a="1"/>
  <c r="Z10" i="4" s="1"/>
  <c r="Z11" i="4" a="1"/>
  <c r="Z11" i="4" s="1"/>
  <c r="Z12" i="4" a="1"/>
  <c r="Z12" i="4" s="1"/>
  <c r="Z13" i="4" a="1"/>
  <c r="Z13" i="4" s="1"/>
  <c r="Z14" i="4" a="1"/>
  <c r="Z14" i="4" s="1"/>
  <c r="Z15" i="4" a="1"/>
  <c r="Z15" i="4" s="1"/>
  <c r="Z16" i="4" a="1"/>
  <c r="Z16" i="4" s="1"/>
  <c r="Z17" i="4" a="1"/>
  <c r="Z17" i="4" s="1"/>
  <c r="Z18" i="4" a="1"/>
  <c r="Z18" i="4" s="1"/>
  <c r="Z19" i="4" a="1"/>
  <c r="Z19" i="4" s="1"/>
  <c r="Z20" i="4" a="1"/>
  <c r="Z20" i="4" s="1"/>
  <c r="Z21" i="4" a="1"/>
  <c r="Z21" i="4" s="1"/>
  <c r="Z22" i="4" a="1"/>
  <c r="Z22" i="4" s="1"/>
  <c r="Z23" i="4" a="1"/>
  <c r="Z23" i="4" s="1"/>
  <c r="Z26" i="4" a="1"/>
  <c r="Z26" i="4" s="1"/>
  <c r="Z27" i="4" a="1"/>
  <c r="Z27" i="4" s="1"/>
  <c r="Z28" i="4" a="1"/>
  <c r="Z28" i="4" s="1"/>
  <c r="Z29" i="4" a="1"/>
  <c r="Z29" i="4" s="1"/>
  <c r="Z30" i="4" a="1"/>
  <c r="Z30" i="4" s="1"/>
  <c r="Z31" i="4" a="1"/>
  <c r="Z31" i="4" s="1"/>
  <c r="Z32" i="4" a="1"/>
  <c r="Z32" i="4" s="1"/>
  <c r="Z33" i="4" a="1"/>
  <c r="Z33" i="4" s="1"/>
  <c r="Z34" i="4" a="1"/>
  <c r="Z34" i="4" s="1"/>
  <c r="Z35" i="4" a="1"/>
  <c r="Z35" i="4" s="1"/>
  <c r="Z36" i="4" a="1"/>
  <c r="Z36" i="4" s="1"/>
  <c r="Z37" i="4" a="1"/>
  <c r="Z37" i="4" s="1"/>
  <c r="Z38" i="4" a="1"/>
  <c r="Z38" i="4" s="1"/>
  <c r="Z39" i="4" a="1"/>
  <c r="Z39" i="4" s="1"/>
  <c r="Z40" i="4" a="1"/>
  <c r="Z40" i="4" s="1"/>
  <c r="Z41" i="4" a="1"/>
  <c r="Z41" i="4" s="1"/>
  <c r="Z42" i="4" a="1"/>
  <c r="Z42" i="4" s="1"/>
  <c r="Z43" i="4" a="1"/>
  <c r="Z43" i="4" s="1"/>
  <c r="Z44" i="4" a="1"/>
  <c r="Z44" i="4" s="1"/>
  <c r="Z45" i="4" a="1"/>
  <c r="Z45" i="4" s="1"/>
  <c r="Z46" i="4" a="1"/>
  <c r="Z46" i="4" s="1"/>
  <c r="Z49" i="4" a="1"/>
  <c r="Z49" i="4" s="1"/>
  <c r="Z50" i="4" a="1"/>
  <c r="Z50" i="4" s="1"/>
  <c r="Z51" i="4" a="1"/>
  <c r="Z51" i="4" s="1"/>
  <c r="Z52" i="4" a="1"/>
  <c r="Z52" i="4" s="1"/>
  <c r="Z53" i="4" a="1"/>
  <c r="Z53" i="4" s="1"/>
  <c r="Z54" i="4" a="1"/>
  <c r="Z54" i="4" s="1"/>
  <c r="Z55" i="4" a="1"/>
  <c r="Z55" i="4" s="1"/>
  <c r="Z56" i="4" a="1"/>
  <c r="Z56" i="4" s="1"/>
  <c r="Z57" i="4" a="1"/>
  <c r="Z57" i="4" s="1"/>
  <c r="Z58" i="4" a="1"/>
  <c r="Z58" i="4" s="1"/>
  <c r="Z59" i="4" a="1"/>
  <c r="Z59" i="4" s="1"/>
  <c r="Z60" i="4" a="1"/>
  <c r="Z60" i="4" s="1"/>
  <c r="Z61" i="4" a="1"/>
  <c r="Z61" i="4" s="1"/>
  <c r="Z62" i="4" a="1"/>
  <c r="Z62" i="4" s="1"/>
  <c r="Z63" i="4" a="1"/>
  <c r="Z63" i="4" s="1"/>
  <c r="Z64" i="4" a="1"/>
  <c r="Z64" i="4" s="1"/>
  <c r="Z65" i="4" a="1"/>
  <c r="Z65" i="4" s="1"/>
  <c r="Z66" i="4" a="1"/>
  <c r="Z66" i="4" s="1"/>
  <c r="Z67" i="4" a="1"/>
  <c r="Z67" i="4" s="1"/>
  <c r="Z68" i="4" a="1"/>
  <c r="Z68" i="4" s="1"/>
  <c r="Z69" i="4" a="1"/>
  <c r="Z69" i="4" s="1"/>
  <c r="Z70" i="4" a="1"/>
  <c r="Z70" i="4" s="1"/>
  <c r="Z71" i="4" a="1"/>
  <c r="Z71" i="4" s="1"/>
  <c r="Z72" i="4" a="1"/>
  <c r="Z72" i="4" s="1"/>
  <c r="Z75" i="4" a="1"/>
  <c r="Z75" i="4" s="1"/>
  <c r="Z76" i="4" a="1"/>
  <c r="Z76" i="4" s="1"/>
  <c r="Z77" i="4" a="1"/>
  <c r="Z77" i="4" s="1"/>
  <c r="Z78" i="4" a="1"/>
  <c r="Z78" i="4" s="1"/>
  <c r="Z79" i="4" a="1"/>
  <c r="Z79" i="4" s="1"/>
  <c r="Z80" i="4" a="1"/>
  <c r="Z80" i="4" s="1"/>
  <c r="Z81" i="4" a="1"/>
  <c r="Z81" i="4" s="1"/>
  <c r="Z82" i="4" a="1"/>
  <c r="Z82" i="4" s="1"/>
  <c r="Z83" i="4" a="1"/>
  <c r="Z83" i="4" s="1"/>
  <c r="Z84" i="4" a="1"/>
  <c r="Z84" i="4" s="1"/>
  <c r="Z85" i="4" a="1"/>
  <c r="Z85" i="4" s="1"/>
  <c r="Z86" i="4" a="1"/>
  <c r="Z86" i="4" s="1"/>
  <c r="Z87" i="4" a="1"/>
  <c r="Z87" i="4" s="1"/>
  <c r="Z88" i="4" a="1"/>
  <c r="Z88" i="4" s="1"/>
  <c r="Z89" i="4" a="1"/>
  <c r="Z89" i="4" s="1"/>
  <c r="Z90" i="4" a="1"/>
  <c r="Z90" i="4" s="1"/>
  <c r="Z91" i="4" a="1"/>
  <c r="Z91" i="4" s="1"/>
  <c r="Z92" i="4" a="1"/>
  <c r="Z92" i="4" s="1"/>
  <c r="Z93" i="4" a="1"/>
  <c r="Z93" i="4" s="1"/>
  <c r="Z94" i="4" a="1"/>
  <c r="Z94" i="4" s="1"/>
  <c r="Z95" i="4" a="1"/>
  <c r="Z95" i="4" s="1"/>
  <c r="Z96" i="4" a="1"/>
  <c r="Z96" i="4" s="1"/>
  <c r="Z97" i="4" a="1"/>
  <c r="Z97" i="4" s="1"/>
  <c r="Z98" i="4" a="1"/>
  <c r="Z98" i="4" s="1"/>
  <c r="Z99" i="4" a="1"/>
  <c r="Z99" i="4" s="1"/>
  <c r="Z100" i="4" a="1"/>
  <c r="Z100" i="4" s="1"/>
  <c r="Q2" i="4" a="1"/>
  <c r="Q2" i="4" s="1"/>
  <c r="Q3" i="4" a="1"/>
  <c r="Q3" i="4" s="1"/>
  <c r="Q4" i="4" a="1"/>
  <c r="Q4" i="4" s="1"/>
  <c r="Q5" i="4" a="1"/>
  <c r="Q5" i="4" s="1"/>
  <c r="Q6" i="4" a="1"/>
  <c r="Q6" i="4" s="1"/>
  <c r="Q7" i="4" a="1"/>
  <c r="Q7" i="4" s="1"/>
  <c r="Q8" i="4" a="1"/>
  <c r="Q8" i="4" s="1"/>
  <c r="Q9" i="4" a="1"/>
  <c r="Q9" i="4" s="1"/>
  <c r="Q10" i="4" a="1"/>
  <c r="Q10" i="4" s="1"/>
  <c r="Q11" i="4" a="1"/>
  <c r="Q11" i="4" s="1"/>
  <c r="Q12" i="4" a="1"/>
  <c r="Q12" i="4" s="1"/>
  <c r="Q13" i="4" a="1"/>
  <c r="Q13" i="4" s="1"/>
  <c r="Q14" i="4" a="1"/>
  <c r="Q14" i="4" s="1"/>
  <c r="Q15" i="4" a="1"/>
  <c r="Q15" i="4" s="1"/>
  <c r="Q16" i="4" a="1"/>
  <c r="Q16" i="4" s="1"/>
  <c r="Q17" i="4" a="1"/>
  <c r="Q17" i="4" s="1"/>
  <c r="Q18" i="4" a="1"/>
  <c r="Q18" i="4" s="1"/>
  <c r="Q19" i="4" a="1"/>
  <c r="Q19" i="4" s="1"/>
  <c r="Q20" i="4" a="1"/>
  <c r="Q20" i="4" s="1"/>
  <c r="Q21" i="4" a="1"/>
  <c r="Q21" i="4" s="1"/>
  <c r="Q22" i="4" a="1"/>
  <c r="Q22" i="4" s="1"/>
  <c r="Q23" i="4" a="1"/>
  <c r="Q23" i="4" s="1"/>
  <c r="Q26" i="4" a="1"/>
  <c r="Q26" i="4" s="1"/>
  <c r="Q27" i="4" a="1"/>
  <c r="Q27" i="4" s="1"/>
  <c r="Q28" i="4" a="1"/>
  <c r="Q28" i="4" s="1"/>
  <c r="Q29" i="4" a="1"/>
  <c r="Q29" i="4" s="1"/>
  <c r="Q30" i="4" a="1"/>
  <c r="Q30" i="4" s="1"/>
  <c r="Q31" i="4" a="1"/>
  <c r="Q31" i="4" s="1"/>
  <c r="Q32" i="4" a="1"/>
  <c r="Q32" i="4" s="1"/>
  <c r="Q33" i="4" a="1"/>
  <c r="Q33" i="4" s="1"/>
  <c r="Q34" i="4" a="1"/>
  <c r="Q34" i="4" s="1"/>
  <c r="Q35" i="4" a="1"/>
  <c r="Q35" i="4" s="1"/>
  <c r="Q36" i="4" a="1"/>
  <c r="Q36" i="4" s="1"/>
  <c r="Q37" i="4" a="1"/>
  <c r="Q37" i="4" s="1"/>
  <c r="Q38" i="4" a="1"/>
  <c r="Q38" i="4" s="1"/>
  <c r="Q39" i="4" a="1"/>
  <c r="Q39" i="4" s="1"/>
  <c r="Q40" i="4" a="1"/>
  <c r="Q40" i="4" s="1"/>
  <c r="Q41" i="4" a="1"/>
  <c r="Q41" i="4" s="1"/>
  <c r="Q42" i="4" a="1"/>
  <c r="Q42" i="4" s="1"/>
  <c r="Q43" i="4" a="1"/>
  <c r="Q43" i="4" s="1"/>
  <c r="Q44" i="4" a="1"/>
  <c r="Q44" i="4" s="1"/>
  <c r="Q45" i="4" a="1"/>
  <c r="Q45" i="4" s="1"/>
  <c r="Q46" i="4" a="1"/>
  <c r="Q46" i="4" s="1"/>
  <c r="Q49" i="4" a="1"/>
  <c r="Q49" i="4" s="1"/>
  <c r="Q50" i="4" a="1"/>
  <c r="Q50" i="4" s="1"/>
  <c r="Q51" i="4" a="1"/>
  <c r="Q51" i="4" s="1"/>
  <c r="Q52" i="4" a="1"/>
  <c r="Q52" i="4" s="1"/>
  <c r="Q53" i="4" a="1"/>
  <c r="Q53" i="4" s="1"/>
  <c r="Q54" i="4" a="1"/>
  <c r="Q54" i="4" s="1"/>
  <c r="Q55" i="4" a="1"/>
  <c r="Q55" i="4" s="1"/>
  <c r="Q56" i="4" a="1"/>
  <c r="Q56" i="4" s="1"/>
  <c r="Q57" i="4" a="1"/>
  <c r="Q57" i="4" s="1"/>
  <c r="Q58" i="4" a="1"/>
  <c r="Q58" i="4" s="1"/>
  <c r="Q59" i="4" a="1"/>
  <c r="Q59" i="4" s="1"/>
  <c r="Q60" i="4" a="1"/>
  <c r="Q60" i="4" s="1"/>
  <c r="Q61" i="4" a="1"/>
  <c r="Q61" i="4" s="1"/>
  <c r="Q62" i="4" a="1"/>
  <c r="Q62" i="4" s="1"/>
  <c r="Q63" i="4" a="1"/>
  <c r="Q63" i="4" s="1"/>
  <c r="Q64" i="4" a="1"/>
  <c r="Q64" i="4" s="1"/>
  <c r="Q65" i="4" a="1"/>
  <c r="Q65" i="4" s="1"/>
  <c r="Q66" i="4" a="1"/>
  <c r="Q66" i="4" s="1"/>
  <c r="Q67" i="4" a="1"/>
  <c r="Q67" i="4" s="1"/>
  <c r="Q68" i="4" a="1"/>
  <c r="Q68" i="4" s="1"/>
  <c r="Q69" i="4" a="1"/>
  <c r="Q69" i="4" s="1"/>
  <c r="Q70" i="4" a="1"/>
  <c r="Q70" i="4" s="1"/>
  <c r="Q71" i="4" a="1"/>
  <c r="Q71" i="4" s="1"/>
  <c r="Q72" i="4" a="1"/>
  <c r="Q72" i="4" s="1"/>
  <c r="Q75" i="4" a="1"/>
  <c r="Q75" i="4" s="1"/>
  <c r="Q76" i="4" a="1"/>
  <c r="Q76" i="4" s="1"/>
  <c r="Q77" i="4" a="1"/>
  <c r="Q77" i="4" s="1"/>
  <c r="Q78" i="4" a="1"/>
  <c r="Q78" i="4" s="1"/>
  <c r="Q79" i="4" a="1"/>
  <c r="Q79" i="4" s="1"/>
  <c r="Q80" i="4" a="1"/>
  <c r="Q80" i="4" s="1"/>
  <c r="Q81" i="4" a="1"/>
  <c r="Q81" i="4" s="1"/>
  <c r="Q82" i="4" a="1"/>
  <c r="Q82" i="4" s="1"/>
  <c r="Q83" i="4" a="1"/>
  <c r="Q83" i="4" s="1"/>
  <c r="Q84" i="4" a="1"/>
  <c r="Q84" i="4" s="1"/>
  <c r="Q85" i="4" a="1"/>
  <c r="Q85" i="4" s="1"/>
  <c r="Q86" i="4" a="1"/>
  <c r="Q86" i="4" s="1"/>
  <c r="Q87" i="4" a="1"/>
  <c r="Q87" i="4" s="1"/>
  <c r="Q88" i="4" a="1"/>
  <c r="Q88" i="4" s="1"/>
  <c r="Q89" i="4" a="1"/>
  <c r="Q89" i="4" s="1"/>
  <c r="Q90" i="4" a="1"/>
  <c r="Q90" i="4" s="1"/>
  <c r="Q91" i="4" a="1"/>
  <c r="Q91" i="4" s="1"/>
  <c r="Q92" i="4" a="1"/>
  <c r="Q92" i="4" s="1"/>
  <c r="Q93" i="4" a="1"/>
  <c r="Q93" i="4" s="1"/>
  <c r="Q94" i="4" a="1"/>
  <c r="Q94" i="4" s="1"/>
  <c r="Q95" i="4" a="1"/>
  <c r="Q95" i="4" s="1"/>
  <c r="Q96" i="4" a="1"/>
  <c r="Q96" i="4" s="1"/>
  <c r="Q97" i="4" a="1"/>
  <c r="Q97" i="4" s="1"/>
  <c r="Q98" i="4" a="1"/>
  <c r="Q98" i="4" s="1"/>
  <c r="Q99" i="4" a="1"/>
  <c r="Q99" i="4" s="1"/>
  <c r="Q100" i="4" a="1"/>
  <c r="Q100" i="4" s="1"/>
  <c r="I2" i="4" a="1"/>
  <c r="I2" i="4" s="1"/>
  <c r="I3" i="4" a="1"/>
  <c r="I3" i="4" s="1"/>
  <c r="I4" i="4" a="1"/>
  <c r="I4" i="4" s="1"/>
  <c r="I5" i="4" a="1"/>
  <c r="I5" i="4" s="1"/>
  <c r="I6" i="4" a="1"/>
  <c r="I6" i="4" s="1"/>
  <c r="I7" i="4" a="1"/>
  <c r="I7" i="4" s="1"/>
  <c r="I8" i="4" a="1"/>
  <c r="I8" i="4" s="1"/>
  <c r="I9" i="4" a="1"/>
  <c r="I9" i="4" s="1"/>
  <c r="I10" i="4" a="1"/>
  <c r="I10" i="4" s="1"/>
  <c r="I11" i="4" a="1"/>
  <c r="I11" i="4" s="1"/>
  <c r="I12" i="4" a="1"/>
  <c r="I12" i="4" s="1"/>
  <c r="I13" i="4" a="1"/>
  <c r="I13" i="4" s="1"/>
  <c r="I14" i="4" a="1"/>
  <c r="I14" i="4" s="1"/>
  <c r="I15" i="4" a="1"/>
  <c r="I15" i="4" s="1"/>
  <c r="I16" i="4" a="1"/>
  <c r="I16" i="4" s="1"/>
  <c r="I17" i="4" a="1"/>
  <c r="I17" i="4" s="1"/>
  <c r="I18" i="4" a="1"/>
  <c r="I18" i="4" s="1"/>
  <c r="I19" i="4" a="1"/>
  <c r="I19" i="4" s="1"/>
  <c r="I20" i="4" a="1"/>
  <c r="I20" i="4" s="1"/>
  <c r="I21" i="4" a="1"/>
  <c r="I21" i="4" s="1"/>
  <c r="I22" i="4" a="1"/>
  <c r="I22" i="4" s="1"/>
  <c r="I23" i="4" a="1"/>
  <c r="I23" i="4" s="1"/>
  <c r="I26" i="4" a="1"/>
  <c r="I26" i="4" s="1"/>
  <c r="I27" i="4" a="1"/>
  <c r="I27" i="4" s="1"/>
  <c r="I28" i="4" a="1"/>
  <c r="I28" i="4" s="1"/>
  <c r="I29" i="4" a="1"/>
  <c r="I29" i="4" s="1"/>
  <c r="I30" i="4" a="1"/>
  <c r="I30" i="4" s="1"/>
  <c r="I31" i="4" a="1"/>
  <c r="I31" i="4" s="1"/>
  <c r="I32" i="4" a="1"/>
  <c r="I32" i="4" s="1"/>
  <c r="I33" i="4" a="1"/>
  <c r="I33" i="4" s="1"/>
  <c r="I34" i="4" a="1"/>
  <c r="I34" i="4" s="1"/>
  <c r="I35" i="4" a="1"/>
  <c r="I35" i="4" s="1"/>
  <c r="I36" i="4" a="1"/>
  <c r="I36" i="4" s="1"/>
  <c r="I37" i="4" a="1"/>
  <c r="I37" i="4" s="1"/>
  <c r="I38" i="4" a="1"/>
  <c r="I38" i="4" s="1"/>
  <c r="I39" i="4" a="1"/>
  <c r="I39" i="4" s="1"/>
  <c r="I40" i="4" a="1"/>
  <c r="I40" i="4" s="1"/>
  <c r="I41" i="4" a="1"/>
  <c r="I41" i="4" s="1"/>
  <c r="I42" i="4" a="1"/>
  <c r="I42" i="4" s="1"/>
  <c r="I43" i="4" a="1"/>
  <c r="I43" i="4" s="1"/>
  <c r="I44" i="4" a="1"/>
  <c r="I44" i="4" s="1"/>
  <c r="I45" i="4" a="1"/>
  <c r="I45" i="4" s="1"/>
  <c r="I46" i="4" a="1"/>
  <c r="I46" i="4" s="1"/>
  <c r="I49" i="4" a="1"/>
  <c r="I49" i="4" s="1"/>
  <c r="I50" i="4" a="1"/>
  <c r="I50" i="4" s="1"/>
  <c r="I51" i="4" a="1"/>
  <c r="I51" i="4" s="1"/>
  <c r="I52" i="4" a="1"/>
  <c r="I52" i="4" s="1"/>
  <c r="I53" i="4" a="1"/>
  <c r="I53" i="4" s="1"/>
  <c r="I54" i="4" a="1"/>
  <c r="I54" i="4" s="1"/>
  <c r="I55" i="4" a="1"/>
  <c r="I55" i="4" s="1"/>
  <c r="I56" i="4" a="1"/>
  <c r="I56" i="4" s="1"/>
  <c r="I57" i="4" a="1"/>
  <c r="I57" i="4" s="1"/>
  <c r="I58" i="4" a="1"/>
  <c r="I58" i="4" s="1"/>
  <c r="I59" i="4" a="1"/>
  <c r="I59" i="4" s="1"/>
  <c r="I60" i="4" a="1"/>
  <c r="I60" i="4" s="1"/>
  <c r="I61" i="4" a="1"/>
  <c r="I61" i="4" s="1"/>
  <c r="I62" i="4" a="1"/>
  <c r="I62" i="4" s="1"/>
  <c r="I63" i="4" a="1"/>
  <c r="I63" i="4" s="1"/>
  <c r="I64" i="4" a="1"/>
  <c r="I64" i="4" s="1"/>
  <c r="I65" i="4" a="1"/>
  <c r="I65" i="4" s="1"/>
  <c r="I66" i="4" a="1"/>
  <c r="I66" i="4" s="1"/>
  <c r="I67" i="4" a="1"/>
  <c r="I67" i="4" s="1"/>
  <c r="I68" i="4" a="1"/>
  <c r="I68" i="4" s="1"/>
  <c r="I69" i="4" a="1"/>
  <c r="I69" i="4" s="1"/>
  <c r="I70" i="4" a="1"/>
  <c r="I70" i="4" s="1"/>
  <c r="I71" i="4" a="1"/>
  <c r="I71" i="4" s="1"/>
  <c r="I72" i="4" a="1"/>
  <c r="I72" i="4" s="1"/>
  <c r="I75" i="4" a="1"/>
  <c r="I75" i="4" s="1"/>
  <c r="I76" i="4" a="1"/>
  <c r="I76" i="4" s="1"/>
  <c r="I77" i="4" a="1"/>
  <c r="I77" i="4" s="1"/>
  <c r="I78" i="4" a="1"/>
  <c r="I78" i="4" s="1"/>
  <c r="I79" i="4" a="1"/>
  <c r="I79" i="4" s="1"/>
  <c r="I80" i="4" a="1"/>
  <c r="I80" i="4" s="1"/>
  <c r="I81" i="4" a="1"/>
  <c r="I81" i="4" s="1"/>
  <c r="I82" i="4" a="1"/>
  <c r="I82" i="4" s="1"/>
  <c r="I83" i="4" a="1"/>
  <c r="I83" i="4" s="1"/>
  <c r="I84" i="4" a="1"/>
  <c r="I84" i="4" s="1"/>
  <c r="I85" i="4" a="1"/>
  <c r="I85" i="4" s="1"/>
  <c r="I86" i="4" a="1"/>
  <c r="I86" i="4" s="1"/>
  <c r="I87" i="4" a="1"/>
  <c r="I87" i="4" s="1"/>
  <c r="I88" i="4" a="1"/>
  <c r="I88" i="4" s="1"/>
  <c r="I89" i="4" a="1"/>
  <c r="I89" i="4" s="1"/>
  <c r="I90" i="4" a="1"/>
  <c r="I90" i="4" s="1"/>
  <c r="I91" i="4" a="1"/>
  <c r="I91" i="4" s="1"/>
  <c r="I92" i="4" a="1"/>
  <c r="I92" i="4" s="1"/>
  <c r="I93" i="4" a="1"/>
  <c r="I93" i="4" s="1"/>
  <c r="I94" i="4" a="1"/>
  <c r="I94" i="4" s="1"/>
  <c r="I95" i="4" a="1"/>
  <c r="I95" i="4" s="1"/>
  <c r="I96" i="4" a="1"/>
  <c r="I96" i="4" s="1"/>
  <c r="I97" i="4" a="1"/>
  <c r="I97" i="4" s="1"/>
  <c r="I98" i="4" a="1"/>
  <c r="I98" i="4" s="1"/>
  <c r="I99" i="4" a="1"/>
  <c r="I99" i="4" s="1"/>
  <c r="I100" i="4" a="1"/>
  <c r="I100" i="4" s="1"/>
  <c r="J2" i="4" a="1"/>
  <c r="J2" i="4" s="1"/>
  <c r="J3" i="4" a="1"/>
  <c r="J3" i="4" s="1"/>
  <c r="J4" i="4" a="1"/>
  <c r="J4" i="4" s="1"/>
  <c r="J5" i="4" a="1"/>
  <c r="J5" i="4" s="1"/>
  <c r="J6" i="4" a="1"/>
  <c r="J6" i="4" s="1"/>
  <c r="J7" i="4" a="1"/>
  <c r="J7" i="4" s="1"/>
  <c r="J8" i="4" a="1"/>
  <c r="J8" i="4" s="1"/>
  <c r="J9" i="4" a="1"/>
  <c r="J9" i="4" s="1"/>
  <c r="J10" i="4" a="1"/>
  <c r="J10" i="4" s="1"/>
  <c r="J11" i="4" a="1"/>
  <c r="J11" i="4" s="1"/>
  <c r="J12" i="4" a="1"/>
  <c r="J12" i="4" s="1"/>
  <c r="J13" i="4" a="1"/>
  <c r="J13" i="4" s="1"/>
  <c r="J14" i="4" a="1"/>
  <c r="J14" i="4" s="1"/>
  <c r="J15" i="4" a="1"/>
  <c r="J15" i="4" s="1"/>
  <c r="J16" i="4" a="1"/>
  <c r="J16" i="4" s="1"/>
  <c r="J17" i="4" a="1"/>
  <c r="J17" i="4" s="1"/>
  <c r="J18" i="4" a="1"/>
  <c r="J18" i="4" s="1"/>
  <c r="J19" i="4" a="1"/>
  <c r="J19" i="4" s="1"/>
  <c r="J20" i="4" a="1"/>
  <c r="J20" i="4" s="1"/>
  <c r="J21" i="4" a="1"/>
  <c r="J21" i="4" s="1"/>
  <c r="J22" i="4" a="1"/>
  <c r="J22" i="4" s="1"/>
  <c r="J23" i="4" a="1"/>
  <c r="J23" i="4" s="1"/>
  <c r="J26" i="4" a="1"/>
  <c r="J26" i="4" s="1"/>
  <c r="J27" i="4" a="1"/>
  <c r="J27" i="4" s="1"/>
  <c r="J28" i="4" a="1"/>
  <c r="J28" i="4" s="1"/>
  <c r="J29" i="4" a="1"/>
  <c r="J29" i="4" s="1"/>
  <c r="J30" i="4" a="1"/>
  <c r="J30" i="4" s="1"/>
  <c r="J31" i="4" a="1"/>
  <c r="J31" i="4" s="1"/>
  <c r="J32" i="4" a="1"/>
  <c r="J32" i="4" s="1"/>
  <c r="J33" i="4" a="1"/>
  <c r="J33" i="4" s="1"/>
  <c r="J34" i="4" a="1"/>
  <c r="J34" i="4" s="1"/>
  <c r="J35" i="4" a="1"/>
  <c r="J35" i="4" s="1"/>
  <c r="J36" i="4" a="1"/>
  <c r="J36" i="4" s="1"/>
  <c r="J37" i="4" a="1"/>
  <c r="J37" i="4" s="1"/>
  <c r="J38" i="4" a="1"/>
  <c r="J38" i="4" s="1"/>
  <c r="J39" i="4" a="1"/>
  <c r="J39" i="4" s="1"/>
  <c r="J40" i="4" a="1"/>
  <c r="J40" i="4" s="1"/>
  <c r="J41" i="4" a="1"/>
  <c r="J41" i="4" s="1"/>
  <c r="J42" i="4" a="1"/>
  <c r="J42" i="4" s="1"/>
  <c r="J43" i="4" a="1"/>
  <c r="J43" i="4" s="1"/>
  <c r="J44" i="4" a="1"/>
  <c r="J44" i="4" s="1"/>
  <c r="J45" i="4" a="1"/>
  <c r="J45" i="4" s="1"/>
  <c r="J46" i="4" a="1"/>
  <c r="J46" i="4" s="1"/>
  <c r="J49" i="4" a="1"/>
  <c r="J49" i="4" s="1"/>
  <c r="J50" i="4" a="1"/>
  <c r="J50" i="4" s="1"/>
  <c r="J51" i="4" a="1"/>
  <c r="J51" i="4" s="1"/>
  <c r="J52" i="4" a="1"/>
  <c r="J52" i="4" s="1"/>
  <c r="J53" i="4" a="1"/>
  <c r="J53" i="4" s="1"/>
  <c r="J54" i="4" a="1"/>
  <c r="J54" i="4" s="1"/>
  <c r="J55" i="4" a="1"/>
  <c r="J55" i="4" s="1"/>
  <c r="J56" i="4" a="1"/>
  <c r="J56" i="4" s="1"/>
  <c r="J57" i="4" a="1"/>
  <c r="J57" i="4" s="1"/>
  <c r="J58" i="4" a="1"/>
  <c r="J58" i="4" s="1"/>
  <c r="J59" i="4" a="1"/>
  <c r="J59" i="4" s="1"/>
  <c r="J60" i="4" a="1"/>
  <c r="J60" i="4" s="1"/>
  <c r="J61" i="4" a="1"/>
  <c r="J61" i="4" s="1"/>
  <c r="J62" i="4" a="1"/>
  <c r="J62" i="4" s="1"/>
  <c r="J63" i="4" a="1"/>
  <c r="J63" i="4" s="1"/>
  <c r="J64" i="4" a="1"/>
  <c r="J64" i="4" s="1"/>
  <c r="J65" i="4" a="1"/>
  <c r="J65" i="4" s="1"/>
  <c r="J66" i="4" a="1"/>
  <c r="J66" i="4" s="1"/>
  <c r="J67" i="4" a="1"/>
  <c r="J67" i="4" s="1"/>
  <c r="J68" i="4" a="1"/>
  <c r="J68" i="4" s="1"/>
  <c r="J69" i="4" a="1"/>
  <c r="J69" i="4" s="1"/>
  <c r="J70" i="4" a="1"/>
  <c r="J70" i="4" s="1"/>
  <c r="J71" i="4" a="1"/>
  <c r="J71" i="4" s="1"/>
  <c r="J72" i="4" a="1"/>
  <c r="J72" i="4" s="1"/>
  <c r="J75" i="4" a="1"/>
  <c r="J75" i="4" s="1"/>
  <c r="J76" i="4" a="1"/>
  <c r="J76" i="4" s="1"/>
  <c r="J77" i="4" a="1"/>
  <c r="J77" i="4" s="1"/>
  <c r="J78" i="4" a="1"/>
  <c r="J78" i="4" s="1"/>
  <c r="J79" i="4" a="1"/>
  <c r="J79" i="4" s="1"/>
  <c r="J80" i="4" a="1"/>
  <c r="J80" i="4" s="1"/>
  <c r="J81" i="4" a="1"/>
  <c r="J81" i="4" s="1"/>
  <c r="J82" i="4" a="1"/>
  <c r="J82" i="4" s="1"/>
  <c r="J83" i="4" a="1"/>
  <c r="J83" i="4" s="1"/>
  <c r="J84" i="4" a="1"/>
  <c r="J84" i="4" s="1"/>
  <c r="J85" i="4" a="1"/>
  <c r="J85" i="4" s="1"/>
  <c r="J86" i="4" a="1"/>
  <c r="J86" i="4" s="1"/>
  <c r="J87" i="4" a="1"/>
  <c r="J87" i="4" s="1"/>
  <c r="J88" i="4" a="1"/>
  <c r="J88" i="4" s="1"/>
  <c r="J89" i="4" a="1"/>
  <c r="J89" i="4" s="1"/>
  <c r="J90" i="4" a="1"/>
  <c r="J90" i="4" s="1"/>
  <c r="J91" i="4" a="1"/>
  <c r="J91" i="4" s="1"/>
  <c r="J92" i="4" a="1"/>
  <c r="J92" i="4" s="1"/>
  <c r="J93" i="4" a="1"/>
  <c r="J93" i="4" s="1"/>
  <c r="J94" i="4" a="1"/>
  <c r="J94" i="4" s="1"/>
  <c r="J95" i="4" a="1"/>
  <c r="J95" i="4" s="1"/>
  <c r="J96" i="4" a="1"/>
  <c r="J96" i="4" s="1"/>
  <c r="J97" i="4" a="1"/>
  <c r="J97" i="4" s="1"/>
  <c r="J98" i="4" a="1"/>
  <c r="J98" i="4" s="1"/>
  <c r="J99" i="4" a="1"/>
  <c r="J99" i="4" s="1"/>
  <c r="J100" i="4" a="1"/>
  <c r="J100" i="4" s="1"/>
  <c r="K2" i="4" a="1"/>
  <c r="K2" i="4" s="1"/>
  <c r="K3" i="4" a="1"/>
  <c r="K3" i="4" s="1"/>
  <c r="K4" i="4" a="1"/>
  <c r="K4" i="4" s="1"/>
  <c r="K5" i="4" a="1"/>
  <c r="K5" i="4" s="1"/>
  <c r="K6" i="4" a="1"/>
  <c r="K6" i="4" s="1"/>
  <c r="K7" i="4" a="1"/>
  <c r="K7" i="4" s="1"/>
  <c r="K8" i="4" a="1"/>
  <c r="K8" i="4" s="1"/>
  <c r="K9" i="4" a="1"/>
  <c r="K9" i="4" s="1"/>
  <c r="K10" i="4" a="1"/>
  <c r="K10" i="4" s="1"/>
  <c r="K11" i="4" a="1"/>
  <c r="K11" i="4" s="1"/>
  <c r="K12" i="4" a="1"/>
  <c r="K12" i="4" s="1"/>
  <c r="K13" i="4" a="1"/>
  <c r="K13" i="4" s="1"/>
  <c r="K14" i="4" a="1"/>
  <c r="K14" i="4" s="1"/>
  <c r="K15" i="4" a="1"/>
  <c r="K15" i="4" s="1"/>
  <c r="K16" i="4" a="1"/>
  <c r="K16" i="4" s="1"/>
  <c r="K17" i="4" a="1"/>
  <c r="K17" i="4" s="1"/>
  <c r="K18" i="4" a="1"/>
  <c r="K18" i="4" s="1"/>
  <c r="K19" i="4" a="1"/>
  <c r="K19" i="4" s="1"/>
  <c r="K20" i="4" a="1"/>
  <c r="K20" i="4" s="1"/>
  <c r="K21" i="4" a="1"/>
  <c r="K21" i="4" s="1"/>
  <c r="K22" i="4" a="1"/>
  <c r="K22" i="4" s="1"/>
  <c r="K23" i="4" a="1"/>
  <c r="K23" i="4" s="1"/>
  <c r="K26" i="4" a="1"/>
  <c r="K26" i="4" s="1"/>
  <c r="K27" i="4" a="1"/>
  <c r="K27" i="4" s="1"/>
  <c r="K28" i="4" a="1"/>
  <c r="K28" i="4" s="1"/>
  <c r="K29" i="4" a="1"/>
  <c r="K29" i="4" s="1"/>
  <c r="K30" i="4" a="1"/>
  <c r="K30" i="4" s="1"/>
  <c r="K31" i="4" a="1"/>
  <c r="K31" i="4" s="1"/>
  <c r="K32" i="4" a="1"/>
  <c r="K32" i="4" s="1"/>
  <c r="K33" i="4" a="1"/>
  <c r="K33" i="4" s="1"/>
  <c r="K34" i="4" a="1"/>
  <c r="K34" i="4" s="1"/>
  <c r="K35" i="4" a="1"/>
  <c r="K35" i="4" s="1"/>
  <c r="K36" i="4" a="1"/>
  <c r="K36" i="4" s="1"/>
  <c r="K37" i="4" a="1"/>
  <c r="K37" i="4" s="1"/>
  <c r="K38" i="4" a="1"/>
  <c r="K38" i="4" s="1"/>
  <c r="K39" i="4" a="1"/>
  <c r="K39" i="4" s="1"/>
  <c r="K40" i="4" a="1"/>
  <c r="K40" i="4" s="1"/>
  <c r="K41" i="4" a="1"/>
  <c r="K41" i="4" s="1"/>
  <c r="K42" i="4" a="1"/>
  <c r="K42" i="4" s="1"/>
  <c r="K43" i="4" a="1"/>
  <c r="K43" i="4" s="1"/>
  <c r="K44" i="4" a="1"/>
  <c r="K44" i="4" s="1"/>
  <c r="K45" i="4" a="1"/>
  <c r="K45" i="4" s="1"/>
  <c r="K46" i="4" a="1"/>
  <c r="K46" i="4" s="1"/>
  <c r="K49" i="4" a="1"/>
  <c r="K49" i="4" s="1"/>
  <c r="K50" i="4" a="1"/>
  <c r="K50" i="4" s="1"/>
  <c r="K51" i="4" a="1"/>
  <c r="K51" i="4" s="1"/>
  <c r="K52" i="4" a="1"/>
  <c r="K52" i="4" s="1"/>
  <c r="K53" i="4" a="1"/>
  <c r="K53" i="4" s="1"/>
  <c r="K54" i="4" a="1"/>
  <c r="K54" i="4" s="1"/>
  <c r="K55" i="4" a="1"/>
  <c r="K55" i="4" s="1"/>
  <c r="K56" i="4" a="1"/>
  <c r="K56" i="4" s="1"/>
  <c r="K57" i="4" a="1"/>
  <c r="K57" i="4" s="1"/>
  <c r="K58" i="4" a="1"/>
  <c r="K58" i="4" s="1"/>
  <c r="K59" i="4" a="1"/>
  <c r="K59" i="4" s="1"/>
  <c r="K60" i="4" a="1"/>
  <c r="K60" i="4" s="1"/>
  <c r="K61" i="4" a="1"/>
  <c r="K61" i="4" s="1"/>
  <c r="K62" i="4" a="1"/>
  <c r="K62" i="4" s="1"/>
  <c r="K63" i="4" a="1"/>
  <c r="K63" i="4" s="1"/>
  <c r="K64" i="4" a="1"/>
  <c r="K64" i="4" s="1"/>
  <c r="K65" i="4" a="1"/>
  <c r="K65" i="4" s="1"/>
  <c r="K66" i="4" a="1"/>
  <c r="K66" i="4" s="1"/>
  <c r="K67" i="4" a="1"/>
  <c r="K67" i="4" s="1"/>
  <c r="K68" i="4" a="1"/>
  <c r="K68" i="4" s="1"/>
  <c r="K69" i="4" a="1"/>
  <c r="K69" i="4" s="1"/>
  <c r="K70" i="4" a="1"/>
  <c r="K70" i="4" s="1"/>
  <c r="K71" i="4" a="1"/>
  <c r="K71" i="4" s="1"/>
  <c r="K72" i="4" a="1"/>
  <c r="K72" i="4" s="1"/>
  <c r="K75" i="4" a="1"/>
  <c r="K75" i="4" s="1"/>
  <c r="K76" i="4" a="1"/>
  <c r="K76" i="4" s="1"/>
  <c r="K77" i="4" a="1"/>
  <c r="K77" i="4" s="1"/>
  <c r="K78" i="4" a="1"/>
  <c r="K78" i="4" s="1"/>
  <c r="K79" i="4" a="1"/>
  <c r="K79" i="4" s="1"/>
  <c r="K80" i="4" a="1"/>
  <c r="K80" i="4" s="1"/>
  <c r="K81" i="4" a="1"/>
  <c r="K81" i="4" s="1"/>
  <c r="K82" i="4" a="1"/>
  <c r="K82" i="4" s="1"/>
  <c r="K83" i="4" a="1"/>
  <c r="K83" i="4" s="1"/>
  <c r="K84" i="4" a="1"/>
  <c r="K84" i="4" s="1"/>
  <c r="K85" i="4" a="1"/>
  <c r="K85" i="4" s="1"/>
  <c r="K86" i="4" a="1"/>
  <c r="K86" i="4" s="1"/>
  <c r="K87" i="4" a="1"/>
  <c r="K87" i="4" s="1"/>
  <c r="K88" i="4" a="1"/>
  <c r="K88" i="4" s="1"/>
  <c r="K89" i="4" a="1"/>
  <c r="K89" i="4" s="1"/>
  <c r="K90" i="4" a="1"/>
  <c r="K90" i="4" s="1"/>
  <c r="K91" i="4" a="1"/>
  <c r="K91" i="4" s="1"/>
  <c r="K92" i="4" a="1"/>
  <c r="K92" i="4" s="1"/>
  <c r="K93" i="4" a="1"/>
  <c r="K93" i="4" s="1"/>
  <c r="K94" i="4" a="1"/>
  <c r="K94" i="4" s="1"/>
  <c r="K95" i="4" a="1"/>
  <c r="K95" i="4" s="1"/>
  <c r="K96" i="4" a="1"/>
  <c r="K96" i="4" s="1"/>
  <c r="K97" i="4" a="1"/>
  <c r="K97" i="4" s="1"/>
  <c r="K98" i="4" a="1"/>
  <c r="K98" i="4" s="1"/>
  <c r="K99" i="4" a="1"/>
  <c r="K99" i="4" s="1"/>
  <c r="K100" i="4" a="1"/>
  <c r="K100" i="4" s="1"/>
  <c r="L2" i="4" a="1"/>
  <c r="L2" i="4" s="1"/>
  <c r="L3" i="4" a="1"/>
  <c r="L3" i="4" s="1"/>
  <c r="L4" i="4" a="1"/>
  <c r="L4" i="4" s="1"/>
  <c r="L5" i="4" a="1"/>
  <c r="L5" i="4" s="1"/>
  <c r="L6" i="4" a="1"/>
  <c r="L6" i="4" s="1"/>
  <c r="L7" i="4" a="1"/>
  <c r="L7" i="4" s="1"/>
  <c r="L8" i="4" a="1"/>
  <c r="L8" i="4" s="1"/>
  <c r="L9" i="4" a="1"/>
  <c r="L9" i="4" s="1"/>
  <c r="L10" i="4" a="1"/>
  <c r="L10" i="4" s="1"/>
  <c r="L11" i="4" a="1"/>
  <c r="L11" i="4" s="1"/>
  <c r="L12" i="4" a="1"/>
  <c r="L12" i="4" s="1"/>
  <c r="L13" i="4" a="1"/>
  <c r="L13" i="4" s="1"/>
  <c r="L14" i="4" a="1"/>
  <c r="L14" i="4" s="1"/>
  <c r="L15" i="4" a="1"/>
  <c r="L15" i="4" s="1"/>
  <c r="L16" i="4" a="1"/>
  <c r="L16" i="4" s="1"/>
  <c r="L17" i="4" a="1"/>
  <c r="L17" i="4" s="1"/>
  <c r="L18" i="4" a="1"/>
  <c r="L18" i="4" s="1"/>
  <c r="L19" i="4" a="1"/>
  <c r="L19" i="4" s="1"/>
  <c r="L20" i="4" a="1"/>
  <c r="L20" i="4" s="1"/>
  <c r="L21" i="4" a="1"/>
  <c r="L21" i="4" s="1"/>
  <c r="L22" i="4" a="1"/>
  <c r="L22" i="4" s="1"/>
  <c r="L23" i="4" a="1"/>
  <c r="L23" i="4" s="1"/>
  <c r="L26" i="4" a="1"/>
  <c r="L26" i="4" s="1"/>
  <c r="L27" i="4" a="1"/>
  <c r="L27" i="4" s="1"/>
  <c r="L28" i="4" a="1"/>
  <c r="L28" i="4" s="1"/>
  <c r="L29" i="4" a="1"/>
  <c r="L29" i="4" s="1"/>
  <c r="L30" i="4" a="1"/>
  <c r="L30" i="4" s="1"/>
  <c r="L31" i="4" a="1"/>
  <c r="L31" i="4" s="1"/>
  <c r="L32" i="4" a="1"/>
  <c r="L32" i="4" s="1"/>
  <c r="L33" i="4" a="1"/>
  <c r="L33" i="4" s="1"/>
  <c r="L34" i="4" a="1"/>
  <c r="L34" i="4" s="1"/>
  <c r="L35" i="4" a="1"/>
  <c r="L35" i="4" s="1"/>
  <c r="L36" i="4" a="1"/>
  <c r="L36" i="4" s="1"/>
  <c r="L37" i="4" a="1"/>
  <c r="L37" i="4" s="1"/>
  <c r="L38" i="4" a="1"/>
  <c r="L38" i="4" s="1"/>
  <c r="L39" i="4" a="1"/>
  <c r="L39" i="4" s="1"/>
  <c r="L40" i="4" a="1"/>
  <c r="L40" i="4" s="1"/>
  <c r="L41" i="4" a="1"/>
  <c r="L41" i="4" s="1"/>
  <c r="L42" i="4" a="1"/>
  <c r="L42" i="4" s="1"/>
  <c r="L43" i="4" a="1"/>
  <c r="L43" i="4" s="1"/>
  <c r="L44" i="4" a="1"/>
  <c r="L44" i="4" s="1"/>
  <c r="L45" i="4" a="1"/>
  <c r="L45" i="4" s="1"/>
  <c r="L46" i="4" a="1"/>
  <c r="L46" i="4" s="1"/>
  <c r="L49" i="4" a="1"/>
  <c r="L49" i="4" s="1"/>
  <c r="L50" i="4" a="1"/>
  <c r="L50" i="4" s="1"/>
  <c r="L51" i="4" a="1"/>
  <c r="L51" i="4" s="1"/>
  <c r="L52" i="4" a="1"/>
  <c r="L52" i="4" s="1"/>
  <c r="L53" i="4" a="1"/>
  <c r="L53" i="4" s="1"/>
  <c r="L54" i="4" a="1"/>
  <c r="L54" i="4" s="1"/>
  <c r="L55" i="4" a="1"/>
  <c r="L55" i="4" s="1"/>
  <c r="L56" i="4" a="1"/>
  <c r="L56" i="4" s="1"/>
  <c r="L57" i="4" a="1"/>
  <c r="L57" i="4" s="1"/>
  <c r="L58" i="4" a="1"/>
  <c r="L58" i="4" s="1"/>
  <c r="L59" i="4" a="1"/>
  <c r="L59" i="4" s="1"/>
  <c r="L60" i="4" a="1"/>
  <c r="L60" i="4" s="1"/>
  <c r="L61" i="4" a="1"/>
  <c r="L61" i="4" s="1"/>
  <c r="L62" i="4" a="1"/>
  <c r="L62" i="4" s="1"/>
  <c r="L63" i="4" a="1"/>
  <c r="L63" i="4" s="1"/>
  <c r="L64" i="4" a="1"/>
  <c r="L64" i="4" s="1"/>
  <c r="L65" i="4" a="1"/>
  <c r="L65" i="4" s="1"/>
  <c r="L66" i="4" a="1"/>
  <c r="L66" i="4" s="1"/>
  <c r="L67" i="4" a="1"/>
  <c r="L67" i="4" s="1"/>
  <c r="L68" i="4" a="1"/>
  <c r="L68" i="4" s="1"/>
  <c r="L69" i="4" a="1"/>
  <c r="L69" i="4" s="1"/>
  <c r="L70" i="4" a="1"/>
  <c r="L70" i="4" s="1"/>
  <c r="L71" i="4" a="1"/>
  <c r="L71" i="4" s="1"/>
  <c r="L72" i="4" a="1"/>
  <c r="L72" i="4" s="1"/>
  <c r="L75" i="4" a="1"/>
  <c r="L75" i="4" s="1"/>
  <c r="L76" i="4" a="1"/>
  <c r="L76" i="4" s="1"/>
  <c r="L77" i="4" a="1"/>
  <c r="L77" i="4" s="1"/>
  <c r="L78" i="4" a="1"/>
  <c r="L78" i="4" s="1"/>
  <c r="L79" i="4" a="1"/>
  <c r="L79" i="4" s="1"/>
  <c r="L80" i="4" a="1"/>
  <c r="L80" i="4" s="1"/>
  <c r="L81" i="4" a="1"/>
  <c r="L81" i="4" s="1"/>
  <c r="L82" i="4" a="1"/>
  <c r="L82" i="4" s="1"/>
  <c r="L83" i="4" a="1"/>
  <c r="L83" i="4" s="1"/>
  <c r="L84" i="4" a="1"/>
  <c r="L84" i="4" s="1"/>
  <c r="L85" i="4" a="1"/>
  <c r="L85" i="4" s="1"/>
  <c r="L86" i="4" a="1"/>
  <c r="L86" i="4" s="1"/>
  <c r="L87" i="4" a="1"/>
  <c r="L87" i="4" s="1"/>
  <c r="L88" i="4" a="1"/>
  <c r="L88" i="4" s="1"/>
  <c r="L89" i="4" a="1"/>
  <c r="L89" i="4" s="1"/>
  <c r="L90" i="4" a="1"/>
  <c r="L90" i="4" s="1"/>
  <c r="L91" i="4" a="1"/>
  <c r="L91" i="4" s="1"/>
  <c r="L92" i="4" a="1"/>
  <c r="L92" i="4" s="1"/>
  <c r="L93" i="4" a="1"/>
  <c r="L93" i="4" s="1"/>
  <c r="L94" i="4" a="1"/>
  <c r="L94" i="4" s="1"/>
  <c r="L95" i="4" a="1"/>
  <c r="L95" i="4" s="1"/>
  <c r="L96" i="4" a="1"/>
  <c r="L96" i="4" s="1"/>
  <c r="L97" i="4" a="1"/>
  <c r="L97" i="4" s="1"/>
  <c r="L98" i="4" a="1"/>
  <c r="L98" i="4" s="1"/>
  <c r="L99" i="4" a="1"/>
  <c r="L99" i="4" s="1"/>
  <c r="L100" i="4" a="1"/>
  <c r="L100" i="4" s="1"/>
  <c r="M2" i="4" a="1"/>
  <c r="M2" i="4" s="1"/>
  <c r="M3" i="4" a="1"/>
  <c r="M3" i="4" s="1"/>
  <c r="M4" i="4" a="1"/>
  <c r="M4" i="4" s="1"/>
  <c r="M5" i="4" a="1"/>
  <c r="M5" i="4" s="1"/>
  <c r="M6" i="4" a="1"/>
  <c r="M6" i="4" s="1"/>
  <c r="M7" i="4" a="1"/>
  <c r="M7" i="4" s="1"/>
  <c r="M8" i="4" a="1"/>
  <c r="M8" i="4" s="1"/>
  <c r="M9" i="4" a="1"/>
  <c r="M9" i="4" s="1"/>
  <c r="M10" i="4" a="1"/>
  <c r="M10" i="4" s="1"/>
  <c r="M11" i="4" a="1"/>
  <c r="M11" i="4" s="1"/>
  <c r="M12" i="4" a="1"/>
  <c r="M12" i="4" s="1"/>
  <c r="M13" i="4" a="1"/>
  <c r="M13" i="4" s="1"/>
  <c r="M14" i="4" a="1"/>
  <c r="M14" i="4" s="1"/>
  <c r="M15" i="4" a="1"/>
  <c r="M15" i="4" s="1"/>
  <c r="M16" i="4" a="1"/>
  <c r="M16" i="4" s="1"/>
  <c r="M17" i="4" a="1"/>
  <c r="M17" i="4" s="1"/>
  <c r="M18" i="4" a="1"/>
  <c r="M18" i="4" s="1"/>
  <c r="M19" i="4" a="1"/>
  <c r="M19" i="4" s="1"/>
  <c r="M20" i="4" a="1"/>
  <c r="M20" i="4" s="1"/>
  <c r="M21" i="4" a="1"/>
  <c r="M21" i="4" s="1"/>
  <c r="M22" i="4" a="1"/>
  <c r="M22" i="4" s="1"/>
  <c r="M23" i="4" a="1"/>
  <c r="M23" i="4" s="1"/>
  <c r="M26" i="4" a="1"/>
  <c r="M26" i="4" s="1"/>
  <c r="M27" i="4" a="1"/>
  <c r="M27" i="4" s="1"/>
  <c r="M28" i="4" a="1"/>
  <c r="M28" i="4" s="1"/>
  <c r="M29" i="4" a="1"/>
  <c r="M29" i="4" s="1"/>
  <c r="M30" i="4" a="1"/>
  <c r="M30" i="4" s="1"/>
  <c r="M31" i="4" a="1"/>
  <c r="M31" i="4" s="1"/>
  <c r="M32" i="4" a="1"/>
  <c r="M32" i="4" s="1"/>
  <c r="M33" i="4" a="1"/>
  <c r="M33" i="4" s="1"/>
  <c r="M34" i="4" a="1"/>
  <c r="M34" i="4" s="1"/>
  <c r="M35" i="4" a="1"/>
  <c r="M35" i="4" s="1"/>
  <c r="M36" i="4" a="1"/>
  <c r="M36" i="4" s="1"/>
  <c r="M37" i="4" a="1"/>
  <c r="M37" i="4" s="1"/>
  <c r="M38" i="4" a="1"/>
  <c r="M38" i="4" s="1"/>
  <c r="M39" i="4" a="1"/>
  <c r="M39" i="4" s="1"/>
  <c r="M40" i="4" a="1"/>
  <c r="M40" i="4" s="1"/>
  <c r="M41" i="4" a="1"/>
  <c r="M41" i="4" s="1"/>
  <c r="M42" i="4" a="1"/>
  <c r="M42" i="4" s="1"/>
  <c r="M43" i="4" a="1"/>
  <c r="M43" i="4" s="1"/>
  <c r="M44" i="4" a="1"/>
  <c r="M44" i="4" s="1"/>
  <c r="M45" i="4" a="1"/>
  <c r="M45" i="4" s="1"/>
  <c r="M46" i="4" a="1"/>
  <c r="M46" i="4" s="1"/>
  <c r="M49" i="4" a="1"/>
  <c r="M49" i="4" s="1"/>
  <c r="M50" i="4" a="1"/>
  <c r="M50" i="4" s="1"/>
  <c r="M51" i="4" a="1"/>
  <c r="M51" i="4" s="1"/>
  <c r="M52" i="4" a="1"/>
  <c r="M52" i="4" s="1"/>
  <c r="M53" i="4" a="1"/>
  <c r="M53" i="4" s="1"/>
  <c r="M54" i="4" a="1"/>
  <c r="M54" i="4" s="1"/>
  <c r="M55" i="4" a="1"/>
  <c r="M55" i="4" s="1"/>
  <c r="M56" i="4" a="1"/>
  <c r="M56" i="4" s="1"/>
  <c r="M57" i="4" a="1"/>
  <c r="M57" i="4" s="1"/>
  <c r="M58" i="4" a="1"/>
  <c r="M58" i="4" s="1"/>
  <c r="M59" i="4" a="1"/>
  <c r="M59" i="4" s="1"/>
  <c r="M60" i="4" a="1"/>
  <c r="M60" i="4" s="1"/>
  <c r="M61" i="4" a="1"/>
  <c r="M61" i="4" s="1"/>
  <c r="M62" i="4" a="1"/>
  <c r="M62" i="4" s="1"/>
  <c r="M63" i="4" a="1"/>
  <c r="M63" i="4" s="1"/>
  <c r="M64" i="4" a="1"/>
  <c r="M64" i="4" s="1"/>
  <c r="M65" i="4" a="1"/>
  <c r="M65" i="4" s="1"/>
  <c r="M66" i="4" a="1"/>
  <c r="M66" i="4" s="1"/>
  <c r="M67" i="4" a="1"/>
  <c r="M67" i="4" s="1"/>
  <c r="M68" i="4" a="1"/>
  <c r="M68" i="4" s="1"/>
  <c r="M69" i="4" a="1"/>
  <c r="M69" i="4" s="1"/>
  <c r="M70" i="4" a="1"/>
  <c r="M70" i="4" s="1"/>
  <c r="M71" i="4" a="1"/>
  <c r="M71" i="4" s="1"/>
  <c r="M72" i="4" a="1"/>
  <c r="M72" i="4" s="1"/>
  <c r="M75" i="4" a="1"/>
  <c r="M75" i="4" s="1"/>
  <c r="M76" i="4" a="1"/>
  <c r="M76" i="4" s="1"/>
  <c r="M77" i="4" a="1"/>
  <c r="M77" i="4" s="1"/>
  <c r="M78" i="4" a="1"/>
  <c r="M78" i="4" s="1"/>
  <c r="M79" i="4" a="1"/>
  <c r="M79" i="4" s="1"/>
  <c r="M80" i="4" a="1"/>
  <c r="M80" i="4" s="1"/>
  <c r="M81" i="4" a="1"/>
  <c r="M81" i="4" s="1"/>
  <c r="M82" i="4" a="1"/>
  <c r="M82" i="4" s="1"/>
  <c r="M83" i="4" a="1"/>
  <c r="M83" i="4" s="1"/>
  <c r="M84" i="4" a="1"/>
  <c r="M84" i="4" s="1"/>
  <c r="M85" i="4" a="1"/>
  <c r="M85" i="4" s="1"/>
  <c r="M86" i="4" a="1"/>
  <c r="M86" i="4" s="1"/>
  <c r="M87" i="4" a="1"/>
  <c r="M87" i="4" s="1"/>
  <c r="M88" i="4" a="1"/>
  <c r="M88" i="4" s="1"/>
  <c r="M89" i="4" a="1"/>
  <c r="M89" i="4" s="1"/>
  <c r="M90" i="4" a="1"/>
  <c r="M90" i="4" s="1"/>
  <c r="M91" i="4" a="1"/>
  <c r="M91" i="4" s="1"/>
  <c r="M92" i="4" a="1"/>
  <c r="M92" i="4" s="1"/>
  <c r="M93" i="4" a="1"/>
  <c r="M93" i="4" s="1"/>
  <c r="M94" i="4" a="1"/>
  <c r="M94" i="4" s="1"/>
  <c r="M95" i="4" a="1"/>
  <c r="M95" i="4" s="1"/>
  <c r="M96" i="4" a="1"/>
  <c r="M96" i="4" s="1"/>
  <c r="M97" i="4" a="1"/>
  <c r="M97" i="4" s="1"/>
  <c r="M98" i="4" a="1"/>
  <c r="M98" i="4" s="1"/>
  <c r="M99" i="4" a="1"/>
  <c r="M99" i="4" s="1"/>
  <c r="M100" i="4" a="1"/>
  <c r="M100" i="4" s="1"/>
  <c r="H2" i="4" a="1"/>
  <c r="H2" i="4" s="1"/>
  <c r="H3" i="4" a="1"/>
  <c r="H3" i="4" s="1"/>
  <c r="H4" i="4" a="1"/>
  <c r="H4" i="4" s="1"/>
  <c r="H5" i="4" a="1"/>
  <c r="H5" i="4" s="1"/>
  <c r="H6" i="4" a="1"/>
  <c r="H6" i="4" s="1"/>
  <c r="H7" i="4" a="1"/>
  <c r="H7" i="4" s="1"/>
  <c r="H8" i="4" a="1"/>
  <c r="H8" i="4" s="1"/>
  <c r="H9" i="4" a="1"/>
  <c r="H9" i="4" s="1"/>
  <c r="H10" i="4" a="1"/>
  <c r="H10" i="4" s="1"/>
  <c r="H11" i="4" a="1"/>
  <c r="H11" i="4" s="1"/>
  <c r="H12" i="4" a="1"/>
  <c r="H12" i="4" s="1"/>
  <c r="H13" i="4" a="1"/>
  <c r="H13" i="4" s="1"/>
  <c r="H14" i="4" a="1"/>
  <c r="H14" i="4" s="1"/>
  <c r="H15" i="4" a="1"/>
  <c r="H15" i="4" s="1"/>
  <c r="H16" i="4" a="1"/>
  <c r="H16" i="4" s="1"/>
  <c r="H17" i="4" a="1"/>
  <c r="H17" i="4" s="1"/>
  <c r="H18" i="4" a="1"/>
  <c r="H18" i="4" s="1"/>
  <c r="H19" i="4" a="1"/>
  <c r="H19" i="4" s="1"/>
  <c r="H20" i="4" a="1"/>
  <c r="H20" i="4" s="1"/>
  <c r="H21" i="4" a="1"/>
  <c r="H21" i="4" s="1"/>
  <c r="H22" i="4" a="1"/>
  <c r="H22" i="4" s="1"/>
  <c r="H23" i="4" a="1"/>
  <c r="H23" i="4" s="1"/>
  <c r="H26" i="4" a="1"/>
  <c r="H26" i="4" s="1"/>
  <c r="H27" i="4" a="1"/>
  <c r="H27" i="4" s="1"/>
  <c r="H28" i="4" a="1"/>
  <c r="H28" i="4" s="1"/>
  <c r="H29" i="4" a="1"/>
  <c r="H29" i="4" s="1"/>
  <c r="H30" i="4" a="1"/>
  <c r="H30" i="4" s="1"/>
  <c r="H31" i="4" a="1"/>
  <c r="H31" i="4" s="1"/>
  <c r="H32" i="4" a="1"/>
  <c r="H32" i="4" s="1"/>
  <c r="H33" i="4" a="1"/>
  <c r="H33" i="4" s="1"/>
  <c r="H34" i="4" a="1"/>
  <c r="H34" i="4" s="1"/>
  <c r="H35" i="4" a="1"/>
  <c r="H35" i="4" s="1"/>
  <c r="H36" i="4" a="1"/>
  <c r="H36" i="4" s="1"/>
  <c r="H37" i="4" a="1"/>
  <c r="H37" i="4" s="1"/>
  <c r="H38" i="4" a="1"/>
  <c r="H38" i="4" s="1"/>
  <c r="H39" i="4" a="1"/>
  <c r="H39" i="4" s="1"/>
  <c r="H40" i="4" a="1"/>
  <c r="H40" i="4" s="1"/>
  <c r="H41" i="4" a="1"/>
  <c r="H41" i="4" s="1"/>
  <c r="H42" i="4" a="1"/>
  <c r="H42" i="4" s="1"/>
  <c r="H43" i="4" a="1"/>
  <c r="H43" i="4" s="1"/>
  <c r="H44" i="4" a="1"/>
  <c r="H44" i="4" s="1"/>
  <c r="H45" i="4" a="1"/>
  <c r="H45" i="4" s="1"/>
  <c r="H46" i="4" a="1"/>
  <c r="H46" i="4" s="1"/>
  <c r="H49" i="4" a="1"/>
  <c r="H49" i="4" s="1"/>
  <c r="H50" i="4" a="1"/>
  <c r="H50" i="4" s="1"/>
  <c r="H51" i="4" a="1"/>
  <c r="H51" i="4" s="1"/>
  <c r="H52" i="4" a="1"/>
  <c r="H52" i="4" s="1"/>
  <c r="H53" i="4" a="1"/>
  <c r="H53" i="4" s="1"/>
  <c r="H54" i="4" a="1"/>
  <c r="H54" i="4" s="1"/>
  <c r="H55" i="4" a="1"/>
  <c r="H55" i="4" s="1"/>
  <c r="H56" i="4" a="1"/>
  <c r="H56" i="4" s="1"/>
  <c r="H57" i="4" a="1"/>
  <c r="H57" i="4" s="1"/>
  <c r="H58" i="4" a="1"/>
  <c r="H58" i="4" s="1"/>
  <c r="H59" i="4" a="1"/>
  <c r="H59" i="4" s="1"/>
  <c r="H60" i="4" a="1"/>
  <c r="H60" i="4" s="1"/>
  <c r="H61" i="4" a="1"/>
  <c r="H61" i="4" s="1"/>
  <c r="H62" i="4" a="1"/>
  <c r="H62" i="4" s="1"/>
  <c r="H63" i="4" a="1"/>
  <c r="H63" i="4" s="1"/>
  <c r="H64" i="4" a="1"/>
  <c r="H64" i="4" s="1"/>
  <c r="H65" i="4" a="1"/>
  <c r="H65" i="4" s="1"/>
  <c r="H66" i="4" a="1"/>
  <c r="H66" i="4" s="1"/>
  <c r="H67" i="4" a="1"/>
  <c r="H67" i="4" s="1"/>
  <c r="H68" i="4" a="1"/>
  <c r="H68" i="4" s="1"/>
  <c r="H69" i="4" a="1"/>
  <c r="H69" i="4" s="1"/>
  <c r="H70" i="4" a="1"/>
  <c r="H70" i="4" s="1"/>
  <c r="H71" i="4" a="1"/>
  <c r="H71" i="4" s="1"/>
  <c r="H72" i="4" a="1"/>
  <c r="H72" i="4" s="1"/>
  <c r="H75" i="4" a="1"/>
  <c r="H75" i="4" s="1"/>
  <c r="H76" i="4" a="1"/>
  <c r="H76" i="4" s="1"/>
  <c r="H77" i="4" a="1"/>
  <c r="H77" i="4" s="1"/>
  <c r="H78" i="4" a="1"/>
  <c r="H78" i="4" s="1"/>
  <c r="H79" i="4" a="1"/>
  <c r="H79" i="4" s="1"/>
  <c r="H80" i="4" a="1"/>
  <c r="H80" i="4" s="1"/>
  <c r="H81" i="4" a="1"/>
  <c r="H81" i="4" s="1"/>
  <c r="H82" i="4" a="1"/>
  <c r="H82" i="4" s="1"/>
  <c r="H83" i="4" a="1"/>
  <c r="H83" i="4" s="1"/>
  <c r="H84" i="4" a="1"/>
  <c r="H84" i="4" s="1"/>
  <c r="H85" i="4" a="1"/>
  <c r="H85" i="4" s="1"/>
  <c r="H86" i="4" a="1"/>
  <c r="H86" i="4" s="1"/>
  <c r="H87" i="4" a="1"/>
  <c r="H87" i="4" s="1"/>
  <c r="H88" i="4" a="1"/>
  <c r="H88" i="4" s="1"/>
  <c r="H89" i="4" a="1"/>
  <c r="H89" i="4" s="1"/>
  <c r="H90" i="4" a="1"/>
  <c r="H90" i="4" s="1"/>
  <c r="H91" i="4" a="1"/>
  <c r="H91" i="4" s="1"/>
  <c r="H92" i="4" a="1"/>
  <c r="H92" i="4" s="1"/>
  <c r="H93" i="4" a="1"/>
  <c r="H93" i="4" s="1"/>
  <c r="H94" i="4" a="1"/>
  <c r="H94" i="4" s="1"/>
  <c r="H95" i="4" a="1"/>
  <c r="H95" i="4" s="1"/>
  <c r="H96" i="4" a="1"/>
  <c r="H96" i="4" s="1"/>
  <c r="H97" i="4" a="1"/>
  <c r="H97" i="4" s="1"/>
  <c r="H98" i="4" a="1"/>
  <c r="H98" i="4" s="1"/>
  <c r="H99" i="4" a="1"/>
  <c r="H99" i="4" s="1"/>
  <c r="H100" i="4" a="1"/>
  <c r="H100" i="4" s="1"/>
  <c r="G2" i="4" a="1"/>
  <c r="G2" i="4" s="1"/>
  <c r="G3" i="4" a="1"/>
  <c r="G3" i="4" s="1"/>
  <c r="G4" i="4" a="1"/>
  <c r="G4" i="4" s="1"/>
  <c r="G5" i="4" a="1"/>
  <c r="G5" i="4" s="1"/>
  <c r="G6" i="4" a="1"/>
  <c r="G6" i="4" s="1"/>
  <c r="G7" i="4" a="1"/>
  <c r="G7" i="4" s="1"/>
  <c r="G8" i="4" a="1"/>
  <c r="G8" i="4" s="1"/>
  <c r="G9" i="4" a="1"/>
  <c r="G9" i="4" s="1"/>
  <c r="G10" i="4" a="1"/>
  <c r="G10" i="4" s="1"/>
  <c r="G11" i="4" a="1"/>
  <c r="G11" i="4" s="1"/>
  <c r="G12" i="4" a="1"/>
  <c r="G12" i="4" s="1"/>
  <c r="G13" i="4" a="1"/>
  <c r="G13" i="4" s="1"/>
  <c r="G14" i="4" a="1"/>
  <c r="G14" i="4" s="1"/>
  <c r="G15" i="4" a="1"/>
  <c r="G15" i="4" s="1"/>
  <c r="G16" i="4" a="1"/>
  <c r="G16" i="4" s="1"/>
  <c r="G17" i="4" a="1"/>
  <c r="G17" i="4" s="1"/>
  <c r="G18" i="4" a="1"/>
  <c r="G18" i="4" s="1"/>
  <c r="G19" i="4" a="1"/>
  <c r="G19" i="4" s="1"/>
  <c r="G20" i="4" a="1"/>
  <c r="G20" i="4" s="1"/>
  <c r="G21" i="4" a="1"/>
  <c r="G21" i="4" s="1"/>
  <c r="G22" i="4" a="1"/>
  <c r="G22" i="4" s="1"/>
  <c r="G23" i="4" a="1"/>
  <c r="G23" i="4" s="1"/>
  <c r="G26" i="4" a="1"/>
  <c r="G26" i="4" s="1"/>
  <c r="G27" i="4" a="1"/>
  <c r="G27" i="4" s="1"/>
  <c r="G28" i="4" a="1"/>
  <c r="G28" i="4" s="1"/>
  <c r="G29" i="4" a="1"/>
  <c r="G29" i="4" s="1"/>
  <c r="G30" i="4" a="1"/>
  <c r="G30" i="4" s="1"/>
  <c r="G31" i="4" a="1"/>
  <c r="G31" i="4" s="1"/>
  <c r="G32" i="4" a="1"/>
  <c r="G32" i="4" s="1"/>
  <c r="G33" i="4" a="1"/>
  <c r="G33" i="4" s="1"/>
  <c r="G34" i="4" a="1"/>
  <c r="G34" i="4" s="1"/>
  <c r="G35" i="4" a="1"/>
  <c r="G35" i="4" s="1"/>
  <c r="G36" i="4" a="1"/>
  <c r="G36" i="4" s="1"/>
  <c r="G37" i="4" a="1"/>
  <c r="G37" i="4" s="1"/>
  <c r="G38" i="4" a="1"/>
  <c r="G38" i="4" s="1"/>
  <c r="G39" i="4" a="1"/>
  <c r="G39" i="4" s="1"/>
  <c r="G40" i="4" a="1"/>
  <c r="G40" i="4" s="1"/>
  <c r="G41" i="4" a="1"/>
  <c r="G41" i="4" s="1"/>
  <c r="G42" i="4" a="1"/>
  <c r="G42" i="4" s="1"/>
  <c r="G43" i="4" a="1"/>
  <c r="G43" i="4" s="1"/>
  <c r="G44" i="4" a="1"/>
  <c r="G44" i="4" s="1"/>
  <c r="G45" i="4" a="1"/>
  <c r="G45" i="4" s="1"/>
  <c r="G46" i="4" a="1"/>
  <c r="G46" i="4" s="1"/>
  <c r="G49" i="4" a="1"/>
  <c r="G49" i="4" s="1"/>
  <c r="G50" i="4" a="1"/>
  <c r="G50" i="4" s="1"/>
  <c r="G51" i="4" a="1"/>
  <c r="G51" i="4" s="1"/>
  <c r="G52" i="4" a="1"/>
  <c r="G52" i="4" s="1"/>
  <c r="G53" i="4" a="1"/>
  <c r="G53" i="4" s="1"/>
  <c r="G54" i="4" a="1"/>
  <c r="G54" i="4" s="1"/>
  <c r="G55" i="4" a="1"/>
  <c r="G55" i="4" s="1"/>
  <c r="G56" i="4" a="1"/>
  <c r="G56" i="4" s="1"/>
  <c r="G57" i="4" a="1"/>
  <c r="G57" i="4" s="1"/>
  <c r="G58" i="4" a="1"/>
  <c r="G58" i="4" s="1"/>
  <c r="G59" i="4" a="1"/>
  <c r="G59" i="4" s="1"/>
  <c r="G60" i="4" a="1"/>
  <c r="G60" i="4" s="1"/>
  <c r="G61" i="4" a="1"/>
  <c r="G61" i="4" s="1"/>
  <c r="G62" i="4" a="1"/>
  <c r="G62" i="4" s="1"/>
  <c r="G63" i="4" a="1"/>
  <c r="G63" i="4" s="1"/>
  <c r="G64" i="4" a="1"/>
  <c r="G64" i="4" s="1"/>
  <c r="G65" i="4" a="1"/>
  <c r="G65" i="4" s="1"/>
  <c r="G66" i="4" a="1"/>
  <c r="G66" i="4" s="1"/>
  <c r="G67" i="4" a="1"/>
  <c r="G67" i="4" s="1"/>
  <c r="G68" i="4" a="1"/>
  <c r="G68" i="4" s="1"/>
  <c r="G69" i="4" a="1"/>
  <c r="G69" i="4" s="1"/>
  <c r="G70" i="4" a="1"/>
  <c r="G70" i="4" s="1"/>
  <c r="G71" i="4" a="1"/>
  <c r="G71" i="4" s="1"/>
  <c r="G72" i="4" a="1"/>
  <c r="G72" i="4" s="1"/>
  <c r="G75" i="4" a="1"/>
  <c r="G75" i="4" s="1"/>
  <c r="G76" i="4" a="1"/>
  <c r="G76" i="4" s="1"/>
  <c r="G77" i="4" a="1"/>
  <c r="G77" i="4" s="1"/>
  <c r="G78" i="4" a="1"/>
  <c r="G78" i="4" s="1"/>
  <c r="G79" i="4" a="1"/>
  <c r="G79" i="4" s="1"/>
  <c r="G80" i="4" a="1"/>
  <c r="G80" i="4" s="1"/>
  <c r="G81" i="4" a="1"/>
  <c r="G81" i="4" s="1"/>
  <c r="G82" i="4" a="1"/>
  <c r="G82" i="4" s="1"/>
  <c r="G83" i="4" a="1"/>
  <c r="G83" i="4" s="1"/>
  <c r="G84" i="4" a="1"/>
  <c r="G84" i="4" s="1"/>
  <c r="G85" i="4" a="1"/>
  <c r="G85" i="4" s="1"/>
  <c r="G86" i="4" a="1"/>
  <c r="G86" i="4" s="1"/>
  <c r="G87" i="4" a="1"/>
  <c r="G87" i="4" s="1"/>
  <c r="G88" i="4" a="1"/>
  <c r="G88" i="4" s="1"/>
  <c r="G89" i="4" a="1"/>
  <c r="G89" i="4" s="1"/>
  <c r="G90" i="4" a="1"/>
  <c r="G90" i="4" s="1"/>
  <c r="G91" i="4" a="1"/>
  <c r="G91" i="4" s="1"/>
  <c r="G92" i="4" a="1"/>
  <c r="G92" i="4" s="1"/>
  <c r="G93" i="4" a="1"/>
  <c r="G93" i="4" s="1"/>
  <c r="G94" i="4" a="1"/>
  <c r="G94" i="4" s="1"/>
  <c r="G95" i="4" a="1"/>
  <c r="G95" i="4" s="1"/>
  <c r="G96" i="4" a="1"/>
  <c r="G96" i="4" s="1"/>
  <c r="G97" i="4" a="1"/>
  <c r="G97" i="4" s="1"/>
  <c r="G98" i="4" a="1"/>
  <c r="G98" i="4" s="1"/>
  <c r="G99" i="4" a="1"/>
  <c r="G99" i="4" s="1"/>
  <c r="G100" i="4" a="1"/>
  <c r="G100" i="4" s="1"/>
  <c r="F2" i="4" a="1"/>
  <c r="F2" i="4" s="1"/>
  <c r="F3" i="4" a="1"/>
  <c r="F3" i="4" s="1"/>
  <c r="F4" i="4" a="1"/>
  <c r="F4" i="4" s="1"/>
  <c r="F5" i="4" a="1"/>
  <c r="F5" i="4" s="1"/>
  <c r="F6" i="4" a="1"/>
  <c r="F6" i="4" s="1"/>
  <c r="F7" i="4" a="1"/>
  <c r="F7" i="4" s="1"/>
  <c r="F8" i="4" a="1"/>
  <c r="F8" i="4" s="1"/>
  <c r="F9" i="4" a="1"/>
  <c r="F9" i="4" s="1"/>
  <c r="F10" i="4" a="1"/>
  <c r="F10" i="4" s="1"/>
  <c r="F11" i="4" a="1"/>
  <c r="F11" i="4" s="1"/>
  <c r="F12" i="4" a="1"/>
  <c r="F12" i="4" s="1"/>
  <c r="F13" i="4" a="1"/>
  <c r="F13" i="4" s="1"/>
  <c r="F14" i="4" a="1"/>
  <c r="F14" i="4" s="1"/>
  <c r="F15" i="4" a="1"/>
  <c r="F15" i="4" s="1"/>
  <c r="F16" i="4" a="1"/>
  <c r="F16" i="4" s="1"/>
  <c r="F17" i="4" a="1"/>
  <c r="F17" i="4" s="1"/>
  <c r="F18" i="4" a="1"/>
  <c r="F18" i="4" s="1"/>
  <c r="F19" i="4" a="1"/>
  <c r="F19" i="4" s="1"/>
  <c r="F20" i="4" a="1"/>
  <c r="F20" i="4" s="1"/>
  <c r="F21" i="4" a="1"/>
  <c r="F21" i="4" s="1"/>
  <c r="F22" i="4" a="1"/>
  <c r="F22" i="4" s="1"/>
  <c r="F23" i="4" a="1"/>
  <c r="F23" i="4" s="1"/>
  <c r="F26" i="4" a="1"/>
  <c r="F26" i="4" s="1"/>
  <c r="F27" i="4" a="1"/>
  <c r="F27" i="4" s="1"/>
  <c r="F28" i="4" a="1"/>
  <c r="F28" i="4" s="1"/>
  <c r="F29" i="4" a="1"/>
  <c r="F29" i="4" s="1"/>
  <c r="F30" i="4" a="1"/>
  <c r="F30" i="4" s="1"/>
  <c r="F31" i="4" a="1"/>
  <c r="F31" i="4" s="1"/>
  <c r="F32" i="4" a="1"/>
  <c r="F32" i="4" s="1"/>
  <c r="F33" i="4" a="1"/>
  <c r="F33" i="4" s="1"/>
  <c r="F34" i="4" a="1"/>
  <c r="F34" i="4" s="1"/>
  <c r="F35" i="4" a="1"/>
  <c r="F35" i="4" s="1"/>
  <c r="F36" i="4" a="1"/>
  <c r="F36" i="4" s="1"/>
  <c r="F37" i="4" a="1"/>
  <c r="F37" i="4" s="1"/>
  <c r="F38" i="4" a="1"/>
  <c r="F38" i="4" s="1"/>
  <c r="F39" i="4" a="1"/>
  <c r="F39" i="4" s="1"/>
  <c r="F40" i="4" a="1"/>
  <c r="F40" i="4" s="1"/>
  <c r="F41" i="4" a="1"/>
  <c r="F41" i="4" s="1"/>
  <c r="F42" i="4" a="1"/>
  <c r="F42" i="4" s="1"/>
  <c r="F43" i="4" a="1"/>
  <c r="F43" i="4" s="1"/>
  <c r="F44" i="4" a="1"/>
  <c r="F44" i="4" s="1"/>
  <c r="F45" i="4" a="1"/>
  <c r="F45" i="4" s="1"/>
  <c r="F46" i="4" a="1"/>
  <c r="F46" i="4" s="1"/>
  <c r="F49" i="4" a="1"/>
  <c r="F49" i="4" s="1"/>
  <c r="F50" i="4" a="1"/>
  <c r="F50" i="4" s="1"/>
  <c r="F51" i="4" a="1"/>
  <c r="F51" i="4" s="1"/>
  <c r="F52" i="4" a="1"/>
  <c r="F52" i="4" s="1"/>
  <c r="F53" i="4" a="1"/>
  <c r="F53" i="4" s="1"/>
  <c r="F54" i="4" a="1"/>
  <c r="F54" i="4" s="1"/>
  <c r="F55" i="4" a="1"/>
  <c r="F55" i="4" s="1"/>
  <c r="F56" i="4" a="1"/>
  <c r="F56" i="4" s="1"/>
  <c r="F57" i="4" a="1"/>
  <c r="F57" i="4" s="1"/>
  <c r="F58" i="4" a="1"/>
  <c r="F58" i="4" s="1"/>
  <c r="F59" i="4" a="1"/>
  <c r="F59" i="4" s="1"/>
  <c r="F60" i="4" a="1"/>
  <c r="F60" i="4" s="1"/>
  <c r="F61" i="4" a="1"/>
  <c r="F61" i="4" s="1"/>
  <c r="F62" i="4" a="1"/>
  <c r="F62" i="4" s="1"/>
  <c r="F63" i="4" a="1"/>
  <c r="F63" i="4" s="1"/>
  <c r="F64" i="4" a="1"/>
  <c r="F64" i="4" s="1"/>
  <c r="F65" i="4" a="1"/>
  <c r="F65" i="4" s="1"/>
  <c r="F66" i="4" a="1"/>
  <c r="F66" i="4" s="1"/>
  <c r="F67" i="4" a="1"/>
  <c r="F67" i="4" s="1"/>
  <c r="F68" i="4" a="1"/>
  <c r="F68" i="4" s="1"/>
  <c r="F69" i="4" a="1"/>
  <c r="F69" i="4" s="1"/>
  <c r="F70" i="4" a="1"/>
  <c r="F70" i="4" s="1"/>
  <c r="F71" i="4" a="1"/>
  <c r="F71" i="4" s="1"/>
  <c r="F72" i="4" a="1"/>
  <c r="F72" i="4" s="1"/>
  <c r="F75" i="4" a="1"/>
  <c r="F75" i="4" s="1"/>
  <c r="F76" i="4" a="1"/>
  <c r="F76" i="4" s="1"/>
  <c r="F77" i="4" a="1"/>
  <c r="F77" i="4" s="1"/>
  <c r="F78" i="4" a="1"/>
  <c r="F78" i="4" s="1"/>
  <c r="F79" i="4" a="1"/>
  <c r="F79" i="4" s="1"/>
  <c r="F80" i="4" a="1"/>
  <c r="F80" i="4" s="1"/>
  <c r="F81" i="4" a="1"/>
  <c r="F81" i="4" s="1"/>
  <c r="F82" i="4" a="1"/>
  <c r="F82" i="4" s="1"/>
  <c r="F83" i="4" a="1"/>
  <c r="F83" i="4" s="1"/>
  <c r="F84" i="4" a="1"/>
  <c r="F84" i="4" s="1"/>
  <c r="F85" i="4" a="1"/>
  <c r="F85" i="4" s="1"/>
  <c r="F86" i="4" a="1"/>
  <c r="F86" i="4" s="1"/>
  <c r="F87" i="4" a="1"/>
  <c r="F87" i="4" s="1"/>
  <c r="F88" i="4" a="1"/>
  <c r="F88" i="4" s="1"/>
  <c r="F89" i="4" a="1"/>
  <c r="F89" i="4" s="1"/>
  <c r="F90" i="4" a="1"/>
  <c r="F90" i="4" s="1"/>
  <c r="F91" i="4" a="1"/>
  <c r="F91" i="4" s="1"/>
  <c r="F92" i="4" a="1"/>
  <c r="F92" i="4" s="1"/>
  <c r="F93" i="4" a="1"/>
  <c r="F93" i="4" s="1"/>
  <c r="F94" i="4" a="1"/>
  <c r="F94" i="4" s="1"/>
  <c r="F95" i="4" a="1"/>
  <c r="F95" i="4" s="1"/>
  <c r="F96" i="4" a="1"/>
  <c r="F96" i="4" s="1"/>
  <c r="F97" i="4" a="1"/>
  <c r="F97" i="4" s="1"/>
  <c r="F98" i="4" a="1"/>
  <c r="F98" i="4" s="1"/>
  <c r="F99" i="4" a="1"/>
  <c r="F99" i="4" s="1"/>
  <c r="F100" i="4" a="1"/>
  <c r="F100" i="4" s="1"/>
  <c r="E2" i="4" a="1"/>
  <c r="E2" i="4" s="1"/>
  <c r="E3" i="4" a="1"/>
  <c r="E3" i="4" s="1"/>
  <c r="E4" i="4" a="1"/>
  <c r="E4" i="4" s="1"/>
  <c r="E5" i="4" a="1"/>
  <c r="E5" i="4" s="1"/>
  <c r="E6" i="4" a="1"/>
  <c r="E6" i="4" s="1"/>
  <c r="E7" i="4" a="1"/>
  <c r="E7" i="4" s="1"/>
  <c r="E8" i="4" a="1"/>
  <c r="E8" i="4" s="1"/>
  <c r="E9" i="4" a="1"/>
  <c r="E9" i="4" s="1"/>
  <c r="E10" i="4" a="1"/>
  <c r="E10" i="4" s="1"/>
  <c r="E11" i="4" a="1"/>
  <c r="E11" i="4" s="1"/>
  <c r="E12" i="4" a="1"/>
  <c r="E12" i="4" s="1"/>
  <c r="E13" i="4" a="1"/>
  <c r="E13" i="4" s="1"/>
  <c r="E14" i="4" a="1"/>
  <c r="E14" i="4" s="1"/>
  <c r="E15" i="4" a="1"/>
  <c r="E15" i="4" s="1"/>
  <c r="E16" i="4" a="1"/>
  <c r="E16" i="4" s="1"/>
  <c r="E17" i="4" a="1"/>
  <c r="E17" i="4" s="1"/>
  <c r="E18" i="4" a="1"/>
  <c r="E18" i="4" s="1"/>
  <c r="E19" i="4" a="1"/>
  <c r="E19" i="4" s="1"/>
  <c r="E20" i="4" a="1"/>
  <c r="E20" i="4" s="1"/>
  <c r="E21" i="4" a="1"/>
  <c r="E21" i="4" s="1"/>
  <c r="E22" i="4" a="1"/>
  <c r="E22" i="4" s="1"/>
  <c r="E23" i="4" a="1"/>
  <c r="E23" i="4" s="1"/>
  <c r="E26" i="4" a="1"/>
  <c r="E26" i="4" s="1"/>
  <c r="E27" i="4" a="1"/>
  <c r="E27" i="4" s="1"/>
  <c r="E28" i="4" a="1"/>
  <c r="E28" i="4" s="1"/>
  <c r="E29" i="4" a="1"/>
  <c r="E29" i="4" s="1"/>
  <c r="E30" i="4" a="1"/>
  <c r="E30" i="4" s="1"/>
  <c r="E31" i="4" a="1"/>
  <c r="E31" i="4" s="1"/>
  <c r="E32" i="4" a="1"/>
  <c r="E32" i="4" s="1"/>
  <c r="E33" i="4" a="1"/>
  <c r="E33" i="4" s="1"/>
  <c r="E34" i="4" a="1"/>
  <c r="E34" i="4" s="1"/>
  <c r="E35" i="4" a="1"/>
  <c r="E35" i="4" s="1"/>
  <c r="E36" i="4" a="1"/>
  <c r="E36" i="4" s="1"/>
  <c r="E37" i="4" a="1"/>
  <c r="E37" i="4" s="1"/>
  <c r="E38" i="4" a="1"/>
  <c r="E38" i="4" s="1"/>
  <c r="E39" i="4" a="1"/>
  <c r="E39" i="4" s="1"/>
  <c r="E40" i="4" a="1"/>
  <c r="E40" i="4" s="1"/>
  <c r="E41" i="4" a="1"/>
  <c r="E41" i="4" s="1"/>
  <c r="E42" i="4" a="1"/>
  <c r="E42" i="4" s="1"/>
  <c r="E43" i="4" a="1"/>
  <c r="E43" i="4" s="1"/>
  <c r="E44" i="4" a="1"/>
  <c r="E44" i="4" s="1"/>
  <c r="E45" i="4" a="1"/>
  <c r="E45" i="4" s="1"/>
  <c r="E46" i="4" a="1"/>
  <c r="E46" i="4" s="1"/>
  <c r="E49" i="4" a="1"/>
  <c r="E49" i="4" s="1"/>
  <c r="E50" i="4" a="1"/>
  <c r="E50" i="4" s="1"/>
  <c r="E51" i="4" a="1"/>
  <c r="E51" i="4" s="1"/>
  <c r="E52" i="4" a="1"/>
  <c r="E52" i="4" s="1"/>
  <c r="E53" i="4" a="1"/>
  <c r="E53" i="4" s="1"/>
  <c r="E54" i="4" a="1"/>
  <c r="E54" i="4" s="1"/>
  <c r="E55" i="4" a="1"/>
  <c r="E55" i="4" s="1"/>
  <c r="E56" i="4" a="1"/>
  <c r="E56" i="4" s="1"/>
  <c r="E57" i="4" a="1"/>
  <c r="E57" i="4" s="1"/>
  <c r="E58" i="4" a="1"/>
  <c r="E58" i="4" s="1"/>
  <c r="E59" i="4" a="1"/>
  <c r="E59" i="4" s="1"/>
  <c r="E60" i="4" a="1"/>
  <c r="E60" i="4" s="1"/>
  <c r="E61" i="4" a="1"/>
  <c r="E61" i="4" s="1"/>
  <c r="E62" i="4" a="1"/>
  <c r="E62" i="4" s="1"/>
  <c r="E63" i="4" a="1"/>
  <c r="E63" i="4" s="1"/>
  <c r="E64" i="4" a="1"/>
  <c r="E64" i="4" s="1"/>
  <c r="E65" i="4" a="1"/>
  <c r="E65" i="4" s="1"/>
  <c r="E66" i="4" a="1"/>
  <c r="E66" i="4" s="1"/>
  <c r="E67" i="4" a="1"/>
  <c r="E67" i="4" s="1"/>
  <c r="E68" i="4" a="1"/>
  <c r="E68" i="4" s="1"/>
  <c r="E69" i="4" a="1"/>
  <c r="E69" i="4" s="1"/>
  <c r="E70" i="4" a="1"/>
  <c r="E70" i="4" s="1"/>
  <c r="E71" i="4" a="1"/>
  <c r="E71" i="4" s="1"/>
  <c r="E72" i="4" a="1"/>
  <c r="E72" i="4" s="1"/>
  <c r="E75" i="4" a="1"/>
  <c r="E75" i="4" s="1"/>
  <c r="E76" i="4" a="1"/>
  <c r="E76" i="4" s="1"/>
  <c r="E77" i="4" a="1"/>
  <c r="E77" i="4" s="1"/>
  <c r="E78" i="4" a="1"/>
  <c r="E78" i="4" s="1"/>
  <c r="E79" i="4" a="1"/>
  <c r="E79" i="4" s="1"/>
  <c r="E80" i="4" a="1"/>
  <c r="E80" i="4" s="1"/>
  <c r="E81" i="4" a="1"/>
  <c r="E81" i="4" s="1"/>
  <c r="E82" i="4" a="1"/>
  <c r="E82" i="4" s="1"/>
  <c r="E83" i="4" a="1"/>
  <c r="E83" i="4" s="1"/>
  <c r="E84" i="4" a="1"/>
  <c r="E84" i="4" s="1"/>
  <c r="E85" i="4" a="1"/>
  <c r="E85" i="4" s="1"/>
  <c r="E86" i="4" a="1"/>
  <c r="E86" i="4" s="1"/>
  <c r="E87" i="4" a="1"/>
  <c r="E87" i="4" s="1"/>
  <c r="E88" i="4" a="1"/>
  <c r="E88" i="4" s="1"/>
  <c r="E89" i="4" a="1"/>
  <c r="E89" i="4" s="1"/>
  <c r="E90" i="4" a="1"/>
  <c r="E90" i="4" s="1"/>
  <c r="E91" i="4" a="1"/>
  <c r="E91" i="4" s="1"/>
  <c r="E92" i="4" a="1"/>
  <c r="E92" i="4" s="1"/>
  <c r="E93" i="4" a="1"/>
  <c r="E93" i="4" s="1"/>
  <c r="E94" i="4" a="1"/>
  <c r="E94" i="4" s="1"/>
  <c r="E95" i="4" a="1"/>
  <c r="E95" i="4" s="1"/>
  <c r="E96" i="4" a="1"/>
  <c r="E96" i="4" s="1"/>
  <c r="E97" i="4" a="1"/>
  <c r="E97" i="4" s="1"/>
  <c r="E98" i="4" a="1"/>
  <c r="E98" i="4" s="1"/>
  <c r="E99" i="4" a="1"/>
  <c r="E99" i="4" s="1"/>
  <c r="E100" i="4" a="1"/>
  <c r="E100" i="4" s="1"/>
  <c r="C99" i="4"/>
  <c r="C100" i="4"/>
  <c r="D99" i="4"/>
  <c r="D100" i="4"/>
  <c r="N98" i="4" l="1"/>
  <c r="N94" i="4"/>
  <c r="N90" i="4"/>
  <c r="N12" i="4"/>
  <c r="N8" i="4"/>
  <c r="O27" i="4"/>
  <c r="N44" i="4"/>
  <c r="N36" i="4"/>
  <c r="N28" i="4"/>
  <c r="O19" i="4"/>
  <c r="O82" i="4"/>
  <c r="O72" i="4"/>
  <c r="O46" i="4"/>
  <c r="O12" i="4"/>
  <c r="O8" i="4"/>
  <c r="P8" i="4" s="1"/>
  <c r="O4" i="4"/>
  <c r="O10" i="4"/>
  <c r="N82" i="4"/>
  <c r="N38" i="4"/>
  <c r="N34" i="4"/>
  <c r="O32" i="4"/>
  <c r="N72" i="4"/>
  <c r="N68" i="4"/>
  <c r="N64" i="4"/>
  <c r="N60" i="4"/>
  <c r="N56" i="4"/>
  <c r="N10" i="4"/>
  <c r="P10" i="4" s="1"/>
  <c r="N2" i="4"/>
  <c r="O22" i="4"/>
  <c r="O40" i="4"/>
  <c r="O69" i="4"/>
  <c r="O54" i="4"/>
  <c r="O13" i="4"/>
  <c r="N80" i="4"/>
  <c r="N70" i="4"/>
  <c r="O88" i="4"/>
  <c r="N15" i="4"/>
  <c r="O90" i="4"/>
  <c r="O29" i="4"/>
  <c r="O26" i="4"/>
  <c r="O20" i="4"/>
  <c r="O16" i="4"/>
  <c r="O9" i="4"/>
  <c r="O5" i="4"/>
  <c r="N54" i="4"/>
  <c r="N41" i="4"/>
  <c r="N30" i="4"/>
  <c r="O100" i="4"/>
  <c r="O96" i="4"/>
  <c r="O92" i="4"/>
  <c r="O18" i="4"/>
  <c r="O11" i="4"/>
  <c r="O35" i="4"/>
  <c r="O58" i="4"/>
  <c r="N88" i="4"/>
  <c r="N77" i="4"/>
  <c r="N51" i="4"/>
  <c r="N42" i="4"/>
  <c r="N62" i="4"/>
  <c r="N78" i="4"/>
  <c r="N26" i="4"/>
  <c r="N18" i="4"/>
  <c r="N96" i="4"/>
  <c r="N46" i="4"/>
  <c r="N20" i="4"/>
  <c r="N7" i="4"/>
  <c r="O98" i="4"/>
  <c r="P98" i="4" s="1"/>
  <c r="O79" i="4"/>
  <c r="O70" i="4"/>
  <c r="O66" i="4"/>
  <c r="O62" i="4"/>
  <c r="O38" i="4"/>
  <c r="O30" i="4"/>
  <c r="O17" i="4"/>
  <c r="O64" i="4"/>
  <c r="O43" i="4"/>
  <c r="O23" i="4"/>
  <c r="O6" i="4"/>
  <c r="O36" i="4"/>
  <c r="N85" i="4"/>
  <c r="N4" i="4"/>
  <c r="O76" i="4"/>
  <c r="O56" i="4"/>
  <c r="N99" i="4"/>
  <c r="N65" i="4"/>
  <c r="N31" i="4"/>
  <c r="N67" i="4"/>
  <c r="N33" i="4"/>
  <c r="O67" i="4"/>
  <c r="O61" i="4"/>
  <c r="N75" i="4"/>
  <c r="N39" i="4"/>
  <c r="N5" i="4"/>
  <c r="O95" i="4"/>
  <c r="O33" i="4"/>
  <c r="N86" i="4"/>
  <c r="N83" i="4"/>
  <c r="N52" i="4"/>
  <c r="N49" i="4"/>
  <c r="N16" i="4"/>
  <c r="N13" i="4"/>
  <c r="O80" i="4"/>
  <c r="P80" i="4" s="1"/>
  <c r="O77" i="4"/>
  <c r="O44" i="4"/>
  <c r="O41" i="4"/>
  <c r="O7" i="4"/>
  <c r="P7" i="4" s="1"/>
  <c r="N93" i="4"/>
  <c r="N59" i="4"/>
  <c r="N23" i="4"/>
  <c r="N91" i="4"/>
  <c r="N57" i="4"/>
  <c r="N21" i="4"/>
  <c r="O85" i="4"/>
  <c r="O51" i="4"/>
  <c r="O93" i="4"/>
  <c r="O87" i="4"/>
  <c r="O59" i="4"/>
  <c r="O53" i="4"/>
  <c r="O15" i="4"/>
  <c r="N95" i="4"/>
  <c r="N69" i="4"/>
  <c r="N43" i="4"/>
  <c r="N17" i="4"/>
  <c r="O84" i="4"/>
  <c r="O81" i="4"/>
  <c r="O55" i="4"/>
  <c r="O50" i="4"/>
  <c r="O45" i="4"/>
  <c r="O37" i="4"/>
  <c r="O14" i="4"/>
  <c r="O3" i="4"/>
  <c r="N87" i="4"/>
  <c r="N61" i="4"/>
  <c r="N35" i="4"/>
  <c r="N9" i="4"/>
  <c r="O97" i="4"/>
  <c r="O71" i="4"/>
  <c r="N100" i="4"/>
  <c r="N97" i="4"/>
  <c r="N92" i="4"/>
  <c r="N89" i="4"/>
  <c r="N84" i="4"/>
  <c r="N81" i="4"/>
  <c r="N76" i="4"/>
  <c r="N71" i="4"/>
  <c r="N66" i="4"/>
  <c r="N63" i="4"/>
  <c r="N58" i="4"/>
  <c r="N55" i="4"/>
  <c r="N50" i="4"/>
  <c r="N45" i="4"/>
  <c r="N40" i="4"/>
  <c r="N37" i="4"/>
  <c r="N32" i="4"/>
  <c r="P32" i="4" s="1"/>
  <c r="N29" i="4"/>
  <c r="P29" i="4" s="1"/>
  <c r="N22" i="4"/>
  <c r="N19" i="4"/>
  <c r="N14" i="4"/>
  <c r="N11" i="4"/>
  <c r="N6" i="4"/>
  <c r="N3" i="4"/>
  <c r="O99" i="4"/>
  <c r="O94" i="4"/>
  <c r="P94" i="4" s="1"/>
  <c r="O91" i="4"/>
  <c r="O86" i="4"/>
  <c r="O83" i="4"/>
  <c r="O78" i="4"/>
  <c r="O75" i="4"/>
  <c r="O68" i="4"/>
  <c r="O65" i="4"/>
  <c r="P65" i="4" s="1"/>
  <c r="O60" i="4"/>
  <c r="O57" i="4"/>
  <c r="O52" i="4"/>
  <c r="O49" i="4"/>
  <c r="O42" i="4"/>
  <c r="O39" i="4"/>
  <c r="O34" i="4"/>
  <c r="O31" i="4"/>
  <c r="O21" i="4"/>
  <c r="N79" i="4"/>
  <c r="N53" i="4"/>
  <c r="N27" i="4"/>
  <c r="P27" i="4" s="1"/>
  <c r="O89" i="4"/>
  <c r="O63" i="4"/>
  <c r="O28" i="4"/>
  <c r="P28" i="4" s="1"/>
  <c r="O2" i="4"/>
  <c r="AA99" i="4"/>
  <c r="AA100" i="4"/>
  <c r="P83" i="4" l="1"/>
  <c r="P44" i="4"/>
  <c r="P23" i="4"/>
  <c r="P22" i="4"/>
  <c r="P19" i="4"/>
  <c r="P38" i="4"/>
  <c r="P9" i="4"/>
  <c r="P59" i="4"/>
  <c r="P46" i="4"/>
  <c r="P45" i="4"/>
  <c r="P71" i="4"/>
  <c r="P4" i="4"/>
  <c r="P90" i="4"/>
  <c r="P82" i="4"/>
  <c r="P84" i="4"/>
  <c r="P36" i="4"/>
  <c r="P72" i="4"/>
  <c r="P12" i="4"/>
  <c r="P39" i="4"/>
  <c r="P66" i="4"/>
  <c r="P26" i="4"/>
  <c r="P91" i="4"/>
  <c r="P6" i="4"/>
  <c r="P40" i="4"/>
  <c r="P76" i="4"/>
  <c r="P92" i="4"/>
  <c r="P17" i="4"/>
  <c r="P95" i="4"/>
  <c r="P16" i="4"/>
  <c r="P54" i="4"/>
  <c r="P53" i="4"/>
  <c r="P42" i="4"/>
  <c r="P56" i="4"/>
  <c r="P64" i="4"/>
  <c r="P18" i="4"/>
  <c r="P69" i="4"/>
  <c r="P52" i="4"/>
  <c r="P68" i="4"/>
  <c r="P41" i="4"/>
  <c r="P2" i="4"/>
  <c r="P34" i="4"/>
  <c r="P55" i="4"/>
  <c r="P86" i="4"/>
  <c r="P85" i="4"/>
  <c r="P78" i="4"/>
  <c r="P21" i="4"/>
  <c r="P60" i="4"/>
  <c r="P87" i="4"/>
  <c r="P15" i="4"/>
  <c r="P33" i="4"/>
  <c r="P67" i="4"/>
  <c r="P77" i="4"/>
  <c r="P99" i="4"/>
  <c r="P3" i="4"/>
  <c r="P35" i="4"/>
  <c r="P93" i="4"/>
  <c r="P97" i="4"/>
  <c r="P61" i="4"/>
  <c r="P13" i="4"/>
  <c r="P5" i="4"/>
  <c r="P88" i="4"/>
  <c r="P43" i="4"/>
  <c r="P96" i="4"/>
  <c r="P79" i="4"/>
  <c r="P11" i="4"/>
  <c r="P31" i="4"/>
  <c r="P14" i="4"/>
  <c r="P50" i="4"/>
  <c r="P100" i="4"/>
  <c r="P30" i="4"/>
  <c r="P70" i="4"/>
  <c r="P20" i="4"/>
  <c r="P51" i="4"/>
  <c r="P57" i="4"/>
  <c r="P75" i="4"/>
  <c r="P58" i="4"/>
  <c r="P81" i="4"/>
  <c r="P49" i="4"/>
  <c r="P62" i="4"/>
  <c r="P63" i="4"/>
  <c r="P37" i="4"/>
  <c r="P89" i="4"/>
  <c r="K5" i="6" l="1"/>
  <c r="L5" i="6"/>
  <c r="B5" i="16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G5" i="15"/>
  <c r="G4" i="15"/>
  <c r="D5" i="15"/>
  <c r="B5" i="15"/>
  <c r="I5" i="15"/>
  <c r="K5" i="15" s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57" i="1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38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370" i="2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L2" i="6"/>
  <c r="L3" i="6"/>
  <c r="L4" i="6"/>
  <c r="AA77" i="4" l="1"/>
  <c r="AA90" i="4"/>
  <c r="AA83" i="4"/>
  <c r="AA86" i="4"/>
  <c r="AA82" i="4"/>
  <c r="AA78" i="4"/>
  <c r="AA94" i="4"/>
  <c r="AA97" i="4"/>
  <c r="AA96" i="4"/>
  <c r="AA93" i="4"/>
  <c r="AA81" i="4"/>
  <c r="AA98" i="4"/>
  <c r="AA79" i="4"/>
  <c r="AA95" i="4"/>
  <c r="AA89" i="4"/>
  <c r="AA85" i="4"/>
  <c r="AA80" i="4"/>
  <c r="AA91" i="4"/>
  <c r="AA87" i="4"/>
  <c r="AA92" i="4"/>
  <c r="AA88" i="4"/>
  <c r="AA84" i="4"/>
  <c r="AA76" i="4"/>
  <c r="AA75" i="4"/>
  <c r="K2" i="6"/>
  <c r="K3" i="6"/>
  <c r="K4" i="6"/>
  <c r="O53" i="11" l="1"/>
  <c r="O54" i="11"/>
  <c r="O55" i="11"/>
  <c r="O56" i="11"/>
  <c r="O57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35" i="11"/>
  <c r="B4" i="16" l="1"/>
  <c r="D4" i="15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B4" i="15"/>
  <c r="I4" i="15"/>
  <c r="K4" i="15" s="1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C49" i="4"/>
  <c r="D49" i="4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88" i="1"/>
  <c r="C311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245" i="2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67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46" i="1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186" i="2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23" i="1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25" i="2"/>
  <c r="C124" i="2"/>
  <c r="C184" i="2"/>
  <c r="C185" i="2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AA50" i="4" l="1"/>
  <c r="AA57" i="4"/>
  <c r="AA53" i="4"/>
  <c r="AA61" i="4"/>
  <c r="AA54" i="4"/>
  <c r="AA69" i="4"/>
  <c r="AA56" i="4"/>
  <c r="AA52" i="4"/>
  <c r="AA65" i="4"/>
  <c r="AA55" i="4"/>
  <c r="AA51" i="4"/>
  <c r="AA71" i="4"/>
  <c r="AA66" i="4"/>
  <c r="AA63" i="4"/>
  <c r="AA58" i="4"/>
  <c r="AA68" i="4"/>
  <c r="AA60" i="4"/>
  <c r="AA70" i="4"/>
  <c r="AA67" i="4"/>
  <c r="AA62" i="4"/>
  <c r="AA59" i="4"/>
  <c r="AA72" i="4"/>
  <c r="AA64" i="4"/>
  <c r="AA49" i="4"/>
  <c r="K1" i="19"/>
  <c r="AI6" i="19"/>
  <c r="AI4" i="19"/>
  <c r="AI5" i="19"/>
  <c r="B2" i="15" l="1"/>
  <c r="B3" i="15"/>
  <c r="B3" i="16" l="1"/>
  <c r="B2" i="16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G3" i="15" l="1"/>
  <c r="G2" i="15"/>
  <c r="D3" i="15"/>
  <c r="D2" i="15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65" i="2"/>
  <c r="I3" i="15"/>
  <c r="K3" i="15" s="1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" i="4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AA41" i="4" l="1"/>
  <c r="AA29" i="4"/>
  <c r="AA19" i="4"/>
  <c r="AA7" i="4"/>
  <c r="AA44" i="4"/>
  <c r="AA40" i="4"/>
  <c r="AA36" i="4"/>
  <c r="AA32" i="4"/>
  <c r="AA28" i="4"/>
  <c r="AA22" i="4"/>
  <c r="AA18" i="4"/>
  <c r="AA14" i="4"/>
  <c r="AA10" i="4"/>
  <c r="AA6" i="4"/>
  <c r="AA2" i="4"/>
  <c r="AA37" i="4"/>
  <c r="AA23" i="4"/>
  <c r="AA11" i="4"/>
  <c r="AA43" i="4"/>
  <c r="AA39" i="4"/>
  <c r="AA35" i="4"/>
  <c r="AA31" i="4"/>
  <c r="AA27" i="4"/>
  <c r="AA21" i="4"/>
  <c r="AA17" i="4"/>
  <c r="AA13" i="4"/>
  <c r="AA9" i="4"/>
  <c r="AA5" i="4"/>
  <c r="AA45" i="4"/>
  <c r="AA33" i="4"/>
  <c r="AA15" i="4"/>
  <c r="AA3" i="4"/>
  <c r="AA46" i="4"/>
  <c r="AA42" i="4"/>
  <c r="AA38" i="4"/>
  <c r="AA34" i="4"/>
  <c r="AA30" i="4"/>
  <c r="AA26" i="4"/>
  <c r="AA20" i="4"/>
  <c r="AA16" i="4"/>
  <c r="AA12" i="4"/>
  <c r="AA8" i="4"/>
  <c r="AA4" i="4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H3" i="15" l="1"/>
  <c r="H5" i="15"/>
  <c r="H4" i="15"/>
  <c r="E8" i="15"/>
  <c r="E7" i="15"/>
  <c r="E6" i="15"/>
  <c r="E5" i="15"/>
  <c r="E4" i="15"/>
  <c r="E2" i="15"/>
  <c r="E3" i="15"/>
  <c r="H2" i="15" l="1"/>
  <c r="H8" i="15"/>
  <c r="H7" i="15"/>
  <c r="H6" i="15"/>
  <c r="I2" i="15"/>
  <c r="K2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어린이실1</author>
  </authors>
  <commentList>
    <comment ref="M1" authorId="0" shapeId="0" xr:uid="{5255DE00-3413-400C-A3FE-D0A06E801675}">
      <text>
        <r>
          <rPr>
            <b/>
            <sz val="9"/>
            <color indexed="81"/>
            <rFont val="돋움"/>
            <family val="3"/>
            <charset val="129"/>
          </rPr>
          <t>어린이실</t>
        </r>
        <r>
          <rPr>
            <b/>
            <sz val="9"/>
            <color indexed="81"/>
            <rFont val="Tahoma"/>
            <family val="2"/>
          </rPr>
          <t>1:
&lt;5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이전</t>
        </r>
        <r>
          <rPr>
            <b/>
            <sz val="9"/>
            <color indexed="81"/>
            <rFont val="Tahoma"/>
            <family val="2"/>
          </rPr>
          <t>&gt;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청소년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자유학습실개관일수</t>
        </r>
        <r>
          <rPr>
            <sz val="9"/>
            <color indexed="81"/>
            <rFont val="Tahoma"/>
            <family val="2"/>
          </rPr>
          <t xml:space="preserve">*40
</t>
        </r>
        <r>
          <rPr>
            <sz val="9"/>
            <color indexed="81"/>
            <rFont val="돋움"/>
            <family val="3"/>
            <charset val="129"/>
          </rPr>
          <t>성인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자유학습실개관일수</t>
        </r>
        <r>
          <rPr>
            <sz val="9"/>
            <color indexed="81"/>
            <rFont val="Tahoma"/>
            <family val="2"/>
          </rPr>
          <t xml:space="preserve">*50
</t>
        </r>
        <r>
          <rPr>
            <b/>
            <sz val="9"/>
            <color indexed="81"/>
            <rFont val="Tahoma"/>
            <family val="2"/>
          </rPr>
          <t>&lt;6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이후</t>
        </r>
        <r>
          <rPr>
            <b/>
            <sz val="9"/>
            <color indexed="81"/>
            <rFont val="Tahoma"/>
            <family val="2"/>
          </rPr>
          <t>&gt;</t>
        </r>
        <r>
          <rPr>
            <sz val="9"/>
            <color indexed="81"/>
            <rFont val="돋움"/>
            <family val="3"/>
            <charset val="129"/>
          </rPr>
          <t xml:space="preserve">
자유학습실개관일수</t>
        </r>
        <r>
          <rPr>
            <sz val="9"/>
            <color indexed="81"/>
            <rFont val="Tahoma"/>
            <family val="2"/>
          </rPr>
          <t>*30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A4CEBB-77F1-44BB-BC8C-9E1142E406F4}" keepAlive="1" name="ThisWorkbookDataModel" description="데이터 모델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D40142D-1CC6-4C05-BE13-17D05D2A3440}" name="WorksheetConnection_통계취합중.xlsx!개관일수범례" type="102" refreshedVersion="6" minRefreshableVersion="5">
    <extLst>
      <ext xmlns:x15="http://schemas.microsoft.com/office/spreadsheetml/2010/11/main" uri="{DE250136-89BD-433C-8126-D09CA5730AF9}">
        <x15:connection id="개관일수범례">
          <x15:rangePr sourceName="_xlcn.WorksheetConnection_통계취합중.xlsx개관일수범례1"/>
        </x15:connection>
      </ext>
    </extLst>
  </connection>
  <connection id="3" xr16:uid="{FD79BB7B-D9C5-4483-B9CE-9159CE6561BC}" name="WorksheetConnection_통계취합중.xlsx!날짜tb" type="102" refreshedVersion="6" minRefreshableVersion="5">
    <extLst>
      <ext xmlns:x15="http://schemas.microsoft.com/office/spreadsheetml/2010/11/main" uri="{DE250136-89BD-433C-8126-D09CA5730AF9}">
        <x15:connection id="날짜tb">
          <x15:rangePr sourceName="_xlcn.WorksheetConnection_통계취합중.xlsx날짜tb1"/>
        </x15:connection>
      </ext>
    </extLst>
  </connection>
  <connection id="4" xr16:uid="{22B5BDFA-538B-424F-91A9-633F333BB66C}" name="WorksheetConnection_통계취합중.xlsx!년월기준" type="102" refreshedVersion="6" minRefreshableVersion="5">
    <extLst>
      <ext xmlns:x15="http://schemas.microsoft.com/office/spreadsheetml/2010/11/main" uri="{DE250136-89BD-433C-8126-D09CA5730AF9}">
        <x15:connection id="년월기준">
          <x15:rangePr sourceName="_xlcn.WorksheetConnection_통계취합중.xlsx년월기준1"/>
        </x15:connection>
      </ext>
    </extLst>
  </connection>
  <connection id="5" xr16:uid="{E5D13C74-99AE-4CC3-901D-FD4D41194571}" name="WorksheetConnection_통계취합중.xlsx!대출권수" type="102" refreshedVersion="6" minRefreshableVersion="5">
    <extLst>
      <ext xmlns:x15="http://schemas.microsoft.com/office/spreadsheetml/2010/11/main" uri="{DE250136-89BD-433C-8126-D09CA5730AF9}">
        <x15:connection id="대출권수">
          <x15:rangePr sourceName="_xlcn.WorksheetConnection_통계취합중.xlsx대출권수1"/>
        </x15:connection>
      </ext>
    </extLst>
  </connection>
  <connection id="6" xr16:uid="{5C54B59A-4FDE-4DE2-935C-6A994F8E4F7A}" name="WorksheetConnection_통계취합중.xlsx!자료실기준" type="102" refreshedVersion="6" minRefreshableVersion="5">
    <extLst>
      <ext xmlns:x15="http://schemas.microsoft.com/office/spreadsheetml/2010/11/main" uri="{DE250136-89BD-433C-8126-D09CA5730AF9}">
        <x15:connection id="자료실기준">
          <x15:rangePr sourceName="_xlcn.WorksheetConnection_통계취합중.xlsx자료실기준1"/>
        </x15:connection>
      </ext>
    </extLst>
  </connection>
  <connection id="7" xr16:uid="{25DCD8A6-CCD3-4070-9F0D-547CB13E497B}" name="WorksheetConnection_통계취합중.xlsx!자료실범례" type="102" refreshedVersion="6" minRefreshableVersion="5">
    <extLst>
      <ext xmlns:x15="http://schemas.microsoft.com/office/spreadsheetml/2010/11/main" uri="{DE250136-89BD-433C-8126-D09CA5730AF9}">
        <x15:connection id="자료실범례">
          <x15:rangePr sourceName="_xlcn.WorksheetConnection_통계취합중.xlsx자료실범례1"/>
        </x15:connection>
      </ext>
    </extLst>
  </connection>
  <connection id="8" xr16:uid="{FD731DA1-C25F-4D22-B65E-81EBFDDA3BAB}" name="WorksheetConnection_통계취합중.xlsx!행사기준" type="102" refreshedVersion="6" minRefreshableVersion="5">
    <extLst>
      <ext xmlns:x15="http://schemas.microsoft.com/office/spreadsheetml/2010/11/main" uri="{DE250136-89BD-433C-8126-D09CA5730AF9}">
        <x15:connection id="행사기준">
          <x15:rangePr sourceName="_xlcn.WorksheetConnection_통계취합중.xlsx행사기준1"/>
        </x15:connection>
      </ext>
    </extLst>
  </connection>
</connections>
</file>

<file path=xl/metadata.xml><?xml version="1.0" encoding="utf-8"?>
<metadata xmlns="http://schemas.openxmlformats.org/spreadsheetml/2006/main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2">
    <s v="ThisWorkbookDataModel"/>
    <s v="{[날짜tb].[월(월)].&amp;[11월]}"/>
  </metadataStrings>
  <mdxMetadata count="1">
    <mdx n="0" f="s">
      <ms ns="1" c="0"/>
    </mdx>
  </mdxMetadata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<sst xmlns="http://schemas.openxmlformats.org/spreadsheetml/2006/main" count="5808" uniqueCount="682">
  <si>
    <t>다문화자료실</t>
  </si>
  <si>
    <t>다문화자료실(영어유아)</t>
  </si>
  <si>
    <t>디지털자료실</t>
  </si>
  <si>
    <t>별관 서고(디지털자료실)</t>
  </si>
  <si>
    <t>별관 서고(어린이자료실)</t>
  </si>
  <si>
    <t>별관 서고(종합자료실)</t>
  </si>
  <si>
    <t>스마트도서관</t>
  </si>
  <si>
    <t>어린이실(교과1학년)</t>
  </si>
  <si>
    <t>어린이실(교과2학년)</t>
  </si>
  <si>
    <t>어린이실(교과3학년)</t>
  </si>
  <si>
    <t>어린이실(교과4학년)</t>
  </si>
  <si>
    <t>어린이실(교과5학년)</t>
  </si>
  <si>
    <t>어린이실(교과6학년)</t>
  </si>
  <si>
    <t>어린이실(수상작)</t>
  </si>
  <si>
    <t>어린이실(신간도서)</t>
  </si>
  <si>
    <t>어린이실(학습만화)</t>
  </si>
  <si>
    <t>어린이자료실</t>
  </si>
  <si>
    <t>정기간행물(어린이)</t>
  </si>
  <si>
    <t>정기간행물(종합)</t>
  </si>
  <si>
    <t>종합실(신간도서)</t>
  </si>
  <si>
    <t>종합실(청소년 진로)</t>
  </si>
  <si>
    <t>종합자료실</t>
  </si>
  <si>
    <t>구분</t>
    <phoneticPr fontId="0" type="Hiragana"/>
  </si>
  <si>
    <t>기타</t>
  </si>
  <si>
    <t/>
  </si>
  <si>
    <t>반납</t>
  </si>
  <si>
    <t>기타</t>
    <phoneticPr fontId="0" type="Hiragana"/>
  </si>
  <si>
    <t>소장처명</t>
    <phoneticPr fontId="0" type="Hiragana"/>
  </si>
  <si>
    <t>대출</t>
  </si>
  <si>
    <t>종합자료실</t>
    <phoneticPr fontId="0" type="Hiragana"/>
  </si>
  <si>
    <t>어린이자료실</t>
    <phoneticPr fontId="0" type="Hiragana"/>
  </si>
  <si>
    <t>연기</t>
  </si>
  <si>
    <t>디지털자료실</t>
    <phoneticPr fontId="0" type="Hiragana"/>
  </si>
  <si>
    <t>어린이남자</t>
    <phoneticPr fontId="0" type="Hiragana"/>
  </si>
  <si>
    <t>어린이여자</t>
    <phoneticPr fontId="0" type="Hiragana"/>
  </si>
  <si>
    <t>청소년남자</t>
    <phoneticPr fontId="0" type="Hiragana"/>
  </si>
  <si>
    <t>청소년여자</t>
    <phoneticPr fontId="0" type="Hiragana"/>
  </si>
  <si>
    <t>성인남자</t>
    <phoneticPr fontId="0" type="Hiragana"/>
  </si>
  <si>
    <t>성인여자</t>
    <phoneticPr fontId="0" type="Hiragana"/>
  </si>
  <si>
    <t>총계</t>
    <phoneticPr fontId="0" type="Hiragana"/>
  </si>
  <si>
    <t>100</t>
  </si>
  <si>
    <t>200</t>
  </si>
  <si>
    <t>300</t>
  </si>
  <si>
    <t>400</t>
  </si>
  <si>
    <t>500</t>
  </si>
  <si>
    <t>600</t>
  </si>
  <si>
    <t>700</t>
  </si>
  <si>
    <t>800</t>
  </si>
  <si>
    <t>900</t>
  </si>
  <si>
    <t>000</t>
    <phoneticPr fontId="0" type="Hiragana"/>
  </si>
  <si>
    <t>대출반납</t>
    <phoneticPr fontId="0" type="Hiragana"/>
  </si>
  <si>
    <t>값</t>
  </si>
  <si>
    <t>년월</t>
    <phoneticPr fontId="0" type="Hiragana"/>
  </si>
  <si>
    <t>류별</t>
    <phoneticPr fontId="0" type="Hiragana"/>
  </si>
  <si>
    <t>총류</t>
  </si>
  <si>
    <t>총류</t>
    <phoneticPr fontId="0" type="Hiragana"/>
  </si>
  <si>
    <t>철학</t>
  </si>
  <si>
    <t>철학</t>
    <phoneticPr fontId="0" type="Hiragana"/>
  </si>
  <si>
    <t>종교</t>
  </si>
  <si>
    <t>종교</t>
    <phoneticPr fontId="0" type="Hiragana"/>
  </si>
  <si>
    <t>사회과학</t>
  </si>
  <si>
    <t>사회과학</t>
    <phoneticPr fontId="0" type="Hiragana"/>
  </si>
  <si>
    <t>자연과학</t>
  </si>
  <si>
    <t>자연과학</t>
    <phoneticPr fontId="0" type="Hiragana"/>
  </si>
  <si>
    <t>기술과학</t>
  </si>
  <si>
    <t>기술과학</t>
    <phoneticPr fontId="0" type="Hiragana"/>
  </si>
  <si>
    <t>예술</t>
  </si>
  <si>
    <t>예술</t>
    <phoneticPr fontId="0" type="Hiragana"/>
  </si>
  <si>
    <t>언어</t>
  </si>
  <si>
    <t>언어</t>
    <phoneticPr fontId="0" type="Hiragana"/>
  </si>
  <si>
    <t>문학</t>
  </si>
  <si>
    <t>문학</t>
    <phoneticPr fontId="0" type="Hiragana"/>
  </si>
  <si>
    <t>역사</t>
  </si>
  <si>
    <t>역사</t>
    <phoneticPr fontId="0" type="Hiragana"/>
  </si>
  <si>
    <t>행 레이블</t>
  </si>
  <si>
    <t>자료실구분</t>
    <phoneticPr fontId="0" type="Hiragana"/>
  </si>
  <si>
    <t>남자</t>
    <phoneticPr fontId="0" type="Hiragana"/>
  </si>
  <si>
    <t>여자</t>
    <phoneticPr fontId="0" type="Hiragana"/>
  </si>
  <si>
    <t>남자</t>
    <phoneticPr fontId="0" type="Hiragana"/>
  </si>
  <si>
    <t>어린이</t>
    <phoneticPr fontId="0" type="Hiragana"/>
  </si>
  <si>
    <t>여자</t>
    <phoneticPr fontId="0" type="Hiragana"/>
  </si>
  <si>
    <t>성인</t>
    <phoneticPr fontId="0" type="Hiragana"/>
  </si>
  <si>
    <t>자료실구분</t>
    <phoneticPr fontId="0" type="Hiragana"/>
  </si>
  <si>
    <t>창의융합독서미술</t>
    <phoneticPr fontId="0" type="Hiragana"/>
  </si>
  <si>
    <t>2024. 겨울 독서교실</t>
    <phoneticPr fontId="0" type="Hiragana"/>
  </si>
  <si>
    <t>예비초등영어</t>
    <phoneticPr fontId="0" type="Hiragana"/>
  </si>
  <si>
    <t>내가 좋아하는 책 속 한 구절</t>
    <phoneticPr fontId="0" type="Hiragana"/>
  </si>
  <si>
    <t>도토리 그림책 동아리</t>
    <phoneticPr fontId="0" type="Hiragana"/>
  </si>
  <si>
    <t>이야기가 있는 그림책 원화 전시</t>
    <phoneticPr fontId="0" type="Hiragana"/>
  </si>
  <si>
    <t>전체</t>
    <phoneticPr fontId="0" type="Hiragana"/>
  </si>
  <si>
    <t>도서관에서 만나는 특별한 책 이야기</t>
    <phoneticPr fontId="0" type="Hiragana"/>
  </si>
  <si>
    <t>사서 추천 도서 서평 전시</t>
    <phoneticPr fontId="0" type="Hiragana"/>
  </si>
  <si>
    <t>어린이자료실 현장학습</t>
    <phoneticPr fontId="0" type="Hiragana"/>
  </si>
  <si>
    <t>개관기념일 떡 나눔 이벤트</t>
    <phoneticPr fontId="0" type="Hiragana"/>
  </si>
  <si>
    <t>신규 회원가입 이벤트</t>
    <phoneticPr fontId="0" type="Hiragana"/>
  </si>
  <si>
    <t>성인(화왕) 독서동아리</t>
    <phoneticPr fontId="0" type="Hiragana"/>
  </si>
  <si>
    <t>사서가 들려주는 북 스토리</t>
    <phoneticPr fontId="0" type="Hiragana"/>
  </si>
  <si>
    <t>행사명</t>
    <phoneticPr fontId="0" type="Hiragana"/>
  </si>
  <si>
    <t>계</t>
    <phoneticPr fontId="0" type="Hiragana"/>
  </si>
  <si>
    <t>평생학습</t>
  </si>
  <si>
    <t>평생학습</t>
    <phoneticPr fontId="0" type="Hiragana"/>
  </si>
  <si>
    <t>독서문화</t>
  </si>
  <si>
    <t>독서문화</t>
    <phoneticPr fontId="0" type="Hiragana"/>
  </si>
  <si>
    <t>독서동아리</t>
  </si>
  <si>
    <t>독서동아리</t>
    <phoneticPr fontId="0" type="Hiragana"/>
  </si>
  <si>
    <t>전시</t>
  </si>
  <si>
    <t>전시</t>
    <phoneticPr fontId="0" type="Hiragana"/>
  </si>
  <si>
    <t>견학</t>
  </si>
  <si>
    <t>견학</t>
    <phoneticPr fontId="0" type="Hiragana"/>
  </si>
  <si>
    <t>류별(숫자)</t>
    <phoneticPr fontId="0" type="Hiragana"/>
  </si>
  <si>
    <t>행사분류2</t>
  </si>
  <si>
    <t>겨울방학특강</t>
    <phoneticPr fontId="0" type="Hiragana"/>
  </si>
  <si>
    <t>독서교실</t>
    <phoneticPr fontId="0" type="Hiragana"/>
  </si>
  <si>
    <t>횟수</t>
    <phoneticPr fontId="0" type="Hiragana"/>
  </si>
  <si>
    <t>어린이</t>
    <phoneticPr fontId="18" type="noConversion"/>
  </si>
  <si>
    <t>청소년</t>
    <phoneticPr fontId="18" type="noConversion"/>
  </si>
  <si>
    <t>성인</t>
    <phoneticPr fontId="18" type="noConversion"/>
  </si>
  <si>
    <t>내가 좋아하는 책 속 한 구절</t>
  </si>
  <si>
    <t>도서관에서 만나는 특별한 책 이야기</t>
  </si>
  <si>
    <t>도토리 그림책 동아리</t>
  </si>
  <si>
    <t>사서 추천 도서 서평 전시</t>
  </si>
  <si>
    <t>사서가 들려주는 북 스토리</t>
  </si>
  <si>
    <t>신규 회원가입 이벤트</t>
  </si>
  <si>
    <t>이야기가 있는 그림책 원화 전시</t>
  </si>
  <si>
    <t>소장처명</t>
    <phoneticPr fontId="18" type="noConversion"/>
  </si>
  <si>
    <t>김봉준</t>
    <phoneticPr fontId="18" type="noConversion"/>
  </si>
  <si>
    <t>노아영</t>
    <phoneticPr fontId="18" type="noConversion"/>
  </si>
  <si>
    <t>박준형</t>
    <phoneticPr fontId="18" type="noConversion"/>
  </si>
  <si>
    <t>자료실개관일수</t>
    <phoneticPr fontId="0" type="Hiragana"/>
  </si>
  <si>
    <t>자유학습실개관일수</t>
    <phoneticPr fontId="0" type="Hiragana"/>
  </si>
  <si>
    <t>자유학습실</t>
    <phoneticPr fontId="0" type="Hiragana"/>
  </si>
  <si>
    <t>행사분류</t>
    <phoneticPr fontId="0" type="Hiragana"/>
  </si>
  <si>
    <t>성인</t>
  </si>
  <si>
    <t>어린이</t>
  </si>
  <si>
    <t>전체</t>
  </si>
  <si>
    <t>담당자1</t>
    <phoneticPr fontId="18" type="noConversion"/>
  </si>
  <si>
    <t>담당자2</t>
    <phoneticPr fontId="18" type="noConversion"/>
  </si>
  <si>
    <t>노아영</t>
    <phoneticPr fontId="18" type="noConversion"/>
  </si>
  <si>
    <t>대출자수</t>
    <phoneticPr fontId="18" type="noConversion"/>
  </si>
  <si>
    <t>대출권수</t>
    <phoneticPr fontId="18" type="noConversion"/>
  </si>
  <si>
    <t>행사참여자수</t>
    <phoneticPr fontId="18" type="noConversion"/>
  </si>
  <si>
    <t>합계</t>
    <phoneticPr fontId="18" type="noConversion"/>
  </si>
  <si>
    <t>년월</t>
    <phoneticPr fontId="18" type="noConversion"/>
  </si>
  <si>
    <t>대출자수(전년동월)</t>
    <phoneticPr fontId="18" type="noConversion"/>
  </si>
  <si>
    <t>대출권수(전년동월)</t>
    <phoneticPr fontId="18" type="noConversion"/>
  </si>
  <si>
    <t>행사참여자수(전년동월)</t>
    <phoneticPr fontId="18" type="noConversion"/>
  </si>
  <si>
    <t>전년동월비(권수)</t>
    <phoneticPr fontId="18" type="noConversion"/>
  </si>
  <si>
    <t>전년동월비(대출자수)</t>
    <phoneticPr fontId="18" type="noConversion"/>
  </si>
  <si>
    <t>전년동월비(행사참여자수)</t>
    <phoneticPr fontId="18" type="noConversion"/>
  </si>
  <si>
    <t>정기휴관일</t>
    <phoneticPr fontId="0" type="Hiragana"/>
  </si>
  <si>
    <t>공휴일</t>
    <phoneticPr fontId="0" type="Hiragana"/>
  </si>
  <si>
    <t>자유학습실휴관일</t>
    <phoneticPr fontId="0" type="Hiragana"/>
  </si>
  <si>
    <t>일수</t>
    <phoneticPr fontId="0" type="Hiragana"/>
  </si>
  <si>
    <t>고유값</t>
    <phoneticPr fontId="18" type="noConversion"/>
  </si>
  <si>
    <t>월</t>
    <phoneticPr fontId="18" type="noConversion"/>
  </si>
  <si>
    <t>주</t>
    <phoneticPr fontId="18" type="noConversion"/>
  </si>
  <si>
    <t>월(월)</t>
  </si>
  <si>
    <t>대출권수합계</t>
    <phoneticPr fontId="18" type="noConversion"/>
  </si>
  <si>
    <t>대출자수합계</t>
    <phoneticPr fontId="18" type="noConversion"/>
  </si>
  <si>
    <t>고유값</t>
    <phoneticPr fontId="18" type="noConversion"/>
  </si>
  <si>
    <t>합계: 계</t>
  </si>
  <si>
    <t>남자</t>
  </si>
  <si>
    <t>여자</t>
  </si>
  <si>
    <t>청소년</t>
  </si>
  <si>
    <t>대출자수합계</t>
  </si>
  <si>
    <t>대출권수합계</t>
  </si>
  <si>
    <t>대출자수</t>
  </si>
  <si>
    <t>대출권수</t>
  </si>
  <si>
    <t>강사명</t>
    <phoneticPr fontId="18" type="noConversion"/>
  </si>
  <si>
    <t>남서임</t>
    <phoneticPr fontId="18" type="noConversion"/>
  </si>
  <si>
    <t>심영화</t>
    <phoneticPr fontId="18" type="noConversion"/>
  </si>
  <si>
    <t>독서문화</t>
    <phoneticPr fontId="18" type="noConversion"/>
  </si>
  <si>
    <t>어린이</t>
    <phoneticPr fontId="18" type="noConversion"/>
  </si>
  <si>
    <t>노아영</t>
    <phoneticPr fontId="18" type="noConversion"/>
  </si>
  <si>
    <t>정월대보름 맞이 부럼 증정 이벤트</t>
    <phoneticPr fontId="18" type="noConversion"/>
  </si>
  <si>
    <t>정월대보름을 찾아라</t>
    <phoneticPr fontId="18" type="noConversion"/>
  </si>
  <si>
    <t>전체</t>
    <phoneticPr fontId="18" type="noConversion"/>
  </si>
  <si>
    <t>박준형</t>
    <phoneticPr fontId="18" type="noConversion"/>
  </si>
  <si>
    <t>생각키움 독서퀴즈</t>
  </si>
  <si>
    <t>생각키움 독서퀴즈</t>
    <phoneticPr fontId="0" type="Hiragana"/>
  </si>
  <si>
    <t>문화가있는날</t>
    <phoneticPr fontId="18" type="noConversion"/>
  </si>
  <si>
    <t>두 배로 데이</t>
  </si>
  <si>
    <t>두 배로 데이</t>
    <phoneticPr fontId="0" type="Hiragana"/>
  </si>
  <si>
    <t>연체자 클린 데이</t>
  </si>
  <si>
    <t>연체자 클린 데이</t>
    <phoneticPr fontId="0" type="Hiragana"/>
  </si>
  <si>
    <t>전시</t>
    <phoneticPr fontId="18" type="noConversion"/>
  </si>
  <si>
    <t>우리가 사랑한 책들</t>
    <phoneticPr fontId="18" type="noConversion"/>
  </si>
  <si>
    <t>성인</t>
    <phoneticPr fontId="18" type="noConversion"/>
  </si>
  <si>
    <t>도서관에서 만나는 창녕 시네마</t>
    <phoneticPr fontId="18" type="noConversion"/>
  </si>
  <si>
    <t>독서동아리</t>
    <phoneticPr fontId="18" type="noConversion"/>
  </si>
  <si>
    <t>대상1</t>
    <phoneticPr fontId="0" type="Hiragana"/>
  </si>
  <si>
    <t>대상2</t>
    <phoneticPr fontId="18" type="noConversion"/>
  </si>
  <si>
    <t>대상(상세)</t>
    <phoneticPr fontId="18" type="noConversion"/>
  </si>
  <si>
    <t>유아~초등</t>
  </si>
  <si>
    <t>유아~초등</t>
    <phoneticPr fontId="18" type="noConversion"/>
  </si>
  <si>
    <t>도서관에서 만나는 창녕 시네마</t>
  </si>
  <si>
    <t>견학</t>
    <phoneticPr fontId="18" type="noConversion"/>
  </si>
  <si>
    <t>경남독서한마당(종합)</t>
  </si>
  <si>
    <t>경남독서한마당(어린이)</t>
  </si>
  <si>
    <t>도서관에 심는 꽃 시</t>
  </si>
  <si>
    <t>책 따라 걸어보는 3·1 만세 운동</t>
  </si>
  <si>
    <t>선물 팡팡! 스마트도서관 365</t>
  </si>
  <si>
    <t>문화가있는날</t>
  </si>
  <si>
    <t>도서관 순회전시</t>
  </si>
  <si>
    <t>라탄 트레이 만들기</t>
  </si>
  <si>
    <t>라탄 공예 전시</t>
  </si>
  <si>
    <t>노아영</t>
  </si>
  <si>
    <t>박준형</t>
  </si>
  <si>
    <t>상반기평일</t>
  </si>
  <si>
    <t>내 손안의 스마트 미디어</t>
  </si>
  <si>
    <t>이성훈</t>
  </si>
  <si>
    <t>김봉준</t>
  </si>
  <si>
    <t>바이올린 초급반</t>
  </si>
  <si>
    <t>박언후</t>
  </si>
  <si>
    <t>정리수납의 달인</t>
  </si>
  <si>
    <t>권성진</t>
  </si>
  <si>
    <t>상반기주말</t>
  </si>
  <si>
    <t>재미있는 그림책 놀이</t>
  </si>
  <si>
    <t>초등 저학년</t>
  </si>
  <si>
    <t>김종언</t>
  </si>
  <si>
    <t>아빠와 요리 교실</t>
  </si>
  <si>
    <t>5~9세 및 아빠 보호자</t>
  </si>
  <si>
    <t>이윤정</t>
  </si>
  <si>
    <t>(</t>
    <phoneticPr fontId="18" type="noConversion"/>
  </si>
  <si>
    <t>성인(화왕) 독서동아리</t>
  </si>
  <si>
    <t>SNS</t>
  </si>
  <si>
    <t>SNS</t>
    <phoneticPr fontId="0" type="Hiragana"/>
  </si>
  <si>
    <t>학교도서관</t>
  </si>
  <si>
    <t>학교도서관</t>
    <phoneticPr fontId="0" type="Hiragana"/>
  </si>
  <si>
    <t>독서프로그램</t>
  </si>
  <si>
    <t>나는야 지구 환경 지킴이</t>
  </si>
  <si>
    <t>허수인</t>
  </si>
  <si>
    <t>인성 쑥쑥 놀이터</t>
  </si>
  <si>
    <t>나의 언어, 나의 동시</t>
  </si>
  <si>
    <t>책으로 떠나는 수학 탐험대</t>
  </si>
  <si>
    <t>전시프로그램</t>
  </si>
  <si>
    <t>꽃이 필거야</t>
  </si>
  <si>
    <t>강아지 걸음으로</t>
  </si>
  <si>
    <t>기억을 넘어 너에게 갈게</t>
  </si>
  <si>
    <t>책꾸러미</t>
  </si>
  <si>
    <t>그림책이 살아있다</t>
  </si>
  <si>
    <t>그림책이 커졌다</t>
  </si>
  <si>
    <t>이지은 작가의 책</t>
  </si>
  <si>
    <t>경혜원 작가의 책</t>
  </si>
  <si>
    <t>정진호 작가의 책</t>
  </si>
  <si>
    <t>도서관주간</t>
  </si>
  <si>
    <t>유채축제 속 도서관 홍보 및 체험 부스 운영</t>
  </si>
  <si>
    <t>책갈피에 전하는 마음</t>
  </si>
  <si>
    <t>행복 두 배 책 읽기</t>
  </si>
  <si>
    <t>과년도 잡지&amp;도서 무료 나눔</t>
  </si>
  <si>
    <t>당신의 과거를 지워드립니다</t>
  </si>
  <si>
    <t>내 동료가 돼라!</t>
  </si>
  <si>
    <t>책에 향기를 더하다</t>
  </si>
  <si>
    <t>빙글 빙글 도서관 빙고</t>
  </si>
  <si>
    <t>맞춰봐요 도서관 퀴즈!</t>
  </si>
  <si>
    <t>내 마음대로 북큐레이션</t>
  </si>
  <si>
    <t>내 손안의 도서관</t>
  </si>
  <si>
    <t>꿈동(청소년) 독서동아리</t>
  </si>
  <si>
    <t>푸르미(어린이) 독서동아리</t>
  </si>
  <si>
    <t>평생학습</t>
    <phoneticPr fontId="18" type="noConversion"/>
  </si>
  <si>
    <t>상반기평일</t>
    <phoneticPr fontId="18" type="noConversion"/>
  </si>
  <si>
    <t>내 손안의 스마트 미디어</t>
    <phoneticPr fontId="18" type="noConversion"/>
  </si>
  <si>
    <t>이성훈</t>
    <phoneticPr fontId="18" type="noConversion"/>
  </si>
  <si>
    <t>바이올린 초급반</t>
    <phoneticPr fontId="18" type="noConversion"/>
  </si>
  <si>
    <t>박언후</t>
    <phoneticPr fontId="18" type="noConversion"/>
  </si>
  <si>
    <t>정리수납의 달인</t>
    <phoneticPr fontId="18" type="noConversion"/>
  </si>
  <si>
    <t>권성진</t>
    <phoneticPr fontId="18" type="noConversion"/>
  </si>
  <si>
    <t>상반기주말</t>
    <phoneticPr fontId="18" type="noConversion"/>
  </si>
  <si>
    <t>재미있는 그림책 놀이</t>
    <phoneticPr fontId="18" type="noConversion"/>
  </si>
  <si>
    <t>초등 저학년</t>
    <phoneticPr fontId="18" type="noConversion"/>
  </si>
  <si>
    <t>김종언</t>
    <phoneticPr fontId="18" type="noConversion"/>
  </si>
  <si>
    <t>아빠와 요리 교실</t>
    <phoneticPr fontId="18" type="noConversion"/>
  </si>
  <si>
    <t>5~9세 및 아빠 보호자</t>
    <phoneticPr fontId="18" type="noConversion"/>
  </si>
  <si>
    <t>이윤정</t>
    <phoneticPr fontId="18" type="noConversion"/>
  </si>
  <si>
    <t>취약계층</t>
    <phoneticPr fontId="18" type="noConversion"/>
  </si>
  <si>
    <t>오감 책놀이</t>
    <phoneticPr fontId="18" type="noConversion"/>
  </si>
  <si>
    <t>명리지역 아동센터</t>
    <phoneticPr fontId="18" type="noConversion"/>
  </si>
  <si>
    <t>송태숙</t>
    <phoneticPr fontId="18" type="noConversion"/>
  </si>
  <si>
    <t>즐거운 코딩나라</t>
    <phoneticPr fontId="18" type="noConversion"/>
  </si>
  <si>
    <t>꿈초롱지역 아동센터</t>
    <phoneticPr fontId="18" type="noConversion"/>
  </si>
  <si>
    <t>김성현</t>
    <phoneticPr fontId="18" type="noConversion"/>
  </si>
  <si>
    <t>모두가 하나되는 세계시민 프로젝트</t>
    <phoneticPr fontId="18" type="noConversion"/>
  </si>
  <si>
    <t>예영순</t>
    <phoneticPr fontId="18" type="noConversion"/>
  </si>
  <si>
    <t>활력충전 신바람 노래교실</t>
    <phoneticPr fontId="18" type="noConversion"/>
  </si>
  <si>
    <t>인문학</t>
    <phoneticPr fontId="18" type="noConversion"/>
  </si>
  <si>
    <t>찾아가는 생태동화</t>
    <phoneticPr fontId="18" type="noConversion"/>
  </si>
  <si>
    <t>권오준</t>
    <phoneticPr fontId="18" type="noConversion"/>
  </si>
  <si>
    <t>별밤도서관</t>
    <phoneticPr fontId="18" type="noConversion"/>
  </si>
  <si>
    <t>우리 가족 놀이 체육</t>
    <phoneticPr fontId="18" type="noConversion"/>
  </si>
  <si>
    <t>5-9세 어린이 및 가족</t>
    <phoneticPr fontId="18" type="noConversion"/>
  </si>
  <si>
    <t>김지현</t>
    <phoneticPr fontId="18" type="noConversion"/>
  </si>
  <si>
    <t>셀프 마사지로 내 몸 챙기기</t>
    <phoneticPr fontId="18" type="noConversion"/>
  </si>
  <si>
    <t>이경숙</t>
    <phoneticPr fontId="18" type="noConversion"/>
  </si>
  <si>
    <t>활력충전 신바람 노래교실</t>
  </si>
  <si>
    <t>우리 가족 놀이 체육</t>
  </si>
  <si>
    <t>즐거운 코딩나라</t>
  </si>
  <si>
    <t>오감 책놀이</t>
  </si>
  <si>
    <t>모두가 하나되는 세계시민 프로젝트</t>
  </si>
  <si>
    <t>셀프 마사지로 내 몸 챙기기</t>
  </si>
  <si>
    <t>반야노블카운티 입소 노인</t>
    <phoneticPr fontId="18" type="noConversion"/>
  </si>
  <si>
    <t>계창초, 창녕성산초</t>
    <phoneticPr fontId="18" type="noConversion"/>
  </si>
  <si>
    <t>초등 5-6학년</t>
    <phoneticPr fontId="18" type="noConversion"/>
  </si>
  <si>
    <t>초등 1-2학년</t>
    <phoneticPr fontId="18" type="noConversion"/>
  </si>
  <si>
    <t>초등 3-4학년</t>
    <phoneticPr fontId="18" type="noConversion"/>
  </si>
  <si>
    <t>초등</t>
    <phoneticPr fontId="18" type="noConversion"/>
  </si>
  <si>
    <t>청소년 대상이나 초등학교가 신청</t>
    <phoneticPr fontId="18" type="noConversion"/>
  </si>
  <si>
    <t>김사수미</t>
    <phoneticPr fontId="18" type="noConversion"/>
  </si>
  <si>
    <t>안수영</t>
    <phoneticPr fontId="18" type="noConversion"/>
  </si>
  <si>
    <t>김채선</t>
    <phoneticPr fontId="18" type="noConversion"/>
  </si>
  <si>
    <t>윤나라</t>
    <phoneticPr fontId="18" type="noConversion"/>
  </si>
  <si>
    <t>합계: 횟수</t>
  </si>
  <si>
    <t>세계인의 날, 같이 가요 세계로!</t>
  </si>
  <si>
    <t>도서관에서 찰칵 사진 찍자</t>
  </si>
  <si>
    <t>우리 가족 북크닉</t>
  </si>
  <si>
    <t>오늘부터 어린이날</t>
  </si>
  <si>
    <t>어쩌다 그림 탐정단</t>
  </si>
  <si>
    <t>우리 가족이에5</t>
  </si>
  <si>
    <t>책사랑 자연사랑 줍깅 캠페인</t>
  </si>
  <si>
    <t>내 손안의 책갈피</t>
  </si>
  <si>
    <t>코믹 매직 벌룬쇼</t>
  </si>
  <si>
    <t>예영순</t>
  </si>
  <si>
    <t>송태숙</t>
  </si>
  <si>
    <t>50세 이상 어르신</t>
  </si>
  <si>
    <t>취약계층</t>
  </si>
  <si>
    <t>명리지역 아동센터</t>
  </si>
  <si>
    <t>꿈초롱지역 아동센터</t>
  </si>
  <si>
    <t>김성현</t>
  </si>
  <si>
    <t>별밤도서관</t>
  </si>
  <si>
    <t>5-9세 어린이 및 가족</t>
  </si>
  <si>
    <t>김지현</t>
  </si>
  <si>
    <t>이경숙</t>
  </si>
  <si>
    <t>인문학</t>
  </si>
  <si>
    <t>나의 실천은 지구를 지킬 수 있을까?</t>
  </si>
  <si>
    <t>구희</t>
  </si>
  <si>
    <t>심리학과 함께하는 행복찾기</t>
  </si>
  <si>
    <t>김태훈</t>
  </si>
  <si>
    <t>슈퍼텍고등학교, 창녕여자중학교</t>
    <phoneticPr fontId="18" type="noConversion"/>
  </si>
  <si>
    <t>고암초</t>
  </si>
  <si>
    <t>초등 5-6학년</t>
  </si>
  <si>
    <t>김사수미</t>
  </si>
  <si>
    <t>이방초,장천분교</t>
  </si>
  <si>
    <t>초등 1-2학년</t>
  </si>
  <si>
    <t>안수영</t>
  </si>
  <si>
    <t>이방초,창녕성산초</t>
  </si>
  <si>
    <t>초등 3-4학년</t>
  </si>
  <si>
    <t>김채선</t>
  </si>
  <si>
    <t>명덕초</t>
  </si>
  <si>
    <t>윤나라</t>
  </si>
  <si>
    <t>공 좀 주워 주세요</t>
  </si>
  <si>
    <t>계창초, 명덕초, 유어초, 부곡초, 동포초</t>
  </si>
  <si>
    <t>고양이는 이사 중!</t>
  </si>
  <si>
    <t>고암초, 계창초, 대지초, 유어초, 명덕초</t>
  </si>
  <si>
    <t>내 친구 거미</t>
  </si>
  <si>
    <t>계창초, 유어초</t>
  </si>
  <si>
    <t>부곡초, 고암초, 동포초</t>
  </si>
  <si>
    <t>대지초, 부곡초, 동포초</t>
  </si>
  <si>
    <t>계창초, 대지초</t>
  </si>
  <si>
    <t>유어초, 명덕초</t>
  </si>
  <si>
    <t>고암초, 유어초, 부곡초</t>
  </si>
  <si>
    <t>가족</t>
    <phoneticPr fontId="18" type="noConversion"/>
  </si>
  <si>
    <t>대상</t>
    <phoneticPr fontId="0" type="Hiragana"/>
  </si>
  <si>
    <t>청소년</t>
    <phoneticPr fontId="0" type="Hiragana"/>
  </si>
  <si>
    <t>연체자 클린 데이</t>
    <phoneticPr fontId="18" type="noConversion"/>
  </si>
  <si>
    <t>도서관에서 만나는 창녕 시네마</t>
    <phoneticPr fontId="0" type="Hiragana"/>
  </si>
  <si>
    <t>또북 또북 책 읽자!</t>
    <phoneticPr fontId="18" type="noConversion"/>
  </si>
  <si>
    <t>어린이</t>
    <phoneticPr fontId="18" type="noConversion"/>
  </si>
  <si>
    <t>노아영</t>
    <phoneticPr fontId="18" type="noConversion"/>
  </si>
  <si>
    <t>나라사랑 십자말풀이</t>
    <phoneticPr fontId="18" type="noConversion"/>
  </si>
  <si>
    <t>이 책의 이름은 비밀</t>
    <phoneticPr fontId="18" type="noConversion"/>
  </si>
  <si>
    <t>책꾸러미로 북스타트</t>
    <phoneticPr fontId="18" type="noConversion"/>
  </si>
  <si>
    <t>생각키움 독서퀴즈</t>
    <phoneticPr fontId="18" type="noConversion"/>
  </si>
  <si>
    <t>내가 좋아하는 책 속 한 구절</t>
    <phoneticPr fontId="18" type="noConversion"/>
  </si>
  <si>
    <t>영수증 주면 선물 JUNE다</t>
    <phoneticPr fontId="18" type="noConversion"/>
  </si>
  <si>
    <t>성인</t>
    <phoneticPr fontId="18" type="noConversion"/>
  </si>
  <si>
    <t>박준형</t>
    <phoneticPr fontId="18" type="noConversion"/>
  </si>
  <si>
    <t>스마트도서관에서 빌려봤슴?</t>
    <phoneticPr fontId="18" type="noConversion"/>
  </si>
  <si>
    <t>전체</t>
    <phoneticPr fontId="18" type="noConversion"/>
  </si>
  <si>
    <t>이책모지?</t>
    <phoneticPr fontId="18" type="noConversion"/>
  </si>
  <si>
    <t>허수인</t>
    <phoneticPr fontId="18" type="noConversion"/>
  </si>
  <si>
    <t>두 배로 데이</t>
    <phoneticPr fontId="18" type="noConversion"/>
  </si>
  <si>
    <t>사서가 들려주는 북 스토리</t>
    <phoneticPr fontId="18" type="noConversion"/>
  </si>
  <si>
    <t>이야기가 있는 그림책 원화 전시</t>
    <phoneticPr fontId="18" type="noConversion"/>
  </si>
  <si>
    <t>사서 추천 도서 서평 전시</t>
    <phoneticPr fontId="18" type="noConversion"/>
  </si>
  <si>
    <t>어린이자료실 현장학습</t>
    <phoneticPr fontId="18" type="noConversion"/>
  </si>
  <si>
    <t>어린이 경제 보드게임</t>
    <phoneticPr fontId="18" type="noConversion"/>
  </si>
  <si>
    <t>평생학습</t>
    <phoneticPr fontId="18" type="noConversion"/>
  </si>
  <si>
    <t>인문학</t>
    <phoneticPr fontId="18" type="noConversion"/>
  </si>
  <si>
    <t>우리아이 미래 경제교육</t>
    <phoneticPr fontId="18" type="noConversion"/>
  </si>
  <si>
    <t>김봉준</t>
    <phoneticPr fontId="18" type="noConversion"/>
  </si>
  <si>
    <t>AI혁명시대의 생존전략</t>
    <phoneticPr fontId="18" type="noConversion"/>
  </si>
  <si>
    <t>독서문화</t>
    <phoneticPr fontId="18" type="noConversion"/>
  </si>
  <si>
    <t>전시</t>
    <phoneticPr fontId="18" type="noConversion"/>
  </si>
  <si>
    <t>견학</t>
    <phoneticPr fontId="18" type="noConversion"/>
  </si>
  <si>
    <t>평생학습</t>
    <phoneticPr fontId="18" type="noConversion"/>
  </si>
  <si>
    <t>1도서관1특성화</t>
    <phoneticPr fontId="18" type="noConversion"/>
  </si>
  <si>
    <t>영어동화의숲A</t>
    <phoneticPr fontId="18" type="noConversion"/>
  </si>
  <si>
    <t>어린이</t>
    <phoneticPr fontId="18" type="noConversion"/>
  </si>
  <si>
    <t>6-7세</t>
    <phoneticPr fontId="18" type="noConversion"/>
  </si>
  <si>
    <t>영어동화의숲B</t>
    <phoneticPr fontId="18" type="noConversion"/>
  </si>
  <si>
    <t>초등저학년</t>
    <phoneticPr fontId="18" type="noConversion"/>
  </si>
  <si>
    <t>심영화</t>
    <phoneticPr fontId="18" type="noConversion"/>
  </si>
  <si>
    <t>윤성애</t>
    <phoneticPr fontId="18" type="noConversion"/>
  </si>
  <si>
    <t>장민</t>
    <phoneticPr fontId="18" type="noConversion"/>
  </si>
  <si>
    <t>영유아가족</t>
    <phoneticPr fontId="18" type="noConversion"/>
  </si>
  <si>
    <t>박준형</t>
    <phoneticPr fontId="18" type="noConversion"/>
  </si>
  <si>
    <t>초1~2학년, 초3~4학년</t>
    <phoneticPr fontId="18" type="noConversion"/>
  </si>
  <si>
    <t>독서동아리</t>
    <phoneticPr fontId="18" type="noConversion"/>
  </si>
  <si>
    <t>도토리 그림책 동아리</t>
    <phoneticPr fontId="18" type="noConversion"/>
  </si>
  <si>
    <t>성인여성</t>
    <phoneticPr fontId="18" type="noConversion"/>
  </si>
  <si>
    <t>성인</t>
    <phoneticPr fontId="18" type="noConversion"/>
  </si>
  <si>
    <t>독서문화</t>
    <phoneticPr fontId="18" type="noConversion"/>
  </si>
  <si>
    <t>공모사업</t>
    <phoneticPr fontId="18" type="noConversion"/>
  </si>
  <si>
    <t>꿈초롱지역 아동센터</t>
    <phoneticPr fontId="18" type="noConversion"/>
  </si>
  <si>
    <t>찾아가는 인형극 : 방귀쟁이 며느리</t>
    <phoneticPr fontId="18" type="noConversion"/>
  </si>
  <si>
    <t>창녕유치원생</t>
    <phoneticPr fontId="18" type="noConversion"/>
  </si>
  <si>
    <t>노아영</t>
    <phoneticPr fontId="18" type="noConversion"/>
  </si>
  <si>
    <t>1도서관1특성화</t>
  </si>
  <si>
    <t>영어동화의숲A</t>
  </si>
  <si>
    <t>영어동화의숲B</t>
  </si>
  <si>
    <t>학교도서관</t>
    <phoneticPr fontId="18" type="noConversion"/>
  </si>
  <si>
    <t>독서프로그램</t>
    <phoneticPr fontId="18" type="noConversion"/>
  </si>
  <si>
    <t>신문보니(NIE)</t>
    <phoneticPr fontId="18" type="noConversion"/>
  </si>
  <si>
    <t>대지초</t>
    <phoneticPr fontId="18" type="noConversion"/>
  </si>
  <si>
    <t>인성 쑥쑥 놀이터</t>
    <phoneticPr fontId="18" type="noConversion"/>
  </si>
  <si>
    <t>대합초,계창초</t>
    <phoneticPr fontId="18" type="noConversion"/>
  </si>
  <si>
    <t>전시프로그램</t>
    <phoneticPr fontId="18" type="noConversion"/>
  </si>
  <si>
    <t>공 좀 주워 주세요</t>
    <phoneticPr fontId="18" type="noConversion"/>
  </si>
  <si>
    <t>동포초</t>
    <phoneticPr fontId="18" type="noConversion"/>
  </si>
  <si>
    <t>고양이는 이사 중!</t>
    <phoneticPr fontId="18" type="noConversion"/>
  </si>
  <si>
    <t>명덕초</t>
    <phoneticPr fontId="18" type="noConversion"/>
  </si>
  <si>
    <t>내 친구 거미</t>
    <phoneticPr fontId="18" type="noConversion"/>
  </si>
  <si>
    <t>계창초, 유어초</t>
    <phoneticPr fontId="18" type="noConversion"/>
  </si>
  <si>
    <t>호랭면</t>
    <phoneticPr fontId="18" type="noConversion"/>
  </si>
  <si>
    <t>계창초, 명덕초, 부곡초, 유어초, 대지초</t>
    <phoneticPr fontId="18" type="noConversion"/>
  </si>
  <si>
    <t>파도가 차르르</t>
    <phoneticPr fontId="18" type="noConversion"/>
  </si>
  <si>
    <t>계창초, 고암초, 유어초, 남지초, 동포초</t>
    <phoneticPr fontId="18" type="noConversion"/>
  </si>
  <si>
    <t>우리 지금, 썸머</t>
    <phoneticPr fontId="18" type="noConversion"/>
  </si>
  <si>
    <t>영산중, 창녕중</t>
    <phoneticPr fontId="18" type="noConversion"/>
  </si>
  <si>
    <t>지구 레스토랑</t>
    <phoneticPr fontId="18" type="noConversion"/>
  </si>
  <si>
    <t>유어초</t>
    <phoneticPr fontId="18" type="noConversion"/>
  </si>
  <si>
    <t>책꾸러미</t>
    <phoneticPr fontId="18" type="noConversion"/>
  </si>
  <si>
    <t>그림책이 살아있다</t>
    <phoneticPr fontId="18" type="noConversion"/>
  </si>
  <si>
    <t>그림책이 커졌다</t>
    <phoneticPr fontId="18" type="noConversion"/>
  </si>
  <si>
    <t>동포초, 고암초, 유어초</t>
    <phoneticPr fontId="18" type="noConversion"/>
  </si>
  <si>
    <t>이지은 작가의 책</t>
    <phoneticPr fontId="18" type="noConversion"/>
  </si>
  <si>
    <t>경혜원 작가의 책</t>
    <phoneticPr fontId="18" type="noConversion"/>
  </si>
  <si>
    <t>계창초, 대지초</t>
    <phoneticPr fontId="18" type="noConversion"/>
  </si>
  <si>
    <t>정진호 작가의 책</t>
    <phoneticPr fontId="18" type="noConversion"/>
  </si>
  <si>
    <t>부곡초, 명덕초</t>
    <phoneticPr fontId="18" type="noConversion"/>
  </si>
  <si>
    <t>이혜선</t>
    <phoneticPr fontId="18" type="noConversion"/>
  </si>
  <si>
    <t>성인</t>
    <phoneticPr fontId="18" type="noConversion"/>
  </si>
  <si>
    <t>대출</t>
    <phoneticPr fontId="18" type="noConversion"/>
  </si>
  <si>
    <t>기타</t>
    <phoneticPr fontId="0" type="Hiragana"/>
  </si>
  <si>
    <t>종합자료실</t>
    <phoneticPr fontId="0" type="Hiragana"/>
  </si>
  <si>
    <t>기타</t>
    <phoneticPr fontId="18" type="noConversion"/>
  </si>
  <si>
    <t>올해의 책</t>
  </si>
  <si>
    <t>올해의 책 집중 탐구</t>
  </si>
  <si>
    <t>나만의 필사로 만나는 올해의 책</t>
  </si>
  <si>
    <t>올해의 책, 연체 탈출</t>
  </si>
  <si>
    <t>독서동아리, 책을 잇다</t>
  </si>
  <si>
    <t>#너_이름이_뭐니?</t>
  </si>
  <si>
    <t>책으로 말해요</t>
  </si>
  <si>
    <t>비 오는 날엔 책을 읽자</t>
  </si>
  <si>
    <t>어린이자료실 현장학습</t>
  </si>
  <si>
    <t>인형극</t>
  </si>
  <si>
    <t>사윗감을 찾아 나선 두더지</t>
  </si>
  <si>
    <t>원데이 클래스</t>
  </si>
  <si>
    <t>가족과 함께 설거지바 만들었DAY</t>
  </si>
  <si>
    <t>도서관과 함께 책 읽기</t>
  </si>
  <si>
    <t>서수연</t>
  </si>
  <si>
    <t>6-7세</t>
  </si>
  <si>
    <t>심영화</t>
  </si>
  <si>
    <t>초등저학년</t>
  </si>
  <si>
    <t>우리가족놀이체육</t>
  </si>
  <si>
    <t>신문보니(NIE)</t>
  </si>
  <si>
    <t>명덕, 대지초</t>
  </si>
  <si>
    <t>서근연</t>
  </si>
  <si>
    <t>계창, 고암초</t>
  </si>
  <si>
    <t>계창초</t>
  </si>
  <si>
    <t>책으로 떠나는 수학탐험대</t>
  </si>
  <si>
    <t>여름방학 제주</t>
  </si>
  <si>
    <t>지구 레스토랑</t>
  </si>
  <si>
    <t>계창, 부곡, 고암, 유어, 남지, 동포초</t>
  </si>
  <si>
    <t>2023년 경남독서한마당 수상작품 전시</t>
  </si>
  <si>
    <t>셀프 마사지로 내 몸 챙기기</t>
    <phoneticPr fontId="18" type="noConversion"/>
  </si>
  <si>
    <t>책으로 떠나는 수학탐험대</t>
    <phoneticPr fontId="18" type="noConversion"/>
  </si>
  <si>
    <t>도토리 그림책 동아리</t>
    <phoneticPr fontId="18" type="noConversion"/>
  </si>
  <si>
    <t>나는야 지구 환경 지킴이</t>
    <phoneticPr fontId="18" type="noConversion"/>
  </si>
  <si>
    <t>도서관과 함께 책 읽기</t>
    <phoneticPr fontId="18" type="noConversion"/>
  </si>
  <si>
    <t>자유학습실</t>
  </si>
  <si>
    <t>전체</t>
    <phoneticPr fontId="18" type="noConversion"/>
  </si>
  <si>
    <t>가족</t>
    <phoneticPr fontId="18" type="noConversion"/>
  </si>
  <si>
    <t>5-9세 어린이 및 가족</t>
    <phoneticPr fontId="18" type="noConversion"/>
  </si>
  <si>
    <t>공연</t>
    <phoneticPr fontId="18" type="noConversion"/>
  </si>
  <si>
    <t>인형극</t>
    <phoneticPr fontId="18" type="noConversion"/>
  </si>
  <si>
    <t>원데이 클래스</t>
    <phoneticPr fontId="18" type="noConversion"/>
  </si>
  <si>
    <t>어제도 내일도 또서관</t>
  </si>
  <si>
    <t>초등독서꾸러미</t>
  </si>
  <si>
    <t>아기도 도서관 회원!</t>
  </si>
  <si>
    <t>영유아</t>
  </si>
  <si>
    <t>여름 독서 교실</t>
  </si>
  <si>
    <t>잃어버린 조각을 찾아서</t>
  </si>
  <si>
    <t>올해의 책#지금_읽음</t>
  </si>
  <si>
    <t>서수연/이윤정/최애경</t>
  </si>
  <si>
    <t>도토리 그림책 독서동아리</t>
  </si>
  <si>
    <t>서수연/임미경</t>
  </si>
  <si>
    <t>전년동월비(대출자수)</t>
  </si>
  <si>
    <t>전년동월비(권수)</t>
  </si>
  <si>
    <t>여름 방학 특강</t>
  </si>
  <si>
    <t>동시야 놀자</t>
  </si>
  <si>
    <t>창의력 쑥쑥! 재미있는 큐브</t>
  </si>
  <si>
    <t>초등고학년</t>
  </si>
  <si>
    <t>박진숙</t>
  </si>
  <si>
    <t>독서문화</t>
    <phoneticPr fontId="18" type="noConversion"/>
  </si>
  <si>
    <t>전시</t>
    <phoneticPr fontId="18" type="noConversion"/>
  </si>
  <si>
    <t xml:space="preserve">독서마블: 신나는 도서관 여행 </t>
  </si>
  <si>
    <t xml:space="preserve">Yes! 어린이 독서왕 </t>
  </si>
  <si>
    <t xml:space="preserve">우리가 사랑한 책들 </t>
  </si>
  <si>
    <t xml:space="preserve">올해의 책 My Pick! 문장 조립 </t>
  </si>
  <si>
    <t xml:space="preserve">생각키움 독서퀴즈 </t>
  </si>
  <si>
    <t xml:space="preserve">내가 좋아하는 책 속 한 구절 </t>
  </si>
  <si>
    <t xml:space="preserve">올해의 책, 집중 탐구 </t>
  </si>
  <si>
    <t xml:space="preserve">두 배로 데이 </t>
  </si>
  <si>
    <t xml:space="preserve">연체 클린 데이 </t>
  </si>
  <si>
    <t xml:space="preserve">푸르미(어린이) 독서 동아리 </t>
  </si>
  <si>
    <t xml:space="preserve">꿈동(청소년) 독서동아리 </t>
  </si>
  <si>
    <t xml:space="preserve">화왕(성인) 독서동아리 </t>
  </si>
  <si>
    <t xml:space="preserve">사서가 들려주는 북 스토리 </t>
  </si>
  <si>
    <t xml:space="preserve">이야기가 있는 그림책 원화 전시 </t>
  </si>
  <si>
    <t xml:space="preserve">도서관에서 만나는 특별한 책 이야기 </t>
  </si>
  <si>
    <t xml:space="preserve">사서 추천 도서 서평 전시 </t>
  </si>
  <si>
    <t xml:space="preserve">원데이 클래스 "책으로 놀자" </t>
  </si>
  <si>
    <t xml:space="preserve">토요인형극 "호랑이 형님" </t>
  </si>
  <si>
    <t xml:space="preserve">도서관에서 만나는 창녕시네마 </t>
  </si>
  <si>
    <t xml:space="preserve">어린이 현장학습 </t>
  </si>
  <si>
    <t>이방초</t>
  </si>
  <si>
    <t>창녕성산초</t>
  </si>
  <si>
    <t>이방초장천분교장</t>
  </si>
  <si>
    <t>박문형</t>
  </si>
  <si>
    <t>허선영</t>
  </si>
  <si>
    <t>계창초, 고암초, 명덕초, 부곡초, 동포초</t>
  </si>
  <si>
    <t>대지초, 영산중, 고암초</t>
  </si>
  <si>
    <t>고암초, 대지초</t>
  </si>
  <si>
    <t>계창초, 창녕성산초</t>
  </si>
  <si>
    <t>부곡초</t>
  </si>
  <si>
    <t>가족</t>
    <phoneticPr fontId="18" type="noConversion"/>
  </si>
  <si>
    <t>인문학</t>
    <phoneticPr fontId="18" type="noConversion"/>
  </si>
  <si>
    <t>성인</t>
    <phoneticPr fontId="18" type="noConversion"/>
  </si>
  <si>
    <t>평생학습</t>
    <phoneticPr fontId="18" type="noConversion"/>
  </si>
  <si>
    <t>하이파이북(book)</t>
  </si>
  <si>
    <t>초등 1~5학년</t>
  </si>
  <si>
    <t>관내 어린이 대상 기관</t>
  </si>
  <si>
    <t>왕초보를 위한 기초 생활 영어</t>
  </si>
  <si>
    <t>이영숙</t>
  </si>
  <si>
    <t>초등 영어 마스터</t>
  </si>
  <si>
    <t>초등 3~4학년</t>
  </si>
  <si>
    <t>이은애</t>
  </si>
  <si>
    <t>신난다 보드게임</t>
  </si>
  <si>
    <t>초등 2~3학년</t>
  </si>
  <si>
    <t>허현영</t>
  </si>
  <si>
    <t>영어 파닉스랑 놀자!A</t>
  </si>
  <si>
    <t>영어 파닉스랑 놀자!B</t>
  </si>
  <si>
    <t>초등 1~3학년</t>
  </si>
  <si>
    <t>생태야 같이 놀자!</t>
  </si>
  <si>
    <t>책이랑 놀이랑</t>
  </si>
  <si>
    <t>어린이 역사 인문학</t>
  </si>
  <si>
    <t>조물조물 손끝 책빵</t>
  </si>
  <si>
    <t>으르렁 이발소</t>
  </si>
  <si>
    <t>입 무거운 사슴이 고민을 들어드려요</t>
  </si>
  <si>
    <t>오늘부터 나는 생태 시민입니다</t>
  </si>
  <si>
    <t>그림책이 살아있다!</t>
  </si>
  <si>
    <t>그림책이 커졌다!</t>
  </si>
  <si>
    <t>존 버닝햄 작가의 책</t>
  </si>
  <si>
    <t>브리타 테큰트럽 작가의 책</t>
  </si>
  <si>
    <t>조물조물 책놀이A</t>
  </si>
  <si>
    <t>유아4~5세 ＋ 보호자1인</t>
  </si>
  <si>
    <t>하경희</t>
  </si>
  <si>
    <t>조물조물 책놀이B</t>
  </si>
  <si>
    <t>유아6~7세 ＋ 보호자1인</t>
  </si>
  <si>
    <t>책이랑 무럭무럭</t>
  </si>
  <si>
    <t>유아3~7세 가족</t>
  </si>
  <si>
    <t>배지영작가 강연</t>
  </si>
  <si>
    <t>배지영</t>
  </si>
  <si>
    <t>향기로운 공예</t>
  </si>
  <si>
    <t>남민영</t>
  </si>
  <si>
    <t>어린이</t>
    <phoneticPr fontId="18" type="noConversion"/>
  </si>
  <si>
    <t>시니어</t>
    <phoneticPr fontId="18" type="noConversion"/>
  </si>
  <si>
    <t>전체</t>
    <phoneticPr fontId="18" type="noConversion"/>
  </si>
  <si>
    <t>유아 6-7세</t>
    <phoneticPr fontId="18" type="noConversion"/>
  </si>
  <si>
    <t>어린이 현장학습</t>
  </si>
  <si>
    <t>도서관에서 만나는 창녕시네마</t>
  </si>
  <si>
    <t>연체 클린 데이</t>
  </si>
  <si>
    <t>푸르미(어린이) 독서 동아리</t>
  </si>
  <si>
    <t>화왕(성인) 독서동아리</t>
  </si>
  <si>
    <t>알쏭달쏭 순우리말 퍼즐</t>
  </si>
  <si>
    <t>숨은 한글을 찾아라!</t>
  </si>
  <si>
    <t>아무튼 할로윈</t>
  </si>
  <si>
    <t>정회원이 돼주라</t>
  </si>
  <si>
    <t>우리말 보물 찾기</t>
  </si>
  <si>
    <t>스마트한 독서생활</t>
  </si>
  <si>
    <t>우리 한글 산책</t>
  </si>
  <si>
    <t xml:space="preserve">올해의 책, 연체 탈출 </t>
  </si>
  <si>
    <t>올해의 책, 작가와의 만남</t>
  </si>
  <si>
    <t>신청 가족 20팀</t>
  </si>
  <si>
    <t>AI 활용 프로그램</t>
  </si>
  <si>
    <t>건강 셀프 발마사지</t>
  </si>
  <si>
    <t>장홍 작가 강연</t>
  </si>
  <si>
    <t>장홍</t>
  </si>
  <si>
    <t>자유학기제</t>
  </si>
  <si>
    <t>가상융합기술 XR 신산업 진로 체험</t>
  </si>
  <si>
    <t>창녕옥야중</t>
  </si>
  <si>
    <t>제이에스드림</t>
  </si>
  <si>
    <t>고암초, 도천초</t>
  </si>
  <si>
    <t>신통방통 마법천자문</t>
  </si>
  <si>
    <t>동포초, 이방초, 대합초</t>
  </si>
  <si>
    <t>강연화</t>
  </si>
  <si>
    <t>이방초장천분교장, 도천초</t>
  </si>
  <si>
    <t>대지초, 대합초</t>
  </si>
  <si>
    <t>나혼자 사춘기</t>
  </si>
  <si>
    <t>계창초, 고암초</t>
  </si>
  <si>
    <t>고릴라와 너구리</t>
  </si>
  <si>
    <t>대지초, 명덕초, 계창초, 고암초, 동포초</t>
  </si>
  <si>
    <t>스트로 베리 베리 팡팡</t>
  </si>
  <si>
    <t>고암초, 명덕초</t>
  </si>
  <si>
    <t>레오 리오니 작가의 책</t>
  </si>
  <si>
    <t>부곡초, 계창초</t>
  </si>
  <si>
    <t>평생학습</t>
    <phoneticPr fontId="18" type="noConversion"/>
  </si>
  <si>
    <t>인문학</t>
    <phoneticPr fontId="18" type="noConversion"/>
  </si>
  <si>
    <t>전체</t>
    <phoneticPr fontId="18" type="noConversion"/>
  </si>
  <si>
    <t>가족</t>
    <phoneticPr fontId="18" type="noConversion"/>
  </si>
  <si>
    <t>50세 이상</t>
    <phoneticPr fontId="18" type="noConversion"/>
  </si>
  <si>
    <t>어린이</t>
    <phoneticPr fontId="18" type="noConversion"/>
  </si>
  <si>
    <t>대출실적</t>
  </si>
  <si>
    <t>대출실적</t>
    <phoneticPr fontId="18" type="noConversion"/>
  </si>
  <si>
    <t>행사실적</t>
  </si>
  <si>
    <t>행사실적</t>
    <phoneticPr fontId="18" type="noConversion"/>
  </si>
  <si>
    <t>대출권수</t>
    <phoneticPr fontId="18" type="noConversion"/>
  </si>
  <si>
    <t>대출자</t>
    <phoneticPr fontId="18" type="noConversion"/>
  </si>
  <si>
    <t>행사개수</t>
  </si>
  <si>
    <t>행사개수</t>
    <phoneticPr fontId="18" type="noConversion"/>
  </si>
  <si>
    <t>행사참여자</t>
    <phoneticPr fontId="18" type="noConversion"/>
  </si>
  <si>
    <t>대출자수</t>
    <phoneticPr fontId="18" type="noConversion"/>
  </si>
  <si>
    <t>행사참여자수</t>
    <phoneticPr fontId="18" type="noConversion"/>
  </si>
  <si>
    <t>대출</t>
    <phoneticPr fontId="18" type="noConversion"/>
  </si>
  <si>
    <t>추운 날엔 책 한잔</t>
  </si>
  <si>
    <t>창녕 어린이 탐정단</t>
  </si>
  <si>
    <t>내 단풍은 무슨 색?</t>
  </si>
  <si>
    <t>천고마비, 달콤한 도서관</t>
  </si>
  <si>
    <t>당신의 문해력은 안녕하십니까?</t>
  </si>
  <si>
    <t>도전 119%</t>
  </si>
  <si>
    <t>창녕도서관을 빛낸 올해의 작가전</t>
  </si>
  <si>
    <t>공연</t>
  </si>
  <si>
    <t>버블 공연</t>
  </si>
  <si>
    <t>가족</t>
  </si>
  <si>
    <t>영화속 인문학 여행</t>
  </si>
  <si>
    <t>MBTI 진단을 통한 자기이해와 진로 탐색</t>
  </si>
  <si>
    <t>신창여중, 창녕옥야중</t>
  </si>
  <si>
    <t>생태야 같이 놀자</t>
  </si>
  <si>
    <t>동포초</t>
  </si>
  <si>
    <t>어린이역사인문학</t>
  </si>
  <si>
    <t>책이랑놀이랑</t>
  </si>
  <si>
    <t>명덕초, 동포초, 유어초</t>
  </si>
  <si>
    <t>조물조물손끝책빵</t>
  </si>
  <si>
    <t>고암초, 유어초</t>
  </si>
  <si>
    <t>신통방통 마법 천자문</t>
  </si>
  <si>
    <t>도토리 모자</t>
  </si>
  <si>
    <t>계창초, 고암초, 부곡초</t>
  </si>
  <si>
    <t>딩동</t>
  </si>
  <si>
    <t>명덕초, 계창초, 고암초, 동포초</t>
  </si>
  <si>
    <t>좋아한다고 말할 수 없었어</t>
  </si>
  <si>
    <t>대지초, 영산중</t>
  </si>
  <si>
    <t>그림책이 살아 있다</t>
  </si>
  <si>
    <t>명덕초, 유어초</t>
  </si>
  <si>
    <t>고암초, 계창초</t>
  </si>
  <si>
    <t>성인 여성</t>
  </si>
  <si>
    <t>김미정</t>
  </si>
  <si>
    <t>이지민</t>
  </si>
  <si>
    <t>예영순</t>
    <phoneticPr fontId="18" type="noConversion"/>
  </si>
  <si>
    <t>성인</t>
    <phoneticPr fontId="18" type="noConversion"/>
  </si>
  <si>
    <t>50세 이상 어르신</t>
    <phoneticPr fontId="18" type="noConversion"/>
  </si>
  <si>
    <t>문화가있는날</t>
    <phoneticPr fontId="18" type="noConversion"/>
  </si>
  <si>
    <t>11월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</si>
</sst>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yy/mm"/>
    <numFmt numFmtId="177" formatCode="yy&quot;년&quot;m&quot;월&quot;"/>
    <numFmt numFmtId="178" formatCode="0_);[Red]\(0\)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9" fontId="0" fillId="0" borderId="0" xfId="0" applyNumberFormat="1">
      <alignment vertical="center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73">
    <dxf>
      <numFmt numFmtId="0" formatCode="General"/>
    </dxf>
    <dxf>
      <numFmt numFmtId="176" formatCode="yy/mm"/>
    </dxf>
    <dxf>
      <numFmt numFmtId="176" formatCode="yy/mm"/>
    </dxf>
    <dxf>
      <numFmt numFmtId="0" formatCode="General"/>
    </dxf>
    <dxf>
      <numFmt numFmtId="0" formatCode="General"/>
    </dxf>
    <dxf>
      <numFmt numFmtId="0" formatCode="General"/>
    </dxf>
    <dxf>
      <numFmt numFmtId="176" formatCode="yy/mm"/>
    </dxf>
    <dxf>
      <numFmt numFmtId="177" formatCode="yy&quot;년&quot;m&quot;월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7" formatCode="yy&quot;년&quot;m&quot;월&quot;"/>
    </dxf>
    <dxf>
      <numFmt numFmtId="177" formatCode="yy&quot;년&quot;m&quot;월&quot;"/>
    </dxf>
    <dxf>
      <numFmt numFmtId="177" formatCode="yy&quot;년&quot;m&quot;월&quot;"/>
    </dxf>
    <dxf>
      <numFmt numFmtId="177" formatCode="yy&quot;년&quot;m&quot;월&quot;"/>
    </dxf>
    <dxf>
      <numFmt numFmtId="13" formatCode="0%"/>
    </dxf>
    <dxf>
      <numFmt numFmtId="178" formatCode="0_);[Red]\(0\)"/>
    </dxf>
    <dxf>
      <numFmt numFmtId="178" formatCode="0_);[Red]\(0\)"/>
    </dxf>
    <dxf>
      <numFmt numFmtId="13" formatCode="0%"/>
    </dxf>
    <dxf>
      <numFmt numFmtId="0" formatCode="General"/>
    </dxf>
    <dxf>
      <numFmt numFmtId="13" formatCode="0%"/>
    </dxf>
    <dxf>
      <numFmt numFmtId="0" formatCode="General"/>
    </dxf>
    <dxf>
      <numFmt numFmtId="176" formatCode="yy/mm"/>
    </dxf>
    <dxf>
      <numFmt numFmtId="176" formatCode="yy/mm"/>
    </dxf>
    <dxf>
      <numFmt numFmtId="19" formatCode="yyyy/mm/dd"/>
    </dxf>
    <dxf>
      <numFmt numFmtId="13" formatCode="0%"/>
    </dxf>
    <dxf>
      <numFmt numFmtId="13" formatCode="0%"/>
    </dxf>
    <dxf>
      <numFmt numFmtId="3" formatCode="#,##0"/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sz val="20"/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1" defaultTableStyle="TableStyleMedium2" defaultPivotStyle="PivotStyleLight16">
    <tableStyle name="SlicerStyleLight1 2" pivot="0" table="0" count="10" xr9:uid="{E3B426FA-9409-4D35-B212-57FBD56936DD}">
      <tableStyleElement type="wholeTable" dxfId="72"/>
      <tableStyleElement type="headerRow" dxfId="71"/>
    </tableStyle>
  </tableStyles>
  <colors>
    <mruColors>
      <color rgb="FFA80000"/>
      <color rgb="FFED235D"/>
      <color rgb="FFF0DADA"/>
      <color rgb="FFDE9494"/>
      <color rgb="FFFF9933"/>
      <color rgb="FFFFCC00"/>
      <color rgb="FFCCFFCC"/>
      <color rgb="FFD11148"/>
      <color rgb="FF66CCFF"/>
      <color rgb="FF33CC33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 2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4.xml"/><Relationship Id="rId18" Type="http://schemas.openxmlformats.org/officeDocument/2006/relationships/pivotCacheDefinition" Target="pivotCache/pivotCacheDefinition9.xml"/><Relationship Id="rId26" Type="http://schemas.openxmlformats.org/officeDocument/2006/relationships/styles" Target="styles.xml"/><Relationship Id="rId39" Type="http://schemas.openxmlformats.org/officeDocument/2006/relationships/customXml" Target="../customXml/item9.xml"/><Relationship Id="rId21" Type="http://schemas.microsoft.com/office/2007/relationships/slicerCache" Target="slicerCaches/slicerCache1.xml"/><Relationship Id="rId34" Type="http://schemas.openxmlformats.org/officeDocument/2006/relationships/customXml" Target="../customXml/item4.xml"/><Relationship Id="rId42" Type="http://schemas.openxmlformats.org/officeDocument/2006/relationships/customXml" Target="../customXml/item12.xml"/><Relationship Id="rId47" Type="http://schemas.openxmlformats.org/officeDocument/2006/relationships/customXml" Target="../customXml/item17.xml"/><Relationship Id="rId50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9" Type="http://schemas.openxmlformats.org/officeDocument/2006/relationships/powerPivotData" Target="model/item.data"/><Relationship Id="rId11" Type="http://schemas.openxmlformats.org/officeDocument/2006/relationships/pivotCacheDefinition" Target="pivotCache/pivotCacheDefinition2.xml"/><Relationship Id="rId24" Type="http://schemas.openxmlformats.org/officeDocument/2006/relationships/theme" Target="theme/theme1.xml"/><Relationship Id="rId32" Type="http://schemas.openxmlformats.org/officeDocument/2006/relationships/customXml" Target="../customXml/item2.xml"/><Relationship Id="rId37" Type="http://schemas.openxmlformats.org/officeDocument/2006/relationships/customXml" Target="../customXml/item7.xml"/><Relationship Id="rId40" Type="http://schemas.openxmlformats.org/officeDocument/2006/relationships/customXml" Target="../customXml/item10.xml"/><Relationship Id="rId45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microsoft.com/office/2007/relationships/slicerCache" Target="slicerCaches/slicerCache3.xml"/><Relationship Id="rId28" Type="http://schemas.openxmlformats.org/officeDocument/2006/relationships/sheetMetadata" Target="metadata.xml"/><Relationship Id="rId36" Type="http://schemas.openxmlformats.org/officeDocument/2006/relationships/customXml" Target="../customXml/item6.xml"/><Relationship Id="rId49" Type="http://schemas.openxmlformats.org/officeDocument/2006/relationships/customXml" Target="../customXml/item19.xml"/><Relationship Id="rId10" Type="http://schemas.openxmlformats.org/officeDocument/2006/relationships/pivotCacheDefinition" Target="pivotCache/pivotCacheDefinition1.xml"/><Relationship Id="rId19" Type="http://schemas.openxmlformats.org/officeDocument/2006/relationships/pivotCacheDefinition" Target="pivotCache/pivotCacheDefinition10.xml"/><Relationship Id="rId31" Type="http://schemas.openxmlformats.org/officeDocument/2006/relationships/customXml" Target="../customXml/item1.xml"/><Relationship Id="rId44" Type="http://schemas.openxmlformats.org/officeDocument/2006/relationships/customXml" Target="../customXml/item14.xml"/><Relationship Id="rId52" Type="http://schemas.openxmlformats.org/officeDocument/2006/relationships/customXml" Target="../customXml/item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microsoft.com/office/2007/relationships/slicerCache" Target="slicerCaches/slicerCache2.xml"/><Relationship Id="rId27" Type="http://schemas.openxmlformats.org/officeDocument/2006/relationships/sharedStrings" Target="sharedStrings.xml"/><Relationship Id="rId30" Type="http://schemas.openxmlformats.org/officeDocument/2006/relationships/calcChain" Target="calcChain.xml"/><Relationship Id="rId35" Type="http://schemas.openxmlformats.org/officeDocument/2006/relationships/customXml" Target="../customXml/item5.xml"/><Relationship Id="rId43" Type="http://schemas.openxmlformats.org/officeDocument/2006/relationships/customXml" Target="../customXml/item13.xml"/><Relationship Id="rId48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5" Type="http://schemas.openxmlformats.org/officeDocument/2006/relationships/connections" Target="connections.xml"/><Relationship Id="rId33" Type="http://schemas.openxmlformats.org/officeDocument/2006/relationships/customXml" Target="../customXml/item3.xml"/><Relationship Id="rId38" Type="http://schemas.openxmlformats.org/officeDocument/2006/relationships/customXml" Target="../customXml/item8.xml"/><Relationship Id="rId46" Type="http://schemas.openxmlformats.org/officeDocument/2006/relationships/customXml" Target="../customXml/item16.xml"/><Relationship Id="rId20" Type="http://schemas.openxmlformats.org/officeDocument/2006/relationships/pivotCacheDefinition" Target="pivotCache/pivotCacheDefinition11.xml"/><Relationship Id="rId41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[2024년 창녕도서관 11월 및 누적 이용실적.xlsx]피벗테이블!월별대출데이터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rgbClr val="ED235D"/>
          </a:solidFill>
          <a:ln>
            <a:noFill/>
          </a:ln>
          <a:effectLst/>
        </c:spPr>
        <c:marker>
          <c:symbol val="none"/>
        </c:marker>
        <c:dLbl>
          <c:idx val="0"/>
          <c:numFmt formatCode="General&quot;명&quot;" sourceLinked="0"/>
          <c:spPr>
            <a:solidFill>
              <a:srgbClr val="ED235D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63500" cap="rnd">
            <a:solidFill>
              <a:srgbClr val="ED235D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63500">
              <a:solidFill>
                <a:schemeClr val="tx1"/>
              </a:solidFill>
            </a:ln>
            <a:effectLst/>
          </c:spPr>
        </c:marker>
        <c:dLbl>
          <c:idx val="0"/>
          <c:spPr>
            <a:solidFill>
              <a:srgbClr val="ED235D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A80000"/>
          </a:solidFill>
          <a:ln w="25400">
            <a:noFill/>
          </a:ln>
          <a:effectLst/>
        </c:spPr>
        <c:marker>
          <c:symbol val="none"/>
        </c:marker>
        <c:dLbl>
          <c:idx val="0"/>
          <c:numFmt formatCode="General&quot;권&quot;" sourceLinked="0"/>
          <c:spPr>
            <a:solidFill>
              <a:srgbClr val="A80000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63500" cap="rnd">
            <a:solidFill>
              <a:srgbClr val="A80000"/>
            </a:solidFill>
            <a:round/>
          </a:ln>
          <a:effectLst/>
        </c:spPr>
        <c:marker>
          <c:symbol val="circle"/>
          <c:size val="5"/>
          <c:spPr>
            <a:solidFill>
              <a:srgbClr val="F0DADA"/>
            </a:solidFill>
            <a:ln w="63500">
              <a:solidFill>
                <a:schemeClr val="tx1"/>
              </a:solidFill>
            </a:ln>
            <a:effectLst/>
          </c:spPr>
        </c:marker>
        <c:dLbl>
          <c:idx val="0"/>
          <c:spPr>
            <a:solidFill>
              <a:srgbClr val="A80000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44450" cap="rnd">
            <a:solidFill>
              <a:srgbClr val="ED235D"/>
            </a:solidFill>
            <a:round/>
          </a:ln>
          <a:effectLst/>
        </c:spPr>
        <c:marker>
          <c:symbol val="circle"/>
          <c:size val="10"/>
          <c:spPr>
            <a:solidFill>
              <a:schemeClr val="tx1"/>
            </a:solidFill>
            <a:ln w="9525">
              <a:solidFill>
                <a:schemeClr val="tx1"/>
              </a:solidFill>
            </a:ln>
            <a:effectLst/>
          </c:spPr>
        </c:marker>
        <c:dLbl>
          <c:idx val="0"/>
          <c:spPr>
            <a:solidFill>
              <a:srgbClr val="ED235D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44450" cap="rnd">
            <a:solidFill>
              <a:srgbClr val="A80000"/>
            </a:solidFill>
            <a:round/>
          </a:ln>
          <a:effectLst/>
        </c:spPr>
        <c:marker>
          <c:symbol val="circle"/>
          <c:size val="10"/>
          <c:spPr>
            <a:solidFill>
              <a:schemeClr val="tx1"/>
            </a:solidFill>
            <a:ln w="9525">
              <a:solidFill>
                <a:schemeClr val="tx1"/>
              </a:solidFill>
            </a:ln>
            <a:effectLst/>
          </c:spPr>
        </c:marker>
        <c:dLbl>
          <c:idx val="0"/>
          <c:spPr>
            <a:solidFill>
              <a:srgbClr val="A80000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</c:pivotFmt>
      <c:pivotFmt>
        <c:idx val="17"/>
        <c:spPr>
          <a:solidFill>
            <a:schemeClr val="accent1"/>
          </a:solidFill>
          <a:ln w="44450" cap="rnd">
            <a:solidFill>
              <a:srgbClr val="A80000"/>
            </a:solidFill>
            <a:round/>
          </a:ln>
          <a:effectLst/>
        </c:spPr>
        <c:marker>
          <c:symbol val="circle"/>
          <c:size val="10"/>
          <c:spPr>
            <a:solidFill>
              <a:schemeClr val="tx1"/>
            </a:solidFill>
            <a:ln w="9525">
              <a:solidFill>
                <a:schemeClr val="tx1"/>
              </a:solidFill>
            </a:ln>
            <a:effectLst/>
          </c:spPr>
        </c:marker>
        <c:dLbl>
          <c:idx val="0"/>
          <c:layout>
            <c:manualLayout>
              <c:x val="-8.7671520180476359E-2"/>
              <c:y val="3.2807927490999936E-2"/>
            </c:manualLayout>
          </c:layout>
          <c:spPr>
            <a:solidFill>
              <a:srgbClr val="A80000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rgbClr val="ED235D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noFill/>
            </a:ln>
            <a:effectLst/>
          </c:spPr>
        </c:marker>
        <c:dLbl>
          <c:idx val="0"/>
          <c:spPr>
            <a:solidFill>
              <a:srgbClr val="ED235D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rgbClr val="A80000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noFill/>
            </a:ln>
            <a:effectLst/>
          </c:spPr>
        </c:marker>
        <c:dLbl>
          <c:idx val="0"/>
          <c:spPr>
            <a:solidFill>
              <a:srgbClr val="A80000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rgbClr val="A80000"/>
            </a:solidFill>
            <a:round/>
          </a:ln>
          <a:effectLst/>
        </c:spPr>
        <c:marker>
          <c:symbol val="circle"/>
          <c:size val="10"/>
        </c:marker>
        <c:dLbl>
          <c:idx val="0"/>
          <c:layout>
            <c:manualLayout>
              <c:x val="-4.2006615810598863E-2"/>
              <c:y val="-0.14619496463552548"/>
            </c:manualLayout>
          </c:layout>
          <c:spPr>
            <a:solidFill>
              <a:srgbClr val="A80000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피벗테이블!$B$3</c:f>
              <c:strCache>
                <c:ptCount val="1"/>
                <c:pt idx="0">
                  <c:v>대출자수</c:v>
                </c:pt>
              </c:strCache>
            </c:strRef>
          </c:tx>
          <c:spPr>
            <a:solidFill>
              <a:srgbClr val="ED235D"/>
            </a:solidFill>
            <a:ln>
              <a:noFill/>
            </a:ln>
            <a:effectLst/>
          </c:spPr>
          <c:invertIfNegative val="0"/>
          <c:dLbls>
            <c:numFmt formatCode="General&quot;명&quot;" sourceLinked="0"/>
            <c:spPr>
              <a:solidFill>
                <a:srgbClr val="ED235D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피벗테이블!$A$4</c:f>
              <c:strCache>
                <c:ptCount val="1"/>
                <c:pt idx="0">
                  <c:v>11월</c:v>
                </c:pt>
              </c:strCache>
            </c:strRef>
          </c:cat>
          <c:val>
            <c:numRef>
              <c:f>피벗테이블!$B$4</c:f>
              <c:numCache>
                <c:formatCode>General</c:formatCode>
                <c:ptCount val="1"/>
                <c:pt idx="0">
                  <c:v>1185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F5-41F2-8211-A9FEB4B3CB5C}"/>
            </c:ext>
          </c:extLst>
        </c:ser>
        <c:ser>
          <c:idx val="2"/>
          <c:order val="2"/>
          <c:tx>
            <c:strRef>
              <c:f>피벗테이블!$D$3</c:f>
              <c:strCache>
                <c:ptCount val="1"/>
                <c:pt idx="0">
                  <c:v>대출권수</c:v>
                </c:pt>
              </c:strCache>
            </c:strRef>
          </c:tx>
          <c:spPr>
            <a:solidFill>
              <a:srgbClr val="A80000"/>
            </a:solidFill>
            <a:ln w="25400">
              <a:noFill/>
            </a:ln>
            <a:effectLst/>
          </c:spPr>
          <c:invertIfNegative val="0"/>
          <c:dLbls>
            <c:numFmt formatCode="General&quot;권&quot;" sourceLinked="0"/>
            <c:spPr>
              <a:solidFill>
                <a:srgbClr val="A80000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피벗테이블!$A$4</c:f>
              <c:strCache>
                <c:ptCount val="1"/>
                <c:pt idx="0">
                  <c:v>11월</c:v>
                </c:pt>
              </c:strCache>
            </c:strRef>
          </c:cat>
          <c:val>
            <c:numRef>
              <c:f>피벗테이블!$D$4</c:f>
              <c:numCache>
                <c:formatCode>General</c:formatCode>
                <c:ptCount val="1"/>
                <c:pt idx="0">
                  <c:v>4674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F5-41F2-8211-A9FEB4B3C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04989376"/>
        <c:axId val="1904999584"/>
      </c:barChart>
      <c:lineChart>
        <c:grouping val="standard"/>
        <c:varyColors val="0"/>
        <c:ser>
          <c:idx val="1"/>
          <c:order val="1"/>
          <c:tx>
            <c:strRef>
              <c:f>피벗테이블!$C$3</c:f>
              <c:strCache>
                <c:ptCount val="1"/>
                <c:pt idx="0">
                  <c:v>전년동월비(대출자수)</c:v>
                </c:pt>
              </c:strCache>
            </c:strRef>
          </c:tx>
          <c:spPr>
            <a:ln w="28575" cap="rnd">
              <a:solidFill>
                <a:srgbClr val="ED235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spPr>
              <a:solidFill>
                <a:srgbClr val="ED235D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피벗테이블!$A$4</c:f>
              <c:strCache>
                <c:ptCount val="1"/>
                <c:pt idx="0">
                  <c:v>11월</c:v>
                </c:pt>
              </c:strCache>
            </c:strRef>
          </c:cat>
          <c:val>
            <c:numRef>
              <c:f>피벗테이블!$C$4</c:f>
              <c:numCache>
                <c:formatCode>0%</c:formatCode>
                <c:ptCount val="1"/>
                <c:pt idx="0">
                  <c:v>0.44336175395858701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F5-41F2-8211-A9FEB4B3CB5C}"/>
            </c:ext>
          </c:extLst>
        </c:ser>
        <c:ser>
          <c:idx val="3"/>
          <c:order val="3"/>
          <c:tx>
            <c:strRef>
              <c:f>피벗테이블!$E$3</c:f>
              <c:strCache>
                <c:ptCount val="1"/>
                <c:pt idx="0">
                  <c:v>전년동월비(권수)</c:v>
                </c:pt>
              </c:strCache>
            </c:strRef>
          </c:tx>
          <c:spPr>
            <a:ln w="28575" cap="rnd">
              <a:solidFill>
                <a:srgbClr val="A8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8AF5-41F2-8211-A9FEB4B3CB5C}"/>
              </c:ext>
            </c:extLst>
          </c:dPt>
          <c:dLbls>
            <c:spPr>
              <a:solidFill>
                <a:srgbClr val="A80000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피벗테이블!$A$4</c:f>
              <c:strCache>
                <c:ptCount val="1"/>
                <c:pt idx="0">
                  <c:v>11월</c:v>
                </c:pt>
              </c:strCache>
            </c:strRef>
          </c:cat>
          <c:val>
            <c:numRef>
              <c:f>피벗테이블!$E$4</c:f>
              <c:numCache>
                <c:formatCode>0%</c:formatCode>
                <c:ptCount val="1"/>
                <c:pt idx="0">
                  <c:v>0.21750455847877048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F5-41F2-8211-A9FEB4B3C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6080496"/>
        <c:axId val="2115096704"/>
      </c:lineChart>
      <c:catAx>
        <c:axId val="190498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04999584"/>
        <c:crosses val="autoZero"/>
        <c:auto val="1"/>
        <c:lblAlgn val="ctr"/>
        <c:lblOffset val="100"/>
        <c:noMultiLvlLbl val="0"/>
      </c:catAx>
      <c:valAx>
        <c:axId val="1904999584"/>
        <c:scaling>
          <c:orientation val="minMax"/>
          <c:max val="6000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04989376"/>
        <c:crosses val="autoZero"/>
        <c:crossBetween val="between"/>
        <c:majorUnit val="2000"/>
      </c:valAx>
      <c:valAx>
        <c:axId val="211509670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16080496"/>
        <c:crosses val="max"/>
        <c:crossBetween val="between"/>
      </c:valAx>
      <c:catAx>
        <c:axId val="2116080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15096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[2024년 창녕도서관 11월 및 누적 이용실적.xlsx]피벗테이블!류별대출권수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rgbClr val="A8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A8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피벗테이블!$J$3</c:f>
              <c:strCache>
                <c:ptCount val="1"/>
                <c:pt idx="0">
                  <c:v>요약</c:v>
                </c:pt>
              </c:strCache>
            </c:strRef>
          </c:tx>
          <c:spPr>
            <a:solidFill>
              <a:srgbClr val="A8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피벗테이블!$I$4:$I$13</c:f>
              <c:strCache>
                <c:ptCount val="10"/>
                <c:pt idx="0">
                  <c:v>총류</c:v>
                </c:pt>
                <c:pt idx="1">
                  <c:v>철학</c:v>
                </c:pt>
                <c:pt idx="2">
                  <c:v>종교</c:v>
                </c:pt>
                <c:pt idx="3">
                  <c:v>사회과학</c:v>
                </c:pt>
                <c:pt idx="4">
                  <c:v>자연과학</c:v>
                </c:pt>
                <c:pt idx="5">
                  <c:v>기술과학</c:v>
                </c:pt>
                <c:pt idx="6">
                  <c:v>예술</c:v>
                </c:pt>
                <c:pt idx="7">
                  <c:v>언어</c:v>
                </c:pt>
                <c:pt idx="8">
                  <c:v>문학</c:v>
                </c:pt>
                <c:pt idx="9">
                  <c:v>역사</c:v>
                </c:pt>
              </c:strCache>
            </c:strRef>
          </c:cat>
          <c:val>
            <c:numRef>
              <c:f>피벗테이블!$J$4:$J$13</c:f>
              <c:numCache>
                <c:formatCode>General</c:formatCode>
                <c:ptCount val="10"/>
                <c:pt idx="0">
                  <c:v>111</c:v>
                </c:pt>
                <c:pt idx="1">
                  <c:v>260</c:v>
                </c:pt>
                <c:pt idx="2">
                  <c:v>76</c:v>
                </c:pt>
                <c:pt idx="3">
                  <c:v>409</c:v>
                </c:pt>
                <c:pt idx="4">
                  <c:v>649</c:v>
                </c:pt>
                <c:pt idx="5">
                  <c:v>230</c:v>
                </c:pt>
                <c:pt idx="6">
                  <c:v>108</c:v>
                </c:pt>
                <c:pt idx="7">
                  <c:v>233</c:v>
                </c:pt>
                <c:pt idx="8">
                  <c:v>2178</c:v>
                </c:pt>
                <c:pt idx="9">
                  <c:v>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81-4E13-8583-5DA013A11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889170688"/>
        <c:axId val="1889160944"/>
      </c:barChart>
      <c:catAx>
        <c:axId val="18891706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89160944"/>
        <c:crosses val="autoZero"/>
        <c:auto val="1"/>
        <c:lblAlgn val="ctr"/>
        <c:lblOffset val="100"/>
        <c:noMultiLvlLbl val="0"/>
      </c:catAx>
      <c:valAx>
        <c:axId val="1889160944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88917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[2024년 창녕도서관 11월 및 누적 이용실적.xlsx]피벗테이블!대출자성비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0DADA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4561248661084671E-2"/>
              <c:y val="0.118454678362573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9911111111111114"/>
                  <c:h val="0.21527777777777779"/>
                </c:manualLayout>
              </c15:layout>
            </c:ext>
          </c:extLst>
        </c:dLbl>
      </c:pivotFmt>
      <c:pivotFmt>
        <c:idx val="6"/>
        <c:spPr>
          <a:solidFill>
            <a:srgbClr val="DE949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2364507402716138E-2"/>
              <c:y val="-1.82002770487022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41270629898856265"/>
                  <c:h val="0.21527777777777779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피벗테이블!$M$3</c:f>
              <c:strCache>
                <c:ptCount val="1"/>
                <c:pt idx="0">
                  <c:v>요약</c:v>
                </c:pt>
              </c:strCache>
            </c:strRef>
          </c:tx>
          <c:explosion val="3"/>
          <c:dPt>
            <c:idx val="0"/>
            <c:bubble3D val="0"/>
            <c:spPr>
              <a:solidFill>
                <a:srgbClr val="F0DAD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6A-4FC8-91E3-EA909F657430}"/>
              </c:ext>
            </c:extLst>
          </c:dPt>
          <c:dPt>
            <c:idx val="1"/>
            <c:bubble3D val="0"/>
            <c:spPr>
              <a:solidFill>
                <a:srgbClr val="DE949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96A-4FC8-91E3-EA909F657430}"/>
              </c:ext>
            </c:extLst>
          </c:dPt>
          <c:dLbls>
            <c:dLbl>
              <c:idx val="0"/>
              <c:layout>
                <c:manualLayout>
                  <c:x val="-4.4561248661084671E-2"/>
                  <c:y val="0.118454678362573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911111111111114"/>
                      <c:h val="0.215277777777777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96A-4FC8-91E3-EA909F657430}"/>
                </c:ext>
              </c:extLst>
            </c:dLbl>
            <c:dLbl>
              <c:idx val="1"/>
              <c:layout>
                <c:manualLayout>
                  <c:x val="6.2364507402716138E-2"/>
                  <c:y val="-1.820027704870224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1270629898856265"/>
                      <c:h val="0.215277777777777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96A-4FC8-91E3-EA909F6574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피벗테이블!$L$4:$L$5</c:f>
              <c:strCache>
                <c:ptCount val="2"/>
                <c:pt idx="0">
                  <c:v>남자</c:v>
                </c:pt>
                <c:pt idx="1">
                  <c:v>여자</c:v>
                </c:pt>
              </c:strCache>
            </c:strRef>
          </c:cat>
          <c:val>
            <c:numRef>
              <c:f>피벗테이블!$M$4:$M$5</c:f>
              <c:numCache>
                <c:formatCode>General</c:formatCode>
                <c:ptCount val="2"/>
                <c:pt idx="0">
                  <c:v>441</c:v>
                </c:pt>
                <c:pt idx="1">
                  <c:v>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6A-4FC8-91E3-EA909F657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[2024년 창녕도서관 11월 및 누적 이용실적.xlsx]피벗테이블!대출자연령비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DE949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4907453517544257E-2"/>
              <c:y val="0.2034740502583222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40603822555446267"/>
                  <c:h val="0.11086567214982132"/>
                </c:manualLayout>
              </c15:layout>
            </c:ext>
          </c:extLst>
        </c:dLbl>
      </c:pivotFmt>
      <c:pivotFmt>
        <c:idx val="7"/>
        <c:spPr>
          <a:solidFill>
            <a:srgbClr val="F0DADA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8711291631478357E-2"/>
              <c:y val="-1.37120435639810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43585011518585021"/>
                  <c:h val="0.10061758480824119"/>
                </c:manualLayout>
              </c15:layout>
            </c:ext>
          </c:extLst>
        </c:dLbl>
      </c:pivotFmt>
      <c:pivotFmt>
        <c:idx val="8"/>
        <c:spPr>
          <a:solidFill>
            <a:srgbClr val="ED235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4268859649122804E-2"/>
              <c:y val="-0.173965204678362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54827076023391808"/>
                  <c:h val="0.15651637426900586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피벗테이블!$P$3</c:f>
              <c:strCache>
                <c:ptCount val="1"/>
                <c:pt idx="0">
                  <c:v>요약</c:v>
                </c:pt>
              </c:strCache>
            </c:strRef>
          </c:tx>
          <c:explosion val="3"/>
          <c:dPt>
            <c:idx val="0"/>
            <c:bubble3D val="0"/>
            <c:spPr>
              <a:solidFill>
                <a:srgbClr val="DE949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61-470F-9EB7-22B48E61063A}"/>
              </c:ext>
            </c:extLst>
          </c:dPt>
          <c:dPt>
            <c:idx val="1"/>
            <c:bubble3D val="0"/>
            <c:spPr>
              <a:solidFill>
                <a:srgbClr val="F0DAD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61-470F-9EB7-22B48E61063A}"/>
              </c:ext>
            </c:extLst>
          </c:dPt>
          <c:dPt>
            <c:idx val="2"/>
            <c:bubble3D val="0"/>
            <c:spPr>
              <a:solidFill>
                <a:srgbClr val="ED235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661-470F-9EB7-22B48E61063A}"/>
              </c:ext>
            </c:extLst>
          </c:dPt>
          <c:dLbls>
            <c:dLbl>
              <c:idx val="0"/>
              <c:layout>
                <c:manualLayout>
                  <c:x val="-4.4907453517544257E-2"/>
                  <c:y val="0.2034740502583222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0603822555446267"/>
                      <c:h val="0.1108656721498213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661-470F-9EB7-22B48E61063A}"/>
                </c:ext>
              </c:extLst>
            </c:dLbl>
            <c:dLbl>
              <c:idx val="1"/>
              <c:layout>
                <c:manualLayout>
                  <c:x val="-1.8711291631478357E-2"/>
                  <c:y val="-1.371204356398107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3585011518585021"/>
                      <c:h val="0.1006175848082411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A661-470F-9EB7-22B48E61063A}"/>
                </c:ext>
              </c:extLst>
            </c:dLbl>
            <c:dLbl>
              <c:idx val="2"/>
              <c:layout>
                <c:manualLayout>
                  <c:x val="-7.4268859649122804E-2"/>
                  <c:y val="-0.1739652046783625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54827076023391808"/>
                      <c:h val="0.1565163742690058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A661-470F-9EB7-22B48E6106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피벗테이블!$O$4:$O$6</c:f>
              <c:strCache>
                <c:ptCount val="3"/>
                <c:pt idx="0">
                  <c:v>어린이</c:v>
                </c:pt>
                <c:pt idx="1">
                  <c:v>청소년</c:v>
                </c:pt>
                <c:pt idx="2">
                  <c:v>성인</c:v>
                </c:pt>
              </c:strCache>
            </c:strRef>
          </c:cat>
          <c:val>
            <c:numRef>
              <c:f>피벗테이블!$P$4:$P$6</c:f>
              <c:numCache>
                <c:formatCode>General</c:formatCode>
                <c:ptCount val="3"/>
                <c:pt idx="0">
                  <c:v>292</c:v>
                </c:pt>
                <c:pt idx="1">
                  <c:v>83</c:v>
                </c:pt>
                <c:pt idx="2">
                  <c:v>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61-470F-9EB7-22B48E610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[2024년 창녕도서관 11월 및 누적 이용실적.xlsx]피벗테이블!행사참여자수</c:name>
    <c:fmtId val="1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A8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A8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피벗테이블!$V$3</c:f>
              <c:strCache>
                <c:ptCount val="1"/>
                <c:pt idx="0">
                  <c:v>요약</c:v>
                </c:pt>
              </c:strCache>
            </c:strRef>
          </c:tx>
          <c:spPr>
            <a:solidFill>
              <a:srgbClr val="A8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피벗테이블!$U$4:$U$46</c:f>
              <c:strCache>
                <c:ptCount val="43"/>
                <c:pt idx="0">
                  <c:v>사서 추천 도서 서평 전시</c:v>
                </c:pt>
                <c:pt idx="1">
                  <c:v>이야기가 있는 그림책 원화 전시</c:v>
                </c:pt>
                <c:pt idx="2">
                  <c:v>딩동</c:v>
                </c:pt>
                <c:pt idx="3">
                  <c:v>도서관에서 만나는 특별한 책 이야기</c:v>
                </c:pt>
                <c:pt idx="4">
                  <c:v>레오 리오니 작가의 책</c:v>
                </c:pt>
                <c:pt idx="5">
                  <c:v>그림책이 살아 있다</c:v>
                </c:pt>
                <c:pt idx="6">
                  <c:v>좋아한다고 말할 수 없었어</c:v>
                </c:pt>
                <c:pt idx="7">
                  <c:v>도토리 모자</c:v>
                </c:pt>
                <c:pt idx="8">
                  <c:v>브리타 테큰트럽 작가의 책</c:v>
                </c:pt>
                <c:pt idx="9">
                  <c:v>존 버닝햄 작가의 책</c:v>
                </c:pt>
                <c:pt idx="10">
                  <c:v>내 단풍은 무슨 색?</c:v>
                </c:pt>
                <c:pt idx="11">
                  <c:v>내 손안의 스마트 미디어</c:v>
                </c:pt>
                <c:pt idx="12">
                  <c:v>MBTI 진단을 통한 자기이해와 진로 탐색</c:v>
                </c:pt>
                <c:pt idx="13">
                  <c:v>버블 공연</c:v>
                </c:pt>
                <c:pt idx="14">
                  <c:v>건강 셀프 발마사지</c:v>
                </c:pt>
                <c:pt idx="15">
                  <c:v>천고마비, 달콤한 도서관</c:v>
                </c:pt>
                <c:pt idx="16">
                  <c:v>생각키움 독서퀴즈</c:v>
                </c:pt>
                <c:pt idx="17">
                  <c:v>창녕 어린이 탐정단</c:v>
                </c:pt>
                <c:pt idx="18">
                  <c:v>책이랑놀이랑</c:v>
                </c:pt>
                <c:pt idx="19">
                  <c:v>어린이 현장학습</c:v>
                </c:pt>
                <c:pt idx="20">
                  <c:v>도서관에서 만나는 창녕시네마</c:v>
                </c:pt>
                <c:pt idx="21">
                  <c:v>추운 날엔 책 한잔</c:v>
                </c:pt>
                <c:pt idx="22">
                  <c:v>바이올린 초급반</c:v>
                </c:pt>
                <c:pt idx="23">
                  <c:v>생태야 같이 놀자</c:v>
                </c:pt>
                <c:pt idx="24">
                  <c:v>어린이역사인문학</c:v>
                </c:pt>
                <c:pt idx="25">
                  <c:v>조물조물손끝책빵</c:v>
                </c:pt>
                <c:pt idx="26">
                  <c:v>영화속 인문학 여행</c:v>
                </c:pt>
                <c:pt idx="27">
                  <c:v>스마트한 독서생활</c:v>
                </c:pt>
                <c:pt idx="28">
                  <c:v>내가 좋아하는 책 속 한 구절</c:v>
                </c:pt>
                <c:pt idx="29">
                  <c:v>신난다 보드게임</c:v>
                </c:pt>
                <c:pt idx="30">
                  <c:v>왕초보를 위한 기초 생활 영어</c:v>
                </c:pt>
                <c:pt idx="31">
                  <c:v>신통방통 마법 천자문</c:v>
                </c:pt>
                <c:pt idx="32">
                  <c:v>초등 영어 마스터</c:v>
                </c:pt>
                <c:pt idx="33">
                  <c:v>푸르미(어린이) 독서 동아리</c:v>
                </c:pt>
                <c:pt idx="34">
                  <c:v>도토리 그림책 동아리</c:v>
                </c:pt>
                <c:pt idx="35">
                  <c:v>두 배로 데이</c:v>
                </c:pt>
                <c:pt idx="36">
                  <c:v>꿈동(청소년) 독서동아리</c:v>
                </c:pt>
                <c:pt idx="37">
                  <c:v>연체 클린 데이</c:v>
                </c:pt>
                <c:pt idx="38">
                  <c:v>화왕(성인) 독서동아리</c:v>
                </c:pt>
                <c:pt idx="39">
                  <c:v>창녕도서관을 빛낸 올해의 작가전</c:v>
                </c:pt>
                <c:pt idx="40">
                  <c:v>당신의 문해력은 안녕하십니까?</c:v>
                </c:pt>
                <c:pt idx="41">
                  <c:v>사서가 들려주는 북 스토리</c:v>
                </c:pt>
                <c:pt idx="42">
                  <c:v>도전 119%</c:v>
                </c:pt>
              </c:strCache>
            </c:strRef>
          </c:cat>
          <c:val>
            <c:numRef>
              <c:f>피벗테이블!$V$4:$V$46</c:f>
              <c:numCache>
                <c:formatCode>General</c:formatCode>
                <c:ptCount val="43"/>
                <c:pt idx="0">
                  <c:v>972</c:v>
                </c:pt>
                <c:pt idx="1">
                  <c:v>963</c:v>
                </c:pt>
                <c:pt idx="2">
                  <c:v>528</c:v>
                </c:pt>
                <c:pt idx="3">
                  <c:v>292</c:v>
                </c:pt>
                <c:pt idx="4">
                  <c:v>284</c:v>
                </c:pt>
                <c:pt idx="5">
                  <c:v>188</c:v>
                </c:pt>
                <c:pt idx="6">
                  <c:v>187</c:v>
                </c:pt>
                <c:pt idx="7">
                  <c:v>110</c:v>
                </c:pt>
                <c:pt idx="8">
                  <c:v>77</c:v>
                </c:pt>
                <c:pt idx="9">
                  <c:v>76</c:v>
                </c:pt>
                <c:pt idx="10">
                  <c:v>73</c:v>
                </c:pt>
                <c:pt idx="11">
                  <c:v>64</c:v>
                </c:pt>
                <c:pt idx="12">
                  <c:v>61</c:v>
                </c:pt>
                <c:pt idx="13">
                  <c:v>59</c:v>
                </c:pt>
                <c:pt idx="14">
                  <c:v>52</c:v>
                </c:pt>
                <c:pt idx="15">
                  <c:v>52</c:v>
                </c:pt>
                <c:pt idx="16">
                  <c:v>51</c:v>
                </c:pt>
                <c:pt idx="17">
                  <c:v>50</c:v>
                </c:pt>
                <c:pt idx="18">
                  <c:v>48</c:v>
                </c:pt>
                <c:pt idx="19">
                  <c:v>46</c:v>
                </c:pt>
                <c:pt idx="20">
                  <c:v>42</c:v>
                </c:pt>
                <c:pt idx="21">
                  <c:v>40</c:v>
                </c:pt>
                <c:pt idx="22">
                  <c:v>39</c:v>
                </c:pt>
                <c:pt idx="23">
                  <c:v>34</c:v>
                </c:pt>
                <c:pt idx="24">
                  <c:v>25</c:v>
                </c:pt>
                <c:pt idx="25">
                  <c:v>25</c:v>
                </c:pt>
                <c:pt idx="26">
                  <c:v>21</c:v>
                </c:pt>
                <c:pt idx="27">
                  <c:v>20</c:v>
                </c:pt>
                <c:pt idx="28">
                  <c:v>20</c:v>
                </c:pt>
                <c:pt idx="29">
                  <c:v>17</c:v>
                </c:pt>
                <c:pt idx="30">
                  <c:v>12</c:v>
                </c:pt>
                <c:pt idx="31">
                  <c:v>7</c:v>
                </c:pt>
                <c:pt idx="32">
                  <c:v>7</c:v>
                </c:pt>
                <c:pt idx="33">
                  <c:v>4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1-4E27-B647-C69CCFFF0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889244928"/>
        <c:axId val="1889265808"/>
      </c:barChart>
      <c:catAx>
        <c:axId val="18892449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89265808"/>
        <c:crosses val="autoZero"/>
        <c:auto val="1"/>
        <c:lblAlgn val="ctr"/>
        <c:lblOffset val="100"/>
        <c:noMultiLvlLbl val="0"/>
      </c:catAx>
      <c:valAx>
        <c:axId val="1889265808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88924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[2024년 창녕도서관 11월 및 누적 이용실적.xlsx]피벗테이블!행사분류별참여자수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A8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A8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피벗테이블!$Y$3</c:f>
              <c:strCache>
                <c:ptCount val="1"/>
                <c:pt idx="0">
                  <c:v>요약</c:v>
                </c:pt>
              </c:strCache>
            </c:strRef>
          </c:tx>
          <c:spPr>
            <a:solidFill>
              <a:srgbClr val="A8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피벗테이블!$X$4:$X$10</c:f>
              <c:strCache>
                <c:ptCount val="7"/>
                <c:pt idx="0">
                  <c:v>전시</c:v>
                </c:pt>
                <c:pt idx="1">
                  <c:v>학교도서관</c:v>
                </c:pt>
                <c:pt idx="2">
                  <c:v>독서문화</c:v>
                </c:pt>
                <c:pt idx="3">
                  <c:v>평생학습</c:v>
                </c:pt>
                <c:pt idx="4">
                  <c:v>견학</c:v>
                </c:pt>
                <c:pt idx="5">
                  <c:v>독서동아리</c:v>
                </c:pt>
                <c:pt idx="6">
                  <c:v>SNS</c:v>
                </c:pt>
              </c:strCache>
            </c:strRef>
          </c:cat>
          <c:val>
            <c:numRef>
              <c:f>피벗테이블!$Y$4:$Y$10</c:f>
              <c:numCache>
                <c:formatCode>General</c:formatCode>
                <c:ptCount val="7"/>
                <c:pt idx="0">
                  <c:v>2227</c:v>
                </c:pt>
                <c:pt idx="1">
                  <c:v>1671</c:v>
                </c:pt>
                <c:pt idx="2">
                  <c:v>407</c:v>
                </c:pt>
                <c:pt idx="3">
                  <c:v>191</c:v>
                </c:pt>
                <c:pt idx="4">
                  <c:v>46</c:v>
                </c:pt>
                <c:pt idx="5">
                  <c:v>6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5-4F19-B0F3-1DA20FCA8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35233327"/>
        <c:axId val="135222191"/>
      </c:barChart>
      <c:catAx>
        <c:axId val="13523332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222191"/>
        <c:crosses val="autoZero"/>
        <c:auto val="1"/>
        <c:lblAlgn val="ctr"/>
        <c:lblOffset val="100"/>
        <c:noMultiLvlLbl val="0"/>
      </c:catAx>
      <c:valAx>
        <c:axId val="135222191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35233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[2024년 창녕도서관 11월 및 누적 이용실적.xlsx]피벗테이블!행사참여자성비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0DADA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397631578947368"/>
              <c:y val="-3.799415204678362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8542397660818711"/>
                  <c:h val="0.13461257309941521"/>
                </c:manualLayout>
              </c15:layout>
            </c:ext>
          </c:extLst>
        </c:dLbl>
      </c:pivotFmt>
      <c:pivotFmt>
        <c:idx val="6"/>
        <c:spPr>
          <a:solidFill>
            <a:srgbClr val="DE949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9671237125958855E-3"/>
              <c:y val="7.64633064830579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43941085561232629"/>
                  <c:h val="0.1423731041941862"/>
                </c:manualLayout>
              </c15:layout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0DADA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피벗테이블!$AB$3</c:f>
              <c:strCache>
                <c:ptCount val="1"/>
                <c:pt idx="0">
                  <c:v>요약</c:v>
                </c:pt>
              </c:strCache>
            </c:strRef>
          </c:tx>
          <c:explosion val="3"/>
          <c:dPt>
            <c:idx val="0"/>
            <c:bubble3D val="0"/>
            <c:spPr>
              <a:solidFill>
                <a:srgbClr val="F0DAD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98-410B-B5DF-7756D7D5C131}"/>
              </c:ext>
            </c:extLst>
          </c:dPt>
          <c:dPt>
            <c:idx val="1"/>
            <c:bubble3D val="0"/>
            <c:spPr>
              <a:solidFill>
                <a:srgbClr val="DE949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98-410B-B5DF-7756D7D5C13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598-410B-B5DF-7756D7D5C131}"/>
                </c:ext>
              </c:extLst>
            </c:dLbl>
            <c:dLbl>
              <c:idx val="1"/>
              <c:layout>
                <c:manualLayout>
                  <c:x val="8.9671237125958855E-3"/>
                  <c:y val="7.646330648305793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3941085561232629"/>
                      <c:h val="0.142373104194186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598-410B-B5DF-7756D7D5C1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피벗테이블!$AA$4:$AA$5</c:f>
              <c:strCache>
                <c:ptCount val="2"/>
                <c:pt idx="0">
                  <c:v>남자</c:v>
                </c:pt>
                <c:pt idx="1">
                  <c:v>여자</c:v>
                </c:pt>
              </c:strCache>
            </c:strRef>
          </c:cat>
          <c:val>
            <c:numRef>
              <c:f>피벗테이블!$AB$4:$AB$5</c:f>
              <c:numCache>
                <c:formatCode>General</c:formatCode>
                <c:ptCount val="2"/>
                <c:pt idx="0">
                  <c:v>441</c:v>
                </c:pt>
                <c:pt idx="1">
                  <c:v>2452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98-410B-B5DF-7756D7D5C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[2024년 창녕도서관 11월 및 누적 이용실적.xlsx]피벗테이블!행사참여자연령비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D235D"/>
          </a:solidFill>
          <a:ln>
            <a:noFill/>
          </a:ln>
          <a:effectLst/>
        </c:spPr>
        <c:dLbl>
          <c:idx val="0"/>
          <c:layout>
            <c:manualLayout>
              <c:x val="-0.11457789884614297"/>
              <c:y val="5.9045453645503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8794540351570589"/>
                  <c:h val="0.10340497663558046"/>
                </c:manualLayout>
              </c15:layout>
            </c:ext>
          </c:extLst>
        </c:dLbl>
      </c:pivotFmt>
      <c:pivotFmt>
        <c:idx val="7"/>
        <c:spPr>
          <a:solidFill>
            <a:srgbClr val="DE9494"/>
          </a:solidFill>
          <a:ln>
            <a:noFill/>
          </a:ln>
          <a:effectLst/>
        </c:spPr>
        <c:dLbl>
          <c:idx val="0"/>
          <c:layout>
            <c:manualLayout>
              <c:x val="-1.5205924870167814E-3"/>
              <c:y val="6.64818379913187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44286772109611727"/>
                  <c:h val="0.10270816801904419"/>
                </c:manualLayout>
              </c15:layout>
            </c:ext>
          </c:extLst>
        </c:dLbl>
      </c:pivotFmt>
      <c:pivotFmt>
        <c:idx val="8"/>
        <c:spPr>
          <a:solidFill>
            <a:srgbClr val="D11148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dLbl>
          <c:idx val="0"/>
          <c:tx>
            <c:rich>
              <a:bodyPr/>
              <a:lstStyle/>
              <a:p>
                <a:r>
                  <a:rPr lang="ko-KR" altLang="en-US"/>
                  <a:t>ㅈㄴ전ㅈㅈㅈ</a:t>
                </a:r>
                <a:fld id="{E4003073-64B0-4A98-8174-D2C8A916A327}" type="CATEGORYNAME">
                  <a:rPr lang="ko-KR" altLang="en-US"/>
                  <a:pPr/>
                  <a:t>[범주 이름]</a:t>
                </a:fld>
                <a:r>
                  <a:rPr lang="en-US" altLang="ko-KR" baseline="0"/>
                  <a:t>, </a:t>
                </a:r>
                <a:fld id="{68531F03-E724-49FE-81A6-9380690EE9F2}" type="VALUE">
                  <a:rPr lang="en-US" altLang="ko-KR" baseline="0"/>
                  <a:pPr/>
                  <a:t>[값]</a:t>
                </a:fld>
                <a:endParaRPr lang="en-US" altLang="ko-KR" baseline="0"/>
              </a:p>
            </c:rich>
          </c:tx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ED235D"/>
          </a:solidFill>
          <a:ln>
            <a:noFill/>
          </a:ln>
          <a:effectLst/>
        </c:spPr>
      </c:pivotFmt>
      <c:pivotFmt>
        <c:idx val="14"/>
        <c:spPr>
          <a:solidFill>
            <a:srgbClr val="DE9494"/>
          </a:solidFill>
          <a:ln>
            <a:noFill/>
          </a:ln>
          <a:effectLst/>
        </c:spPr>
      </c:pivotFmt>
      <c:pivotFmt>
        <c:idx val="15"/>
        <c:spPr>
          <a:solidFill>
            <a:srgbClr val="F0DADA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25078938495581127"/>
              <c:y val="3.7901816026171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5376516747844244"/>
                  <c:h val="8.3790746453956469E-2"/>
                </c:manualLayout>
              </c15:layout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피벗테이블!$AE$3</c:f>
              <c:strCache>
                <c:ptCount val="1"/>
                <c:pt idx="0">
                  <c:v>요약</c:v>
                </c:pt>
              </c:strCache>
            </c:strRef>
          </c:tx>
          <c:dPt>
            <c:idx val="0"/>
            <c:bubble3D val="0"/>
            <c:spPr>
              <a:solidFill>
                <a:srgbClr val="DE949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D4A-4B29-83DC-E90755E08419}"/>
              </c:ext>
            </c:extLst>
          </c:dPt>
          <c:dPt>
            <c:idx val="1"/>
            <c:bubble3D val="0"/>
            <c:spPr>
              <a:solidFill>
                <a:srgbClr val="F0DA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D4A-4B29-83DC-E90755E08419}"/>
              </c:ext>
            </c:extLst>
          </c:dPt>
          <c:dPt>
            <c:idx val="2"/>
            <c:bubble3D val="0"/>
            <c:spPr>
              <a:solidFill>
                <a:srgbClr val="ED235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D4A-4B29-83DC-E90755E084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D4A-4B29-83DC-E90755E084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21F-4F57-A331-23CD6F61E5AE}"/>
              </c:ext>
            </c:extLst>
          </c:dPt>
          <c:dLbls>
            <c:dLbl>
              <c:idx val="3"/>
              <c:layout>
                <c:manualLayout>
                  <c:x val="-0.25078938495581127"/>
                  <c:y val="3.7901816026171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76516747844244"/>
                      <c:h val="8.379074645395646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AD4A-4B29-83DC-E90755E084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피벗테이블!$AD$4:$AD$7</c:f>
              <c:strCache>
                <c:ptCount val="4"/>
                <c:pt idx="0">
                  <c:v>성인</c:v>
                </c:pt>
                <c:pt idx="1">
                  <c:v>어린이</c:v>
                </c:pt>
                <c:pt idx="2">
                  <c:v>전체</c:v>
                </c:pt>
                <c:pt idx="3">
                  <c:v>청소년</c:v>
                </c:pt>
              </c:strCache>
            </c:strRef>
          </c:cat>
          <c:val>
            <c:numRef>
              <c:f>피벗테이블!$AE$4:$AE$7</c:f>
              <c:numCache>
                <c:formatCode>General</c:formatCode>
                <c:ptCount val="4"/>
                <c:pt idx="0">
                  <c:v>190</c:v>
                </c:pt>
                <c:pt idx="1">
                  <c:v>1949</c:v>
                </c:pt>
                <c:pt idx="2">
                  <c:v>2348</c:v>
                </c:pt>
                <c:pt idx="3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D4A-4B29-83DC-E90755E08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1732</xdr:rowOff>
    </xdr:from>
    <xdr:to>
      <xdr:col>42</xdr:col>
      <xdr:colOff>681471</xdr:colOff>
      <xdr:row>55</xdr:row>
      <xdr:rowOff>173182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1E1CF9F-406A-4F81-893D-B789DEAA4130}"/>
            </a:ext>
          </a:extLst>
        </xdr:cNvPr>
        <xdr:cNvSpPr/>
      </xdr:nvSpPr>
      <xdr:spPr>
        <a:xfrm>
          <a:off x="0" y="1732"/>
          <a:ext cx="29776016" cy="116014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35</xdr:col>
      <xdr:colOff>596175</xdr:colOff>
      <xdr:row>36</xdr:row>
      <xdr:rowOff>88121</xdr:rowOff>
    </xdr:from>
    <xdr:to>
      <xdr:col>41</xdr:col>
      <xdr:colOff>412800</xdr:colOff>
      <xdr:row>54</xdr:row>
      <xdr:rowOff>190496</xdr:rowOff>
    </xdr:to>
    <xdr:sp macro="" textlink="AA1">
      <xdr:nvSpPr>
        <xdr:cNvPr id="3" name="사각형: 둥근 모서리 2">
          <a:extLst>
            <a:ext uri="{FF2B5EF4-FFF2-40B4-BE49-F238E27FC236}">
              <a16:creationId xmlns:a16="http://schemas.microsoft.com/office/drawing/2014/main" id="{100588BC-B2E8-4BB2-9C9A-BECA29A3279D}"/>
            </a:ext>
          </a:extLst>
        </xdr:cNvPr>
        <xdr:cNvSpPr/>
      </xdr:nvSpPr>
      <xdr:spPr>
        <a:xfrm>
          <a:off x="24841630" y="7569576"/>
          <a:ext cx="3972988" cy="3843102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altLang="ko-KR" sz="2800">
            <a:solidFill>
              <a:schemeClr val="tx1"/>
            </a:solidFill>
          </a:endParaRPr>
        </a:p>
      </xdr:txBody>
    </xdr:sp>
    <xdr:clientData/>
  </xdr:twoCellAnchor>
  <xdr:twoCellAnchor>
    <xdr:from>
      <xdr:col>29</xdr:col>
      <xdr:colOff>658088</xdr:colOff>
      <xdr:row>36</xdr:row>
      <xdr:rowOff>88121</xdr:rowOff>
    </xdr:from>
    <xdr:to>
      <xdr:col>35</xdr:col>
      <xdr:colOff>474713</xdr:colOff>
      <xdr:row>54</xdr:row>
      <xdr:rowOff>190496</xdr:rowOff>
    </xdr:to>
    <xdr:sp macro="" textlink="AA1">
      <xdr:nvSpPr>
        <xdr:cNvPr id="4" name="사각형: 둥근 모서리 3">
          <a:extLst>
            <a:ext uri="{FF2B5EF4-FFF2-40B4-BE49-F238E27FC236}">
              <a16:creationId xmlns:a16="http://schemas.microsoft.com/office/drawing/2014/main" id="{EC1DD7DD-217C-4918-8BDF-FD0235E97DD8}"/>
            </a:ext>
          </a:extLst>
        </xdr:cNvPr>
        <xdr:cNvSpPr/>
      </xdr:nvSpPr>
      <xdr:spPr>
        <a:xfrm>
          <a:off x="20747179" y="7569576"/>
          <a:ext cx="3972989" cy="3843102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altLang="ko-KR" sz="2800">
            <a:solidFill>
              <a:schemeClr val="tx1"/>
            </a:solidFill>
          </a:endParaRPr>
        </a:p>
      </xdr:txBody>
    </xdr:sp>
    <xdr:clientData/>
  </xdr:twoCellAnchor>
  <xdr:twoCellAnchor>
    <xdr:from>
      <xdr:col>35</xdr:col>
      <xdr:colOff>596175</xdr:colOff>
      <xdr:row>10</xdr:row>
      <xdr:rowOff>53185</xdr:rowOff>
    </xdr:from>
    <xdr:to>
      <xdr:col>41</xdr:col>
      <xdr:colOff>412800</xdr:colOff>
      <xdr:row>28</xdr:row>
      <xdr:rowOff>155560</xdr:rowOff>
    </xdr:to>
    <xdr:sp macro="" textlink="AA1">
      <xdr:nvSpPr>
        <xdr:cNvPr id="5" name="사각형: 둥근 모서리 4">
          <a:extLst>
            <a:ext uri="{FF2B5EF4-FFF2-40B4-BE49-F238E27FC236}">
              <a16:creationId xmlns:a16="http://schemas.microsoft.com/office/drawing/2014/main" id="{737D8BEA-C8BE-4A65-9588-5578BA4F7F30}"/>
            </a:ext>
          </a:extLst>
        </xdr:cNvPr>
        <xdr:cNvSpPr/>
      </xdr:nvSpPr>
      <xdr:spPr>
        <a:xfrm>
          <a:off x="24841630" y="2131367"/>
          <a:ext cx="3972988" cy="3843102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altLang="ko-KR" sz="28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460663</xdr:colOff>
      <xdr:row>6</xdr:row>
      <xdr:rowOff>72432</xdr:rowOff>
    </xdr:from>
    <xdr:to>
      <xdr:col>16</xdr:col>
      <xdr:colOff>412172</xdr:colOff>
      <xdr:row>28</xdr:row>
      <xdr:rowOff>155560</xdr:rowOff>
    </xdr:to>
    <xdr:sp macro="" textlink="AA1">
      <xdr:nvSpPr>
        <xdr:cNvPr id="6" name="사각형: 둥근 모서리 5">
          <a:extLst>
            <a:ext uri="{FF2B5EF4-FFF2-40B4-BE49-F238E27FC236}">
              <a16:creationId xmlns:a16="http://schemas.microsoft.com/office/drawing/2014/main" id="{86D7F42B-341F-4B1D-A526-6508DED3EEA7}"/>
            </a:ext>
          </a:extLst>
        </xdr:cNvPr>
        <xdr:cNvSpPr/>
      </xdr:nvSpPr>
      <xdr:spPr>
        <a:xfrm>
          <a:off x="2518063" y="1329732"/>
          <a:ext cx="8866909" cy="4693228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altLang="ko-KR" sz="20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6061</xdr:colOff>
      <xdr:row>0</xdr:row>
      <xdr:rowOff>34636</xdr:rowOff>
    </xdr:from>
    <xdr:to>
      <xdr:col>28</xdr:col>
      <xdr:colOff>675409</xdr:colOff>
      <xdr:row>4</xdr:row>
      <xdr:rowOff>48240</xdr:rowOff>
    </xdr:to>
    <xdr:sp macro="" textlink="피벗테이블!K1">
      <xdr:nvSpPr>
        <xdr:cNvPr id="7" name="사각형: 둥근 모서리 6">
          <a:extLst>
            <a:ext uri="{FF2B5EF4-FFF2-40B4-BE49-F238E27FC236}">
              <a16:creationId xmlns:a16="http://schemas.microsoft.com/office/drawing/2014/main" id="{72D24FDB-8295-4CFA-AEB2-0B1B293F8876}"/>
            </a:ext>
          </a:extLst>
        </xdr:cNvPr>
        <xdr:cNvSpPr/>
      </xdr:nvSpPr>
      <xdr:spPr>
        <a:xfrm>
          <a:off x="9704243" y="34636"/>
          <a:ext cx="10367530" cy="844877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3A2DEB1-5EB0-4622-9D9F-4559A1B11297}" type="TxLink">
            <a:rPr lang="ko-KR" altLang="en-US" sz="4400" b="1" i="0" u="none" strike="noStrike">
              <a:solidFill>
                <a:srgbClr val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pPr algn="ctr"/>
            <a:t>창녕도서관 2024년 11월 이용 실적</a:t>
          </a:fld>
          <a:endParaRPr lang="en-US" altLang="en-US" sz="4400" b="1">
            <a:solidFill>
              <a:schemeClr val="tx1"/>
            </a:solidFill>
            <a:latin typeface="HY헤드라인M" panose="02030600000101010101" pitchFamily="18" charset="-127"/>
            <a:ea typeface="HY헤드라인M" panose="02030600000101010101" pitchFamily="18" charset="-127"/>
          </a:endParaRPr>
        </a:p>
      </xdr:txBody>
    </xdr:sp>
    <xdr:clientData/>
  </xdr:twoCellAnchor>
  <xdr:twoCellAnchor>
    <xdr:from>
      <xdr:col>29</xdr:col>
      <xdr:colOff>658088</xdr:colOff>
      <xdr:row>4</xdr:row>
      <xdr:rowOff>111077</xdr:rowOff>
    </xdr:from>
    <xdr:to>
      <xdr:col>33</xdr:col>
      <xdr:colOff>560704</xdr:colOff>
      <xdr:row>7</xdr:row>
      <xdr:rowOff>207623</xdr:rowOff>
    </xdr:to>
    <xdr:sp macro="" textlink="피벗테이블!T4">
      <xdr:nvSpPr>
        <xdr:cNvPr id="9" name="사각형: 둥근 모서리 8">
          <a:extLst>
            <a:ext uri="{FF2B5EF4-FFF2-40B4-BE49-F238E27FC236}">
              <a16:creationId xmlns:a16="http://schemas.microsoft.com/office/drawing/2014/main" id="{0BF37BD8-950F-463B-84F4-8A4506B797F3}"/>
            </a:ext>
          </a:extLst>
        </xdr:cNvPr>
        <xdr:cNvSpPr/>
      </xdr:nvSpPr>
      <xdr:spPr>
        <a:xfrm>
          <a:off x="20747179" y="942350"/>
          <a:ext cx="2673525" cy="720000"/>
        </a:xfrm>
        <a:prstGeom prst="roundRect">
          <a:avLst/>
        </a:prstGeom>
        <a:solidFill>
          <a:schemeClr val="bg1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E334CAC-C765-4627-B931-4C1C606E1615}" type="TxLink">
            <a:rPr lang="ko-KR" altLang="en-US" sz="1900" b="1" i="0" u="none" strike="noStrike">
              <a:solidFill>
                <a:sysClr val="windowText" lastClr="000000"/>
              </a:solidFill>
              <a:latin typeface="맑은 고딕"/>
              <a:ea typeface="맑은 고딕"/>
            </a:rPr>
            <a:pPr algn="ctr"/>
            <a:t>대출자수:1185명</a:t>
          </a:fld>
          <a:endParaRPr lang="en-US" altLang="en-US" sz="1900" b="1" i="0" u="none" strike="noStrike">
            <a:solidFill>
              <a:sysClr val="windowText" lastClr="000000"/>
            </a:solidFill>
            <a:latin typeface="맑은 고딕"/>
            <a:ea typeface="맑은 고딕"/>
          </a:endParaRPr>
        </a:p>
      </xdr:txBody>
    </xdr:sp>
    <xdr:clientData/>
  </xdr:twoCellAnchor>
  <xdr:twoCellAnchor>
    <xdr:from>
      <xdr:col>33</xdr:col>
      <xdr:colOff>593661</xdr:colOff>
      <xdr:row>4</xdr:row>
      <xdr:rowOff>111077</xdr:rowOff>
    </xdr:from>
    <xdr:to>
      <xdr:col>37</xdr:col>
      <xdr:colOff>486752</xdr:colOff>
      <xdr:row>7</xdr:row>
      <xdr:rowOff>207623</xdr:rowOff>
    </xdr:to>
    <xdr:sp macro="" textlink="피벗테이블!T5">
      <xdr:nvSpPr>
        <xdr:cNvPr id="10" name="사각형: 둥근 모서리 9">
          <a:extLst>
            <a:ext uri="{FF2B5EF4-FFF2-40B4-BE49-F238E27FC236}">
              <a16:creationId xmlns:a16="http://schemas.microsoft.com/office/drawing/2014/main" id="{8312C5F4-681C-4692-850D-2DD31A3D2F29}"/>
            </a:ext>
          </a:extLst>
        </xdr:cNvPr>
        <xdr:cNvSpPr/>
      </xdr:nvSpPr>
      <xdr:spPr>
        <a:xfrm>
          <a:off x="23453661" y="942350"/>
          <a:ext cx="2664000" cy="720000"/>
        </a:xfrm>
        <a:prstGeom prst="roundRect">
          <a:avLst/>
        </a:prstGeom>
        <a:solidFill>
          <a:schemeClr val="bg1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1F28F43-43B1-49C5-A4D9-96F4E6C2C155}" type="TxLink">
            <a:rPr lang="ko-KR" altLang="en-US" sz="1900" b="1" i="0" u="none" strike="noStrike">
              <a:solidFill>
                <a:sysClr val="windowText" lastClr="000000"/>
              </a:solidFill>
              <a:latin typeface="맑은 고딕"/>
              <a:ea typeface="맑은 고딕"/>
            </a:rPr>
            <a:pPr algn="ctr"/>
            <a:t>대출권수:4658권</a:t>
          </a:fld>
          <a:endParaRPr lang="en-US" altLang="en-US" sz="1900" b="1" i="0" u="none" strike="noStrike">
            <a:solidFill>
              <a:sysClr val="windowText" lastClr="000000"/>
            </a:solidFill>
            <a:latin typeface="맑은 고딕"/>
            <a:ea typeface="맑은 고딕"/>
          </a:endParaRPr>
        </a:p>
      </xdr:txBody>
    </xdr:sp>
    <xdr:clientData/>
  </xdr:twoCellAnchor>
  <xdr:twoCellAnchor>
    <xdr:from>
      <xdr:col>29</xdr:col>
      <xdr:colOff>658088</xdr:colOff>
      <xdr:row>30</xdr:row>
      <xdr:rowOff>69335</xdr:rowOff>
    </xdr:from>
    <xdr:to>
      <xdr:col>33</xdr:col>
      <xdr:colOff>560704</xdr:colOff>
      <xdr:row>33</xdr:row>
      <xdr:rowOff>165880</xdr:rowOff>
    </xdr:to>
    <xdr:sp macro="" textlink="피벗테이블!AI4">
      <xdr:nvSpPr>
        <xdr:cNvPr id="11" name="사각형: 둥근 모서리 10">
          <a:extLst>
            <a:ext uri="{FF2B5EF4-FFF2-40B4-BE49-F238E27FC236}">
              <a16:creationId xmlns:a16="http://schemas.microsoft.com/office/drawing/2014/main" id="{D0D38E03-21BD-447A-976A-E5BB23A7B980}"/>
            </a:ext>
          </a:extLst>
        </xdr:cNvPr>
        <xdr:cNvSpPr/>
      </xdr:nvSpPr>
      <xdr:spPr>
        <a:xfrm>
          <a:off x="20747179" y="6303880"/>
          <a:ext cx="2673525" cy="720000"/>
        </a:xfrm>
        <a:prstGeom prst="roundRect">
          <a:avLst/>
        </a:prstGeom>
        <a:solidFill>
          <a:schemeClr val="bg1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61B230-0560-4B00-84B3-7F95FE6917D6}" type="TxLink">
            <a:rPr lang="ko-KR" altLang="en-US" sz="1900" b="1" i="0" u="none" strike="noStrike">
              <a:solidFill>
                <a:sysClr val="windowText" lastClr="000000"/>
              </a:solidFill>
              <a:latin typeface="맑은 고딕"/>
              <a:ea typeface="맑은 고딕"/>
            </a:rPr>
            <a:pPr algn="ctr"/>
            <a:t>행사개수:38개</a:t>
          </a:fld>
          <a:endParaRPr lang="en-US" altLang="en-US" sz="1900" b="1" i="0" u="none" strike="noStrike">
            <a:solidFill>
              <a:sysClr val="windowText" lastClr="000000"/>
            </a:solidFill>
            <a:latin typeface="맑은 고딕"/>
            <a:ea typeface="맑은 고딕"/>
          </a:endParaRPr>
        </a:p>
      </xdr:txBody>
    </xdr:sp>
    <xdr:clientData/>
  </xdr:twoCellAnchor>
  <xdr:twoCellAnchor>
    <xdr:from>
      <xdr:col>37</xdr:col>
      <xdr:colOff>519709</xdr:colOff>
      <xdr:row>4</xdr:row>
      <xdr:rowOff>111077</xdr:rowOff>
    </xdr:from>
    <xdr:to>
      <xdr:col>41</xdr:col>
      <xdr:colOff>412800</xdr:colOff>
      <xdr:row>7</xdr:row>
      <xdr:rowOff>207623</xdr:rowOff>
    </xdr:to>
    <xdr:sp macro="" textlink="피벗테이블!T6">
      <xdr:nvSpPr>
        <xdr:cNvPr id="12" name="사각형: 둥근 모서리 11">
          <a:extLst>
            <a:ext uri="{FF2B5EF4-FFF2-40B4-BE49-F238E27FC236}">
              <a16:creationId xmlns:a16="http://schemas.microsoft.com/office/drawing/2014/main" id="{886AC5E4-68B5-4D74-AD80-4AF52B4AD0BF}"/>
            </a:ext>
          </a:extLst>
        </xdr:cNvPr>
        <xdr:cNvSpPr/>
      </xdr:nvSpPr>
      <xdr:spPr>
        <a:xfrm>
          <a:off x="26150618" y="942350"/>
          <a:ext cx="2664000" cy="720000"/>
        </a:xfrm>
        <a:prstGeom prst="roundRect">
          <a:avLst/>
        </a:prstGeom>
        <a:solidFill>
          <a:schemeClr val="bg1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522F6E8-3DC8-45CA-9200-2888BBD27C31}" type="TxLink">
            <a:rPr lang="ko-KR" altLang="en-US" sz="1900" b="1" i="0" u="none" strike="noStrike">
              <a:solidFill>
                <a:sysClr val="windowText" lastClr="000000"/>
              </a:solidFill>
              <a:latin typeface="맑은 고딕"/>
              <a:ea typeface="맑은 고딕"/>
            </a:rPr>
            <a:pPr algn="ctr"/>
            <a:t>자유학습실:870명</a:t>
          </a:fld>
          <a:endParaRPr lang="en-US" altLang="en-US" sz="1900" b="1" i="0" u="none" strike="noStrike">
            <a:solidFill>
              <a:sysClr val="windowText" lastClr="000000"/>
            </a:solidFill>
            <a:latin typeface="맑은 고딕"/>
            <a:ea typeface="맑은 고딕"/>
          </a:endParaRPr>
        </a:p>
      </xdr:txBody>
    </xdr:sp>
    <xdr:clientData/>
  </xdr:twoCellAnchor>
  <xdr:twoCellAnchor>
    <xdr:from>
      <xdr:col>30</xdr:col>
      <xdr:colOff>549253</xdr:colOff>
      <xdr:row>34</xdr:row>
      <xdr:rowOff>147016</xdr:rowOff>
    </xdr:from>
    <xdr:to>
      <xdr:col>34</xdr:col>
      <xdr:colOff>588818</xdr:colOff>
      <xdr:row>38</xdr:row>
      <xdr:rowOff>7398</xdr:rowOff>
    </xdr:to>
    <xdr:sp macro="" textlink="AA1">
      <xdr:nvSpPr>
        <xdr:cNvPr id="13" name="사각형: 둥근 모서리 12">
          <a:extLst>
            <a:ext uri="{FF2B5EF4-FFF2-40B4-BE49-F238E27FC236}">
              <a16:creationId xmlns:a16="http://schemas.microsoft.com/office/drawing/2014/main" id="{E84C8A58-5F3D-42D6-A0C3-58567EED96CA}"/>
            </a:ext>
          </a:extLst>
        </xdr:cNvPr>
        <xdr:cNvSpPr/>
      </xdr:nvSpPr>
      <xdr:spPr>
        <a:xfrm>
          <a:off x="21331071" y="7212834"/>
          <a:ext cx="2810474" cy="69165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200">
              <a:solidFill>
                <a:schemeClr val="tx1"/>
              </a:solidFill>
            </a:rPr>
            <a:t>행사참여자 성비</a:t>
          </a:r>
          <a:endParaRPr lang="en-US" altLang="ko-KR" sz="22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274925</xdr:colOff>
      <xdr:row>29</xdr:row>
      <xdr:rowOff>67110</xdr:rowOff>
    </xdr:from>
    <xdr:to>
      <xdr:col>41</xdr:col>
      <xdr:colOff>333374</xdr:colOff>
      <xdr:row>29</xdr:row>
      <xdr:rowOff>95249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415147A4-E40B-4EF9-823A-4D77820B24B2}"/>
            </a:ext>
          </a:extLst>
        </xdr:cNvPr>
        <xdr:cNvCxnSpPr/>
      </xdr:nvCxnSpPr>
      <xdr:spPr>
        <a:xfrm flipH="1" flipV="1">
          <a:off x="274925" y="6144060"/>
          <a:ext cx="28176249" cy="28139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519709</xdr:colOff>
      <xdr:row>30</xdr:row>
      <xdr:rowOff>69335</xdr:rowOff>
    </xdr:from>
    <xdr:to>
      <xdr:col>41</xdr:col>
      <xdr:colOff>412800</xdr:colOff>
      <xdr:row>33</xdr:row>
      <xdr:rowOff>165880</xdr:rowOff>
    </xdr:to>
    <xdr:sp macro="" textlink="피벗테이블!AI6">
      <xdr:nvSpPr>
        <xdr:cNvPr id="16" name="사각형: 둥근 모서리 15">
          <a:extLst>
            <a:ext uri="{FF2B5EF4-FFF2-40B4-BE49-F238E27FC236}">
              <a16:creationId xmlns:a16="http://schemas.microsoft.com/office/drawing/2014/main" id="{FEE50360-C1A9-4562-A6B1-1E46E79F40A5}"/>
            </a:ext>
          </a:extLst>
        </xdr:cNvPr>
        <xdr:cNvSpPr/>
      </xdr:nvSpPr>
      <xdr:spPr>
        <a:xfrm>
          <a:off x="26150618" y="6303880"/>
          <a:ext cx="2664000" cy="720000"/>
        </a:xfrm>
        <a:prstGeom prst="roundRect">
          <a:avLst/>
        </a:prstGeom>
        <a:solidFill>
          <a:schemeClr val="bg1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67CDC9A-F487-48F5-8F9A-F723D64CE008}" type="TxLink">
            <a:rPr lang="ko-KR" altLang="en-US" sz="1900" b="1" i="0" u="none" strike="noStrike">
              <a:solidFill>
                <a:sysClr val="windowText" lastClr="000000"/>
              </a:solidFill>
              <a:latin typeface="맑은 고딕"/>
              <a:ea typeface="맑은 고딕"/>
            </a:rPr>
            <a:pPr algn="ctr"/>
            <a:t>행사참여자수:4548명</a:t>
          </a:fld>
          <a:endParaRPr lang="en-US" altLang="en-US" sz="1900" b="1" i="0" u="none" strike="noStrike">
            <a:solidFill>
              <a:sysClr val="windowText" lastClr="000000"/>
            </a:solidFill>
            <a:latin typeface="맑은 고딕"/>
            <a:ea typeface="맑은 고딕"/>
          </a:endParaRPr>
        </a:p>
      </xdr:txBody>
    </xdr:sp>
    <xdr:clientData/>
  </xdr:twoCellAnchor>
  <xdr:twoCellAnchor>
    <xdr:from>
      <xdr:col>33</xdr:col>
      <xdr:colOff>593661</xdr:colOff>
      <xdr:row>30</xdr:row>
      <xdr:rowOff>69335</xdr:rowOff>
    </xdr:from>
    <xdr:to>
      <xdr:col>37</xdr:col>
      <xdr:colOff>486752</xdr:colOff>
      <xdr:row>33</xdr:row>
      <xdr:rowOff>165880</xdr:rowOff>
    </xdr:to>
    <xdr:sp macro="" textlink="피벗테이블!AI5">
      <xdr:nvSpPr>
        <xdr:cNvPr id="17" name="사각형: 둥근 모서리 16">
          <a:extLst>
            <a:ext uri="{FF2B5EF4-FFF2-40B4-BE49-F238E27FC236}">
              <a16:creationId xmlns:a16="http://schemas.microsoft.com/office/drawing/2014/main" id="{EE4F1811-47B8-4ED4-93A3-F6EEC748ACE7}"/>
            </a:ext>
          </a:extLst>
        </xdr:cNvPr>
        <xdr:cNvSpPr/>
      </xdr:nvSpPr>
      <xdr:spPr>
        <a:xfrm>
          <a:off x="23453661" y="6303880"/>
          <a:ext cx="2664000" cy="720000"/>
        </a:xfrm>
        <a:prstGeom prst="roundRect">
          <a:avLst/>
        </a:prstGeom>
        <a:solidFill>
          <a:schemeClr val="bg1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4309695-AB99-4594-B721-1A8CFDE77ED4}" type="TxLink">
            <a:rPr lang="ko-KR" altLang="en-US" sz="1900" b="1" i="0" u="none" strike="noStrike">
              <a:solidFill>
                <a:sysClr val="windowText" lastClr="000000"/>
              </a:solidFill>
              <a:latin typeface="맑은 고딕"/>
              <a:ea typeface="맑은 고딕"/>
            </a:rPr>
            <a:pPr algn="ctr"/>
            <a:t>행사횟수:99회</a:t>
          </a:fld>
          <a:endParaRPr lang="en-US" altLang="en-US" sz="1900" b="1" i="0" u="none" strike="noStrike">
            <a:solidFill>
              <a:sysClr val="windowText" lastClr="000000"/>
            </a:solidFill>
            <a:latin typeface="맑은 고딕"/>
            <a:ea typeface="맑은 고딕"/>
          </a:endParaRPr>
        </a:p>
      </xdr:txBody>
    </xdr:sp>
    <xdr:clientData/>
  </xdr:twoCellAnchor>
  <xdr:twoCellAnchor>
    <xdr:from>
      <xdr:col>29</xdr:col>
      <xdr:colOff>658088</xdr:colOff>
      <xdr:row>10</xdr:row>
      <xdr:rowOff>53185</xdr:rowOff>
    </xdr:from>
    <xdr:to>
      <xdr:col>35</xdr:col>
      <xdr:colOff>474713</xdr:colOff>
      <xdr:row>28</xdr:row>
      <xdr:rowOff>155560</xdr:rowOff>
    </xdr:to>
    <xdr:sp macro="" textlink="AA1">
      <xdr:nvSpPr>
        <xdr:cNvPr id="18" name="사각형: 둥근 모서리 17">
          <a:extLst>
            <a:ext uri="{FF2B5EF4-FFF2-40B4-BE49-F238E27FC236}">
              <a16:creationId xmlns:a16="http://schemas.microsoft.com/office/drawing/2014/main" id="{EA9050C3-D047-4634-9ADE-E647831B86D1}"/>
            </a:ext>
          </a:extLst>
        </xdr:cNvPr>
        <xdr:cNvSpPr/>
      </xdr:nvSpPr>
      <xdr:spPr>
        <a:xfrm>
          <a:off x="20747179" y="2131367"/>
          <a:ext cx="3972989" cy="3843102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altLang="ko-KR" sz="2800">
            <a:solidFill>
              <a:schemeClr val="tx1"/>
            </a:solidFill>
          </a:endParaRPr>
        </a:p>
      </xdr:txBody>
    </xdr:sp>
    <xdr:clientData/>
  </xdr:twoCellAnchor>
  <xdr:twoCellAnchor>
    <xdr:from>
      <xdr:col>31</xdr:col>
      <xdr:colOff>153615</xdr:colOff>
      <xdr:row>8</xdr:row>
      <xdr:rowOff>113569</xdr:rowOff>
    </xdr:from>
    <xdr:to>
      <xdr:col>34</xdr:col>
      <xdr:colOff>286459</xdr:colOff>
      <xdr:row>11</xdr:row>
      <xdr:rowOff>103909</xdr:rowOff>
    </xdr:to>
    <xdr:sp macro="" textlink="AA1">
      <xdr:nvSpPr>
        <xdr:cNvPr id="20" name="사각형: 둥근 모서리 19">
          <a:extLst>
            <a:ext uri="{FF2B5EF4-FFF2-40B4-BE49-F238E27FC236}">
              <a16:creationId xmlns:a16="http://schemas.microsoft.com/office/drawing/2014/main" id="{DDFC2934-2C90-4DF7-A2D6-109E10BF981F}"/>
            </a:ext>
          </a:extLst>
        </xdr:cNvPr>
        <xdr:cNvSpPr/>
      </xdr:nvSpPr>
      <xdr:spPr>
        <a:xfrm>
          <a:off x="21628160" y="1776114"/>
          <a:ext cx="2211026" cy="61379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200">
              <a:solidFill>
                <a:schemeClr val="tx1"/>
              </a:solidFill>
            </a:rPr>
            <a:t>대출자 성비</a:t>
          </a:r>
          <a:endParaRPr lang="en-US" altLang="ko-KR" sz="22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519545</xdr:colOff>
      <xdr:row>6</xdr:row>
      <xdr:rowOff>193660</xdr:rowOff>
    </xdr:from>
    <xdr:to>
      <xdr:col>29</xdr:col>
      <xdr:colOff>471053</xdr:colOff>
      <xdr:row>28</xdr:row>
      <xdr:rowOff>155560</xdr:rowOff>
    </xdr:to>
    <xdr:sp macro="" textlink="AA1">
      <xdr:nvSpPr>
        <xdr:cNvPr id="21" name="사각형: 둥근 모서리 20">
          <a:extLst>
            <a:ext uri="{FF2B5EF4-FFF2-40B4-BE49-F238E27FC236}">
              <a16:creationId xmlns:a16="http://schemas.microsoft.com/office/drawing/2014/main" id="{56A9537F-ABBB-4833-8C33-A53CAC13E8F4}"/>
            </a:ext>
          </a:extLst>
        </xdr:cNvPr>
        <xdr:cNvSpPr/>
      </xdr:nvSpPr>
      <xdr:spPr>
        <a:xfrm>
          <a:off x="11492345" y="1450960"/>
          <a:ext cx="8866908" cy="45720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altLang="ko-KR" sz="20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10391</xdr:colOff>
      <xdr:row>4</xdr:row>
      <xdr:rowOff>111078</xdr:rowOff>
    </xdr:from>
    <xdr:to>
      <xdr:col>25</xdr:col>
      <xdr:colOff>384466</xdr:colOff>
      <xdr:row>8</xdr:row>
      <xdr:rowOff>93649</xdr:rowOff>
    </xdr:to>
    <xdr:sp macro="" textlink="AA1">
      <xdr:nvSpPr>
        <xdr:cNvPr id="23" name="사각형: 둥근 모서리 22">
          <a:extLst>
            <a:ext uri="{FF2B5EF4-FFF2-40B4-BE49-F238E27FC236}">
              <a16:creationId xmlns:a16="http://schemas.microsoft.com/office/drawing/2014/main" id="{29B7575F-9C35-4317-9112-4D17E23F4273}"/>
            </a:ext>
          </a:extLst>
        </xdr:cNvPr>
        <xdr:cNvSpPr/>
      </xdr:nvSpPr>
      <xdr:spPr>
        <a:xfrm>
          <a:off x="14412191" y="949278"/>
          <a:ext cx="3117275" cy="820771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600">
              <a:solidFill>
                <a:schemeClr val="tx1"/>
              </a:solidFill>
            </a:rPr>
            <a:t>류별 대출권수</a:t>
          </a:r>
          <a:endParaRPr lang="en-US" altLang="ko-KR" sz="26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460663</xdr:colOff>
      <xdr:row>32</xdr:row>
      <xdr:rowOff>34633</xdr:rowOff>
    </xdr:from>
    <xdr:to>
      <xdr:col>16</xdr:col>
      <xdr:colOff>412009</xdr:colOff>
      <xdr:row>54</xdr:row>
      <xdr:rowOff>190496</xdr:rowOff>
    </xdr:to>
    <xdr:sp macro="" textlink="AA1">
      <xdr:nvSpPr>
        <xdr:cNvPr id="24" name="사각형: 둥근 모서리 23">
          <a:extLst>
            <a:ext uri="{FF2B5EF4-FFF2-40B4-BE49-F238E27FC236}">
              <a16:creationId xmlns:a16="http://schemas.microsoft.com/office/drawing/2014/main" id="{192F1A14-14A9-4AAC-90CF-EB2670497878}"/>
            </a:ext>
          </a:extLst>
        </xdr:cNvPr>
        <xdr:cNvSpPr/>
      </xdr:nvSpPr>
      <xdr:spPr>
        <a:xfrm>
          <a:off x="2518063" y="6740233"/>
          <a:ext cx="8866746" cy="4765963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altLang="ko-KR" sz="40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519545</xdr:colOff>
      <xdr:row>32</xdr:row>
      <xdr:rowOff>1</xdr:rowOff>
    </xdr:from>
    <xdr:to>
      <xdr:col>29</xdr:col>
      <xdr:colOff>470232</xdr:colOff>
      <xdr:row>54</xdr:row>
      <xdr:rowOff>190496</xdr:rowOff>
    </xdr:to>
    <xdr:sp macro="" textlink="AA1">
      <xdr:nvSpPr>
        <xdr:cNvPr id="26" name="사각형: 둥근 모서리 25">
          <a:extLst>
            <a:ext uri="{FF2B5EF4-FFF2-40B4-BE49-F238E27FC236}">
              <a16:creationId xmlns:a16="http://schemas.microsoft.com/office/drawing/2014/main" id="{C2323F91-44F3-4706-A76E-4733DF893319}"/>
            </a:ext>
          </a:extLst>
        </xdr:cNvPr>
        <xdr:cNvSpPr/>
      </xdr:nvSpPr>
      <xdr:spPr>
        <a:xfrm>
          <a:off x="11492345" y="6705601"/>
          <a:ext cx="8866087" cy="480059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altLang="ko-KR" sz="20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363787</xdr:colOff>
      <xdr:row>30</xdr:row>
      <xdr:rowOff>7174</xdr:rowOff>
    </xdr:from>
    <xdr:to>
      <xdr:col>25</xdr:col>
      <xdr:colOff>138440</xdr:colOff>
      <xdr:row>33</xdr:row>
      <xdr:rowOff>65313</xdr:rowOff>
    </xdr:to>
    <xdr:sp macro="" textlink="AA1">
      <xdr:nvSpPr>
        <xdr:cNvPr id="28" name="사각형: 둥근 모서리 27">
          <a:extLst>
            <a:ext uri="{FF2B5EF4-FFF2-40B4-BE49-F238E27FC236}">
              <a16:creationId xmlns:a16="http://schemas.microsoft.com/office/drawing/2014/main" id="{7CC9B602-663F-4235-AEF3-EA3C8EB3EA22}"/>
            </a:ext>
          </a:extLst>
        </xdr:cNvPr>
        <xdr:cNvSpPr/>
      </xdr:nvSpPr>
      <xdr:spPr>
        <a:xfrm>
          <a:off x="14079787" y="6293674"/>
          <a:ext cx="3203653" cy="686789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800">
              <a:solidFill>
                <a:schemeClr val="tx1"/>
              </a:solidFill>
            </a:rPr>
            <a:t>행사별 참여인원</a:t>
          </a:r>
          <a:endParaRPr lang="en-US" altLang="ko-KR" sz="28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471056</xdr:colOff>
      <xdr:row>4</xdr:row>
      <xdr:rowOff>111078</xdr:rowOff>
    </xdr:from>
    <xdr:to>
      <xdr:col>13</xdr:col>
      <xdr:colOff>401781</xdr:colOff>
      <xdr:row>8</xdr:row>
      <xdr:rowOff>93649</xdr:rowOff>
    </xdr:to>
    <xdr:sp macro="" textlink="AA1">
      <xdr:nvSpPr>
        <xdr:cNvPr id="33" name="사각형: 둥근 모서리 32">
          <a:extLst>
            <a:ext uri="{FF2B5EF4-FFF2-40B4-BE49-F238E27FC236}">
              <a16:creationId xmlns:a16="http://schemas.microsoft.com/office/drawing/2014/main" id="{4ECC629F-F5B2-4357-A577-F05283108FEF}"/>
            </a:ext>
          </a:extLst>
        </xdr:cNvPr>
        <xdr:cNvSpPr/>
      </xdr:nvSpPr>
      <xdr:spPr>
        <a:xfrm>
          <a:off x="4585856" y="949278"/>
          <a:ext cx="4731325" cy="820771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600">
              <a:solidFill>
                <a:schemeClr val="tx1"/>
              </a:solidFill>
            </a:rPr>
            <a:t>월별 실적 및 전년동월비</a:t>
          </a:r>
          <a:endParaRPr lang="en-US" altLang="ko-KR" sz="2600">
            <a:solidFill>
              <a:schemeClr val="tx1"/>
            </a:solidFill>
          </a:endParaRPr>
        </a:p>
      </xdr:txBody>
    </xdr:sp>
    <xdr:clientData/>
  </xdr:twoCellAnchor>
  <xdr:twoCellAnchor>
    <xdr:from>
      <xdr:col>37</xdr:col>
      <xdr:colOff>125307</xdr:colOff>
      <xdr:row>8</xdr:row>
      <xdr:rowOff>95587</xdr:rowOff>
    </xdr:from>
    <xdr:to>
      <xdr:col>40</xdr:col>
      <xdr:colOff>190941</xdr:colOff>
      <xdr:row>11</xdr:row>
      <xdr:rowOff>190500</xdr:rowOff>
    </xdr:to>
    <xdr:sp macro="" textlink="AA1">
      <xdr:nvSpPr>
        <xdr:cNvPr id="34" name="사각형: 둥근 모서리 33">
          <a:extLst>
            <a:ext uri="{FF2B5EF4-FFF2-40B4-BE49-F238E27FC236}">
              <a16:creationId xmlns:a16="http://schemas.microsoft.com/office/drawing/2014/main" id="{77BEE93D-25D9-48D7-96DD-E9E9F1DFB3D8}"/>
            </a:ext>
          </a:extLst>
        </xdr:cNvPr>
        <xdr:cNvSpPr/>
      </xdr:nvSpPr>
      <xdr:spPr>
        <a:xfrm>
          <a:off x="25756216" y="1758132"/>
          <a:ext cx="2143816" cy="718368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200">
              <a:solidFill>
                <a:schemeClr val="tx1"/>
              </a:solidFill>
            </a:rPr>
            <a:t>대출자 연령비</a:t>
          </a:r>
          <a:endParaRPr lang="en-US" altLang="ko-KR" sz="22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484907</xdr:colOff>
      <xdr:row>30</xdr:row>
      <xdr:rowOff>62591</xdr:rowOff>
    </xdr:from>
    <xdr:to>
      <xdr:col>14</xdr:col>
      <xdr:colOff>-1</xdr:colOff>
      <xdr:row>33</xdr:row>
      <xdr:rowOff>120730</xdr:rowOff>
    </xdr:to>
    <xdr:sp macro="" textlink="AA1">
      <xdr:nvSpPr>
        <xdr:cNvPr id="35" name="사각형: 둥근 모서리 34">
          <a:extLst>
            <a:ext uri="{FF2B5EF4-FFF2-40B4-BE49-F238E27FC236}">
              <a16:creationId xmlns:a16="http://schemas.microsoft.com/office/drawing/2014/main" id="{79B6790A-AAFD-4FAE-80C0-3DC2304278C4}"/>
            </a:ext>
          </a:extLst>
        </xdr:cNvPr>
        <xdr:cNvSpPr/>
      </xdr:nvSpPr>
      <xdr:spPr>
        <a:xfrm>
          <a:off x="4599707" y="6349091"/>
          <a:ext cx="5001492" cy="686789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600">
              <a:solidFill>
                <a:schemeClr val="tx1"/>
              </a:solidFill>
            </a:rPr>
            <a:t>행사분류별 참여인원</a:t>
          </a:r>
          <a:endParaRPr lang="en-US" altLang="ko-KR" sz="2600">
            <a:solidFill>
              <a:schemeClr val="tx1"/>
            </a:solidFill>
          </a:endParaRPr>
        </a:p>
      </xdr:txBody>
    </xdr:sp>
    <xdr:clientData/>
  </xdr:twoCellAnchor>
  <xdr:twoCellAnchor>
    <xdr:from>
      <xdr:col>36</xdr:col>
      <xdr:colOff>515717</xdr:colOff>
      <xdr:row>34</xdr:row>
      <xdr:rowOff>136131</xdr:rowOff>
    </xdr:from>
    <xdr:to>
      <xdr:col>40</xdr:col>
      <xdr:colOff>493258</xdr:colOff>
      <xdr:row>37</xdr:row>
      <xdr:rowOff>200620</xdr:rowOff>
    </xdr:to>
    <xdr:sp macro="" textlink="AA1">
      <xdr:nvSpPr>
        <xdr:cNvPr id="37" name="사각형: 둥근 모서리 36">
          <a:extLst>
            <a:ext uri="{FF2B5EF4-FFF2-40B4-BE49-F238E27FC236}">
              <a16:creationId xmlns:a16="http://schemas.microsoft.com/office/drawing/2014/main" id="{FD2034C6-0919-4842-B989-B406D21370FA}"/>
            </a:ext>
          </a:extLst>
        </xdr:cNvPr>
        <xdr:cNvSpPr/>
      </xdr:nvSpPr>
      <xdr:spPr>
        <a:xfrm>
          <a:off x="25204517" y="7260831"/>
          <a:ext cx="2720741" cy="693139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200">
              <a:solidFill>
                <a:schemeClr val="tx1"/>
              </a:solidFill>
            </a:rPr>
            <a:t>행사참여자 연령비</a:t>
          </a:r>
          <a:endParaRPr lang="en-US" altLang="ko-KR" sz="22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86591</xdr:colOff>
      <xdr:row>7</xdr:row>
      <xdr:rowOff>121229</xdr:rowOff>
    </xdr:from>
    <xdr:to>
      <xdr:col>16</xdr:col>
      <xdr:colOff>103909</xdr:colOff>
      <xdr:row>27</xdr:row>
      <xdr:rowOff>138545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AA5806AC-0B59-48E7-8C7C-FC17F4CAC3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311728</xdr:colOff>
      <xdr:row>8</xdr:row>
      <xdr:rowOff>69273</xdr:rowOff>
    </xdr:from>
    <xdr:to>
      <xdr:col>28</xdr:col>
      <xdr:colOff>588818</xdr:colOff>
      <xdr:row>27</xdr:row>
      <xdr:rowOff>121226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325A5B6A-9AA5-4E9E-A95E-A77B832D5E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241855</xdr:colOff>
      <xdr:row>11</xdr:row>
      <xdr:rowOff>1731</xdr:rowOff>
    </xdr:from>
    <xdr:to>
      <xdr:col>35</xdr:col>
      <xdr:colOff>198218</xdr:colOff>
      <xdr:row>27</xdr:row>
      <xdr:rowOff>96640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CA89C595-9A5D-4FC7-9856-309447483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179942</xdr:colOff>
      <xdr:row>11</xdr:row>
      <xdr:rowOff>1731</xdr:rowOff>
    </xdr:from>
    <xdr:to>
      <xdr:col>41</xdr:col>
      <xdr:colOff>136306</xdr:colOff>
      <xdr:row>27</xdr:row>
      <xdr:rowOff>96640</xdr:rowOff>
    </xdr:to>
    <xdr:graphicFrame macro="">
      <xdr:nvGraphicFramePr>
        <xdr:cNvPr id="41" name="차트 40">
          <a:extLst>
            <a:ext uri="{FF2B5EF4-FFF2-40B4-BE49-F238E27FC236}">
              <a16:creationId xmlns:a16="http://schemas.microsoft.com/office/drawing/2014/main" id="{2D570D21-4D22-488F-9EF6-B0338F7F8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86591</xdr:colOff>
      <xdr:row>33</xdr:row>
      <xdr:rowOff>69273</xdr:rowOff>
    </xdr:from>
    <xdr:to>
      <xdr:col>29</xdr:col>
      <xdr:colOff>121227</xdr:colOff>
      <xdr:row>53</xdr:row>
      <xdr:rowOff>121226</xdr:rowOff>
    </xdr:to>
    <xdr:graphicFrame macro="">
      <xdr:nvGraphicFramePr>
        <xdr:cNvPr id="42" name="차트 41">
          <a:extLst>
            <a:ext uri="{FF2B5EF4-FFF2-40B4-BE49-F238E27FC236}">
              <a16:creationId xmlns:a16="http://schemas.microsoft.com/office/drawing/2014/main" id="{6E7AE88B-A7EC-45C7-B646-F85AA1031C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33</xdr:row>
      <xdr:rowOff>138545</xdr:rowOff>
    </xdr:from>
    <xdr:to>
      <xdr:col>16</xdr:col>
      <xdr:colOff>103909</xdr:colOff>
      <xdr:row>53</xdr:row>
      <xdr:rowOff>86590</xdr:rowOff>
    </xdr:to>
    <xdr:graphicFrame macro="">
      <xdr:nvGraphicFramePr>
        <xdr:cNvPr id="43" name="차트 42">
          <a:extLst>
            <a:ext uri="{FF2B5EF4-FFF2-40B4-BE49-F238E27FC236}">
              <a16:creationId xmlns:a16="http://schemas.microsoft.com/office/drawing/2014/main" id="{4D900C07-3E5E-4725-A29B-02776D44AC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231313</xdr:colOff>
      <xdr:row>37</xdr:row>
      <xdr:rowOff>68181</xdr:rowOff>
    </xdr:from>
    <xdr:to>
      <xdr:col>35</xdr:col>
      <xdr:colOff>222313</xdr:colOff>
      <xdr:row>53</xdr:row>
      <xdr:rowOff>135381</xdr:rowOff>
    </xdr:to>
    <xdr:graphicFrame macro="">
      <xdr:nvGraphicFramePr>
        <xdr:cNvPr id="44" name="차트 43">
          <a:extLst>
            <a:ext uri="{FF2B5EF4-FFF2-40B4-BE49-F238E27FC236}">
              <a16:creationId xmlns:a16="http://schemas.microsoft.com/office/drawing/2014/main" id="{355A3858-B12C-4E8C-BB84-82B4B43E70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170228</xdr:colOff>
      <xdr:row>37</xdr:row>
      <xdr:rowOff>68181</xdr:rowOff>
    </xdr:from>
    <xdr:to>
      <xdr:col>41</xdr:col>
      <xdr:colOff>152946</xdr:colOff>
      <xdr:row>53</xdr:row>
      <xdr:rowOff>177622</xdr:rowOff>
    </xdr:to>
    <xdr:graphicFrame macro="">
      <xdr:nvGraphicFramePr>
        <xdr:cNvPr id="45" name="차트 44">
          <a:extLst>
            <a:ext uri="{FF2B5EF4-FFF2-40B4-BE49-F238E27FC236}">
              <a16:creationId xmlns:a16="http://schemas.microsoft.com/office/drawing/2014/main" id="{7C168CDF-8DAB-4774-BB0E-FD6766CB70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224270</xdr:colOff>
      <xdr:row>5</xdr:row>
      <xdr:rowOff>35502</xdr:rowOff>
    </xdr:from>
    <xdr:to>
      <xdr:col>3</xdr:col>
      <xdr:colOff>126088</xdr:colOff>
      <xdr:row>16</xdr:row>
      <xdr:rowOff>155864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6" name="월(월)">
              <a:extLst>
                <a:ext uri="{FF2B5EF4-FFF2-40B4-BE49-F238E27FC236}">
                  <a16:creationId xmlns:a16="http://schemas.microsoft.com/office/drawing/2014/main" id="{BDF92103-3D82-4342-A938-58E868CE83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월(월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4270" y="1074593"/>
              <a:ext cx="1980000" cy="24063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224270</xdr:colOff>
      <xdr:row>17</xdr:row>
      <xdr:rowOff>103909</xdr:rowOff>
    </xdr:from>
    <xdr:to>
      <xdr:col>3</xdr:col>
      <xdr:colOff>126088</xdr:colOff>
      <xdr:row>28</xdr:row>
      <xdr:rowOff>155863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8" name="자료실구분">
              <a:extLst>
                <a:ext uri="{FF2B5EF4-FFF2-40B4-BE49-F238E27FC236}">
                  <a16:creationId xmlns:a16="http://schemas.microsoft.com/office/drawing/2014/main" id="{D700010C-36A9-4B4D-9DC0-8DF22D8792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자료실구분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4270" y="3636818"/>
              <a:ext cx="1980000" cy="23379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224270</xdr:colOff>
      <xdr:row>30</xdr:row>
      <xdr:rowOff>35504</xdr:rowOff>
    </xdr:from>
    <xdr:to>
      <xdr:col>3</xdr:col>
      <xdr:colOff>126088</xdr:colOff>
      <xdr:row>46</xdr:row>
      <xdr:rowOff>155864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9" name="행사분류">
              <a:extLst>
                <a:ext uri="{FF2B5EF4-FFF2-40B4-BE49-F238E27FC236}">
                  <a16:creationId xmlns:a16="http://schemas.microsoft.com/office/drawing/2014/main" id="{52D35529-046E-4F75-89A3-0F48A72D40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행사분류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4270" y="6270049"/>
              <a:ext cx="1980000" cy="34454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29.583625810184" backgroundQuery="1" createdVersion="6" refreshedVersion="6" minRefreshableVersion="3" recordCount="0" supportSubquery="1" supportAdvancedDrill="1" xr:uid="{76AFAE7A-0FFC-470A-B903-DFE7C072AC6B}">
  <cacheSource type="external" connectionId="1"/>
  <cacheFields count="6">
    <cacheField name="[년월기준].[년월(월)].[년월(월)]" caption="년월(월)" numFmtId="0" hierarchy="22" level="1">
      <sharedItems count="2">
        <s v="11월"/>
        <s v="02월" u="1"/>
      </sharedItems>
    </cacheField>
    <cacheField name="[Measures].[합계: 대출자수]" caption="합계: 대출자수" numFmtId="0" hierarchy="113" level="32767"/>
    <cacheField name="[Measures].[합계: 대출권수]" caption="합계: 대출권수" numFmtId="0" hierarchy="114" level="32767"/>
    <cacheField name="[Measures].[합계: 전년동월비(대출자수)]" caption="합계: 전년동월비(대출자수)" numFmtId="0" hierarchy="122" level="32767"/>
    <cacheField name="[Measures].[합계: 전년동월비(권수)]" caption="합계: 전년동월비(권수)" numFmtId="0" hierarchy="123" level="32767"/>
    <cacheField name="[날짜tb].[월(월)].[월(월)]" caption="월(월)" numFmtId="0" hierarchy="10" level="1">
      <sharedItems containsSemiMixedTypes="0" containsNonDate="0" containsString="0"/>
    </cacheField>
  </cacheFields>
  <cacheHierarchies count="149">
    <cacheHierarchy uniqueName="[개관일수범례].[년월]" caption="년월" attribute="1" time="1" defaultMemberUniqueName="[개관일수범례].[년월].[All]" allUniqueName="[개관일수범례].[년월].[All]" dimensionUniqueName="[개관일수범례]" displayFolder="" count="0" memberValueDatatype="7" unbalanced="0"/>
    <cacheHierarchy uniqueName="[개관일수범례].[자료실개관일수]" caption="자료실개관일수" attribute="1" defaultMemberUniqueName="[개관일수범례].[자료실개관일수].[All]" allUniqueName="[개관일수범례].[자료실개관일수].[All]" dimensionUniqueName="[개관일수범례]" displayFolder="" count="0" memberValueDatatype="20" unbalanced="0"/>
    <cacheHierarchy uniqueName="[개관일수범례].[자유학습실개관일수]" caption="자유학습실개관일수" attribute="1" defaultMemberUniqueName="[개관일수범례].[자유학습실개관일수].[All]" allUniqueName="[개관일수범례].[자유학습실개관일수].[All]" dimensionUniqueName="[개관일수범례]" displayFolder="" count="0" memberValueDatatype="20" unbalanced="0"/>
    <cacheHierarchy uniqueName="[개관일수범례].[자유학습실]" caption="자유학습실" attribute="1" defaultMemberUniqueName="[개관일수범례].[자유학습실].[All]" allUniqueName="[개관일수범례].[자유학습실].[All]" dimensionUniqueName="[개관일수범례]" displayFolder="" count="0" memberValueDatatype="20" unbalanced="0"/>
    <cacheHierarchy uniqueName="[개관일수범례].[일수]" caption="일수" attribute="1" defaultMemberUniqueName="[개관일수범례].[일수].[All]" allUniqueName="[개관일수범례].[일수].[All]" dimensionUniqueName="[개관일수범례]" displayFolder="" count="0" memberValueDatatype="20" unbalanced="0"/>
    <cacheHierarchy uniqueName="[개관일수범례].[정기휴관일]" caption="정기휴관일" attribute="1" defaultMemberUniqueName="[개관일수범례].[정기휴관일].[All]" allUniqueName="[개관일수범례].[정기휴관일].[All]" dimensionUniqueName="[개관일수범례]" displayFolder="" count="0" memberValueDatatype="20" unbalanced="0"/>
    <cacheHierarchy uniqueName="[개관일수범례].[공휴일]" caption="공휴일" attribute="1" defaultMemberUniqueName="[개관일수범례].[공휴일].[All]" allUniqueName="[개관일수범례].[공휴일].[All]" dimensionUniqueName="[개관일수범례]" displayFolder="" count="0" memberValueDatatype="20" unbalanced="0"/>
    <cacheHierarchy uniqueName="[개관일수범례].[자유학습실휴관일]" caption="자유학습실휴관일" attribute="1" defaultMemberUniqueName="[개관일수범례].[자유학습실휴관일].[All]" allUniqueName="[개관일수범례].[자유학습실휴관일].[All]" dimensionUniqueName="[개관일수범례]" displayFolder="" count="0" memberValueDatatype="20" unbalanced="0"/>
    <cacheHierarchy uniqueName="[날짜tb].[월]" caption="월" attribute="1" time="1" defaultMemberUniqueName="[날짜tb].[월].[All]" allUniqueName="[날짜tb].[월].[All]" dimensionUniqueName="[날짜tb]" displayFolder="" count="0" memberValueDatatype="7" unbalanced="0"/>
    <cacheHierarchy uniqueName="[날짜tb].[주]" caption="주" attribute="1" defaultMemberUniqueName="[날짜tb].[주].[All]" allUniqueName="[날짜tb].[주].[All]" dimensionUniqueName="[날짜tb]" displayFolder="" count="0" memberValueDatatype="20" unbalanced="0"/>
    <cacheHierarchy uniqueName="[날짜tb].[월(월)]" caption="월(월)" attribute="1" defaultMemberUniqueName="[날짜tb].[월(월)].[All]" allUniqueName="[날짜tb].[월(월)].[All]" dimensionUniqueName="[날짜tb]" displayFolder="" count="2" memberValueDatatype="130" unbalanced="0">
      <fieldsUsage count="2">
        <fieldUsage x="-1"/>
        <fieldUsage x="5"/>
      </fieldsUsage>
    </cacheHierarchy>
    <cacheHierarchy uniqueName="[년월기준].[년월]" caption="년월" attribute="1" time="1" defaultMemberUniqueName="[년월기준].[년월].[All]" allUniqueName="[년월기준].[년월].[All]" dimensionUniqueName="[년월기준]" displayFolder="" count="0" memberValueDatatype="7" unbalanced="0"/>
    <cacheHierarchy uniqueName="[년월기준].[고유값]" caption="고유값" attribute="1" defaultMemberUniqueName="[년월기준].[고유값].[All]" allUniqueName="[년월기준].[고유값].[All]" dimensionUniqueName="[년월기준]" displayFolder="" count="0" memberValueDatatype="130" unbalanced="0"/>
    <cacheHierarchy uniqueName="[년월기준].[대출자수]" caption="대출자수" attribute="1" defaultMemberUniqueName="[년월기준].[대출자수].[All]" allUniqueName="[년월기준].[대출자수].[All]" dimensionUniqueName="[년월기준]" displayFolder="" count="0" memberValueDatatype="20" unbalanced="0"/>
    <cacheHierarchy uniqueName="[년월기준].[대출자수(전년동월)]" caption="대출자수(전년동월)" attribute="1" defaultMemberUniqueName="[년월기준].[대출자수(전년동월)].[All]" allUniqueName="[년월기준].[대출자수(전년동월)].[All]" dimensionUniqueName="[년월기준]" displayFolder="" count="0" memberValueDatatype="20" unbalanced="0"/>
    <cacheHierarchy uniqueName="[년월기준].[전년동월비(대출자수)]" caption="전년동월비(대출자수)" attribute="1" defaultMemberUniqueName="[년월기준].[전년동월비(대출자수)].[All]" allUniqueName="[년월기준].[전년동월비(대출자수)].[All]" dimensionUniqueName="[년월기준]" displayFolder="" count="0" memberValueDatatype="5" unbalanced="0"/>
    <cacheHierarchy uniqueName="[년월기준].[대출권수]" caption="대출권수" attribute="1" defaultMemberUniqueName="[년월기준].[대출권수].[All]" allUniqueName="[년월기준].[대출권수].[All]" dimensionUniqueName="[년월기준]" displayFolder="" count="0" memberValueDatatype="20" unbalanced="0"/>
    <cacheHierarchy uniqueName="[년월기준].[대출권수(전년동월)]" caption="대출권수(전년동월)" attribute="1" defaultMemberUniqueName="[년월기준].[대출권수(전년동월)].[All]" allUniqueName="[년월기준].[대출권수(전년동월)].[All]" dimensionUniqueName="[년월기준]" displayFolder="" count="0" memberValueDatatype="20" unbalanced="0"/>
    <cacheHierarchy uniqueName="[년월기준].[전년동월비(권수)]" caption="전년동월비(권수)" attribute="1" defaultMemberUniqueName="[년월기준].[전년동월비(권수)].[All]" allUniqueName="[년월기준].[전년동월비(권수)].[All]" dimensionUniqueName="[년월기준]" displayFolder="" count="0" memberValueDatatype="5" unbalanced="0"/>
    <cacheHierarchy uniqueName="[년월기준].[행사참여자수]" caption="행사참여자수" attribute="1" defaultMemberUniqueName="[년월기준].[행사참여자수].[All]" allUniqueName="[년월기준].[행사참여자수].[All]" dimensionUniqueName="[년월기준]" displayFolder="" count="0" memberValueDatatype="20" unbalanced="0"/>
    <cacheHierarchy uniqueName="[년월기준].[행사참여자수(전년동월)]" caption="행사참여자수(전년동월)" attribute="1" defaultMemberUniqueName="[년월기준].[행사참여자수(전년동월)].[All]" allUniqueName="[년월기준].[행사참여자수(전년동월)].[All]" dimensionUniqueName="[년월기준]" displayFolder="" count="0" memberValueDatatype="20" unbalanced="0"/>
    <cacheHierarchy uniqueName="[년월기준].[전년동월비(행사참여자수)]" caption="전년동월비(행사참여자수)" attribute="1" defaultMemberUniqueName="[년월기준].[전년동월비(행사참여자수)].[All]" allUniqueName="[년월기준].[전년동월비(행사참여자수)].[All]" dimensionUniqueName="[년월기준]" displayFolder="" count="0" memberValueDatatype="5" unbalanced="0"/>
    <cacheHierarchy uniqueName="[년월기준].[년월(월)]" caption="년월(월)" attribute="1" defaultMemberUniqueName="[년월기준].[년월(월)].[All]" allUniqueName="[년월기준].[년월(월)].[All]" dimensionUniqueName="[년월기준]" displayFolder="" count="2" memberValueDatatype="130" unbalanced="0">
      <fieldsUsage count="2">
        <fieldUsage x="-1"/>
        <fieldUsage x="0"/>
      </fieldsUsage>
    </cacheHierarchy>
    <cacheHierarchy uniqueName="[대출권수].[년월]" caption="년월" attribute="1" time="1" defaultMemberUniqueName="[대출권수].[년월].[All]" allUniqueName="[대출권수].[년월].[All]" dimensionUniqueName="[대출권수]" displayFolder="" count="0" memberValueDatatype="7" unbalanced="0"/>
    <cacheHierarchy uniqueName="[대출권수].[소장처명]" caption="소장처명" attribute="1" defaultMemberUniqueName="[대출권수].[소장처명].[All]" allUniqueName="[대출권수].[소장처명].[All]" dimensionUniqueName="[대출권수]" displayFolder="" count="0" memberValueDatatype="130" unbalanced="0"/>
    <cacheHierarchy uniqueName="[대출권수].[자료실구분]" caption="자료실구분" attribute="1" defaultMemberUniqueName="[대출권수].[자료실구분].[All]" allUniqueName="[대출권수].[자료실구분].[All]" dimensionUniqueName="[대출권수]" displayFolder="" count="0" memberValueDatatype="130" unbalanced="0"/>
    <cacheHierarchy uniqueName="[대출권수].[대출반납]" caption="대출반납" attribute="1" defaultMemberUniqueName="[대출권수].[대출반납].[All]" allUniqueName="[대출권수].[대출반납].[All]" dimensionUniqueName="[대출권수]" displayFolder="" count="0" memberValueDatatype="130" unbalanced="0"/>
    <cacheHierarchy uniqueName="[대출권수].[총류]" caption="총류" attribute="1" defaultMemberUniqueName="[대출권수].[총류].[All]" allUniqueName="[대출권수].[총류].[All]" dimensionUniqueName="[대출권수]" displayFolder="" count="0" memberValueDatatype="20" unbalanced="0"/>
    <cacheHierarchy uniqueName="[대출권수].[철학]" caption="철학" attribute="1" defaultMemberUniqueName="[대출권수].[철학].[All]" allUniqueName="[대출권수].[철학].[All]" dimensionUniqueName="[대출권수]" displayFolder="" count="0" memberValueDatatype="20" unbalanced="0"/>
    <cacheHierarchy uniqueName="[대출권수].[종교]" caption="종교" attribute="1" defaultMemberUniqueName="[대출권수].[종교].[All]" allUniqueName="[대출권수].[종교].[All]" dimensionUniqueName="[대출권수]" displayFolder="" count="0" memberValueDatatype="20" unbalanced="0"/>
    <cacheHierarchy uniqueName="[대출권수].[사회과학]" caption="사회과학" attribute="1" defaultMemberUniqueName="[대출권수].[사회과학].[All]" allUniqueName="[대출권수].[사회과학].[All]" dimensionUniqueName="[대출권수]" displayFolder="" count="0" memberValueDatatype="20" unbalanced="0"/>
    <cacheHierarchy uniqueName="[대출권수].[자연과학]" caption="자연과학" attribute="1" defaultMemberUniqueName="[대출권수].[자연과학].[All]" allUniqueName="[대출권수].[자연과학].[All]" dimensionUniqueName="[대출권수]" displayFolder="" count="0" memberValueDatatype="20" unbalanced="0"/>
    <cacheHierarchy uniqueName="[대출권수].[기술과학]" caption="기술과학" attribute="1" defaultMemberUniqueName="[대출권수].[기술과학].[All]" allUniqueName="[대출권수].[기술과학].[All]" dimensionUniqueName="[대출권수]" displayFolder="" count="0" memberValueDatatype="20" unbalanced="0"/>
    <cacheHierarchy uniqueName="[대출권수].[예술]" caption="예술" attribute="1" defaultMemberUniqueName="[대출권수].[예술].[All]" allUniqueName="[대출권수].[예술].[All]" dimensionUniqueName="[대출권수]" displayFolder="" count="0" memberValueDatatype="20" unbalanced="0"/>
    <cacheHierarchy uniqueName="[대출권수].[언어]" caption="언어" attribute="1" defaultMemberUniqueName="[대출권수].[언어].[All]" allUniqueName="[대출권수].[언어].[All]" dimensionUniqueName="[대출권수]" displayFolder="" count="0" memberValueDatatype="20" unbalanced="0"/>
    <cacheHierarchy uniqueName="[대출권수].[문학]" caption="문학" attribute="1" defaultMemberUniqueName="[대출권수].[문학].[All]" allUniqueName="[대출권수].[문학].[All]" dimensionUniqueName="[대출권수]" displayFolder="" count="0" memberValueDatatype="20" unbalanced="0"/>
    <cacheHierarchy uniqueName="[대출권수].[역사]" caption="역사" attribute="1" defaultMemberUniqueName="[대출권수].[역사].[All]" allUniqueName="[대출권수].[역사].[All]" dimensionUniqueName="[대출권수]" displayFolder="" count="0" memberValueDatatype="20" unbalanced="0"/>
    <cacheHierarchy uniqueName="[대출권수].[기타]" caption="기타" attribute="1" defaultMemberUniqueName="[대출권수].[기타].[All]" allUniqueName="[대출권수].[기타].[All]" dimensionUniqueName="[대출권수]" displayFolder="" count="0" memberValueDatatype="20" unbalanced="0"/>
    <cacheHierarchy uniqueName="[대출권수].[합계]" caption="합계" attribute="1" defaultMemberUniqueName="[대출권수].[합계].[All]" allUniqueName="[대출권수].[합계].[All]" dimensionUniqueName="[대출권수]" displayFolder="" count="0" memberValueDatatype="20" unbalanced="0"/>
    <cacheHierarchy uniqueName="[자료실기준].[년월]" caption="년월" attribute="1" time="1" defaultMemberUniqueName="[자료실기준].[년월].[All]" allUniqueName="[자료실기준].[년월].[All]" dimensionUniqueName="[자료실기준]" displayFolder="" count="0" memberValueDatatype="7" unbalanced="0"/>
    <cacheHierarchy uniqueName="[자료실기준].[소장처명]" caption="소장처명" attribute="1" defaultMemberUniqueName="[자료실기준].[소장처명].[All]" allUniqueName="[자료실기준].[소장처명].[All]" dimensionUniqueName="[자료실기준]" displayFolder="" count="0" memberValueDatatype="130" unbalanced="0"/>
    <cacheHierarchy uniqueName="[자료실기준].[고유값]" caption="고유값" attribute="1" defaultMemberUniqueName="[자료실기준].[고유값].[All]" allUniqueName="[자료실기준].[고유값].[All]" dimensionUniqueName="[자료실기준]" displayFolder="" count="0" memberValueDatatype="130" unbalanced="0"/>
    <cacheHierarchy uniqueName="[자료실기준].[자료실구분]" caption="자료실구분" attribute="1" defaultMemberUniqueName="[자료실기준].[자료실구분].[All]" allUniqueName="[자료실기준].[자료실구분].[All]" dimensionUniqueName="[자료실기준]" displayFolder="" count="2" memberValueDatatype="130" unbalanced="0"/>
    <cacheHierarchy uniqueName="[자료실기준].[어린이남자]" caption="어린이남자" attribute="1" defaultMemberUniqueName="[자료실기준].[어린이남자].[All]" allUniqueName="[자료실기준].[어린이남자].[All]" dimensionUniqueName="[자료실기준]" displayFolder="" count="0" memberValueDatatype="20" unbalanced="0"/>
    <cacheHierarchy uniqueName="[자료실기준].[어린이여자]" caption="어린이여자" attribute="1" defaultMemberUniqueName="[자료실기준].[어린이여자].[All]" allUniqueName="[자료실기준].[어린이여자].[All]" dimensionUniqueName="[자료실기준]" displayFolder="" count="0" memberValueDatatype="20" unbalanced="0"/>
    <cacheHierarchy uniqueName="[자료실기준].[청소년남자]" caption="청소년남자" attribute="1" defaultMemberUniqueName="[자료실기준].[청소년남자].[All]" allUniqueName="[자료실기준].[청소년남자].[All]" dimensionUniqueName="[자료실기준]" displayFolder="" count="0" memberValueDatatype="20" unbalanced="0"/>
    <cacheHierarchy uniqueName="[자료실기준].[청소년여자]" caption="청소년여자" attribute="1" defaultMemberUniqueName="[자료실기준].[청소년여자].[All]" allUniqueName="[자료실기준].[청소년여자].[All]" dimensionUniqueName="[자료실기준]" displayFolder="" count="0" memberValueDatatype="20" unbalanced="0"/>
    <cacheHierarchy uniqueName="[자료실기준].[성인남자]" caption="성인남자" attribute="1" defaultMemberUniqueName="[자료실기준].[성인남자].[All]" allUniqueName="[자료실기준].[성인남자].[All]" dimensionUniqueName="[자료실기준]" displayFolder="" count="0" memberValueDatatype="20" unbalanced="0"/>
    <cacheHierarchy uniqueName="[자료실기준].[성인여자]" caption="성인여자" attribute="1" defaultMemberUniqueName="[자료실기준].[성인여자].[All]" allUniqueName="[자료실기준].[성인여자].[All]" dimensionUniqueName="[자료실기준]" displayFolder="" count="0" memberValueDatatype="20" unbalanced="0"/>
    <cacheHierarchy uniqueName="[자료실기준].[어린이]" caption="어린이" attribute="1" defaultMemberUniqueName="[자료실기준].[어린이].[All]" allUniqueName="[자료실기준].[어린이].[All]" dimensionUniqueName="[자료실기준]" displayFolder="" count="0" memberValueDatatype="20" unbalanced="0"/>
    <cacheHierarchy uniqueName="[자료실기준].[청소년]" caption="청소년" attribute="1" defaultMemberUniqueName="[자료실기준].[청소년].[All]" allUniqueName="[자료실기준].[청소년].[All]" dimensionUniqueName="[자료실기준]" displayFolder="" count="0" memberValueDatatype="20" unbalanced="0"/>
    <cacheHierarchy uniqueName="[자료실기준].[성인]" caption="성인" attribute="1" defaultMemberUniqueName="[자료실기준].[성인].[All]" allUniqueName="[자료실기준].[성인].[All]" dimensionUniqueName="[자료실기준]" displayFolder="" count="0" memberValueDatatype="20" unbalanced="0"/>
    <cacheHierarchy uniqueName="[자료실기준].[남자]" caption="남자" attribute="1" defaultMemberUniqueName="[자료실기준].[남자].[All]" allUniqueName="[자료실기준].[남자].[All]" dimensionUniqueName="[자료실기준]" displayFolder="" count="0" memberValueDatatype="20" unbalanced="0"/>
    <cacheHierarchy uniqueName="[자료실기준].[여자]" caption="여자" attribute="1" defaultMemberUniqueName="[자료실기준].[여자].[All]" allUniqueName="[자료실기준].[여자].[All]" dimensionUniqueName="[자료실기준]" displayFolder="" count="0" memberValueDatatype="20" unbalanced="0"/>
    <cacheHierarchy uniqueName="[자료실기준].[대출자수합계]" caption="대출자수합계" attribute="1" defaultMemberUniqueName="[자료실기준].[대출자수합계].[All]" allUniqueName="[자료실기준].[대출자수합계].[All]" dimensionUniqueName="[자료실기준]" displayFolder="" count="0" memberValueDatatype="20" unbalanced="0"/>
    <cacheHierarchy uniqueName="[자료실기준].[총류]" caption="총류" attribute="1" defaultMemberUniqueName="[자료실기준].[총류].[All]" allUniqueName="[자료실기준].[총류].[All]" dimensionUniqueName="[자료실기준]" displayFolder="" count="0" memberValueDatatype="20" unbalanced="0"/>
    <cacheHierarchy uniqueName="[자료실기준].[철학]" caption="철학" attribute="1" defaultMemberUniqueName="[자료실기준].[철학].[All]" allUniqueName="[자료실기준].[철학].[All]" dimensionUniqueName="[자료실기준]" displayFolder="" count="0" memberValueDatatype="20" unbalanced="0"/>
    <cacheHierarchy uniqueName="[자료실기준].[종교]" caption="종교" attribute="1" defaultMemberUniqueName="[자료실기준].[종교].[All]" allUniqueName="[자료실기준].[종교].[All]" dimensionUniqueName="[자료실기준]" displayFolder="" count="0" memberValueDatatype="20" unbalanced="0"/>
    <cacheHierarchy uniqueName="[자료실기준].[사회과학]" caption="사회과학" attribute="1" defaultMemberUniqueName="[자료실기준].[사회과학].[All]" allUniqueName="[자료실기준].[사회과학].[All]" dimensionUniqueName="[자료실기준]" displayFolder="" count="0" memberValueDatatype="20" unbalanced="0"/>
    <cacheHierarchy uniqueName="[자료실기준].[자연과학]" caption="자연과학" attribute="1" defaultMemberUniqueName="[자료실기준].[자연과학].[All]" allUniqueName="[자료실기준].[자연과학].[All]" dimensionUniqueName="[자료실기준]" displayFolder="" count="0" memberValueDatatype="20" unbalanced="0"/>
    <cacheHierarchy uniqueName="[자료실기준].[기술과학]" caption="기술과학" attribute="1" defaultMemberUniqueName="[자료실기준].[기술과학].[All]" allUniqueName="[자료실기준].[기술과학].[All]" dimensionUniqueName="[자료실기준]" displayFolder="" count="0" memberValueDatatype="20" unbalanced="0"/>
    <cacheHierarchy uniqueName="[자료실기준].[예술]" caption="예술" attribute="1" defaultMemberUniqueName="[자료실기준].[예술].[All]" allUniqueName="[자료실기준].[예술].[All]" dimensionUniqueName="[자료실기준]" displayFolder="" count="0" memberValueDatatype="20" unbalanced="0"/>
    <cacheHierarchy uniqueName="[자료실기준].[언어]" caption="언어" attribute="1" defaultMemberUniqueName="[자료실기준].[언어].[All]" allUniqueName="[자료실기준].[언어].[All]" dimensionUniqueName="[자료실기준]" displayFolder="" count="0" memberValueDatatype="20" unbalanced="0"/>
    <cacheHierarchy uniqueName="[자료실기준].[문학]" caption="문학" attribute="1" defaultMemberUniqueName="[자료실기준].[문학].[All]" allUniqueName="[자료실기준].[문학].[All]" dimensionUniqueName="[자료실기준]" displayFolder="" count="0" memberValueDatatype="20" unbalanced="0"/>
    <cacheHierarchy uniqueName="[자료실기준].[역사]" caption="역사" attribute="1" defaultMemberUniqueName="[자료실기준].[역사].[All]" allUniqueName="[자료실기준].[역사].[All]" dimensionUniqueName="[자료실기준]" displayFolder="" count="0" memberValueDatatype="20" unbalanced="0"/>
    <cacheHierarchy uniqueName="[자료실기준].[대출권수합계]" caption="대출권수합계" attribute="1" defaultMemberUniqueName="[자료실기준].[대출권수합계].[All]" allUniqueName="[자료실기준].[대출권수합계].[All]" dimensionUniqueName="[자료실기준]" displayFolder="" count="0" memberValueDatatype="20" unbalanced="0"/>
    <cacheHierarchy uniqueName="[자료실기준].[자유학습실인원]" caption="자유학습실인원" attribute="1" defaultMemberUniqueName="[자료실기준].[자유학습실인원].[All]" allUniqueName="[자료실기준].[자유학습실인원].[All]" dimensionUniqueName="[자료실기준]" displayFolder="" count="0" memberValueDatatype="20" unbalanced="0"/>
    <cacheHierarchy uniqueName="[자료실기준].[열람자수]" caption="열람자수" attribute="1" defaultMemberUniqueName="[자료실기준].[열람자수].[All]" allUniqueName="[자료실기준].[열람자수].[All]" dimensionUniqueName="[자료실기준]" displayFolder="" count="0" memberValueDatatype="20" unbalanced="0"/>
    <cacheHierarchy uniqueName="[자료실기준].[열람권수]" caption="열람권수" attribute="1" defaultMemberUniqueName="[자료실기준].[열람권수].[All]" allUniqueName="[자료실기준].[열람권수].[All]" dimensionUniqueName="[자료실기준]" displayFolder="" count="0" memberValueDatatype="20" unbalanced="0"/>
    <cacheHierarchy uniqueName="[자료실기준].[대출권수(6월예측포함)]" caption="대출권수(6월예측포함)" attribute="1" defaultMemberUniqueName="[자료실기준].[대출권수(6월예측포함)].[All]" allUniqueName="[자료실기준].[대출권수(6월예측포함)].[All]" dimensionUniqueName="[자료실기준]" displayFolder="" count="0" memberValueDatatype="5" unbalanced="0"/>
    <cacheHierarchy uniqueName="[자료실기준].[대출자수(6월예측포함)]" caption="대출자수(6월예측포함)" attribute="1" defaultMemberUniqueName="[자료실기준].[대출자수(6월예측포함)].[All]" allUniqueName="[자료실기준].[대출자수(6월예측포함)].[All]" dimensionUniqueName="[자료실기준]" displayFolder="" count="0" memberValueDatatype="5" unbalanced="0"/>
    <cacheHierarchy uniqueName="[자료실기준].[열람권수(6월예측포함)]" caption="열람권수(6월예측포함)" attribute="1" defaultMemberUniqueName="[자료실기준].[열람권수(6월예측포함)].[All]" allUniqueName="[자료실기준].[열람권수(6월예측포함)].[All]" dimensionUniqueName="[자료실기준]" displayFolder="" count="0" memberValueDatatype="5" unbalanced="0"/>
    <cacheHierarchy uniqueName="[자료실기준].[열람자수(6월예측포함)]" caption="열람자수(6월예측포함)" attribute="1" defaultMemberUniqueName="[자료실기준].[열람자수(6월예측포함)].[All]" allUniqueName="[자료실기준].[열람자수(6월예측포함)].[All]" dimensionUniqueName="[자료실기준]" displayFolder="" count="0" memberValueDatatype="5" unbalanced="0"/>
    <cacheHierarchy uniqueName="[자료실범례].[소장처명]" caption="소장처명" attribute="1" defaultMemberUniqueName="[자료실범례].[소장처명].[All]" allUniqueName="[자료실범례].[소장처명].[All]" dimensionUniqueName="[자료실범례]" displayFolder="" count="0" memberValueDatatype="130" unbalanced="0"/>
    <cacheHierarchy uniqueName="[자료실범례].[구분]" caption="구분" attribute="1" defaultMemberUniqueName="[자료실범례].[구분].[All]" allUniqueName="[자료실범례].[구분].[All]" dimensionUniqueName="[자료실범례]" displayFolder="" count="0" memberValueDatatype="130" unbalanced="0"/>
    <cacheHierarchy uniqueName="[행사기준].[년월]" caption="년월" attribute="1" time="1" defaultMemberUniqueName="[행사기준].[년월].[All]" allUniqueName="[행사기준].[년월].[All]" dimensionUniqueName="[행사기준]" displayFolder="" count="0" memberValueDatatype="7" unbalanced="0"/>
    <cacheHierarchy uniqueName="[행사기준].[행사분류]" caption="행사분류" attribute="1" defaultMemberUniqueName="[행사기준].[행사분류].[All]" allUniqueName="[행사기준].[행사분류].[All]" dimensionUniqueName="[행사기준]" displayFolder="" count="0" memberValueDatatype="130" unbalanced="0"/>
    <cacheHierarchy uniqueName="[행사기준].[행사분류2]" caption="행사분류2" attribute="1" defaultMemberUniqueName="[행사기준].[행사분류2].[All]" allUniqueName="[행사기준].[행사분류2].[All]" dimensionUniqueName="[행사기준]" displayFolder="" count="0" memberValueDatatype="130" unbalanced="0"/>
    <cacheHierarchy uniqueName="[행사기준].[행사명]" caption="행사명" attribute="1" defaultMemberUniqueName="[행사기준].[행사명].[All]" allUniqueName="[행사기준].[행사명].[All]" dimensionUniqueName="[행사기준]" displayFolder="" count="0" memberValueDatatype="130" unbalanced="0"/>
    <cacheHierarchy uniqueName="[행사기준].[대상1]" caption="대상1" attribute="1" defaultMemberUniqueName="[행사기준].[대상1].[All]" allUniqueName="[행사기준].[대상1].[All]" dimensionUniqueName="[행사기준]" displayFolder="" count="0" memberValueDatatype="130" unbalanced="0"/>
    <cacheHierarchy uniqueName="[행사기준].[대상2]" caption="대상2" attribute="1" defaultMemberUniqueName="[행사기준].[대상2].[All]" allUniqueName="[행사기준].[대상2].[All]" dimensionUniqueName="[행사기준]" displayFolder="" count="0" memberValueDatatype="130" unbalanced="0"/>
    <cacheHierarchy uniqueName="[행사기준].[대상(상세)]" caption="대상(상세)" attribute="1" defaultMemberUniqueName="[행사기준].[대상(상세)].[All]" allUniqueName="[행사기준].[대상(상세)].[All]" dimensionUniqueName="[행사기준]" displayFolder="" count="0" memberValueDatatype="130" unbalanced="0"/>
    <cacheHierarchy uniqueName="[행사기준].[횟수]" caption="횟수" attribute="1" defaultMemberUniqueName="[행사기준].[횟수].[All]" allUniqueName="[행사기준].[횟수].[All]" dimensionUniqueName="[행사기준]" displayFolder="" count="0" memberValueDatatype="20" unbalanced="0"/>
    <cacheHierarchy uniqueName="[행사기준].[남자]" caption="남자" attribute="1" defaultMemberUniqueName="[행사기준].[남자].[All]" allUniqueName="[행사기준].[남자].[All]" dimensionUniqueName="[행사기준]" displayFolder="" count="0" memberValueDatatype="20" unbalanced="0"/>
    <cacheHierarchy uniqueName="[행사기준].[여자]" caption="여자" attribute="1" defaultMemberUniqueName="[행사기준].[여자].[All]" allUniqueName="[행사기준].[여자].[All]" dimensionUniqueName="[행사기준]" displayFolder="" count="0" memberValueDatatype="20" unbalanced="0"/>
    <cacheHierarchy uniqueName="[행사기준].[계]" caption="계" attribute="1" defaultMemberUniqueName="[행사기준].[계].[All]" allUniqueName="[행사기준].[계].[All]" dimensionUniqueName="[행사기준]" displayFolder="" count="0" memberValueDatatype="20" unbalanced="0"/>
    <cacheHierarchy uniqueName="[행사기준].[강사명]" caption="강사명" attribute="1" defaultMemberUniqueName="[행사기준].[강사명].[All]" allUniqueName="[행사기준].[강사명].[All]" dimensionUniqueName="[행사기준]" displayFolder="" count="0" memberValueDatatype="130" unbalanced="0"/>
    <cacheHierarchy uniqueName="[행사기준].[담당자1]" caption="담당자1" attribute="1" defaultMemberUniqueName="[행사기준].[담당자1].[All]" allUniqueName="[행사기준].[담당자1].[All]" dimensionUniqueName="[행사기준]" displayFolder="" count="0" memberValueDatatype="130" unbalanced="0"/>
    <cacheHierarchy uniqueName="[행사기준].[담당자2]" caption="담당자2" attribute="1" defaultMemberUniqueName="[행사기준].[담당자2].[All]" allUniqueName="[행사기준].[담당자2].[All]" dimensionUniqueName="[행사기준]" displayFolder="" count="0" memberValueDatatype="130" unbalanced="0"/>
    <cacheHierarchy uniqueName="[행사기준].[고유값]" caption="고유값" attribute="1" defaultMemberUniqueName="[행사기준].[고유값].[All]" allUniqueName="[행사기준].[고유값].[All]" dimensionUniqueName="[행사기준]" displayFolder="" count="0" memberValueDatatype="130" unbalanced="0"/>
    <cacheHierarchy uniqueName="[날짜tb].[월(월 인덱스)]" caption="월(월 인덱스)" attribute="1" defaultMemberUniqueName="[날짜tb].[월(월 인덱스)].[All]" allUniqueName="[날짜tb].[월(월 인덱스)].[All]" dimensionUniqueName="[날짜tb]" displayFolder="" count="0" memberValueDatatype="20" unbalanced="0" hidden="1"/>
    <cacheHierarchy uniqueName="[년월기준].[년월(월 인덱스)]" caption="년월(월 인덱스)" attribute="1" defaultMemberUniqueName="[년월기준].[년월(월 인덱스)].[All]" allUniqueName="[년월기준].[년월(월 인덱스)].[All]" dimensionUniqueName="[년월기준]" displayFolder="" count="0" memberValueDatatype="20" unbalanced="0" hidden="1"/>
    <cacheHierarchy uniqueName="[Measures].[__XL_Count 자료실기준]" caption="__XL_Count 자료실기준" measure="1" displayFolder="" measureGroup="자료실기준" count="0" hidden="1"/>
    <cacheHierarchy uniqueName="[Measures].[__XL_Count 행사기준]" caption="__XL_Count 행사기준" measure="1" displayFolder="" measureGroup="행사기준" count="0" hidden="1"/>
    <cacheHierarchy uniqueName="[Measures].[__XL_Count 날짜tb]" caption="__XL_Count 날짜tb" measure="1" displayFolder="" measureGroup="날짜tb" count="0" hidden="1"/>
    <cacheHierarchy uniqueName="[Measures].[__XL_Count 대출권수]" caption="__XL_Count 대출권수" measure="1" displayFolder="" measureGroup="대출권수" count="0" hidden="1"/>
    <cacheHierarchy uniqueName="[Measures].[__XL_Count 년월기준]" caption="__XL_Count 년월기준" measure="1" displayFolder="" measureGroup="년월기준" count="0" hidden="1"/>
    <cacheHierarchy uniqueName="[Measures].[__XL_Count 자료실범례]" caption="__XL_Count 자료실범례" measure="1" displayFolder="" measureGroup="자료실범례" count="0" hidden="1"/>
    <cacheHierarchy uniqueName="[Measures].[__XL_Count 개관일수범례]" caption="__XL_Count 개관일수범례" measure="1" displayFolder="" measureGroup="개관일수범례" count="0" hidden="1"/>
    <cacheHierarchy uniqueName="[Measures].[__정의된 측정값 없음]" caption="__정의된 측정값 없음" measure="1" displayFolder="" count="0" hidden="1"/>
    <cacheHierarchy uniqueName="[Measures].[합계: 어린이남자]" caption="합계: 어린이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합계: 어린이여자]" caption="합계: 어린이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합계: 청소년남자]" caption="합계: 청소년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합계: 청소년여자]" caption="합계: 청소년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합계: 성인남자]" caption="합계: 성인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합계: 성인여자]" caption="합계: 성인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합계: 어린이]" caption="합계: 어린이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합계: 청소년]" caption="합계: 청소년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합계: 성인]" caption="합계: 성인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합계: 남자]" caption="합계: 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합계: 여자]" caption="합계: 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합계: 합계]" caption="합계: 합계" measure="1" displayFolder="" measureGroup="대출권수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합계: 대출자수합계]" caption="합계: 대출자수합계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합계: 대출자수]" caption="합계: 대출자수" measure="1" displayFolder="" measureGroup="년월기준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합계: 대출권수]" caption="합계: 대출권수" measure="1" displayFolder="" measureGroup="년월기준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합계: 대출자수(전년동월)]" caption="합계: 대출자수(전년동월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개수: 전년동월비(대출자수)]" caption="개수: 전년동월비(대출자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합계: 대출권수(전년동월)]" caption="합계: 대출권수(전년동월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합계: 자유학습실인원]" caption="합계: 자유학습실인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합계: 여자 2]" caption="합계: 여자 2" measure="1" displayFolder="" measureGroup="행사기준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개수: 행사명]" caption="개수: 행사명" measure="1" displayFolder="" measureGroup="행사기준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개수: 전년동월비(행사참여자수)]" caption="개수: 전년동월비(행사참여자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합계: 전년동월비(대출자수)]" caption="합계: 전년동월비(대출자수)" measure="1" displayFolder="" measureGroup="년월기준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합계: 전년동월비(권수)]" caption="합계: 전년동월비(권수)" measure="1" displayFolder="" measureGroup="년월기준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총류]" caption="개수: 총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개수: 철학]" caption="개수: 철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개수: 종교]" caption="개수: 종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개수: 사회과학]" caption="개수: 사회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합계: 총류]" caption="합계: 총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합계: 철학]" caption="합계: 철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합계: 종교]" caption="합계: 종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합계: 사회과학]" caption="합계: 사회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합계: 자연과학]" caption="합계: 자연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합계: 기술과학]" caption="합계: 기술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합계: 예술]" caption="합계: 예술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합계: 언어]" caption="합계: 언어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합계: 문학]" caption="합계: 문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합계: 역사]" caption="합계: 역사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합계: 대출권수합계]" caption="합계: 대출권수합계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합계: 열람자수]" caption="합계: 열람자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합계: 열람권수]" caption="합계: 열람권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합계: 대출권수(6월예측포함)]" caption="합계: 대출권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합계: 대출자수(6월예측포함)]" caption="합계: 대출자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합계: 열람권수(6월예측포함)]" caption="합계: 열람권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합계: 열람자수(6월예측포함)]" caption="합계: 열람자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합계: 계]" caption="합계: 계" measure="1" displayFolder="" measureGroup="행사기준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합계: 횟수]" caption="합계: 횟수" measure="1" displayFolder="" measureGroup="행사기준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합계: 자유학습실]" caption="합계: 자유학습실" measure="1" displayFolder="" measureGroup="개관일수범례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합계: 자료실개관일수]" caption="합계: 자료실개관일수" measure="1" displayFolder="" measureGroup="개관일수범례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8">
    <dimension measure="1" name="Measures" uniqueName="[Measures]" caption="Measures"/>
    <dimension name="개관일수범례" uniqueName="[개관일수범례]" caption="개관일수범례"/>
    <dimension name="날짜tb" uniqueName="[날짜tb]" caption="날짜tb"/>
    <dimension name="년월기준" uniqueName="[년월기준]" caption="년월기준"/>
    <dimension name="대출권수" uniqueName="[대출권수]" caption="대출권수"/>
    <dimension name="자료실기준" uniqueName="[자료실기준]" caption="자료실기준"/>
    <dimension name="자료실범례" uniqueName="[자료실범례]" caption="자료실범례"/>
    <dimension name="행사기준" uniqueName="[행사기준]" caption="행사기준"/>
  </dimensions>
  <measureGroups count="7">
    <measureGroup name="개관일수범례" caption="개관일수범례"/>
    <measureGroup name="날짜tb" caption="날짜tb"/>
    <measureGroup name="년월기준" caption="년월기준"/>
    <measureGroup name="대출권수" caption="대출권수"/>
    <measureGroup name="자료실기준" caption="자료실기준"/>
    <measureGroup name="자료실범례" caption="자료실범례"/>
    <measureGroup name="행사기준" caption="행사기준"/>
  </measureGroups>
  <maps count="11">
    <map measureGroup="0" dimension="1"/>
    <map measureGroup="0" dimension="2"/>
    <map measureGroup="1" dimension="2"/>
    <map measureGroup="2" dimension="2"/>
    <map measureGroup="2" dimension="3"/>
    <map measureGroup="3" dimension="4"/>
    <map measureGroup="4" dimension="2"/>
    <map measureGroup="4" dimension="5"/>
    <map measureGroup="5" dimension="6"/>
    <map measureGroup="6" dimension="2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29.583626388892" backgroundQuery="1" createdVersion="6" refreshedVersion="6" minRefreshableVersion="3" recordCount="0" supportSubquery="1" supportAdvancedDrill="1" xr:uid="{CC381A17-73D9-412F-BD77-A3634C716285}">
  <cacheSource type="external" connectionId="1"/>
  <cacheFields count="12">
    <cacheField name="[날짜tb].[월(월)].[월(월)]" caption="월(월)" numFmtId="0" hierarchy="10" level="1">
      <sharedItems containsSemiMixedTypes="0" containsNonDate="0" containsString="0"/>
    </cacheField>
    <cacheField name="[날짜tb].[월].[월]" caption="월" numFmtId="0" hierarchy="8" level="1">
      <sharedItems containsSemiMixedTypes="0" containsNonDate="0" containsString="0"/>
    </cacheField>
    <cacheField name="[Measures].[합계: 총류]" caption="합계: 총류" numFmtId="0" hierarchy="128" level="32767"/>
    <cacheField name="[Measures].[합계: 철학]" caption="합계: 철학" numFmtId="0" hierarchy="129" level="32767"/>
    <cacheField name="[Measures].[합계: 종교]" caption="합계: 종교" numFmtId="0" hierarchy="130" level="32767"/>
    <cacheField name="[Measures].[합계: 사회과학]" caption="합계: 사회과학" numFmtId="0" hierarchy="131" level="32767"/>
    <cacheField name="[Measures].[합계: 자연과학]" caption="합계: 자연과학" numFmtId="0" hierarchy="132" level="32767"/>
    <cacheField name="[Measures].[합계: 기술과학]" caption="합계: 기술과학" numFmtId="0" hierarchy="133" level="32767"/>
    <cacheField name="[Measures].[합계: 예술]" caption="합계: 예술" numFmtId="0" hierarchy="134" level="32767"/>
    <cacheField name="[Measures].[합계: 언어]" caption="합계: 언어" numFmtId="0" hierarchy="135" level="32767"/>
    <cacheField name="[Measures].[합계: 문학]" caption="합계: 문학" numFmtId="0" hierarchy="136" level="32767"/>
    <cacheField name="[Measures].[합계: 역사]" caption="합계: 역사" numFmtId="0" hierarchy="137" level="32767"/>
  </cacheFields>
  <cacheHierarchies count="149">
    <cacheHierarchy uniqueName="[개관일수범례].[년월]" caption="년월" attribute="1" time="1" defaultMemberUniqueName="[개관일수범례].[년월].[All]" allUniqueName="[개관일수범례].[년월].[All]" dimensionUniqueName="[개관일수범례]" displayFolder="" count="0" memberValueDatatype="7" unbalanced="0"/>
    <cacheHierarchy uniqueName="[개관일수범례].[자료실개관일수]" caption="자료실개관일수" attribute="1" defaultMemberUniqueName="[개관일수범례].[자료실개관일수].[All]" allUniqueName="[개관일수범례].[자료실개관일수].[All]" dimensionUniqueName="[개관일수범례]" displayFolder="" count="0" memberValueDatatype="20" unbalanced="0"/>
    <cacheHierarchy uniqueName="[개관일수범례].[자유학습실개관일수]" caption="자유학습실개관일수" attribute="1" defaultMemberUniqueName="[개관일수범례].[자유학습실개관일수].[All]" allUniqueName="[개관일수범례].[자유학습실개관일수].[All]" dimensionUniqueName="[개관일수범례]" displayFolder="" count="0" memberValueDatatype="20" unbalanced="0"/>
    <cacheHierarchy uniqueName="[개관일수범례].[자유학습실]" caption="자유학습실" attribute="1" defaultMemberUniqueName="[개관일수범례].[자유학습실].[All]" allUniqueName="[개관일수범례].[자유학습실].[All]" dimensionUniqueName="[개관일수범례]" displayFolder="" count="0" memberValueDatatype="20" unbalanced="0"/>
    <cacheHierarchy uniqueName="[개관일수범례].[일수]" caption="일수" attribute="1" defaultMemberUniqueName="[개관일수범례].[일수].[All]" allUniqueName="[개관일수범례].[일수].[All]" dimensionUniqueName="[개관일수범례]" displayFolder="" count="0" memberValueDatatype="20" unbalanced="0"/>
    <cacheHierarchy uniqueName="[개관일수범례].[정기휴관일]" caption="정기휴관일" attribute="1" defaultMemberUniqueName="[개관일수범례].[정기휴관일].[All]" allUniqueName="[개관일수범례].[정기휴관일].[All]" dimensionUniqueName="[개관일수범례]" displayFolder="" count="0" memberValueDatatype="20" unbalanced="0"/>
    <cacheHierarchy uniqueName="[개관일수범례].[공휴일]" caption="공휴일" attribute="1" defaultMemberUniqueName="[개관일수범례].[공휴일].[All]" allUniqueName="[개관일수범례].[공휴일].[All]" dimensionUniqueName="[개관일수범례]" displayFolder="" count="0" memberValueDatatype="20" unbalanced="0"/>
    <cacheHierarchy uniqueName="[개관일수범례].[자유학습실휴관일]" caption="자유학습실휴관일" attribute="1" defaultMemberUniqueName="[개관일수범례].[자유학습실휴관일].[All]" allUniqueName="[개관일수범례].[자유학습실휴관일].[All]" dimensionUniqueName="[개관일수범례]" displayFolder="" count="0" memberValueDatatype="20" unbalanced="0"/>
    <cacheHierarchy uniqueName="[날짜tb].[월]" caption="월" attribute="1" time="1" defaultMemberUniqueName="[날짜tb].[월].[All]" allUniqueName="[날짜tb].[월].[All]" dimensionUniqueName="[날짜tb]" displayFolder="" count="2" memberValueDatatype="7" unbalanced="0">
      <fieldsUsage count="2">
        <fieldUsage x="-1"/>
        <fieldUsage x="1"/>
      </fieldsUsage>
    </cacheHierarchy>
    <cacheHierarchy uniqueName="[날짜tb].[주]" caption="주" attribute="1" defaultMemberUniqueName="[날짜tb].[주].[All]" allUniqueName="[날짜tb].[주].[All]" dimensionUniqueName="[날짜tb]" displayFolder="" count="0" memberValueDatatype="20" unbalanced="0"/>
    <cacheHierarchy uniqueName="[날짜tb].[월(월)]" caption="월(월)" attribute="1" defaultMemberUniqueName="[날짜tb].[월(월)].[All]" allUniqueName="[날짜tb].[월(월)].[All]" dimensionUniqueName="[날짜tb]" displayFolder="" count="2" memberValueDatatype="130" unbalanced="0">
      <fieldsUsage count="2">
        <fieldUsage x="-1"/>
        <fieldUsage x="0"/>
      </fieldsUsage>
    </cacheHierarchy>
    <cacheHierarchy uniqueName="[년월기준].[년월]" caption="년월" attribute="1" time="1" defaultMemberUniqueName="[년월기준].[년월].[All]" allUniqueName="[년월기준].[년월].[All]" dimensionUniqueName="[년월기준]" displayFolder="" count="0" memberValueDatatype="7" unbalanced="0"/>
    <cacheHierarchy uniqueName="[년월기준].[고유값]" caption="고유값" attribute="1" defaultMemberUniqueName="[년월기준].[고유값].[All]" allUniqueName="[년월기준].[고유값].[All]" dimensionUniqueName="[년월기준]" displayFolder="" count="0" memberValueDatatype="130" unbalanced="0"/>
    <cacheHierarchy uniqueName="[년월기준].[대출자수]" caption="대출자수" attribute="1" defaultMemberUniqueName="[년월기준].[대출자수].[All]" allUniqueName="[년월기준].[대출자수].[All]" dimensionUniqueName="[년월기준]" displayFolder="" count="0" memberValueDatatype="20" unbalanced="0"/>
    <cacheHierarchy uniqueName="[년월기준].[대출자수(전년동월)]" caption="대출자수(전년동월)" attribute="1" defaultMemberUniqueName="[년월기준].[대출자수(전년동월)].[All]" allUniqueName="[년월기준].[대출자수(전년동월)].[All]" dimensionUniqueName="[년월기준]" displayFolder="" count="0" memberValueDatatype="20" unbalanced="0"/>
    <cacheHierarchy uniqueName="[년월기준].[전년동월비(대출자수)]" caption="전년동월비(대출자수)" attribute="1" defaultMemberUniqueName="[년월기준].[전년동월비(대출자수)].[All]" allUniqueName="[년월기준].[전년동월비(대출자수)].[All]" dimensionUniqueName="[년월기준]" displayFolder="" count="0" memberValueDatatype="5" unbalanced="0"/>
    <cacheHierarchy uniqueName="[년월기준].[대출권수]" caption="대출권수" attribute="1" defaultMemberUniqueName="[년월기준].[대출권수].[All]" allUniqueName="[년월기준].[대출권수].[All]" dimensionUniqueName="[년월기준]" displayFolder="" count="0" memberValueDatatype="20" unbalanced="0"/>
    <cacheHierarchy uniqueName="[년월기준].[대출권수(전년동월)]" caption="대출권수(전년동월)" attribute="1" defaultMemberUniqueName="[년월기준].[대출권수(전년동월)].[All]" allUniqueName="[년월기준].[대출권수(전년동월)].[All]" dimensionUniqueName="[년월기준]" displayFolder="" count="0" memberValueDatatype="20" unbalanced="0"/>
    <cacheHierarchy uniqueName="[년월기준].[전년동월비(권수)]" caption="전년동월비(권수)" attribute="1" defaultMemberUniqueName="[년월기준].[전년동월비(권수)].[All]" allUniqueName="[년월기준].[전년동월비(권수)].[All]" dimensionUniqueName="[년월기준]" displayFolder="" count="0" memberValueDatatype="5" unbalanced="0"/>
    <cacheHierarchy uniqueName="[년월기준].[행사참여자수]" caption="행사참여자수" attribute="1" defaultMemberUniqueName="[년월기준].[행사참여자수].[All]" allUniqueName="[년월기준].[행사참여자수].[All]" dimensionUniqueName="[년월기준]" displayFolder="" count="0" memberValueDatatype="20" unbalanced="0"/>
    <cacheHierarchy uniqueName="[년월기준].[행사참여자수(전년동월)]" caption="행사참여자수(전년동월)" attribute="1" defaultMemberUniqueName="[년월기준].[행사참여자수(전년동월)].[All]" allUniqueName="[년월기준].[행사참여자수(전년동월)].[All]" dimensionUniqueName="[년월기준]" displayFolder="" count="0" memberValueDatatype="20" unbalanced="0"/>
    <cacheHierarchy uniqueName="[년월기준].[전년동월비(행사참여자수)]" caption="전년동월비(행사참여자수)" attribute="1" defaultMemberUniqueName="[년월기준].[전년동월비(행사참여자수)].[All]" allUniqueName="[년월기준].[전년동월비(행사참여자수)].[All]" dimensionUniqueName="[년월기준]" displayFolder="" count="0" memberValueDatatype="5" unbalanced="0"/>
    <cacheHierarchy uniqueName="[년월기준].[년월(월)]" caption="년월(월)" attribute="1" defaultMemberUniqueName="[년월기준].[년월(월)].[All]" allUniqueName="[년월기준].[년월(월)].[All]" dimensionUniqueName="[년월기준]" displayFolder="" count="0" memberValueDatatype="130" unbalanced="0"/>
    <cacheHierarchy uniqueName="[대출권수].[년월]" caption="년월" attribute="1" time="1" defaultMemberUniqueName="[대출권수].[년월].[All]" allUniqueName="[대출권수].[년월].[All]" dimensionUniqueName="[대출권수]" displayFolder="" count="0" memberValueDatatype="7" unbalanced="0"/>
    <cacheHierarchy uniqueName="[대출권수].[소장처명]" caption="소장처명" attribute="1" defaultMemberUniqueName="[대출권수].[소장처명].[All]" allUniqueName="[대출권수].[소장처명].[All]" dimensionUniqueName="[대출권수]" displayFolder="" count="0" memberValueDatatype="130" unbalanced="0"/>
    <cacheHierarchy uniqueName="[대출권수].[자료실구분]" caption="자료실구분" attribute="1" defaultMemberUniqueName="[대출권수].[자료실구분].[All]" allUniqueName="[대출권수].[자료실구분].[All]" dimensionUniqueName="[대출권수]" displayFolder="" count="0" memberValueDatatype="130" unbalanced="0"/>
    <cacheHierarchy uniqueName="[대출권수].[대출반납]" caption="대출반납" attribute="1" defaultMemberUniqueName="[대출권수].[대출반납].[All]" allUniqueName="[대출권수].[대출반납].[All]" dimensionUniqueName="[대출권수]" displayFolder="" count="0" memberValueDatatype="130" unbalanced="0"/>
    <cacheHierarchy uniqueName="[대출권수].[총류]" caption="총류" attribute="1" defaultMemberUniqueName="[대출권수].[총류].[All]" allUniqueName="[대출권수].[총류].[All]" dimensionUniqueName="[대출권수]" displayFolder="" count="0" memberValueDatatype="20" unbalanced="0"/>
    <cacheHierarchy uniqueName="[대출권수].[철학]" caption="철학" attribute="1" defaultMemberUniqueName="[대출권수].[철학].[All]" allUniqueName="[대출권수].[철학].[All]" dimensionUniqueName="[대출권수]" displayFolder="" count="0" memberValueDatatype="20" unbalanced="0"/>
    <cacheHierarchy uniqueName="[대출권수].[종교]" caption="종교" attribute="1" defaultMemberUniqueName="[대출권수].[종교].[All]" allUniqueName="[대출권수].[종교].[All]" dimensionUniqueName="[대출권수]" displayFolder="" count="0" memberValueDatatype="20" unbalanced="0"/>
    <cacheHierarchy uniqueName="[대출권수].[사회과학]" caption="사회과학" attribute="1" defaultMemberUniqueName="[대출권수].[사회과학].[All]" allUniqueName="[대출권수].[사회과학].[All]" dimensionUniqueName="[대출권수]" displayFolder="" count="0" memberValueDatatype="20" unbalanced="0"/>
    <cacheHierarchy uniqueName="[대출권수].[자연과학]" caption="자연과학" attribute="1" defaultMemberUniqueName="[대출권수].[자연과학].[All]" allUniqueName="[대출권수].[자연과학].[All]" dimensionUniqueName="[대출권수]" displayFolder="" count="0" memberValueDatatype="20" unbalanced="0"/>
    <cacheHierarchy uniqueName="[대출권수].[기술과학]" caption="기술과학" attribute="1" defaultMemberUniqueName="[대출권수].[기술과학].[All]" allUniqueName="[대출권수].[기술과학].[All]" dimensionUniqueName="[대출권수]" displayFolder="" count="0" memberValueDatatype="20" unbalanced="0"/>
    <cacheHierarchy uniqueName="[대출권수].[예술]" caption="예술" attribute="1" defaultMemberUniqueName="[대출권수].[예술].[All]" allUniqueName="[대출권수].[예술].[All]" dimensionUniqueName="[대출권수]" displayFolder="" count="0" memberValueDatatype="20" unbalanced="0"/>
    <cacheHierarchy uniqueName="[대출권수].[언어]" caption="언어" attribute="1" defaultMemberUniqueName="[대출권수].[언어].[All]" allUniqueName="[대출권수].[언어].[All]" dimensionUniqueName="[대출권수]" displayFolder="" count="0" memberValueDatatype="20" unbalanced="0"/>
    <cacheHierarchy uniqueName="[대출권수].[문학]" caption="문학" attribute="1" defaultMemberUniqueName="[대출권수].[문학].[All]" allUniqueName="[대출권수].[문학].[All]" dimensionUniqueName="[대출권수]" displayFolder="" count="0" memberValueDatatype="20" unbalanced="0"/>
    <cacheHierarchy uniqueName="[대출권수].[역사]" caption="역사" attribute="1" defaultMemberUniqueName="[대출권수].[역사].[All]" allUniqueName="[대출권수].[역사].[All]" dimensionUniqueName="[대출권수]" displayFolder="" count="0" memberValueDatatype="20" unbalanced="0"/>
    <cacheHierarchy uniqueName="[대출권수].[기타]" caption="기타" attribute="1" defaultMemberUniqueName="[대출권수].[기타].[All]" allUniqueName="[대출권수].[기타].[All]" dimensionUniqueName="[대출권수]" displayFolder="" count="0" memberValueDatatype="20" unbalanced="0"/>
    <cacheHierarchy uniqueName="[대출권수].[합계]" caption="합계" attribute="1" defaultMemberUniqueName="[대출권수].[합계].[All]" allUniqueName="[대출권수].[합계].[All]" dimensionUniqueName="[대출권수]" displayFolder="" count="0" memberValueDatatype="20" unbalanced="0"/>
    <cacheHierarchy uniqueName="[자료실기준].[년월]" caption="년월" attribute="1" time="1" defaultMemberUniqueName="[자료실기준].[년월].[All]" allUniqueName="[자료실기준].[년월].[All]" dimensionUniqueName="[자료실기준]" displayFolder="" count="0" memberValueDatatype="7" unbalanced="0"/>
    <cacheHierarchy uniqueName="[자료실기준].[소장처명]" caption="소장처명" attribute="1" defaultMemberUniqueName="[자료실기준].[소장처명].[All]" allUniqueName="[자료실기준].[소장처명].[All]" dimensionUniqueName="[자료실기준]" displayFolder="" count="0" memberValueDatatype="130" unbalanced="0"/>
    <cacheHierarchy uniqueName="[자료실기준].[고유값]" caption="고유값" attribute="1" defaultMemberUniqueName="[자료실기준].[고유값].[All]" allUniqueName="[자료실기준].[고유값].[All]" dimensionUniqueName="[자료실기준]" displayFolder="" count="0" memberValueDatatype="130" unbalanced="0"/>
    <cacheHierarchy uniqueName="[자료실기준].[자료실구분]" caption="자료실구분" attribute="1" defaultMemberUniqueName="[자료실기준].[자료실구분].[All]" allUniqueName="[자료실기준].[자료실구분].[All]" dimensionUniqueName="[자료실기준]" displayFolder="" count="2" memberValueDatatype="130" unbalanced="0"/>
    <cacheHierarchy uniqueName="[자료실기준].[어린이남자]" caption="어린이남자" attribute="1" defaultMemberUniqueName="[자료실기준].[어린이남자].[All]" allUniqueName="[자료실기준].[어린이남자].[All]" dimensionUniqueName="[자료실기준]" displayFolder="" count="0" memberValueDatatype="20" unbalanced="0"/>
    <cacheHierarchy uniqueName="[자료실기준].[어린이여자]" caption="어린이여자" attribute="1" defaultMemberUniqueName="[자료실기준].[어린이여자].[All]" allUniqueName="[자료실기준].[어린이여자].[All]" dimensionUniqueName="[자료실기준]" displayFolder="" count="0" memberValueDatatype="20" unbalanced="0"/>
    <cacheHierarchy uniqueName="[자료실기준].[청소년남자]" caption="청소년남자" attribute="1" defaultMemberUniqueName="[자료실기준].[청소년남자].[All]" allUniqueName="[자료실기준].[청소년남자].[All]" dimensionUniqueName="[자료실기준]" displayFolder="" count="0" memberValueDatatype="20" unbalanced="0"/>
    <cacheHierarchy uniqueName="[자료실기준].[청소년여자]" caption="청소년여자" attribute="1" defaultMemberUniqueName="[자료실기준].[청소년여자].[All]" allUniqueName="[자료실기준].[청소년여자].[All]" dimensionUniqueName="[자료실기준]" displayFolder="" count="0" memberValueDatatype="20" unbalanced="0"/>
    <cacheHierarchy uniqueName="[자료실기준].[성인남자]" caption="성인남자" attribute="1" defaultMemberUniqueName="[자료실기준].[성인남자].[All]" allUniqueName="[자료실기준].[성인남자].[All]" dimensionUniqueName="[자료실기준]" displayFolder="" count="0" memberValueDatatype="20" unbalanced="0"/>
    <cacheHierarchy uniqueName="[자료실기준].[성인여자]" caption="성인여자" attribute="1" defaultMemberUniqueName="[자료실기준].[성인여자].[All]" allUniqueName="[자료실기준].[성인여자].[All]" dimensionUniqueName="[자료실기준]" displayFolder="" count="0" memberValueDatatype="20" unbalanced="0"/>
    <cacheHierarchy uniqueName="[자료실기준].[어린이]" caption="어린이" attribute="1" defaultMemberUniqueName="[자료실기준].[어린이].[All]" allUniqueName="[자료실기준].[어린이].[All]" dimensionUniqueName="[자료실기준]" displayFolder="" count="0" memberValueDatatype="20" unbalanced="0"/>
    <cacheHierarchy uniqueName="[자료실기준].[청소년]" caption="청소년" attribute="1" defaultMemberUniqueName="[자료실기준].[청소년].[All]" allUniqueName="[자료실기준].[청소년].[All]" dimensionUniqueName="[자료실기준]" displayFolder="" count="0" memberValueDatatype="20" unbalanced="0"/>
    <cacheHierarchy uniqueName="[자료실기준].[성인]" caption="성인" attribute="1" defaultMemberUniqueName="[자료실기준].[성인].[All]" allUniqueName="[자료실기준].[성인].[All]" dimensionUniqueName="[자료실기준]" displayFolder="" count="0" memberValueDatatype="20" unbalanced="0"/>
    <cacheHierarchy uniqueName="[자료실기준].[남자]" caption="남자" attribute="1" defaultMemberUniqueName="[자료실기준].[남자].[All]" allUniqueName="[자료실기준].[남자].[All]" dimensionUniqueName="[자료실기준]" displayFolder="" count="0" memberValueDatatype="20" unbalanced="0"/>
    <cacheHierarchy uniqueName="[자료실기준].[여자]" caption="여자" attribute="1" defaultMemberUniqueName="[자료실기준].[여자].[All]" allUniqueName="[자료실기준].[여자].[All]" dimensionUniqueName="[자료실기준]" displayFolder="" count="0" memberValueDatatype="20" unbalanced="0"/>
    <cacheHierarchy uniqueName="[자료실기준].[대출자수합계]" caption="대출자수합계" attribute="1" defaultMemberUniqueName="[자료실기준].[대출자수합계].[All]" allUniqueName="[자료실기준].[대출자수합계].[All]" dimensionUniqueName="[자료실기준]" displayFolder="" count="0" memberValueDatatype="20" unbalanced="0"/>
    <cacheHierarchy uniqueName="[자료실기준].[총류]" caption="총류" attribute="1" defaultMemberUniqueName="[자료실기준].[총류].[All]" allUniqueName="[자료실기준].[총류].[All]" dimensionUniqueName="[자료실기준]" displayFolder="" count="0" memberValueDatatype="20" unbalanced="0"/>
    <cacheHierarchy uniqueName="[자료실기준].[철학]" caption="철학" attribute="1" defaultMemberUniqueName="[자료실기준].[철학].[All]" allUniqueName="[자료실기준].[철학].[All]" dimensionUniqueName="[자료실기준]" displayFolder="" count="0" memberValueDatatype="20" unbalanced="0"/>
    <cacheHierarchy uniqueName="[자료실기준].[종교]" caption="종교" attribute="1" defaultMemberUniqueName="[자료실기준].[종교].[All]" allUniqueName="[자료실기준].[종교].[All]" dimensionUniqueName="[자료실기준]" displayFolder="" count="0" memberValueDatatype="20" unbalanced="0"/>
    <cacheHierarchy uniqueName="[자료실기준].[사회과학]" caption="사회과학" attribute="1" defaultMemberUniqueName="[자료실기준].[사회과학].[All]" allUniqueName="[자료실기준].[사회과학].[All]" dimensionUniqueName="[자료실기준]" displayFolder="" count="0" memberValueDatatype="20" unbalanced="0"/>
    <cacheHierarchy uniqueName="[자료실기준].[자연과학]" caption="자연과학" attribute="1" defaultMemberUniqueName="[자료실기준].[자연과학].[All]" allUniqueName="[자료실기준].[자연과학].[All]" dimensionUniqueName="[자료실기준]" displayFolder="" count="0" memberValueDatatype="20" unbalanced="0"/>
    <cacheHierarchy uniqueName="[자료실기준].[기술과학]" caption="기술과학" attribute="1" defaultMemberUniqueName="[자료실기준].[기술과학].[All]" allUniqueName="[자료실기준].[기술과학].[All]" dimensionUniqueName="[자료실기준]" displayFolder="" count="0" memberValueDatatype="20" unbalanced="0"/>
    <cacheHierarchy uniqueName="[자료실기준].[예술]" caption="예술" attribute="1" defaultMemberUniqueName="[자료실기준].[예술].[All]" allUniqueName="[자료실기준].[예술].[All]" dimensionUniqueName="[자료실기준]" displayFolder="" count="0" memberValueDatatype="20" unbalanced="0"/>
    <cacheHierarchy uniqueName="[자료실기준].[언어]" caption="언어" attribute="1" defaultMemberUniqueName="[자료실기준].[언어].[All]" allUniqueName="[자료실기준].[언어].[All]" dimensionUniqueName="[자료실기준]" displayFolder="" count="0" memberValueDatatype="20" unbalanced="0"/>
    <cacheHierarchy uniqueName="[자료실기준].[문학]" caption="문학" attribute="1" defaultMemberUniqueName="[자료실기준].[문학].[All]" allUniqueName="[자료실기준].[문학].[All]" dimensionUniqueName="[자료실기준]" displayFolder="" count="0" memberValueDatatype="20" unbalanced="0"/>
    <cacheHierarchy uniqueName="[자료실기준].[역사]" caption="역사" attribute="1" defaultMemberUniqueName="[자료실기준].[역사].[All]" allUniqueName="[자료실기준].[역사].[All]" dimensionUniqueName="[자료실기준]" displayFolder="" count="0" memberValueDatatype="20" unbalanced="0"/>
    <cacheHierarchy uniqueName="[자료실기준].[대출권수합계]" caption="대출권수합계" attribute="1" defaultMemberUniqueName="[자료실기준].[대출권수합계].[All]" allUniqueName="[자료실기준].[대출권수합계].[All]" dimensionUniqueName="[자료실기준]" displayFolder="" count="0" memberValueDatatype="20" unbalanced="0"/>
    <cacheHierarchy uniqueName="[자료실기준].[자유학습실인원]" caption="자유학습실인원" attribute="1" defaultMemberUniqueName="[자료실기준].[자유학습실인원].[All]" allUniqueName="[자료실기준].[자유학습실인원].[All]" dimensionUniqueName="[자료실기준]" displayFolder="" count="0" memberValueDatatype="20" unbalanced="0"/>
    <cacheHierarchy uniqueName="[자료실기준].[열람자수]" caption="열람자수" attribute="1" defaultMemberUniqueName="[자료실기준].[열람자수].[All]" allUniqueName="[자료실기준].[열람자수].[All]" dimensionUniqueName="[자료실기준]" displayFolder="" count="0" memberValueDatatype="20" unbalanced="0"/>
    <cacheHierarchy uniqueName="[자료실기준].[열람권수]" caption="열람권수" attribute="1" defaultMemberUniqueName="[자료실기준].[열람권수].[All]" allUniqueName="[자료실기준].[열람권수].[All]" dimensionUniqueName="[자료실기준]" displayFolder="" count="0" memberValueDatatype="20" unbalanced="0"/>
    <cacheHierarchy uniqueName="[자료실기준].[대출권수(6월예측포함)]" caption="대출권수(6월예측포함)" attribute="1" defaultMemberUniqueName="[자료실기준].[대출권수(6월예측포함)].[All]" allUniqueName="[자료실기준].[대출권수(6월예측포함)].[All]" dimensionUniqueName="[자료실기준]" displayFolder="" count="0" memberValueDatatype="5" unbalanced="0"/>
    <cacheHierarchy uniqueName="[자료실기준].[대출자수(6월예측포함)]" caption="대출자수(6월예측포함)" attribute="1" defaultMemberUniqueName="[자료실기준].[대출자수(6월예측포함)].[All]" allUniqueName="[자료실기준].[대출자수(6월예측포함)].[All]" dimensionUniqueName="[자료실기준]" displayFolder="" count="0" memberValueDatatype="5" unbalanced="0"/>
    <cacheHierarchy uniqueName="[자료실기준].[열람권수(6월예측포함)]" caption="열람권수(6월예측포함)" attribute="1" defaultMemberUniqueName="[자료실기준].[열람권수(6월예측포함)].[All]" allUniqueName="[자료실기준].[열람권수(6월예측포함)].[All]" dimensionUniqueName="[자료실기준]" displayFolder="" count="0" memberValueDatatype="5" unbalanced="0"/>
    <cacheHierarchy uniqueName="[자료실기준].[열람자수(6월예측포함)]" caption="열람자수(6월예측포함)" attribute="1" defaultMemberUniqueName="[자료실기준].[열람자수(6월예측포함)].[All]" allUniqueName="[자료실기준].[열람자수(6월예측포함)].[All]" dimensionUniqueName="[자료실기준]" displayFolder="" count="0" memberValueDatatype="5" unbalanced="0"/>
    <cacheHierarchy uniqueName="[자료실범례].[소장처명]" caption="소장처명" attribute="1" defaultMemberUniqueName="[자료실범례].[소장처명].[All]" allUniqueName="[자료실범례].[소장처명].[All]" dimensionUniqueName="[자료실범례]" displayFolder="" count="0" memberValueDatatype="130" unbalanced="0"/>
    <cacheHierarchy uniqueName="[자료실범례].[구분]" caption="구분" attribute="1" defaultMemberUniqueName="[자료실범례].[구분].[All]" allUniqueName="[자료실범례].[구분].[All]" dimensionUniqueName="[자료실범례]" displayFolder="" count="0" memberValueDatatype="130" unbalanced="0"/>
    <cacheHierarchy uniqueName="[행사기준].[년월]" caption="년월" attribute="1" time="1" defaultMemberUniqueName="[행사기준].[년월].[All]" allUniqueName="[행사기준].[년월].[All]" dimensionUniqueName="[행사기준]" displayFolder="" count="0" memberValueDatatype="7" unbalanced="0"/>
    <cacheHierarchy uniqueName="[행사기준].[행사분류]" caption="행사분류" attribute="1" defaultMemberUniqueName="[행사기준].[행사분류].[All]" allUniqueName="[행사기준].[행사분류].[All]" dimensionUniqueName="[행사기준]" displayFolder="" count="0" memberValueDatatype="130" unbalanced="0"/>
    <cacheHierarchy uniqueName="[행사기준].[행사분류2]" caption="행사분류2" attribute="1" defaultMemberUniqueName="[행사기준].[행사분류2].[All]" allUniqueName="[행사기준].[행사분류2].[All]" dimensionUniqueName="[행사기준]" displayFolder="" count="0" memberValueDatatype="130" unbalanced="0"/>
    <cacheHierarchy uniqueName="[행사기준].[행사명]" caption="행사명" attribute="1" defaultMemberUniqueName="[행사기준].[행사명].[All]" allUniqueName="[행사기준].[행사명].[All]" dimensionUniqueName="[행사기준]" displayFolder="" count="0" memberValueDatatype="130" unbalanced="0"/>
    <cacheHierarchy uniqueName="[행사기준].[대상1]" caption="대상1" attribute="1" defaultMemberUniqueName="[행사기준].[대상1].[All]" allUniqueName="[행사기준].[대상1].[All]" dimensionUniqueName="[행사기준]" displayFolder="" count="0" memberValueDatatype="130" unbalanced="0"/>
    <cacheHierarchy uniqueName="[행사기준].[대상2]" caption="대상2" attribute="1" defaultMemberUniqueName="[행사기준].[대상2].[All]" allUniqueName="[행사기준].[대상2].[All]" dimensionUniqueName="[행사기준]" displayFolder="" count="0" memberValueDatatype="130" unbalanced="0"/>
    <cacheHierarchy uniqueName="[행사기준].[대상(상세)]" caption="대상(상세)" attribute="1" defaultMemberUniqueName="[행사기준].[대상(상세)].[All]" allUniqueName="[행사기준].[대상(상세)].[All]" dimensionUniqueName="[행사기준]" displayFolder="" count="0" memberValueDatatype="130" unbalanced="0"/>
    <cacheHierarchy uniqueName="[행사기준].[횟수]" caption="횟수" attribute="1" defaultMemberUniqueName="[행사기준].[횟수].[All]" allUniqueName="[행사기준].[횟수].[All]" dimensionUniqueName="[행사기준]" displayFolder="" count="0" memberValueDatatype="20" unbalanced="0"/>
    <cacheHierarchy uniqueName="[행사기준].[남자]" caption="남자" attribute="1" defaultMemberUniqueName="[행사기준].[남자].[All]" allUniqueName="[행사기준].[남자].[All]" dimensionUniqueName="[행사기준]" displayFolder="" count="0" memberValueDatatype="20" unbalanced="0"/>
    <cacheHierarchy uniqueName="[행사기준].[여자]" caption="여자" attribute="1" defaultMemberUniqueName="[행사기준].[여자].[All]" allUniqueName="[행사기준].[여자].[All]" dimensionUniqueName="[행사기준]" displayFolder="" count="0" memberValueDatatype="20" unbalanced="0"/>
    <cacheHierarchy uniqueName="[행사기준].[계]" caption="계" attribute="1" defaultMemberUniqueName="[행사기준].[계].[All]" allUniqueName="[행사기준].[계].[All]" dimensionUniqueName="[행사기준]" displayFolder="" count="0" memberValueDatatype="20" unbalanced="0"/>
    <cacheHierarchy uniqueName="[행사기준].[강사명]" caption="강사명" attribute="1" defaultMemberUniqueName="[행사기준].[강사명].[All]" allUniqueName="[행사기준].[강사명].[All]" dimensionUniqueName="[행사기준]" displayFolder="" count="0" memberValueDatatype="130" unbalanced="0"/>
    <cacheHierarchy uniqueName="[행사기준].[담당자1]" caption="담당자1" attribute="1" defaultMemberUniqueName="[행사기준].[담당자1].[All]" allUniqueName="[행사기준].[담당자1].[All]" dimensionUniqueName="[행사기준]" displayFolder="" count="0" memberValueDatatype="130" unbalanced="0"/>
    <cacheHierarchy uniqueName="[행사기준].[담당자2]" caption="담당자2" attribute="1" defaultMemberUniqueName="[행사기준].[담당자2].[All]" allUniqueName="[행사기준].[담당자2].[All]" dimensionUniqueName="[행사기준]" displayFolder="" count="0" memberValueDatatype="130" unbalanced="0"/>
    <cacheHierarchy uniqueName="[행사기준].[고유값]" caption="고유값" attribute="1" defaultMemberUniqueName="[행사기준].[고유값].[All]" allUniqueName="[행사기준].[고유값].[All]" dimensionUniqueName="[행사기준]" displayFolder="" count="0" memberValueDatatype="130" unbalanced="0"/>
    <cacheHierarchy uniqueName="[날짜tb].[월(월 인덱스)]" caption="월(월 인덱스)" attribute="1" defaultMemberUniqueName="[날짜tb].[월(월 인덱스)].[All]" allUniqueName="[날짜tb].[월(월 인덱스)].[All]" dimensionUniqueName="[날짜tb]" displayFolder="" count="0" memberValueDatatype="20" unbalanced="0" hidden="1"/>
    <cacheHierarchy uniqueName="[년월기준].[년월(월 인덱스)]" caption="년월(월 인덱스)" attribute="1" defaultMemberUniqueName="[년월기준].[년월(월 인덱스)].[All]" allUniqueName="[년월기준].[년월(월 인덱스)].[All]" dimensionUniqueName="[년월기준]" displayFolder="" count="0" memberValueDatatype="20" unbalanced="0" hidden="1"/>
    <cacheHierarchy uniqueName="[Measures].[__XL_Count 자료실기준]" caption="__XL_Count 자료실기준" measure="1" displayFolder="" measureGroup="자료실기준" count="0" hidden="1"/>
    <cacheHierarchy uniqueName="[Measures].[__XL_Count 행사기준]" caption="__XL_Count 행사기준" measure="1" displayFolder="" measureGroup="행사기준" count="0" hidden="1"/>
    <cacheHierarchy uniqueName="[Measures].[__XL_Count 날짜tb]" caption="__XL_Count 날짜tb" measure="1" displayFolder="" measureGroup="날짜tb" count="0" hidden="1"/>
    <cacheHierarchy uniqueName="[Measures].[__XL_Count 대출권수]" caption="__XL_Count 대출권수" measure="1" displayFolder="" measureGroup="대출권수" count="0" hidden="1"/>
    <cacheHierarchy uniqueName="[Measures].[__XL_Count 년월기준]" caption="__XL_Count 년월기준" measure="1" displayFolder="" measureGroup="년월기준" count="0" hidden="1"/>
    <cacheHierarchy uniqueName="[Measures].[__XL_Count 자료실범례]" caption="__XL_Count 자료실범례" measure="1" displayFolder="" measureGroup="자료실범례" count="0" hidden="1"/>
    <cacheHierarchy uniqueName="[Measures].[__XL_Count 개관일수범례]" caption="__XL_Count 개관일수범례" measure="1" displayFolder="" measureGroup="개관일수범례" count="0" hidden="1"/>
    <cacheHierarchy uniqueName="[Measures].[__정의된 측정값 없음]" caption="__정의된 측정값 없음" measure="1" displayFolder="" count="0" hidden="1"/>
    <cacheHierarchy uniqueName="[Measures].[합계: 어린이남자]" caption="합계: 어린이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합계: 어린이여자]" caption="합계: 어린이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합계: 청소년남자]" caption="합계: 청소년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합계: 청소년여자]" caption="합계: 청소년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합계: 성인남자]" caption="합계: 성인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합계: 성인여자]" caption="합계: 성인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합계: 어린이]" caption="합계: 어린이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합계: 청소년]" caption="합계: 청소년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합계: 성인]" caption="합계: 성인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합계: 남자]" caption="합계: 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합계: 여자]" caption="합계: 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합계: 합계]" caption="합계: 합계" measure="1" displayFolder="" measureGroup="대출권수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합계: 대출자수합계]" caption="합계: 대출자수합계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합계: 대출자수]" caption="합계: 대출자수" measure="1" displayFolder="" measureGroup="년월기준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합계: 대출권수]" caption="합계: 대출권수" measure="1" displayFolder="" measureGroup="년월기준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합계: 대출자수(전년동월)]" caption="합계: 대출자수(전년동월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개수: 전년동월비(대출자수)]" caption="개수: 전년동월비(대출자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합계: 대출권수(전년동월)]" caption="합계: 대출권수(전년동월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합계: 자유학습실인원]" caption="합계: 자유학습실인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합계: 여자 2]" caption="합계: 여자 2" measure="1" displayFolder="" measureGroup="행사기준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개수: 행사명]" caption="개수: 행사명" measure="1" displayFolder="" measureGroup="행사기준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개수: 전년동월비(행사참여자수)]" caption="개수: 전년동월비(행사참여자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합계: 전년동월비(대출자수)]" caption="합계: 전년동월비(대출자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합계: 전년동월비(권수)]" caption="합계: 전년동월비(권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총류]" caption="개수: 총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개수: 철학]" caption="개수: 철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개수: 종교]" caption="개수: 종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개수: 사회과학]" caption="개수: 사회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합계: 총류]" caption="합계: 총류" measure="1" displayFolder="" measureGroup="자료실기준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합계: 철학]" caption="합계: 철학" measure="1" displayFolder="" measureGroup="자료실기준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합계: 종교]" caption="합계: 종교" measure="1" displayFolder="" measureGroup="자료실기준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합계: 사회과학]" caption="합계: 사회과학" measure="1" displayFolder="" measureGroup="자료실기준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합계: 자연과학]" caption="합계: 자연과학" measure="1" displayFolder="" measureGroup="자료실기준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합계: 기술과학]" caption="합계: 기술과학" measure="1" displayFolder="" measureGroup="자료실기준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합계: 예술]" caption="합계: 예술" measure="1" displayFolder="" measureGroup="자료실기준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합계: 언어]" caption="합계: 언어" measure="1" displayFolder="" measureGroup="자료실기준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합계: 문학]" caption="합계: 문학" measure="1" displayFolder="" measureGroup="자료실기준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합계: 역사]" caption="합계: 역사" measure="1" displayFolder="" measureGroup="자료실기준" count="0" oneField="1" hidden="1">
      <fieldsUsage count="1">
        <fieldUsage x="11"/>
      </fieldsUsage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합계: 대출권수합계]" caption="합계: 대출권수합계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합계: 열람자수]" caption="합계: 열람자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합계: 열람권수]" caption="합계: 열람권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합계: 대출권수(6월예측포함)]" caption="합계: 대출권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합계: 대출자수(6월예측포함)]" caption="합계: 대출자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합계: 열람권수(6월예측포함)]" caption="합계: 열람권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합계: 열람자수(6월예측포함)]" caption="합계: 열람자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합계: 계]" caption="합계: 계" measure="1" displayFolder="" measureGroup="행사기준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합계: 횟수]" caption="합계: 횟수" measure="1" displayFolder="" measureGroup="행사기준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합계: 자유학습실]" caption="합계: 자유학습실" measure="1" displayFolder="" measureGroup="개관일수범례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합계: 자료실개관일수]" caption="합계: 자료실개관일수" measure="1" displayFolder="" measureGroup="개관일수범례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8">
    <dimension measure="1" name="Measures" uniqueName="[Measures]" caption="Measures"/>
    <dimension name="개관일수범례" uniqueName="[개관일수범례]" caption="개관일수범례"/>
    <dimension name="날짜tb" uniqueName="[날짜tb]" caption="날짜tb"/>
    <dimension name="년월기준" uniqueName="[년월기준]" caption="년월기준"/>
    <dimension name="대출권수" uniqueName="[대출권수]" caption="대출권수"/>
    <dimension name="자료실기준" uniqueName="[자료실기준]" caption="자료실기준"/>
    <dimension name="자료실범례" uniqueName="[자료실범례]" caption="자료실범례"/>
    <dimension name="행사기준" uniqueName="[행사기준]" caption="행사기준"/>
  </dimensions>
  <measureGroups count="7">
    <measureGroup name="개관일수범례" caption="개관일수범례"/>
    <measureGroup name="날짜tb" caption="날짜tb"/>
    <measureGroup name="년월기준" caption="년월기준"/>
    <measureGroup name="대출권수" caption="대출권수"/>
    <measureGroup name="자료실기준" caption="자료실기준"/>
    <measureGroup name="자료실범례" caption="자료실범례"/>
    <measureGroup name="행사기준" caption="행사기준"/>
  </measureGroups>
  <maps count="11">
    <map measureGroup="0" dimension="1"/>
    <map measureGroup="0" dimension="2"/>
    <map measureGroup="1" dimension="2"/>
    <map measureGroup="2" dimension="2"/>
    <map measureGroup="2" dimension="3"/>
    <map measureGroup="3" dimension="4"/>
    <map measureGroup="4" dimension="2"/>
    <map measureGroup="4" dimension="5"/>
    <map measureGroup="5" dimension="6"/>
    <map measureGroup="6" dimension="2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29.583626736108" backgroundQuery="1" createdVersion="6" refreshedVersion="6" minRefreshableVersion="3" recordCount="0" supportSubquery="1" supportAdvancedDrill="1" xr:uid="{B67B3E8B-7AA8-431C-A576-C606B6A078C9}">
  <cacheSource type="external" connectionId="1"/>
  <cacheFields count="4">
    <cacheField name="[날짜tb].[월(월)].[월(월)]" caption="월(월)" numFmtId="0" hierarchy="10" level="1">
      <sharedItems containsSemiMixedTypes="0" containsNonDate="0" containsString="0"/>
    </cacheField>
    <cacheField name="[Measures].[합계: 남자]" caption="합계: 남자" numFmtId="0" hierarchy="109" level="32767"/>
    <cacheField name="[Measures].[합계: 여자]" caption="합계: 여자" numFmtId="0" hierarchy="110" level="32767"/>
    <cacheField name="[날짜tb].[월].[월]" caption="월" numFmtId="0" hierarchy="8" level="1">
      <sharedItems containsSemiMixedTypes="0" containsNonDate="0" containsString="0"/>
    </cacheField>
  </cacheFields>
  <cacheHierarchies count="149">
    <cacheHierarchy uniqueName="[개관일수범례].[년월]" caption="년월" attribute="1" time="1" defaultMemberUniqueName="[개관일수범례].[년월].[All]" allUniqueName="[개관일수범례].[년월].[All]" dimensionUniqueName="[개관일수범례]" displayFolder="" count="0" memberValueDatatype="7" unbalanced="0"/>
    <cacheHierarchy uniqueName="[개관일수범례].[자료실개관일수]" caption="자료실개관일수" attribute="1" defaultMemberUniqueName="[개관일수범례].[자료실개관일수].[All]" allUniqueName="[개관일수범례].[자료실개관일수].[All]" dimensionUniqueName="[개관일수범례]" displayFolder="" count="0" memberValueDatatype="20" unbalanced="0"/>
    <cacheHierarchy uniqueName="[개관일수범례].[자유학습실개관일수]" caption="자유학습실개관일수" attribute="1" defaultMemberUniqueName="[개관일수범례].[자유학습실개관일수].[All]" allUniqueName="[개관일수범례].[자유학습실개관일수].[All]" dimensionUniqueName="[개관일수범례]" displayFolder="" count="0" memberValueDatatype="20" unbalanced="0"/>
    <cacheHierarchy uniqueName="[개관일수범례].[자유학습실]" caption="자유학습실" attribute="1" defaultMemberUniqueName="[개관일수범례].[자유학습실].[All]" allUniqueName="[개관일수범례].[자유학습실].[All]" dimensionUniqueName="[개관일수범례]" displayFolder="" count="0" memberValueDatatype="20" unbalanced="0"/>
    <cacheHierarchy uniqueName="[개관일수범례].[일수]" caption="일수" attribute="1" defaultMemberUniqueName="[개관일수범례].[일수].[All]" allUniqueName="[개관일수범례].[일수].[All]" dimensionUniqueName="[개관일수범례]" displayFolder="" count="0" memberValueDatatype="20" unbalanced="0"/>
    <cacheHierarchy uniqueName="[개관일수범례].[정기휴관일]" caption="정기휴관일" attribute="1" defaultMemberUniqueName="[개관일수범례].[정기휴관일].[All]" allUniqueName="[개관일수범례].[정기휴관일].[All]" dimensionUniqueName="[개관일수범례]" displayFolder="" count="0" memberValueDatatype="20" unbalanced="0"/>
    <cacheHierarchy uniqueName="[개관일수범례].[공휴일]" caption="공휴일" attribute="1" defaultMemberUniqueName="[개관일수범례].[공휴일].[All]" allUniqueName="[개관일수범례].[공휴일].[All]" dimensionUniqueName="[개관일수범례]" displayFolder="" count="0" memberValueDatatype="20" unbalanced="0"/>
    <cacheHierarchy uniqueName="[개관일수범례].[자유학습실휴관일]" caption="자유학습실휴관일" attribute="1" defaultMemberUniqueName="[개관일수범례].[자유학습실휴관일].[All]" allUniqueName="[개관일수범례].[자유학습실휴관일].[All]" dimensionUniqueName="[개관일수범례]" displayFolder="" count="0" memberValueDatatype="20" unbalanced="0"/>
    <cacheHierarchy uniqueName="[날짜tb].[월]" caption="월" attribute="1" time="1" defaultMemberUniqueName="[날짜tb].[월].[All]" allUniqueName="[날짜tb].[월].[All]" dimensionUniqueName="[날짜tb]" displayFolder="" count="2" memberValueDatatype="7" unbalanced="0">
      <fieldsUsage count="2">
        <fieldUsage x="-1"/>
        <fieldUsage x="3"/>
      </fieldsUsage>
    </cacheHierarchy>
    <cacheHierarchy uniqueName="[날짜tb].[주]" caption="주" attribute="1" defaultMemberUniqueName="[날짜tb].[주].[All]" allUniqueName="[날짜tb].[주].[All]" dimensionUniqueName="[날짜tb]" displayFolder="" count="0" memberValueDatatype="20" unbalanced="0"/>
    <cacheHierarchy uniqueName="[날짜tb].[월(월)]" caption="월(월)" attribute="1" defaultMemberUniqueName="[날짜tb].[월(월)].[All]" allUniqueName="[날짜tb].[월(월)].[All]" dimensionUniqueName="[날짜tb]" displayFolder="" count="2" memberValueDatatype="130" unbalanced="0">
      <fieldsUsage count="2">
        <fieldUsage x="-1"/>
        <fieldUsage x="0"/>
      </fieldsUsage>
    </cacheHierarchy>
    <cacheHierarchy uniqueName="[년월기준].[년월]" caption="년월" attribute="1" time="1" defaultMemberUniqueName="[년월기준].[년월].[All]" allUniqueName="[년월기준].[년월].[All]" dimensionUniqueName="[년월기준]" displayFolder="" count="0" memberValueDatatype="7" unbalanced="0"/>
    <cacheHierarchy uniqueName="[년월기준].[고유값]" caption="고유값" attribute="1" defaultMemberUniqueName="[년월기준].[고유값].[All]" allUniqueName="[년월기준].[고유값].[All]" dimensionUniqueName="[년월기준]" displayFolder="" count="0" memberValueDatatype="130" unbalanced="0"/>
    <cacheHierarchy uniqueName="[년월기준].[대출자수]" caption="대출자수" attribute="1" defaultMemberUniqueName="[년월기준].[대출자수].[All]" allUniqueName="[년월기준].[대출자수].[All]" dimensionUniqueName="[년월기준]" displayFolder="" count="0" memberValueDatatype="20" unbalanced="0"/>
    <cacheHierarchy uniqueName="[년월기준].[대출자수(전년동월)]" caption="대출자수(전년동월)" attribute="1" defaultMemberUniqueName="[년월기준].[대출자수(전년동월)].[All]" allUniqueName="[년월기준].[대출자수(전년동월)].[All]" dimensionUniqueName="[년월기준]" displayFolder="" count="0" memberValueDatatype="20" unbalanced="0"/>
    <cacheHierarchy uniqueName="[년월기준].[전년동월비(대출자수)]" caption="전년동월비(대출자수)" attribute="1" defaultMemberUniqueName="[년월기준].[전년동월비(대출자수)].[All]" allUniqueName="[년월기준].[전년동월비(대출자수)].[All]" dimensionUniqueName="[년월기준]" displayFolder="" count="0" memberValueDatatype="5" unbalanced="0"/>
    <cacheHierarchy uniqueName="[년월기준].[대출권수]" caption="대출권수" attribute="1" defaultMemberUniqueName="[년월기준].[대출권수].[All]" allUniqueName="[년월기준].[대출권수].[All]" dimensionUniqueName="[년월기준]" displayFolder="" count="0" memberValueDatatype="20" unbalanced="0"/>
    <cacheHierarchy uniqueName="[년월기준].[대출권수(전년동월)]" caption="대출권수(전년동월)" attribute="1" defaultMemberUniqueName="[년월기준].[대출권수(전년동월)].[All]" allUniqueName="[년월기준].[대출권수(전년동월)].[All]" dimensionUniqueName="[년월기준]" displayFolder="" count="0" memberValueDatatype="20" unbalanced="0"/>
    <cacheHierarchy uniqueName="[년월기준].[전년동월비(권수)]" caption="전년동월비(권수)" attribute="1" defaultMemberUniqueName="[년월기준].[전년동월비(권수)].[All]" allUniqueName="[년월기준].[전년동월비(권수)].[All]" dimensionUniqueName="[년월기준]" displayFolder="" count="0" memberValueDatatype="5" unbalanced="0"/>
    <cacheHierarchy uniqueName="[년월기준].[행사참여자수]" caption="행사참여자수" attribute="1" defaultMemberUniqueName="[년월기준].[행사참여자수].[All]" allUniqueName="[년월기준].[행사참여자수].[All]" dimensionUniqueName="[년월기준]" displayFolder="" count="0" memberValueDatatype="20" unbalanced="0"/>
    <cacheHierarchy uniqueName="[년월기준].[행사참여자수(전년동월)]" caption="행사참여자수(전년동월)" attribute="1" defaultMemberUniqueName="[년월기준].[행사참여자수(전년동월)].[All]" allUniqueName="[년월기준].[행사참여자수(전년동월)].[All]" dimensionUniqueName="[년월기준]" displayFolder="" count="0" memberValueDatatype="20" unbalanced="0"/>
    <cacheHierarchy uniqueName="[년월기준].[전년동월비(행사참여자수)]" caption="전년동월비(행사참여자수)" attribute="1" defaultMemberUniqueName="[년월기준].[전년동월비(행사참여자수)].[All]" allUniqueName="[년월기준].[전년동월비(행사참여자수)].[All]" dimensionUniqueName="[년월기준]" displayFolder="" count="0" memberValueDatatype="5" unbalanced="0"/>
    <cacheHierarchy uniqueName="[년월기준].[년월(월)]" caption="년월(월)" attribute="1" defaultMemberUniqueName="[년월기준].[년월(월)].[All]" allUniqueName="[년월기준].[년월(월)].[All]" dimensionUniqueName="[년월기준]" displayFolder="" count="0" memberValueDatatype="130" unbalanced="0"/>
    <cacheHierarchy uniqueName="[대출권수].[년월]" caption="년월" attribute="1" time="1" defaultMemberUniqueName="[대출권수].[년월].[All]" allUniqueName="[대출권수].[년월].[All]" dimensionUniqueName="[대출권수]" displayFolder="" count="0" memberValueDatatype="7" unbalanced="0"/>
    <cacheHierarchy uniqueName="[대출권수].[소장처명]" caption="소장처명" attribute="1" defaultMemberUniqueName="[대출권수].[소장처명].[All]" allUniqueName="[대출권수].[소장처명].[All]" dimensionUniqueName="[대출권수]" displayFolder="" count="0" memberValueDatatype="130" unbalanced="0"/>
    <cacheHierarchy uniqueName="[대출권수].[자료실구분]" caption="자료실구분" attribute="1" defaultMemberUniqueName="[대출권수].[자료실구분].[All]" allUniqueName="[대출권수].[자료실구분].[All]" dimensionUniqueName="[대출권수]" displayFolder="" count="0" memberValueDatatype="130" unbalanced="0"/>
    <cacheHierarchy uniqueName="[대출권수].[대출반납]" caption="대출반납" attribute="1" defaultMemberUniqueName="[대출권수].[대출반납].[All]" allUniqueName="[대출권수].[대출반납].[All]" dimensionUniqueName="[대출권수]" displayFolder="" count="0" memberValueDatatype="130" unbalanced="0"/>
    <cacheHierarchy uniqueName="[대출권수].[총류]" caption="총류" attribute="1" defaultMemberUniqueName="[대출권수].[총류].[All]" allUniqueName="[대출권수].[총류].[All]" dimensionUniqueName="[대출권수]" displayFolder="" count="0" memberValueDatatype="20" unbalanced="0"/>
    <cacheHierarchy uniqueName="[대출권수].[철학]" caption="철학" attribute="1" defaultMemberUniqueName="[대출권수].[철학].[All]" allUniqueName="[대출권수].[철학].[All]" dimensionUniqueName="[대출권수]" displayFolder="" count="0" memberValueDatatype="20" unbalanced="0"/>
    <cacheHierarchy uniqueName="[대출권수].[종교]" caption="종교" attribute="1" defaultMemberUniqueName="[대출권수].[종교].[All]" allUniqueName="[대출권수].[종교].[All]" dimensionUniqueName="[대출권수]" displayFolder="" count="0" memberValueDatatype="20" unbalanced="0"/>
    <cacheHierarchy uniqueName="[대출권수].[사회과학]" caption="사회과학" attribute="1" defaultMemberUniqueName="[대출권수].[사회과학].[All]" allUniqueName="[대출권수].[사회과학].[All]" dimensionUniqueName="[대출권수]" displayFolder="" count="0" memberValueDatatype="20" unbalanced="0"/>
    <cacheHierarchy uniqueName="[대출권수].[자연과학]" caption="자연과학" attribute="1" defaultMemberUniqueName="[대출권수].[자연과학].[All]" allUniqueName="[대출권수].[자연과학].[All]" dimensionUniqueName="[대출권수]" displayFolder="" count="0" memberValueDatatype="20" unbalanced="0"/>
    <cacheHierarchy uniqueName="[대출권수].[기술과학]" caption="기술과학" attribute="1" defaultMemberUniqueName="[대출권수].[기술과학].[All]" allUniqueName="[대출권수].[기술과학].[All]" dimensionUniqueName="[대출권수]" displayFolder="" count="0" memberValueDatatype="20" unbalanced="0"/>
    <cacheHierarchy uniqueName="[대출권수].[예술]" caption="예술" attribute="1" defaultMemberUniqueName="[대출권수].[예술].[All]" allUniqueName="[대출권수].[예술].[All]" dimensionUniqueName="[대출권수]" displayFolder="" count="0" memberValueDatatype="20" unbalanced="0"/>
    <cacheHierarchy uniqueName="[대출권수].[언어]" caption="언어" attribute="1" defaultMemberUniqueName="[대출권수].[언어].[All]" allUniqueName="[대출권수].[언어].[All]" dimensionUniqueName="[대출권수]" displayFolder="" count="0" memberValueDatatype="20" unbalanced="0"/>
    <cacheHierarchy uniqueName="[대출권수].[문학]" caption="문학" attribute="1" defaultMemberUniqueName="[대출권수].[문학].[All]" allUniqueName="[대출권수].[문학].[All]" dimensionUniqueName="[대출권수]" displayFolder="" count="0" memberValueDatatype="20" unbalanced="0"/>
    <cacheHierarchy uniqueName="[대출권수].[역사]" caption="역사" attribute="1" defaultMemberUniqueName="[대출권수].[역사].[All]" allUniqueName="[대출권수].[역사].[All]" dimensionUniqueName="[대출권수]" displayFolder="" count="0" memberValueDatatype="20" unbalanced="0"/>
    <cacheHierarchy uniqueName="[대출권수].[기타]" caption="기타" attribute="1" defaultMemberUniqueName="[대출권수].[기타].[All]" allUniqueName="[대출권수].[기타].[All]" dimensionUniqueName="[대출권수]" displayFolder="" count="0" memberValueDatatype="20" unbalanced="0"/>
    <cacheHierarchy uniqueName="[대출권수].[합계]" caption="합계" attribute="1" defaultMemberUniqueName="[대출권수].[합계].[All]" allUniqueName="[대출권수].[합계].[All]" dimensionUniqueName="[대출권수]" displayFolder="" count="0" memberValueDatatype="20" unbalanced="0"/>
    <cacheHierarchy uniqueName="[자료실기준].[년월]" caption="년월" attribute="1" time="1" defaultMemberUniqueName="[자료실기준].[년월].[All]" allUniqueName="[자료실기준].[년월].[All]" dimensionUniqueName="[자료실기준]" displayFolder="" count="0" memberValueDatatype="7" unbalanced="0"/>
    <cacheHierarchy uniqueName="[자료실기준].[소장처명]" caption="소장처명" attribute="1" defaultMemberUniqueName="[자료실기준].[소장처명].[All]" allUniqueName="[자료실기준].[소장처명].[All]" dimensionUniqueName="[자료실기준]" displayFolder="" count="0" memberValueDatatype="130" unbalanced="0"/>
    <cacheHierarchy uniqueName="[자료실기준].[고유값]" caption="고유값" attribute="1" defaultMemberUniqueName="[자료실기준].[고유값].[All]" allUniqueName="[자료실기준].[고유값].[All]" dimensionUniqueName="[자료실기준]" displayFolder="" count="0" memberValueDatatype="130" unbalanced="0"/>
    <cacheHierarchy uniqueName="[자료실기준].[자료실구분]" caption="자료실구분" attribute="1" defaultMemberUniqueName="[자료실기준].[자료실구분].[All]" allUniqueName="[자료실기준].[자료실구분].[All]" dimensionUniqueName="[자료실기준]" displayFolder="" count="2" memberValueDatatype="130" unbalanced="0"/>
    <cacheHierarchy uniqueName="[자료실기준].[어린이남자]" caption="어린이남자" attribute="1" defaultMemberUniqueName="[자료실기준].[어린이남자].[All]" allUniqueName="[자료실기준].[어린이남자].[All]" dimensionUniqueName="[자료실기준]" displayFolder="" count="0" memberValueDatatype="20" unbalanced="0"/>
    <cacheHierarchy uniqueName="[자료실기준].[어린이여자]" caption="어린이여자" attribute="1" defaultMemberUniqueName="[자료실기준].[어린이여자].[All]" allUniqueName="[자료실기준].[어린이여자].[All]" dimensionUniqueName="[자료실기준]" displayFolder="" count="0" memberValueDatatype="20" unbalanced="0"/>
    <cacheHierarchy uniqueName="[자료실기준].[청소년남자]" caption="청소년남자" attribute="1" defaultMemberUniqueName="[자료실기준].[청소년남자].[All]" allUniqueName="[자료실기준].[청소년남자].[All]" dimensionUniqueName="[자료실기준]" displayFolder="" count="0" memberValueDatatype="20" unbalanced="0"/>
    <cacheHierarchy uniqueName="[자료실기준].[청소년여자]" caption="청소년여자" attribute="1" defaultMemberUniqueName="[자료실기준].[청소년여자].[All]" allUniqueName="[자료실기준].[청소년여자].[All]" dimensionUniqueName="[자료실기준]" displayFolder="" count="0" memberValueDatatype="20" unbalanced="0"/>
    <cacheHierarchy uniqueName="[자료실기준].[성인남자]" caption="성인남자" attribute="1" defaultMemberUniqueName="[자료실기준].[성인남자].[All]" allUniqueName="[자료실기준].[성인남자].[All]" dimensionUniqueName="[자료실기준]" displayFolder="" count="0" memberValueDatatype="20" unbalanced="0"/>
    <cacheHierarchy uniqueName="[자료실기준].[성인여자]" caption="성인여자" attribute="1" defaultMemberUniqueName="[자료실기준].[성인여자].[All]" allUniqueName="[자료실기준].[성인여자].[All]" dimensionUniqueName="[자료실기준]" displayFolder="" count="0" memberValueDatatype="20" unbalanced="0"/>
    <cacheHierarchy uniqueName="[자료실기준].[어린이]" caption="어린이" attribute="1" defaultMemberUniqueName="[자료실기준].[어린이].[All]" allUniqueName="[자료실기준].[어린이].[All]" dimensionUniqueName="[자료실기준]" displayFolder="" count="0" memberValueDatatype="20" unbalanced="0"/>
    <cacheHierarchy uniqueName="[자료실기준].[청소년]" caption="청소년" attribute="1" defaultMemberUniqueName="[자료실기준].[청소년].[All]" allUniqueName="[자료실기준].[청소년].[All]" dimensionUniqueName="[자료실기준]" displayFolder="" count="0" memberValueDatatype="20" unbalanced="0"/>
    <cacheHierarchy uniqueName="[자료실기준].[성인]" caption="성인" attribute="1" defaultMemberUniqueName="[자료실기준].[성인].[All]" allUniqueName="[자료실기준].[성인].[All]" dimensionUniqueName="[자료실기준]" displayFolder="" count="0" memberValueDatatype="20" unbalanced="0"/>
    <cacheHierarchy uniqueName="[자료실기준].[남자]" caption="남자" attribute="1" defaultMemberUniqueName="[자료실기준].[남자].[All]" allUniqueName="[자료실기준].[남자].[All]" dimensionUniqueName="[자료실기준]" displayFolder="" count="0" memberValueDatatype="20" unbalanced="0"/>
    <cacheHierarchy uniqueName="[자료실기준].[여자]" caption="여자" attribute="1" defaultMemberUniqueName="[자료실기준].[여자].[All]" allUniqueName="[자료실기준].[여자].[All]" dimensionUniqueName="[자료실기준]" displayFolder="" count="0" memberValueDatatype="20" unbalanced="0"/>
    <cacheHierarchy uniqueName="[자료실기준].[대출자수합계]" caption="대출자수합계" attribute="1" defaultMemberUniqueName="[자료실기준].[대출자수합계].[All]" allUniqueName="[자료실기준].[대출자수합계].[All]" dimensionUniqueName="[자료실기준]" displayFolder="" count="0" memberValueDatatype="20" unbalanced="0"/>
    <cacheHierarchy uniqueName="[자료실기준].[총류]" caption="총류" attribute="1" defaultMemberUniqueName="[자료실기준].[총류].[All]" allUniqueName="[자료실기준].[총류].[All]" dimensionUniqueName="[자료실기준]" displayFolder="" count="0" memberValueDatatype="20" unbalanced="0"/>
    <cacheHierarchy uniqueName="[자료실기준].[철학]" caption="철학" attribute="1" defaultMemberUniqueName="[자료실기준].[철학].[All]" allUniqueName="[자료실기준].[철학].[All]" dimensionUniqueName="[자료실기준]" displayFolder="" count="0" memberValueDatatype="20" unbalanced="0"/>
    <cacheHierarchy uniqueName="[자료실기준].[종교]" caption="종교" attribute="1" defaultMemberUniqueName="[자료실기준].[종교].[All]" allUniqueName="[자료실기준].[종교].[All]" dimensionUniqueName="[자료실기준]" displayFolder="" count="0" memberValueDatatype="20" unbalanced="0"/>
    <cacheHierarchy uniqueName="[자료실기준].[사회과학]" caption="사회과학" attribute="1" defaultMemberUniqueName="[자료실기준].[사회과학].[All]" allUniqueName="[자료실기준].[사회과학].[All]" dimensionUniqueName="[자료실기준]" displayFolder="" count="0" memberValueDatatype="20" unbalanced="0"/>
    <cacheHierarchy uniqueName="[자료실기준].[자연과학]" caption="자연과학" attribute="1" defaultMemberUniqueName="[자료실기준].[자연과학].[All]" allUniqueName="[자료실기준].[자연과학].[All]" dimensionUniqueName="[자료실기준]" displayFolder="" count="0" memberValueDatatype="20" unbalanced="0"/>
    <cacheHierarchy uniqueName="[자료실기준].[기술과학]" caption="기술과학" attribute="1" defaultMemberUniqueName="[자료실기준].[기술과학].[All]" allUniqueName="[자료실기준].[기술과학].[All]" dimensionUniqueName="[자료실기준]" displayFolder="" count="0" memberValueDatatype="20" unbalanced="0"/>
    <cacheHierarchy uniqueName="[자료실기준].[예술]" caption="예술" attribute="1" defaultMemberUniqueName="[자료실기준].[예술].[All]" allUniqueName="[자료실기준].[예술].[All]" dimensionUniqueName="[자료실기준]" displayFolder="" count="0" memberValueDatatype="20" unbalanced="0"/>
    <cacheHierarchy uniqueName="[자료실기준].[언어]" caption="언어" attribute="1" defaultMemberUniqueName="[자료실기준].[언어].[All]" allUniqueName="[자료실기준].[언어].[All]" dimensionUniqueName="[자료실기준]" displayFolder="" count="0" memberValueDatatype="20" unbalanced="0"/>
    <cacheHierarchy uniqueName="[자료실기준].[문학]" caption="문학" attribute="1" defaultMemberUniqueName="[자료실기준].[문학].[All]" allUniqueName="[자료실기준].[문학].[All]" dimensionUniqueName="[자료실기준]" displayFolder="" count="0" memberValueDatatype="20" unbalanced="0"/>
    <cacheHierarchy uniqueName="[자료실기준].[역사]" caption="역사" attribute="1" defaultMemberUniqueName="[자료실기준].[역사].[All]" allUniqueName="[자료실기준].[역사].[All]" dimensionUniqueName="[자료실기준]" displayFolder="" count="0" memberValueDatatype="20" unbalanced="0"/>
    <cacheHierarchy uniqueName="[자료실기준].[대출권수합계]" caption="대출권수합계" attribute="1" defaultMemberUniqueName="[자료실기준].[대출권수합계].[All]" allUniqueName="[자료실기준].[대출권수합계].[All]" dimensionUniqueName="[자료실기준]" displayFolder="" count="0" memberValueDatatype="20" unbalanced="0"/>
    <cacheHierarchy uniqueName="[자료실기준].[자유학습실인원]" caption="자유학습실인원" attribute="1" defaultMemberUniqueName="[자료실기준].[자유학습실인원].[All]" allUniqueName="[자료실기준].[자유학습실인원].[All]" dimensionUniqueName="[자료실기준]" displayFolder="" count="0" memberValueDatatype="20" unbalanced="0"/>
    <cacheHierarchy uniqueName="[자료실기준].[열람자수]" caption="열람자수" attribute="1" defaultMemberUniqueName="[자료실기준].[열람자수].[All]" allUniqueName="[자료실기준].[열람자수].[All]" dimensionUniqueName="[자료실기준]" displayFolder="" count="0" memberValueDatatype="20" unbalanced="0"/>
    <cacheHierarchy uniqueName="[자료실기준].[열람권수]" caption="열람권수" attribute="1" defaultMemberUniqueName="[자료실기준].[열람권수].[All]" allUniqueName="[자료실기준].[열람권수].[All]" dimensionUniqueName="[자료실기준]" displayFolder="" count="0" memberValueDatatype="20" unbalanced="0"/>
    <cacheHierarchy uniqueName="[자료실기준].[대출권수(6월예측포함)]" caption="대출권수(6월예측포함)" attribute="1" defaultMemberUniqueName="[자료실기준].[대출권수(6월예측포함)].[All]" allUniqueName="[자료실기준].[대출권수(6월예측포함)].[All]" dimensionUniqueName="[자료실기준]" displayFolder="" count="0" memberValueDatatype="5" unbalanced="0"/>
    <cacheHierarchy uniqueName="[자료실기준].[대출자수(6월예측포함)]" caption="대출자수(6월예측포함)" attribute="1" defaultMemberUniqueName="[자료실기준].[대출자수(6월예측포함)].[All]" allUniqueName="[자료실기준].[대출자수(6월예측포함)].[All]" dimensionUniqueName="[자료실기준]" displayFolder="" count="0" memberValueDatatype="5" unbalanced="0"/>
    <cacheHierarchy uniqueName="[자료실기준].[열람권수(6월예측포함)]" caption="열람권수(6월예측포함)" attribute="1" defaultMemberUniqueName="[자료실기준].[열람권수(6월예측포함)].[All]" allUniqueName="[자료실기준].[열람권수(6월예측포함)].[All]" dimensionUniqueName="[자료실기준]" displayFolder="" count="0" memberValueDatatype="5" unbalanced="0"/>
    <cacheHierarchy uniqueName="[자료실기준].[열람자수(6월예측포함)]" caption="열람자수(6월예측포함)" attribute="1" defaultMemberUniqueName="[자료실기준].[열람자수(6월예측포함)].[All]" allUniqueName="[자료실기준].[열람자수(6월예측포함)].[All]" dimensionUniqueName="[자료실기준]" displayFolder="" count="0" memberValueDatatype="5" unbalanced="0"/>
    <cacheHierarchy uniqueName="[자료실범례].[소장처명]" caption="소장처명" attribute="1" defaultMemberUniqueName="[자료실범례].[소장처명].[All]" allUniqueName="[자료실범례].[소장처명].[All]" dimensionUniqueName="[자료실범례]" displayFolder="" count="0" memberValueDatatype="130" unbalanced="0"/>
    <cacheHierarchy uniqueName="[자료실범례].[구분]" caption="구분" attribute="1" defaultMemberUniqueName="[자료실범례].[구분].[All]" allUniqueName="[자료실범례].[구분].[All]" dimensionUniqueName="[자료실범례]" displayFolder="" count="0" memberValueDatatype="130" unbalanced="0"/>
    <cacheHierarchy uniqueName="[행사기준].[년월]" caption="년월" attribute="1" time="1" defaultMemberUniqueName="[행사기준].[년월].[All]" allUniqueName="[행사기준].[년월].[All]" dimensionUniqueName="[행사기준]" displayFolder="" count="0" memberValueDatatype="7" unbalanced="0"/>
    <cacheHierarchy uniqueName="[행사기준].[행사분류]" caption="행사분류" attribute="1" defaultMemberUniqueName="[행사기준].[행사분류].[All]" allUniqueName="[행사기준].[행사분류].[All]" dimensionUniqueName="[행사기준]" displayFolder="" count="0" memberValueDatatype="130" unbalanced="0"/>
    <cacheHierarchy uniqueName="[행사기준].[행사분류2]" caption="행사분류2" attribute="1" defaultMemberUniqueName="[행사기준].[행사분류2].[All]" allUniqueName="[행사기준].[행사분류2].[All]" dimensionUniqueName="[행사기준]" displayFolder="" count="0" memberValueDatatype="130" unbalanced="0"/>
    <cacheHierarchy uniqueName="[행사기준].[행사명]" caption="행사명" attribute="1" defaultMemberUniqueName="[행사기준].[행사명].[All]" allUniqueName="[행사기준].[행사명].[All]" dimensionUniqueName="[행사기준]" displayFolder="" count="0" memberValueDatatype="130" unbalanced="0"/>
    <cacheHierarchy uniqueName="[행사기준].[대상1]" caption="대상1" attribute="1" defaultMemberUniqueName="[행사기준].[대상1].[All]" allUniqueName="[행사기준].[대상1].[All]" dimensionUniqueName="[행사기준]" displayFolder="" count="0" memberValueDatatype="130" unbalanced="0"/>
    <cacheHierarchy uniqueName="[행사기준].[대상2]" caption="대상2" attribute="1" defaultMemberUniqueName="[행사기준].[대상2].[All]" allUniqueName="[행사기준].[대상2].[All]" dimensionUniqueName="[행사기준]" displayFolder="" count="0" memberValueDatatype="130" unbalanced="0"/>
    <cacheHierarchy uniqueName="[행사기준].[대상(상세)]" caption="대상(상세)" attribute="1" defaultMemberUniqueName="[행사기준].[대상(상세)].[All]" allUniqueName="[행사기준].[대상(상세)].[All]" dimensionUniqueName="[행사기준]" displayFolder="" count="0" memberValueDatatype="130" unbalanced="0"/>
    <cacheHierarchy uniqueName="[행사기준].[횟수]" caption="횟수" attribute="1" defaultMemberUniqueName="[행사기준].[횟수].[All]" allUniqueName="[행사기준].[횟수].[All]" dimensionUniqueName="[행사기준]" displayFolder="" count="0" memberValueDatatype="20" unbalanced="0"/>
    <cacheHierarchy uniqueName="[행사기준].[남자]" caption="남자" attribute="1" defaultMemberUniqueName="[행사기준].[남자].[All]" allUniqueName="[행사기준].[남자].[All]" dimensionUniqueName="[행사기준]" displayFolder="" count="0" memberValueDatatype="20" unbalanced="0"/>
    <cacheHierarchy uniqueName="[행사기준].[여자]" caption="여자" attribute="1" defaultMemberUniqueName="[행사기준].[여자].[All]" allUniqueName="[행사기준].[여자].[All]" dimensionUniqueName="[행사기준]" displayFolder="" count="0" memberValueDatatype="20" unbalanced="0"/>
    <cacheHierarchy uniqueName="[행사기준].[계]" caption="계" attribute="1" defaultMemberUniqueName="[행사기준].[계].[All]" allUniqueName="[행사기준].[계].[All]" dimensionUniqueName="[행사기준]" displayFolder="" count="0" memberValueDatatype="20" unbalanced="0"/>
    <cacheHierarchy uniqueName="[행사기준].[강사명]" caption="강사명" attribute="1" defaultMemberUniqueName="[행사기준].[강사명].[All]" allUniqueName="[행사기준].[강사명].[All]" dimensionUniqueName="[행사기준]" displayFolder="" count="0" memberValueDatatype="130" unbalanced="0"/>
    <cacheHierarchy uniqueName="[행사기준].[담당자1]" caption="담당자1" attribute="1" defaultMemberUniqueName="[행사기준].[담당자1].[All]" allUniqueName="[행사기준].[담당자1].[All]" dimensionUniqueName="[행사기준]" displayFolder="" count="0" memberValueDatatype="130" unbalanced="0"/>
    <cacheHierarchy uniqueName="[행사기준].[담당자2]" caption="담당자2" attribute="1" defaultMemberUniqueName="[행사기준].[담당자2].[All]" allUniqueName="[행사기준].[담당자2].[All]" dimensionUniqueName="[행사기준]" displayFolder="" count="0" memberValueDatatype="130" unbalanced="0"/>
    <cacheHierarchy uniqueName="[행사기준].[고유값]" caption="고유값" attribute="1" defaultMemberUniqueName="[행사기준].[고유값].[All]" allUniqueName="[행사기준].[고유값].[All]" dimensionUniqueName="[행사기준]" displayFolder="" count="0" memberValueDatatype="130" unbalanced="0"/>
    <cacheHierarchy uniqueName="[날짜tb].[월(월 인덱스)]" caption="월(월 인덱스)" attribute="1" defaultMemberUniqueName="[날짜tb].[월(월 인덱스)].[All]" allUniqueName="[날짜tb].[월(월 인덱스)].[All]" dimensionUniqueName="[날짜tb]" displayFolder="" count="0" memberValueDatatype="20" unbalanced="0" hidden="1"/>
    <cacheHierarchy uniqueName="[년월기준].[년월(월 인덱스)]" caption="년월(월 인덱스)" attribute="1" defaultMemberUniqueName="[년월기준].[년월(월 인덱스)].[All]" allUniqueName="[년월기준].[년월(월 인덱스)].[All]" dimensionUniqueName="[년월기준]" displayFolder="" count="0" memberValueDatatype="20" unbalanced="0" hidden="1"/>
    <cacheHierarchy uniqueName="[Measures].[__XL_Count 자료실기준]" caption="__XL_Count 자료실기준" measure="1" displayFolder="" measureGroup="자료실기준" count="0" hidden="1"/>
    <cacheHierarchy uniqueName="[Measures].[__XL_Count 행사기준]" caption="__XL_Count 행사기준" measure="1" displayFolder="" measureGroup="행사기준" count="0" hidden="1"/>
    <cacheHierarchy uniqueName="[Measures].[__XL_Count 날짜tb]" caption="__XL_Count 날짜tb" measure="1" displayFolder="" measureGroup="날짜tb" count="0" hidden="1"/>
    <cacheHierarchy uniqueName="[Measures].[__XL_Count 대출권수]" caption="__XL_Count 대출권수" measure="1" displayFolder="" measureGroup="대출권수" count="0" hidden="1"/>
    <cacheHierarchy uniqueName="[Measures].[__XL_Count 년월기준]" caption="__XL_Count 년월기준" measure="1" displayFolder="" measureGroup="년월기준" count="0" hidden="1"/>
    <cacheHierarchy uniqueName="[Measures].[__XL_Count 자료실범례]" caption="__XL_Count 자료실범례" measure="1" displayFolder="" measureGroup="자료실범례" count="0" hidden="1"/>
    <cacheHierarchy uniqueName="[Measures].[__XL_Count 개관일수범례]" caption="__XL_Count 개관일수범례" measure="1" displayFolder="" measureGroup="개관일수범례" count="0" hidden="1"/>
    <cacheHierarchy uniqueName="[Measures].[__정의된 측정값 없음]" caption="__정의된 측정값 없음" measure="1" displayFolder="" count="0" hidden="1"/>
    <cacheHierarchy uniqueName="[Measures].[합계: 어린이남자]" caption="합계: 어린이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합계: 어린이여자]" caption="합계: 어린이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합계: 청소년남자]" caption="합계: 청소년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합계: 청소년여자]" caption="합계: 청소년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합계: 성인남자]" caption="합계: 성인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합계: 성인여자]" caption="합계: 성인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합계: 어린이]" caption="합계: 어린이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합계: 청소년]" caption="합계: 청소년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합계: 성인]" caption="합계: 성인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합계: 남자]" caption="합계: 남자" measure="1" displayFolder="" measureGroup="자료실기준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합계: 여자]" caption="합계: 여자" measure="1" displayFolder="" measureGroup="자료실기준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합계: 합계]" caption="합계: 합계" measure="1" displayFolder="" measureGroup="대출권수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합계: 대출자수합계]" caption="합계: 대출자수합계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합계: 대출자수]" caption="합계: 대출자수" measure="1" displayFolder="" measureGroup="년월기준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합계: 대출권수]" caption="합계: 대출권수" measure="1" displayFolder="" measureGroup="년월기준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합계: 대출자수(전년동월)]" caption="합계: 대출자수(전년동월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개수: 전년동월비(대출자수)]" caption="개수: 전년동월비(대출자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합계: 대출권수(전년동월)]" caption="합계: 대출권수(전년동월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합계: 자유학습실인원]" caption="합계: 자유학습실인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합계: 여자 2]" caption="합계: 여자 2" measure="1" displayFolder="" measureGroup="행사기준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개수: 행사명]" caption="개수: 행사명" measure="1" displayFolder="" measureGroup="행사기준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개수: 전년동월비(행사참여자수)]" caption="개수: 전년동월비(행사참여자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합계: 전년동월비(대출자수)]" caption="합계: 전년동월비(대출자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합계: 전년동월비(권수)]" caption="합계: 전년동월비(권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총류]" caption="개수: 총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개수: 철학]" caption="개수: 철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개수: 종교]" caption="개수: 종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개수: 사회과학]" caption="개수: 사회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합계: 총류]" caption="합계: 총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합계: 철학]" caption="합계: 철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합계: 종교]" caption="합계: 종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합계: 사회과학]" caption="합계: 사회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합계: 자연과학]" caption="합계: 자연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합계: 기술과학]" caption="합계: 기술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합계: 예술]" caption="합계: 예술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합계: 언어]" caption="합계: 언어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합계: 문학]" caption="합계: 문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합계: 역사]" caption="합계: 역사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합계: 대출권수합계]" caption="합계: 대출권수합계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합계: 열람자수]" caption="합계: 열람자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합계: 열람권수]" caption="합계: 열람권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합계: 대출권수(6월예측포함)]" caption="합계: 대출권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합계: 대출자수(6월예측포함)]" caption="합계: 대출자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합계: 열람권수(6월예측포함)]" caption="합계: 열람권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합계: 열람자수(6월예측포함)]" caption="합계: 열람자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합계: 계]" caption="합계: 계" measure="1" displayFolder="" measureGroup="행사기준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합계: 횟수]" caption="합계: 횟수" measure="1" displayFolder="" measureGroup="행사기준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합계: 자유학습실]" caption="합계: 자유학습실" measure="1" displayFolder="" measureGroup="개관일수범례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합계: 자료실개관일수]" caption="합계: 자료실개관일수" measure="1" displayFolder="" measureGroup="개관일수범례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8">
    <dimension measure="1" name="Measures" uniqueName="[Measures]" caption="Measures"/>
    <dimension name="개관일수범례" uniqueName="[개관일수범례]" caption="개관일수범례"/>
    <dimension name="날짜tb" uniqueName="[날짜tb]" caption="날짜tb"/>
    <dimension name="년월기준" uniqueName="[년월기준]" caption="년월기준"/>
    <dimension name="대출권수" uniqueName="[대출권수]" caption="대출권수"/>
    <dimension name="자료실기준" uniqueName="[자료실기준]" caption="자료실기준"/>
    <dimension name="자료실범례" uniqueName="[자료실범례]" caption="자료실범례"/>
    <dimension name="행사기준" uniqueName="[행사기준]" caption="행사기준"/>
  </dimensions>
  <measureGroups count="7">
    <measureGroup name="개관일수범례" caption="개관일수범례"/>
    <measureGroup name="날짜tb" caption="날짜tb"/>
    <measureGroup name="년월기준" caption="년월기준"/>
    <measureGroup name="대출권수" caption="대출권수"/>
    <measureGroup name="자료실기준" caption="자료실기준"/>
    <measureGroup name="자료실범례" caption="자료실범례"/>
    <measureGroup name="행사기준" caption="행사기준"/>
  </measureGroups>
  <maps count="11">
    <map measureGroup="0" dimension="1"/>
    <map measureGroup="0" dimension="2"/>
    <map measureGroup="1" dimension="2"/>
    <map measureGroup="2" dimension="2"/>
    <map measureGroup="2" dimension="3"/>
    <map measureGroup="3" dimension="4"/>
    <map measureGroup="4" dimension="2"/>
    <map measureGroup="4" dimension="5"/>
    <map measureGroup="5" dimension="6"/>
    <map measureGroup="6" dimension="2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29.583627083332" backgroundQuery="1" createdVersion="6" refreshedVersion="6" minRefreshableVersion="3" recordCount="0" supportSubquery="1" supportAdvancedDrill="1" xr:uid="{2467F2C0-7040-426C-847A-3821BC4E3925}">
  <cacheSource type="external" connectionId="1"/>
  <cacheFields count="5">
    <cacheField name="[날짜tb].[월(월)].[월(월)]" caption="월(월)" numFmtId="0" hierarchy="10" level="1">
      <sharedItems containsSemiMixedTypes="0" containsNonDate="0" containsString="0"/>
    </cacheField>
    <cacheField name="[Measures].[합계: 어린이]" caption="합계: 어린이" numFmtId="0" hierarchy="106" level="32767"/>
    <cacheField name="[Measures].[합계: 청소년]" caption="합계: 청소년" numFmtId="0" hierarchy="107" level="32767"/>
    <cacheField name="[Measures].[합계: 성인]" caption="합계: 성인" numFmtId="0" hierarchy="108" level="32767"/>
    <cacheField name="[날짜tb].[월].[월]" caption="월" numFmtId="0" hierarchy="8" level="1">
      <sharedItems containsSemiMixedTypes="0" containsNonDate="0" containsString="0"/>
    </cacheField>
  </cacheFields>
  <cacheHierarchies count="149">
    <cacheHierarchy uniqueName="[개관일수범례].[년월]" caption="년월" attribute="1" time="1" defaultMemberUniqueName="[개관일수범례].[년월].[All]" allUniqueName="[개관일수범례].[년월].[All]" dimensionUniqueName="[개관일수범례]" displayFolder="" count="0" memberValueDatatype="7" unbalanced="0"/>
    <cacheHierarchy uniqueName="[개관일수범례].[자료실개관일수]" caption="자료실개관일수" attribute="1" defaultMemberUniqueName="[개관일수범례].[자료실개관일수].[All]" allUniqueName="[개관일수범례].[자료실개관일수].[All]" dimensionUniqueName="[개관일수범례]" displayFolder="" count="0" memberValueDatatype="20" unbalanced="0"/>
    <cacheHierarchy uniqueName="[개관일수범례].[자유학습실개관일수]" caption="자유학습실개관일수" attribute="1" defaultMemberUniqueName="[개관일수범례].[자유학습실개관일수].[All]" allUniqueName="[개관일수범례].[자유학습실개관일수].[All]" dimensionUniqueName="[개관일수범례]" displayFolder="" count="0" memberValueDatatype="20" unbalanced="0"/>
    <cacheHierarchy uniqueName="[개관일수범례].[자유학습실]" caption="자유학습실" attribute="1" defaultMemberUniqueName="[개관일수범례].[자유학습실].[All]" allUniqueName="[개관일수범례].[자유학습실].[All]" dimensionUniqueName="[개관일수범례]" displayFolder="" count="0" memberValueDatatype="20" unbalanced="0"/>
    <cacheHierarchy uniqueName="[개관일수범례].[일수]" caption="일수" attribute="1" defaultMemberUniqueName="[개관일수범례].[일수].[All]" allUniqueName="[개관일수범례].[일수].[All]" dimensionUniqueName="[개관일수범례]" displayFolder="" count="0" memberValueDatatype="20" unbalanced="0"/>
    <cacheHierarchy uniqueName="[개관일수범례].[정기휴관일]" caption="정기휴관일" attribute="1" defaultMemberUniqueName="[개관일수범례].[정기휴관일].[All]" allUniqueName="[개관일수범례].[정기휴관일].[All]" dimensionUniqueName="[개관일수범례]" displayFolder="" count="0" memberValueDatatype="20" unbalanced="0"/>
    <cacheHierarchy uniqueName="[개관일수범례].[공휴일]" caption="공휴일" attribute="1" defaultMemberUniqueName="[개관일수범례].[공휴일].[All]" allUniqueName="[개관일수범례].[공휴일].[All]" dimensionUniqueName="[개관일수범례]" displayFolder="" count="0" memberValueDatatype="20" unbalanced="0"/>
    <cacheHierarchy uniqueName="[개관일수범례].[자유학습실휴관일]" caption="자유학습실휴관일" attribute="1" defaultMemberUniqueName="[개관일수범례].[자유학습실휴관일].[All]" allUniqueName="[개관일수범례].[자유학습실휴관일].[All]" dimensionUniqueName="[개관일수범례]" displayFolder="" count="0" memberValueDatatype="20" unbalanced="0"/>
    <cacheHierarchy uniqueName="[날짜tb].[월]" caption="월" attribute="1" time="1" defaultMemberUniqueName="[날짜tb].[월].[All]" allUniqueName="[날짜tb].[월].[All]" dimensionUniqueName="[날짜tb]" displayFolder="" count="2" memberValueDatatype="7" unbalanced="0">
      <fieldsUsage count="2">
        <fieldUsage x="-1"/>
        <fieldUsage x="4"/>
      </fieldsUsage>
    </cacheHierarchy>
    <cacheHierarchy uniqueName="[날짜tb].[주]" caption="주" attribute="1" defaultMemberUniqueName="[날짜tb].[주].[All]" allUniqueName="[날짜tb].[주].[All]" dimensionUniqueName="[날짜tb]" displayFolder="" count="0" memberValueDatatype="20" unbalanced="0"/>
    <cacheHierarchy uniqueName="[날짜tb].[월(월)]" caption="월(월)" attribute="1" defaultMemberUniqueName="[날짜tb].[월(월)].[All]" allUniqueName="[날짜tb].[월(월)].[All]" dimensionUniqueName="[날짜tb]" displayFolder="" count="2" memberValueDatatype="130" unbalanced="0">
      <fieldsUsage count="2">
        <fieldUsage x="-1"/>
        <fieldUsage x="0"/>
      </fieldsUsage>
    </cacheHierarchy>
    <cacheHierarchy uniqueName="[년월기준].[년월]" caption="년월" attribute="1" time="1" defaultMemberUniqueName="[년월기준].[년월].[All]" allUniqueName="[년월기준].[년월].[All]" dimensionUniqueName="[년월기준]" displayFolder="" count="0" memberValueDatatype="7" unbalanced="0"/>
    <cacheHierarchy uniqueName="[년월기준].[고유값]" caption="고유값" attribute="1" defaultMemberUniqueName="[년월기준].[고유값].[All]" allUniqueName="[년월기준].[고유값].[All]" dimensionUniqueName="[년월기준]" displayFolder="" count="0" memberValueDatatype="130" unbalanced="0"/>
    <cacheHierarchy uniqueName="[년월기준].[대출자수]" caption="대출자수" attribute="1" defaultMemberUniqueName="[년월기준].[대출자수].[All]" allUniqueName="[년월기준].[대출자수].[All]" dimensionUniqueName="[년월기준]" displayFolder="" count="0" memberValueDatatype="20" unbalanced="0"/>
    <cacheHierarchy uniqueName="[년월기준].[대출자수(전년동월)]" caption="대출자수(전년동월)" attribute="1" defaultMemberUniqueName="[년월기준].[대출자수(전년동월)].[All]" allUniqueName="[년월기준].[대출자수(전년동월)].[All]" dimensionUniqueName="[년월기준]" displayFolder="" count="0" memberValueDatatype="20" unbalanced="0"/>
    <cacheHierarchy uniqueName="[년월기준].[전년동월비(대출자수)]" caption="전년동월비(대출자수)" attribute="1" defaultMemberUniqueName="[년월기준].[전년동월비(대출자수)].[All]" allUniqueName="[년월기준].[전년동월비(대출자수)].[All]" dimensionUniqueName="[년월기준]" displayFolder="" count="0" memberValueDatatype="5" unbalanced="0"/>
    <cacheHierarchy uniqueName="[년월기준].[대출권수]" caption="대출권수" attribute="1" defaultMemberUniqueName="[년월기준].[대출권수].[All]" allUniqueName="[년월기준].[대출권수].[All]" dimensionUniqueName="[년월기준]" displayFolder="" count="0" memberValueDatatype="20" unbalanced="0"/>
    <cacheHierarchy uniqueName="[년월기준].[대출권수(전년동월)]" caption="대출권수(전년동월)" attribute="1" defaultMemberUniqueName="[년월기준].[대출권수(전년동월)].[All]" allUniqueName="[년월기준].[대출권수(전년동월)].[All]" dimensionUniqueName="[년월기준]" displayFolder="" count="0" memberValueDatatype="20" unbalanced="0"/>
    <cacheHierarchy uniqueName="[년월기준].[전년동월비(권수)]" caption="전년동월비(권수)" attribute="1" defaultMemberUniqueName="[년월기준].[전년동월비(권수)].[All]" allUniqueName="[년월기준].[전년동월비(권수)].[All]" dimensionUniqueName="[년월기준]" displayFolder="" count="0" memberValueDatatype="5" unbalanced="0"/>
    <cacheHierarchy uniqueName="[년월기준].[행사참여자수]" caption="행사참여자수" attribute="1" defaultMemberUniqueName="[년월기준].[행사참여자수].[All]" allUniqueName="[년월기준].[행사참여자수].[All]" dimensionUniqueName="[년월기준]" displayFolder="" count="0" memberValueDatatype="20" unbalanced="0"/>
    <cacheHierarchy uniqueName="[년월기준].[행사참여자수(전년동월)]" caption="행사참여자수(전년동월)" attribute="1" defaultMemberUniqueName="[년월기준].[행사참여자수(전년동월)].[All]" allUniqueName="[년월기준].[행사참여자수(전년동월)].[All]" dimensionUniqueName="[년월기준]" displayFolder="" count="0" memberValueDatatype="20" unbalanced="0"/>
    <cacheHierarchy uniqueName="[년월기준].[전년동월비(행사참여자수)]" caption="전년동월비(행사참여자수)" attribute="1" defaultMemberUniqueName="[년월기준].[전년동월비(행사참여자수)].[All]" allUniqueName="[년월기준].[전년동월비(행사참여자수)].[All]" dimensionUniqueName="[년월기준]" displayFolder="" count="0" memberValueDatatype="5" unbalanced="0"/>
    <cacheHierarchy uniqueName="[년월기준].[년월(월)]" caption="년월(월)" attribute="1" defaultMemberUniqueName="[년월기준].[년월(월)].[All]" allUniqueName="[년월기준].[년월(월)].[All]" dimensionUniqueName="[년월기준]" displayFolder="" count="0" memberValueDatatype="130" unbalanced="0"/>
    <cacheHierarchy uniqueName="[대출권수].[년월]" caption="년월" attribute="1" time="1" defaultMemberUniqueName="[대출권수].[년월].[All]" allUniqueName="[대출권수].[년월].[All]" dimensionUniqueName="[대출권수]" displayFolder="" count="0" memberValueDatatype="7" unbalanced="0"/>
    <cacheHierarchy uniqueName="[대출권수].[소장처명]" caption="소장처명" attribute="1" defaultMemberUniqueName="[대출권수].[소장처명].[All]" allUniqueName="[대출권수].[소장처명].[All]" dimensionUniqueName="[대출권수]" displayFolder="" count="0" memberValueDatatype="130" unbalanced="0"/>
    <cacheHierarchy uniqueName="[대출권수].[자료실구분]" caption="자료실구분" attribute="1" defaultMemberUniqueName="[대출권수].[자료실구분].[All]" allUniqueName="[대출권수].[자료실구분].[All]" dimensionUniqueName="[대출권수]" displayFolder="" count="0" memberValueDatatype="130" unbalanced="0"/>
    <cacheHierarchy uniqueName="[대출권수].[대출반납]" caption="대출반납" attribute="1" defaultMemberUniqueName="[대출권수].[대출반납].[All]" allUniqueName="[대출권수].[대출반납].[All]" dimensionUniqueName="[대출권수]" displayFolder="" count="0" memberValueDatatype="130" unbalanced="0"/>
    <cacheHierarchy uniqueName="[대출권수].[총류]" caption="총류" attribute="1" defaultMemberUniqueName="[대출권수].[총류].[All]" allUniqueName="[대출권수].[총류].[All]" dimensionUniqueName="[대출권수]" displayFolder="" count="0" memberValueDatatype="20" unbalanced="0"/>
    <cacheHierarchy uniqueName="[대출권수].[철학]" caption="철학" attribute="1" defaultMemberUniqueName="[대출권수].[철학].[All]" allUniqueName="[대출권수].[철학].[All]" dimensionUniqueName="[대출권수]" displayFolder="" count="0" memberValueDatatype="20" unbalanced="0"/>
    <cacheHierarchy uniqueName="[대출권수].[종교]" caption="종교" attribute="1" defaultMemberUniqueName="[대출권수].[종교].[All]" allUniqueName="[대출권수].[종교].[All]" dimensionUniqueName="[대출권수]" displayFolder="" count="0" memberValueDatatype="20" unbalanced="0"/>
    <cacheHierarchy uniqueName="[대출권수].[사회과학]" caption="사회과학" attribute="1" defaultMemberUniqueName="[대출권수].[사회과학].[All]" allUniqueName="[대출권수].[사회과학].[All]" dimensionUniqueName="[대출권수]" displayFolder="" count="0" memberValueDatatype="20" unbalanced="0"/>
    <cacheHierarchy uniqueName="[대출권수].[자연과학]" caption="자연과학" attribute="1" defaultMemberUniqueName="[대출권수].[자연과학].[All]" allUniqueName="[대출권수].[자연과학].[All]" dimensionUniqueName="[대출권수]" displayFolder="" count="0" memberValueDatatype="20" unbalanced="0"/>
    <cacheHierarchy uniqueName="[대출권수].[기술과학]" caption="기술과학" attribute="1" defaultMemberUniqueName="[대출권수].[기술과학].[All]" allUniqueName="[대출권수].[기술과학].[All]" dimensionUniqueName="[대출권수]" displayFolder="" count="0" memberValueDatatype="20" unbalanced="0"/>
    <cacheHierarchy uniqueName="[대출권수].[예술]" caption="예술" attribute="1" defaultMemberUniqueName="[대출권수].[예술].[All]" allUniqueName="[대출권수].[예술].[All]" dimensionUniqueName="[대출권수]" displayFolder="" count="0" memberValueDatatype="20" unbalanced="0"/>
    <cacheHierarchy uniqueName="[대출권수].[언어]" caption="언어" attribute="1" defaultMemberUniqueName="[대출권수].[언어].[All]" allUniqueName="[대출권수].[언어].[All]" dimensionUniqueName="[대출권수]" displayFolder="" count="0" memberValueDatatype="20" unbalanced="0"/>
    <cacheHierarchy uniqueName="[대출권수].[문학]" caption="문학" attribute="1" defaultMemberUniqueName="[대출권수].[문학].[All]" allUniqueName="[대출권수].[문학].[All]" dimensionUniqueName="[대출권수]" displayFolder="" count="0" memberValueDatatype="20" unbalanced="0"/>
    <cacheHierarchy uniqueName="[대출권수].[역사]" caption="역사" attribute="1" defaultMemberUniqueName="[대출권수].[역사].[All]" allUniqueName="[대출권수].[역사].[All]" dimensionUniqueName="[대출권수]" displayFolder="" count="0" memberValueDatatype="20" unbalanced="0"/>
    <cacheHierarchy uniqueName="[대출권수].[기타]" caption="기타" attribute="1" defaultMemberUniqueName="[대출권수].[기타].[All]" allUniqueName="[대출권수].[기타].[All]" dimensionUniqueName="[대출권수]" displayFolder="" count="0" memberValueDatatype="20" unbalanced="0"/>
    <cacheHierarchy uniqueName="[대출권수].[합계]" caption="합계" attribute="1" defaultMemberUniqueName="[대출권수].[합계].[All]" allUniqueName="[대출권수].[합계].[All]" dimensionUniqueName="[대출권수]" displayFolder="" count="0" memberValueDatatype="20" unbalanced="0"/>
    <cacheHierarchy uniqueName="[자료실기준].[년월]" caption="년월" attribute="1" time="1" defaultMemberUniqueName="[자료실기준].[년월].[All]" allUniqueName="[자료실기준].[년월].[All]" dimensionUniqueName="[자료실기준]" displayFolder="" count="0" memberValueDatatype="7" unbalanced="0"/>
    <cacheHierarchy uniqueName="[자료실기준].[소장처명]" caption="소장처명" attribute="1" defaultMemberUniqueName="[자료실기준].[소장처명].[All]" allUniqueName="[자료실기준].[소장처명].[All]" dimensionUniqueName="[자료실기준]" displayFolder="" count="0" memberValueDatatype="130" unbalanced="0"/>
    <cacheHierarchy uniqueName="[자료실기준].[고유값]" caption="고유값" attribute="1" defaultMemberUniqueName="[자료실기준].[고유값].[All]" allUniqueName="[자료실기준].[고유값].[All]" dimensionUniqueName="[자료실기준]" displayFolder="" count="0" memberValueDatatype="130" unbalanced="0"/>
    <cacheHierarchy uniqueName="[자료실기준].[자료실구분]" caption="자료실구분" attribute="1" defaultMemberUniqueName="[자료실기준].[자료실구분].[All]" allUniqueName="[자료실기준].[자료실구분].[All]" dimensionUniqueName="[자료실기준]" displayFolder="" count="2" memberValueDatatype="130" unbalanced="0"/>
    <cacheHierarchy uniqueName="[자료실기준].[어린이남자]" caption="어린이남자" attribute="1" defaultMemberUniqueName="[자료실기준].[어린이남자].[All]" allUniqueName="[자료실기준].[어린이남자].[All]" dimensionUniqueName="[자료실기준]" displayFolder="" count="0" memberValueDatatype="20" unbalanced="0"/>
    <cacheHierarchy uniqueName="[자료실기준].[어린이여자]" caption="어린이여자" attribute="1" defaultMemberUniqueName="[자료실기준].[어린이여자].[All]" allUniqueName="[자료실기준].[어린이여자].[All]" dimensionUniqueName="[자료실기준]" displayFolder="" count="0" memberValueDatatype="20" unbalanced="0"/>
    <cacheHierarchy uniqueName="[자료실기준].[청소년남자]" caption="청소년남자" attribute="1" defaultMemberUniqueName="[자료실기준].[청소년남자].[All]" allUniqueName="[자료실기준].[청소년남자].[All]" dimensionUniqueName="[자료실기준]" displayFolder="" count="0" memberValueDatatype="20" unbalanced="0"/>
    <cacheHierarchy uniqueName="[자료실기준].[청소년여자]" caption="청소년여자" attribute="1" defaultMemberUniqueName="[자료실기준].[청소년여자].[All]" allUniqueName="[자료실기준].[청소년여자].[All]" dimensionUniqueName="[자료실기준]" displayFolder="" count="0" memberValueDatatype="20" unbalanced="0"/>
    <cacheHierarchy uniqueName="[자료실기준].[성인남자]" caption="성인남자" attribute="1" defaultMemberUniqueName="[자료실기준].[성인남자].[All]" allUniqueName="[자료실기준].[성인남자].[All]" dimensionUniqueName="[자료실기준]" displayFolder="" count="0" memberValueDatatype="20" unbalanced="0"/>
    <cacheHierarchy uniqueName="[자료실기준].[성인여자]" caption="성인여자" attribute="1" defaultMemberUniqueName="[자료실기준].[성인여자].[All]" allUniqueName="[자료실기준].[성인여자].[All]" dimensionUniqueName="[자료실기준]" displayFolder="" count="0" memberValueDatatype="20" unbalanced="0"/>
    <cacheHierarchy uniqueName="[자료실기준].[어린이]" caption="어린이" attribute="1" defaultMemberUniqueName="[자료실기준].[어린이].[All]" allUniqueName="[자료실기준].[어린이].[All]" dimensionUniqueName="[자료실기준]" displayFolder="" count="0" memberValueDatatype="20" unbalanced="0"/>
    <cacheHierarchy uniqueName="[자료실기준].[청소년]" caption="청소년" attribute="1" defaultMemberUniqueName="[자료실기준].[청소년].[All]" allUniqueName="[자료실기준].[청소년].[All]" dimensionUniqueName="[자료실기준]" displayFolder="" count="0" memberValueDatatype="20" unbalanced="0"/>
    <cacheHierarchy uniqueName="[자료실기준].[성인]" caption="성인" attribute="1" defaultMemberUniqueName="[자료실기준].[성인].[All]" allUniqueName="[자료실기준].[성인].[All]" dimensionUniqueName="[자료실기준]" displayFolder="" count="0" memberValueDatatype="20" unbalanced="0"/>
    <cacheHierarchy uniqueName="[자료실기준].[남자]" caption="남자" attribute="1" defaultMemberUniqueName="[자료실기준].[남자].[All]" allUniqueName="[자료실기준].[남자].[All]" dimensionUniqueName="[자료실기준]" displayFolder="" count="0" memberValueDatatype="20" unbalanced="0"/>
    <cacheHierarchy uniqueName="[자료실기준].[여자]" caption="여자" attribute="1" defaultMemberUniqueName="[자료실기준].[여자].[All]" allUniqueName="[자료실기준].[여자].[All]" dimensionUniqueName="[자료실기준]" displayFolder="" count="0" memberValueDatatype="20" unbalanced="0"/>
    <cacheHierarchy uniqueName="[자료실기준].[대출자수합계]" caption="대출자수합계" attribute="1" defaultMemberUniqueName="[자료실기준].[대출자수합계].[All]" allUniqueName="[자료실기준].[대출자수합계].[All]" dimensionUniqueName="[자료실기준]" displayFolder="" count="0" memberValueDatatype="20" unbalanced="0"/>
    <cacheHierarchy uniqueName="[자료실기준].[총류]" caption="총류" attribute="1" defaultMemberUniqueName="[자료실기준].[총류].[All]" allUniqueName="[자료실기준].[총류].[All]" dimensionUniqueName="[자료실기준]" displayFolder="" count="0" memberValueDatatype="20" unbalanced="0"/>
    <cacheHierarchy uniqueName="[자료실기준].[철학]" caption="철학" attribute="1" defaultMemberUniqueName="[자료실기준].[철학].[All]" allUniqueName="[자료실기준].[철학].[All]" dimensionUniqueName="[자료실기준]" displayFolder="" count="0" memberValueDatatype="20" unbalanced="0"/>
    <cacheHierarchy uniqueName="[자료실기준].[종교]" caption="종교" attribute="1" defaultMemberUniqueName="[자료실기준].[종교].[All]" allUniqueName="[자료실기준].[종교].[All]" dimensionUniqueName="[자료실기준]" displayFolder="" count="0" memberValueDatatype="20" unbalanced="0"/>
    <cacheHierarchy uniqueName="[자료실기준].[사회과학]" caption="사회과학" attribute="1" defaultMemberUniqueName="[자료실기준].[사회과학].[All]" allUniqueName="[자료실기준].[사회과학].[All]" dimensionUniqueName="[자료실기준]" displayFolder="" count="0" memberValueDatatype="20" unbalanced="0"/>
    <cacheHierarchy uniqueName="[자료실기준].[자연과학]" caption="자연과학" attribute="1" defaultMemberUniqueName="[자료실기준].[자연과학].[All]" allUniqueName="[자료실기준].[자연과학].[All]" dimensionUniqueName="[자료실기준]" displayFolder="" count="0" memberValueDatatype="20" unbalanced="0"/>
    <cacheHierarchy uniqueName="[자료실기준].[기술과학]" caption="기술과학" attribute="1" defaultMemberUniqueName="[자료실기준].[기술과학].[All]" allUniqueName="[자료실기준].[기술과학].[All]" dimensionUniqueName="[자료실기준]" displayFolder="" count="0" memberValueDatatype="20" unbalanced="0"/>
    <cacheHierarchy uniqueName="[자료실기준].[예술]" caption="예술" attribute="1" defaultMemberUniqueName="[자료실기준].[예술].[All]" allUniqueName="[자료실기준].[예술].[All]" dimensionUniqueName="[자료실기준]" displayFolder="" count="0" memberValueDatatype="20" unbalanced="0"/>
    <cacheHierarchy uniqueName="[자료실기준].[언어]" caption="언어" attribute="1" defaultMemberUniqueName="[자료실기준].[언어].[All]" allUniqueName="[자료실기준].[언어].[All]" dimensionUniqueName="[자료실기준]" displayFolder="" count="0" memberValueDatatype="20" unbalanced="0"/>
    <cacheHierarchy uniqueName="[자료실기준].[문학]" caption="문학" attribute="1" defaultMemberUniqueName="[자료실기준].[문학].[All]" allUniqueName="[자료실기준].[문학].[All]" dimensionUniqueName="[자료실기준]" displayFolder="" count="0" memberValueDatatype="20" unbalanced="0"/>
    <cacheHierarchy uniqueName="[자료실기준].[역사]" caption="역사" attribute="1" defaultMemberUniqueName="[자료실기준].[역사].[All]" allUniqueName="[자료실기준].[역사].[All]" dimensionUniqueName="[자료실기준]" displayFolder="" count="0" memberValueDatatype="20" unbalanced="0"/>
    <cacheHierarchy uniqueName="[자료실기준].[대출권수합계]" caption="대출권수합계" attribute="1" defaultMemberUniqueName="[자료실기준].[대출권수합계].[All]" allUniqueName="[자료실기준].[대출권수합계].[All]" dimensionUniqueName="[자료실기준]" displayFolder="" count="0" memberValueDatatype="20" unbalanced="0"/>
    <cacheHierarchy uniqueName="[자료실기준].[자유학습실인원]" caption="자유학습실인원" attribute="1" defaultMemberUniqueName="[자료실기준].[자유학습실인원].[All]" allUniqueName="[자료실기준].[자유학습실인원].[All]" dimensionUniqueName="[자료실기준]" displayFolder="" count="0" memberValueDatatype="20" unbalanced="0"/>
    <cacheHierarchy uniqueName="[자료실기준].[열람자수]" caption="열람자수" attribute="1" defaultMemberUniqueName="[자료실기준].[열람자수].[All]" allUniqueName="[자료실기준].[열람자수].[All]" dimensionUniqueName="[자료실기준]" displayFolder="" count="0" memberValueDatatype="20" unbalanced="0"/>
    <cacheHierarchy uniqueName="[자료실기준].[열람권수]" caption="열람권수" attribute="1" defaultMemberUniqueName="[자료실기준].[열람권수].[All]" allUniqueName="[자료실기준].[열람권수].[All]" dimensionUniqueName="[자료실기준]" displayFolder="" count="0" memberValueDatatype="20" unbalanced="0"/>
    <cacheHierarchy uniqueName="[자료실기준].[대출권수(6월예측포함)]" caption="대출권수(6월예측포함)" attribute="1" defaultMemberUniqueName="[자료실기준].[대출권수(6월예측포함)].[All]" allUniqueName="[자료실기준].[대출권수(6월예측포함)].[All]" dimensionUniqueName="[자료실기준]" displayFolder="" count="0" memberValueDatatype="5" unbalanced="0"/>
    <cacheHierarchy uniqueName="[자료실기준].[대출자수(6월예측포함)]" caption="대출자수(6월예측포함)" attribute="1" defaultMemberUniqueName="[자료실기준].[대출자수(6월예측포함)].[All]" allUniqueName="[자료실기준].[대출자수(6월예측포함)].[All]" dimensionUniqueName="[자료실기준]" displayFolder="" count="0" memberValueDatatype="5" unbalanced="0"/>
    <cacheHierarchy uniqueName="[자료실기준].[열람권수(6월예측포함)]" caption="열람권수(6월예측포함)" attribute="1" defaultMemberUniqueName="[자료실기준].[열람권수(6월예측포함)].[All]" allUniqueName="[자료실기준].[열람권수(6월예측포함)].[All]" dimensionUniqueName="[자료실기준]" displayFolder="" count="0" memberValueDatatype="5" unbalanced="0"/>
    <cacheHierarchy uniqueName="[자료실기준].[열람자수(6월예측포함)]" caption="열람자수(6월예측포함)" attribute="1" defaultMemberUniqueName="[자료실기준].[열람자수(6월예측포함)].[All]" allUniqueName="[자료실기준].[열람자수(6월예측포함)].[All]" dimensionUniqueName="[자료실기준]" displayFolder="" count="0" memberValueDatatype="5" unbalanced="0"/>
    <cacheHierarchy uniqueName="[자료실범례].[소장처명]" caption="소장처명" attribute="1" defaultMemberUniqueName="[자료실범례].[소장처명].[All]" allUniqueName="[자료실범례].[소장처명].[All]" dimensionUniqueName="[자료실범례]" displayFolder="" count="0" memberValueDatatype="130" unbalanced="0"/>
    <cacheHierarchy uniqueName="[자료실범례].[구분]" caption="구분" attribute="1" defaultMemberUniqueName="[자료실범례].[구분].[All]" allUniqueName="[자료실범례].[구분].[All]" dimensionUniqueName="[자료실범례]" displayFolder="" count="0" memberValueDatatype="130" unbalanced="0"/>
    <cacheHierarchy uniqueName="[행사기준].[년월]" caption="년월" attribute="1" time="1" defaultMemberUniqueName="[행사기준].[년월].[All]" allUniqueName="[행사기준].[년월].[All]" dimensionUniqueName="[행사기준]" displayFolder="" count="0" memberValueDatatype="7" unbalanced="0"/>
    <cacheHierarchy uniqueName="[행사기준].[행사분류]" caption="행사분류" attribute="1" defaultMemberUniqueName="[행사기준].[행사분류].[All]" allUniqueName="[행사기준].[행사분류].[All]" dimensionUniqueName="[행사기준]" displayFolder="" count="0" memberValueDatatype="130" unbalanced="0"/>
    <cacheHierarchy uniqueName="[행사기준].[행사분류2]" caption="행사분류2" attribute="1" defaultMemberUniqueName="[행사기준].[행사분류2].[All]" allUniqueName="[행사기준].[행사분류2].[All]" dimensionUniqueName="[행사기준]" displayFolder="" count="0" memberValueDatatype="130" unbalanced="0"/>
    <cacheHierarchy uniqueName="[행사기준].[행사명]" caption="행사명" attribute="1" defaultMemberUniqueName="[행사기준].[행사명].[All]" allUniqueName="[행사기준].[행사명].[All]" dimensionUniqueName="[행사기준]" displayFolder="" count="0" memberValueDatatype="130" unbalanced="0"/>
    <cacheHierarchy uniqueName="[행사기준].[대상1]" caption="대상1" attribute="1" defaultMemberUniqueName="[행사기준].[대상1].[All]" allUniqueName="[행사기준].[대상1].[All]" dimensionUniqueName="[행사기준]" displayFolder="" count="0" memberValueDatatype="130" unbalanced="0"/>
    <cacheHierarchy uniqueName="[행사기준].[대상2]" caption="대상2" attribute="1" defaultMemberUniqueName="[행사기준].[대상2].[All]" allUniqueName="[행사기준].[대상2].[All]" dimensionUniqueName="[행사기준]" displayFolder="" count="0" memberValueDatatype="130" unbalanced="0"/>
    <cacheHierarchy uniqueName="[행사기준].[대상(상세)]" caption="대상(상세)" attribute="1" defaultMemberUniqueName="[행사기준].[대상(상세)].[All]" allUniqueName="[행사기준].[대상(상세)].[All]" dimensionUniqueName="[행사기준]" displayFolder="" count="0" memberValueDatatype="130" unbalanced="0"/>
    <cacheHierarchy uniqueName="[행사기준].[횟수]" caption="횟수" attribute="1" defaultMemberUniqueName="[행사기준].[횟수].[All]" allUniqueName="[행사기준].[횟수].[All]" dimensionUniqueName="[행사기준]" displayFolder="" count="0" memberValueDatatype="20" unbalanced="0"/>
    <cacheHierarchy uniqueName="[행사기준].[남자]" caption="남자" attribute="1" defaultMemberUniqueName="[행사기준].[남자].[All]" allUniqueName="[행사기준].[남자].[All]" dimensionUniqueName="[행사기준]" displayFolder="" count="0" memberValueDatatype="20" unbalanced="0"/>
    <cacheHierarchy uniqueName="[행사기준].[여자]" caption="여자" attribute="1" defaultMemberUniqueName="[행사기준].[여자].[All]" allUniqueName="[행사기준].[여자].[All]" dimensionUniqueName="[행사기준]" displayFolder="" count="0" memberValueDatatype="20" unbalanced="0"/>
    <cacheHierarchy uniqueName="[행사기준].[계]" caption="계" attribute="1" defaultMemberUniqueName="[행사기준].[계].[All]" allUniqueName="[행사기준].[계].[All]" dimensionUniqueName="[행사기준]" displayFolder="" count="0" memberValueDatatype="20" unbalanced="0"/>
    <cacheHierarchy uniqueName="[행사기준].[강사명]" caption="강사명" attribute="1" defaultMemberUniqueName="[행사기준].[강사명].[All]" allUniqueName="[행사기준].[강사명].[All]" dimensionUniqueName="[행사기준]" displayFolder="" count="0" memberValueDatatype="130" unbalanced="0"/>
    <cacheHierarchy uniqueName="[행사기준].[담당자1]" caption="담당자1" attribute="1" defaultMemberUniqueName="[행사기준].[담당자1].[All]" allUniqueName="[행사기준].[담당자1].[All]" dimensionUniqueName="[행사기준]" displayFolder="" count="0" memberValueDatatype="130" unbalanced="0"/>
    <cacheHierarchy uniqueName="[행사기준].[담당자2]" caption="담당자2" attribute="1" defaultMemberUniqueName="[행사기준].[담당자2].[All]" allUniqueName="[행사기준].[담당자2].[All]" dimensionUniqueName="[행사기준]" displayFolder="" count="0" memberValueDatatype="130" unbalanced="0"/>
    <cacheHierarchy uniqueName="[행사기준].[고유값]" caption="고유값" attribute="1" defaultMemberUniqueName="[행사기준].[고유값].[All]" allUniqueName="[행사기준].[고유값].[All]" dimensionUniqueName="[행사기준]" displayFolder="" count="0" memberValueDatatype="130" unbalanced="0"/>
    <cacheHierarchy uniqueName="[날짜tb].[월(월 인덱스)]" caption="월(월 인덱스)" attribute="1" defaultMemberUniqueName="[날짜tb].[월(월 인덱스)].[All]" allUniqueName="[날짜tb].[월(월 인덱스)].[All]" dimensionUniqueName="[날짜tb]" displayFolder="" count="0" memberValueDatatype="20" unbalanced="0" hidden="1"/>
    <cacheHierarchy uniqueName="[년월기준].[년월(월 인덱스)]" caption="년월(월 인덱스)" attribute="1" defaultMemberUniqueName="[년월기준].[년월(월 인덱스)].[All]" allUniqueName="[년월기준].[년월(월 인덱스)].[All]" dimensionUniqueName="[년월기준]" displayFolder="" count="0" memberValueDatatype="20" unbalanced="0" hidden="1"/>
    <cacheHierarchy uniqueName="[Measures].[__XL_Count 자료실기준]" caption="__XL_Count 자료실기준" measure="1" displayFolder="" measureGroup="자료실기준" count="0" hidden="1"/>
    <cacheHierarchy uniqueName="[Measures].[__XL_Count 행사기준]" caption="__XL_Count 행사기준" measure="1" displayFolder="" measureGroup="행사기준" count="0" hidden="1"/>
    <cacheHierarchy uniqueName="[Measures].[__XL_Count 날짜tb]" caption="__XL_Count 날짜tb" measure="1" displayFolder="" measureGroup="날짜tb" count="0" hidden="1"/>
    <cacheHierarchy uniqueName="[Measures].[__XL_Count 대출권수]" caption="__XL_Count 대출권수" measure="1" displayFolder="" measureGroup="대출권수" count="0" hidden="1"/>
    <cacheHierarchy uniqueName="[Measures].[__XL_Count 년월기준]" caption="__XL_Count 년월기준" measure="1" displayFolder="" measureGroup="년월기준" count="0" hidden="1"/>
    <cacheHierarchy uniqueName="[Measures].[__XL_Count 자료실범례]" caption="__XL_Count 자료실범례" measure="1" displayFolder="" measureGroup="자료실범례" count="0" hidden="1"/>
    <cacheHierarchy uniqueName="[Measures].[__XL_Count 개관일수범례]" caption="__XL_Count 개관일수범례" measure="1" displayFolder="" measureGroup="개관일수범례" count="0" hidden="1"/>
    <cacheHierarchy uniqueName="[Measures].[__정의된 측정값 없음]" caption="__정의된 측정값 없음" measure="1" displayFolder="" count="0" hidden="1"/>
    <cacheHierarchy uniqueName="[Measures].[합계: 어린이남자]" caption="합계: 어린이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합계: 어린이여자]" caption="합계: 어린이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합계: 청소년남자]" caption="합계: 청소년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합계: 청소년여자]" caption="합계: 청소년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합계: 성인남자]" caption="합계: 성인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합계: 성인여자]" caption="합계: 성인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합계: 어린이]" caption="합계: 어린이" measure="1" displayFolder="" measureGroup="자료실기준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합계: 청소년]" caption="합계: 청소년" measure="1" displayFolder="" measureGroup="자료실기준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합계: 성인]" caption="합계: 성인" measure="1" displayFolder="" measureGroup="자료실기준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합계: 남자]" caption="합계: 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합계: 여자]" caption="합계: 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합계: 합계]" caption="합계: 합계" measure="1" displayFolder="" measureGroup="대출권수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합계: 대출자수합계]" caption="합계: 대출자수합계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합계: 대출자수]" caption="합계: 대출자수" measure="1" displayFolder="" measureGroup="년월기준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합계: 대출권수]" caption="합계: 대출권수" measure="1" displayFolder="" measureGroup="년월기준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합계: 대출자수(전년동월)]" caption="합계: 대출자수(전년동월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개수: 전년동월비(대출자수)]" caption="개수: 전년동월비(대출자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합계: 대출권수(전년동월)]" caption="합계: 대출권수(전년동월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합계: 자유학습실인원]" caption="합계: 자유학습실인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합계: 여자 2]" caption="합계: 여자 2" measure="1" displayFolder="" measureGroup="행사기준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개수: 행사명]" caption="개수: 행사명" measure="1" displayFolder="" measureGroup="행사기준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개수: 전년동월비(행사참여자수)]" caption="개수: 전년동월비(행사참여자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합계: 전년동월비(대출자수)]" caption="합계: 전년동월비(대출자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합계: 전년동월비(권수)]" caption="합계: 전년동월비(권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총류]" caption="개수: 총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개수: 철학]" caption="개수: 철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개수: 종교]" caption="개수: 종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개수: 사회과학]" caption="개수: 사회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합계: 총류]" caption="합계: 총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합계: 철학]" caption="합계: 철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합계: 종교]" caption="합계: 종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합계: 사회과학]" caption="합계: 사회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합계: 자연과학]" caption="합계: 자연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합계: 기술과학]" caption="합계: 기술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합계: 예술]" caption="합계: 예술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합계: 언어]" caption="합계: 언어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합계: 문학]" caption="합계: 문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합계: 역사]" caption="합계: 역사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합계: 대출권수합계]" caption="합계: 대출권수합계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합계: 열람자수]" caption="합계: 열람자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합계: 열람권수]" caption="합계: 열람권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합계: 대출권수(6월예측포함)]" caption="합계: 대출권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합계: 대출자수(6월예측포함)]" caption="합계: 대출자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합계: 열람권수(6월예측포함)]" caption="합계: 열람권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합계: 열람자수(6월예측포함)]" caption="합계: 열람자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합계: 계]" caption="합계: 계" measure="1" displayFolder="" measureGroup="행사기준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합계: 횟수]" caption="합계: 횟수" measure="1" displayFolder="" measureGroup="행사기준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합계: 자유학습실]" caption="합계: 자유학습실" measure="1" displayFolder="" measureGroup="개관일수범례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합계: 자료실개관일수]" caption="합계: 자료실개관일수" measure="1" displayFolder="" measureGroup="개관일수범례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8">
    <dimension measure="1" name="Measures" uniqueName="[Measures]" caption="Measures"/>
    <dimension name="개관일수범례" uniqueName="[개관일수범례]" caption="개관일수범례"/>
    <dimension name="날짜tb" uniqueName="[날짜tb]" caption="날짜tb"/>
    <dimension name="년월기준" uniqueName="[년월기준]" caption="년월기준"/>
    <dimension name="대출권수" uniqueName="[대출권수]" caption="대출권수"/>
    <dimension name="자료실기준" uniqueName="[자료실기준]" caption="자료실기준"/>
    <dimension name="자료실범례" uniqueName="[자료실범례]" caption="자료실범례"/>
    <dimension name="행사기준" uniqueName="[행사기준]" caption="행사기준"/>
  </dimensions>
  <measureGroups count="7">
    <measureGroup name="개관일수범례" caption="개관일수범례"/>
    <measureGroup name="날짜tb" caption="날짜tb"/>
    <measureGroup name="년월기준" caption="년월기준"/>
    <measureGroup name="대출권수" caption="대출권수"/>
    <measureGroup name="자료실기준" caption="자료실기준"/>
    <measureGroup name="자료실범례" caption="자료실범례"/>
    <measureGroup name="행사기준" caption="행사기준"/>
  </measureGroups>
  <maps count="11">
    <map measureGroup="0" dimension="1"/>
    <map measureGroup="0" dimension="2"/>
    <map measureGroup="1" dimension="2"/>
    <map measureGroup="2" dimension="2"/>
    <map measureGroup="2" dimension="3"/>
    <map measureGroup="3" dimension="4"/>
    <map measureGroup="4" dimension="2"/>
    <map measureGroup="4" dimension="5"/>
    <map measureGroup="5" dimension="6"/>
    <map measureGroup="6" dimension="2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29.583627430555" backgroundQuery="1" createdVersion="6" refreshedVersion="6" minRefreshableVersion="3" recordCount="0" supportSubquery="1" supportAdvancedDrill="1" xr:uid="{A78D4B65-CD7E-491E-AC09-C8B51CB0EDC1}">
  <cacheSource type="external" connectionId="1"/>
  <cacheFields count="5">
    <cacheField name="[날짜tb].[월(월)].[월(월)]" caption="월(월)" numFmtId="0" hierarchy="10" level="1">
      <sharedItems containsSemiMixedTypes="0" containsNonDate="0" containsString="0"/>
    </cacheField>
    <cacheField name="[Measures].[합계: 대출자수합계]" caption="합계: 대출자수합계" numFmtId="0" hierarchy="112" level="32767"/>
    <cacheField name="[날짜tb].[월].[월]" caption="월" numFmtId="0" hierarchy="8" level="1">
      <sharedItems containsSemiMixedTypes="0" containsNonDate="0" containsString="0"/>
    </cacheField>
    <cacheField name="[Measures].[합계: 대출권수합계]" caption="합계: 대출권수합계" numFmtId="0" hierarchy="138" level="32767"/>
    <cacheField name="[Measures].[합계: 자유학습실]" caption="합계: 자유학습실" numFmtId="0" hierarchy="147" level="32767"/>
  </cacheFields>
  <cacheHierarchies count="149">
    <cacheHierarchy uniqueName="[개관일수범례].[년월]" caption="년월" attribute="1" time="1" defaultMemberUniqueName="[개관일수범례].[년월].[All]" allUniqueName="[개관일수범례].[년월].[All]" dimensionUniqueName="[개관일수범례]" displayFolder="" count="0" memberValueDatatype="7" unbalanced="0"/>
    <cacheHierarchy uniqueName="[개관일수범례].[자료실개관일수]" caption="자료실개관일수" attribute="1" defaultMemberUniqueName="[개관일수범례].[자료실개관일수].[All]" allUniqueName="[개관일수범례].[자료실개관일수].[All]" dimensionUniqueName="[개관일수범례]" displayFolder="" count="0" memberValueDatatype="20" unbalanced="0"/>
    <cacheHierarchy uniqueName="[개관일수범례].[자유학습실개관일수]" caption="자유학습실개관일수" attribute="1" defaultMemberUniqueName="[개관일수범례].[자유학습실개관일수].[All]" allUniqueName="[개관일수범례].[자유학습실개관일수].[All]" dimensionUniqueName="[개관일수범례]" displayFolder="" count="0" memberValueDatatype="20" unbalanced="0"/>
    <cacheHierarchy uniqueName="[개관일수범례].[자유학습실]" caption="자유학습실" attribute="1" defaultMemberUniqueName="[개관일수범례].[자유학습실].[All]" allUniqueName="[개관일수범례].[자유학습실].[All]" dimensionUniqueName="[개관일수범례]" displayFolder="" count="0" memberValueDatatype="20" unbalanced="0"/>
    <cacheHierarchy uniqueName="[개관일수범례].[일수]" caption="일수" attribute="1" defaultMemberUniqueName="[개관일수범례].[일수].[All]" allUniqueName="[개관일수범례].[일수].[All]" dimensionUniqueName="[개관일수범례]" displayFolder="" count="0" memberValueDatatype="20" unbalanced="0"/>
    <cacheHierarchy uniqueName="[개관일수범례].[정기휴관일]" caption="정기휴관일" attribute="1" defaultMemberUniqueName="[개관일수범례].[정기휴관일].[All]" allUniqueName="[개관일수범례].[정기휴관일].[All]" dimensionUniqueName="[개관일수범례]" displayFolder="" count="0" memberValueDatatype="20" unbalanced="0"/>
    <cacheHierarchy uniqueName="[개관일수범례].[공휴일]" caption="공휴일" attribute="1" defaultMemberUniqueName="[개관일수범례].[공휴일].[All]" allUniqueName="[개관일수범례].[공휴일].[All]" dimensionUniqueName="[개관일수범례]" displayFolder="" count="0" memberValueDatatype="20" unbalanced="0"/>
    <cacheHierarchy uniqueName="[개관일수범례].[자유학습실휴관일]" caption="자유학습실휴관일" attribute="1" defaultMemberUniqueName="[개관일수범례].[자유학습실휴관일].[All]" allUniqueName="[개관일수범례].[자유학습실휴관일].[All]" dimensionUniqueName="[개관일수범례]" displayFolder="" count="0" memberValueDatatype="20" unbalanced="0"/>
    <cacheHierarchy uniqueName="[날짜tb].[월]" caption="월" attribute="1" time="1" defaultMemberUniqueName="[날짜tb].[월].[All]" allUniqueName="[날짜tb].[월].[All]" dimensionUniqueName="[날짜tb]" displayFolder="" count="2" memberValueDatatype="7" unbalanced="0">
      <fieldsUsage count="2">
        <fieldUsage x="-1"/>
        <fieldUsage x="2"/>
      </fieldsUsage>
    </cacheHierarchy>
    <cacheHierarchy uniqueName="[날짜tb].[주]" caption="주" attribute="1" defaultMemberUniqueName="[날짜tb].[주].[All]" allUniqueName="[날짜tb].[주].[All]" dimensionUniqueName="[날짜tb]" displayFolder="" count="0" memberValueDatatype="20" unbalanced="0"/>
    <cacheHierarchy uniqueName="[날짜tb].[월(월)]" caption="월(월)" attribute="1" defaultMemberUniqueName="[날짜tb].[월(월)].[All]" allUniqueName="[날짜tb].[월(월)].[All]" dimensionUniqueName="[날짜tb]" displayFolder="" count="2" memberValueDatatype="130" unbalanced="0">
      <fieldsUsage count="2">
        <fieldUsage x="-1"/>
        <fieldUsage x="0"/>
      </fieldsUsage>
    </cacheHierarchy>
    <cacheHierarchy uniqueName="[년월기준].[년월]" caption="년월" attribute="1" time="1" defaultMemberUniqueName="[년월기준].[년월].[All]" allUniqueName="[년월기준].[년월].[All]" dimensionUniqueName="[년월기준]" displayFolder="" count="0" memberValueDatatype="7" unbalanced="0"/>
    <cacheHierarchy uniqueName="[년월기준].[고유값]" caption="고유값" attribute="1" defaultMemberUniqueName="[년월기준].[고유값].[All]" allUniqueName="[년월기준].[고유값].[All]" dimensionUniqueName="[년월기준]" displayFolder="" count="0" memberValueDatatype="130" unbalanced="0"/>
    <cacheHierarchy uniqueName="[년월기준].[대출자수]" caption="대출자수" attribute="1" defaultMemberUniqueName="[년월기준].[대출자수].[All]" allUniqueName="[년월기준].[대출자수].[All]" dimensionUniqueName="[년월기준]" displayFolder="" count="0" memberValueDatatype="20" unbalanced="0"/>
    <cacheHierarchy uniqueName="[년월기준].[대출자수(전년동월)]" caption="대출자수(전년동월)" attribute="1" defaultMemberUniqueName="[년월기준].[대출자수(전년동월)].[All]" allUniqueName="[년월기준].[대출자수(전년동월)].[All]" dimensionUniqueName="[년월기준]" displayFolder="" count="0" memberValueDatatype="20" unbalanced="0"/>
    <cacheHierarchy uniqueName="[년월기준].[전년동월비(대출자수)]" caption="전년동월비(대출자수)" attribute="1" defaultMemberUniqueName="[년월기준].[전년동월비(대출자수)].[All]" allUniqueName="[년월기준].[전년동월비(대출자수)].[All]" dimensionUniqueName="[년월기준]" displayFolder="" count="0" memberValueDatatype="5" unbalanced="0"/>
    <cacheHierarchy uniqueName="[년월기준].[대출권수]" caption="대출권수" attribute="1" defaultMemberUniqueName="[년월기준].[대출권수].[All]" allUniqueName="[년월기준].[대출권수].[All]" dimensionUniqueName="[년월기준]" displayFolder="" count="0" memberValueDatatype="20" unbalanced="0"/>
    <cacheHierarchy uniqueName="[년월기준].[대출권수(전년동월)]" caption="대출권수(전년동월)" attribute="1" defaultMemberUniqueName="[년월기준].[대출권수(전년동월)].[All]" allUniqueName="[년월기준].[대출권수(전년동월)].[All]" dimensionUniqueName="[년월기준]" displayFolder="" count="0" memberValueDatatype="20" unbalanced="0"/>
    <cacheHierarchy uniqueName="[년월기준].[전년동월비(권수)]" caption="전년동월비(권수)" attribute="1" defaultMemberUniqueName="[년월기준].[전년동월비(권수)].[All]" allUniqueName="[년월기준].[전년동월비(권수)].[All]" dimensionUniqueName="[년월기준]" displayFolder="" count="0" memberValueDatatype="5" unbalanced="0"/>
    <cacheHierarchy uniqueName="[년월기준].[행사참여자수]" caption="행사참여자수" attribute="1" defaultMemberUniqueName="[년월기준].[행사참여자수].[All]" allUniqueName="[년월기준].[행사참여자수].[All]" dimensionUniqueName="[년월기준]" displayFolder="" count="0" memberValueDatatype="20" unbalanced="0"/>
    <cacheHierarchy uniqueName="[년월기준].[행사참여자수(전년동월)]" caption="행사참여자수(전년동월)" attribute="1" defaultMemberUniqueName="[년월기준].[행사참여자수(전년동월)].[All]" allUniqueName="[년월기준].[행사참여자수(전년동월)].[All]" dimensionUniqueName="[년월기준]" displayFolder="" count="0" memberValueDatatype="20" unbalanced="0"/>
    <cacheHierarchy uniqueName="[년월기준].[전년동월비(행사참여자수)]" caption="전년동월비(행사참여자수)" attribute="1" defaultMemberUniqueName="[년월기준].[전년동월비(행사참여자수)].[All]" allUniqueName="[년월기준].[전년동월비(행사참여자수)].[All]" dimensionUniqueName="[년월기준]" displayFolder="" count="0" memberValueDatatype="5" unbalanced="0"/>
    <cacheHierarchy uniqueName="[년월기준].[년월(월)]" caption="년월(월)" attribute="1" defaultMemberUniqueName="[년월기준].[년월(월)].[All]" allUniqueName="[년월기준].[년월(월)].[All]" dimensionUniqueName="[년월기준]" displayFolder="" count="0" memberValueDatatype="130" unbalanced="0"/>
    <cacheHierarchy uniqueName="[대출권수].[년월]" caption="년월" attribute="1" time="1" defaultMemberUniqueName="[대출권수].[년월].[All]" allUniqueName="[대출권수].[년월].[All]" dimensionUniqueName="[대출권수]" displayFolder="" count="0" memberValueDatatype="7" unbalanced="0"/>
    <cacheHierarchy uniqueName="[대출권수].[소장처명]" caption="소장처명" attribute="1" defaultMemberUniqueName="[대출권수].[소장처명].[All]" allUniqueName="[대출권수].[소장처명].[All]" dimensionUniqueName="[대출권수]" displayFolder="" count="0" memberValueDatatype="130" unbalanced="0"/>
    <cacheHierarchy uniqueName="[대출권수].[자료실구분]" caption="자료실구분" attribute="1" defaultMemberUniqueName="[대출권수].[자료실구분].[All]" allUniqueName="[대출권수].[자료실구분].[All]" dimensionUniqueName="[대출권수]" displayFolder="" count="0" memberValueDatatype="130" unbalanced="0"/>
    <cacheHierarchy uniqueName="[대출권수].[대출반납]" caption="대출반납" attribute="1" defaultMemberUniqueName="[대출권수].[대출반납].[All]" allUniqueName="[대출권수].[대출반납].[All]" dimensionUniqueName="[대출권수]" displayFolder="" count="0" memberValueDatatype="130" unbalanced="0"/>
    <cacheHierarchy uniqueName="[대출권수].[총류]" caption="총류" attribute="1" defaultMemberUniqueName="[대출권수].[총류].[All]" allUniqueName="[대출권수].[총류].[All]" dimensionUniqueName="[대출권수]" displayFolder="" count="0" memberValueDatatype="20" unbalanced="0"/>
    <cacheHierarchy uniqueName="[대출권수].[철학]" caption="철학" attribute="1" defaultMemberUniqueName="[대출권수].[철학].[All]" allUniqueName="[대출권수].[철학].[All]" dimensionUniqueName="[대출권수]" displayFolder="" count="0" memberValueDatatype="20" unbalanced="0"/>
    <cacheHierarchy uniqueName="[대출권수].[종교]" caption="종교" attribute="1" defaultMemberUniqueName="[대출권수].[종교].[All]" allUniqueName="[대출권수].[종교].[All]" dimensionUniqueName="[대출권수]" displayFolder="" count="0" memberValueDatatype="20" unbalanced="0"/>
    <cacheHierarchy uniqueName="[대출권수].[사회과학]" caption="사회과학" attribute="1" defaultMemberUniqueName="[대출권수].[사회과학].[All]" allUniqueName="[대출권수].[사회과학].[All]" dimensionUniqueName="[대출권수]" displayFolder="" count="0" memberValueDatatype="20" unbalanced="0"/>
    <cacheHierarchy uniqueName="[대출권수].[자연과학]" caption="자연과학" attribute="1" defaultMemberUniqueName="[대출권수].[자연과학].[All]" allUniqueName="[대출권수].[자연과학].[All]" dimensionUniqueName="[대출권수]" displayFolder="" count="0" memberValueDatatype="20" unbalanced="0"/>
    <cacheHierarchy uniqueName="[대출권수].[기술과학]" caption="기술과학" attribute="1" defaultMemberUniqueName="[대출권수].[기술과학].[All]" allUniqueName="[대출권수].[기술과학].[All]" dimensionUniqueName="[대출권수]" displayFolder="" count="0" memberValueDatatype="20" unbalanced="0"/>
    <cacheHierarchy uniqueName="[대출권수].[예술]" caption="예술" attribute="1" defaultMemberUniqueName="[대출권수].[예술].[All]" allUniqueName="[대출권수].[예술].[All]" dimensionUniqueName="[대출권수]" displayFolder="" count="0" memberValueDatatype="20" unbalanced="0"/>
    <cacheHierarchy uniqueName="[대출권수].[언어]" caption="언어" attribute="1" defaultMemberUniqueName="[대출권수].[언어].[All]" allUniqueName="[대출권수].[언어].[All]" dimensionUniqueName="[대출권수]" displayFolder="" count="0" memberValueDatatype="20" unbalanced="0"/>
    <cacheHierarchy uniqueName="[대출권수].[문학]" caption="문학" attribute="1" defaultMemberUniqueName="[대출권수].[문학].[All]" allUniqueName="[대출권수].[문학].[All]" dimensionUniqueName="[대출권수]" displayFolder="" count="0" memberValueDatatype="20" unbalanced="0"/>
    <cacheHierarchy uniqueName="[대출권수].[역사]" caption="역사" attribute="1" defaultMemberUniqueName="[대출권수].[역사].[All]" allUniqueName="[대출권수].[역사].[All]" dimensionUniqueName="[대출권수]" displayFolder="" count="0" memberValueDatatype="20" unbalanced="0"/>
    <cacheHierarchy uniqueName="[대출권수].[기타]" caption="기타" attribute="1" defaultMemberUniqueName="[대출권수].[기타].[All]" allUniqueName="[대출권수].[기타].[All]" dimensionUniqueName="[대출권수]" displayFolder="" count="0" memberValueDatatype="20" unbalanced="0"/>
    <cacheHierarchy uniqueName="[대출권수].[합계]" caption="합계" attribute="1" defaultMemberUniqueName="[대출권수].[합계].[All]" allUniqueName="[대출권수].[합계].[All]" dimensionUniqueName="[대출권수]" displayFolder="" count="0" memberValueDatatype="20" unbalanced="0"/>
    <cacheHierarchy uniqueName="[자료실기준].[년월]" caption="년월" attribute="1" time="1" defaultMemberUniqueName="[자료실기준].[년월].[All]" allUniqueName="[자료실기준].[년월].[All]" dimensionUniqueName="[자료실기준]" displayFolder="" count="0" memberValueDatatype="7" unbalanced="0"/>
    <cacheHierarchy uniqueName="[자료실기준].[소장처명]" caption="소장처명" attribute="1" defaultMemberUniqueName="[자료실기준].[소장처명].[All]" allUniqueName="[자료실기준].[소장처명].[All]" dimensionUniqueName="[자료실기준]" displayFolder="" count="0" memberValueDatatype="130" unbalanced="0"/>
    <cacheHierarchy uniqueName="[자료실기준].[고유값]" caption="고유값" attribute="1" defaultMemberUniqueName="[자료실기준].[고유값].[All]" allUniqueName="[자료실기준].[고유값].[All]" dimensionUniqueName="[자료실기준]" displayFolder="" count="0" memberValueDatatype="130" unbalanced="0"/>
    <cacheHierarchy uniqueName="[자료실기준].[자료실구분]" caption="자료실구분" attribute="1" defaultMemberUniqueName="[자료실기준].[자료실구분].[All]" allUniqueName="[자료실기준].[자료실구분].[All]" dimensionUniqueName="[자료실기준]" displayFolder="" count="2" memberValueDatatype="130" unbalanced="0"/>
    <cacheHierarchy uniqueName="[자료실기준].[어린이남자]" caption="어린이남자" attribute="1" defaultMemberUniqueName="[자료실기준].[어린이남자].[All]" allUniqueName="[자료실기준].[어린이남자].[All]" dimensionUniqueName="[자료실기준]" displayFolder="" count="0" memberValueDatatype="20" unbalanced="0"/>
    <cacheHierarchy uniqueName="[자료실기준].[어린이여자]" caption="어린이여자" attribute="1" defaultMemberUniqueName="[자료실기준].[어린이여자].[All]" allUniqueName="[자료실기준].[어린이여자].[All]" dimensionUniqueName="[자료실기준]" displayFolder="" count="0" memberValueDatatype="20" unbalanced="0"/>
    <cacheHierarchy uniqueName="[자료실기준].[청소년남자]" caption="청소년남자" attribute="1" defaultMemberUniqueName="[자료실기준].[청소년남자].[All]" allUniqueName="[자료실기준].[청소년남자].[All]" dimensionUniqueName="[자료실기준]" displayFolder="" count="0" memberValueDatatype="20" unbalanced="0"/>
    <cacheHierarchy uniqueName="[자료실기준].[청소년여자]" caption="청소년여자" attribute="1" defaultMemberUniqueName="[자료실기준].[청소년여자].[All]" allUniqueName="[자료실기준].[청소년여자].[All]" dimensionUniqueName="[자료실기준]" displayFolder="" count="0" memberValueDatatype="20" unbalanced="0"/>
    <cacheHierarchy uniqueName="[자료실기준].[성인남자]" caption="성인남자" attribute="1" defaultMemberUniqueName="[자료실기준].[성인남자].[All]" allUniqueName="[자료실기준].[성인남자].[All]" dimensionUniqueName="[자료실기준]" displayFolder="" count="0" memberValueDatatype="20" unbalanced="0"/>
    <cacheHierarchy uniqueName="[자료실기준].[성인여자]" caption="성인여자" attribute="1" defaultMemberUniqueName="[자료실기준].[성인여자].[All]" allUniqueName="[자료실기준].[성인여자].[All]" dimensionUniqueName="[자료실기준]" displayFolder="" count="0" memberValueDatatype="20" unbalanced="0"/>
    <cacheHierarchy uniqueName="[자료실기준].[어린이]" caption="어린이" attribute="1" defaultMemberUniqueName="[자료실기준].[어린이].[All]" allUniqueName="[자료실기준].[어린이].[All]" dimensionUniqueName="[자료실기준]" displayFolder="" count="0" memberValueDatatype="20" unbalanced="0"/>
    <cacheHierarchy uniqueName="[자료실기준].[청소년]" caption="청소년" attribute="1" defaultMemberUniqueName="[자료실기준].[청소년].[All]" allUniqueName="[자료실기준].[청소년].[All]" dimensionUniqueName="[자료실기준]" displayFolder="" count="0" memberValueDatatype="20" unbalanced="0"/>
    <cacheHierarchy uniqueName="[자료실기준].[성인]" caption="성인" attribute="1" defaultMemberUniqueName="[자료실기준].[성인].[All]" allUniqueName="[자료실기준].[성인].[All]" dimensionUniqueName="[자료실기준]" displayFolder="" count="0" memberValueDatatype="20" unbalanced="0"/>
    <cacheHierarchy uniqueName="[자료실기준].[남자]" caption="남자" attribute="1" defaultMemberUniqueName="[자료실기준].[남자].[All]" allUniqueName="[자료실기준].[남자].[All]" dimensionUniqueName="[자료실기준]" displayFolder="" count="0" memberValueDatatype="20" unbalanced="0"/>
    <cacheHierarchy uniqueName="[자료실기준].[여자]" caption="여자" attribute="1" defaultMemberUniqueName="[자료실기준].[여자].[All]" allUniqueName="[자료실기준].[여자].[All]" dimensionUniqueName="[자료실기준]" displayFolder="" count="0" memberValueDatatype="20" unbalanced="0"/>
    <cacheHierarchy uniqueName="[자료실기준].[대출자수합계]" caption="대출자수합계" attribute="1" defaultMemberUniqueName="[자료실기준].[대출자수합계].[All]" allUniqueName="[자료실기준].[대출자수합계].[All]" dimensionUniqueName="[자료실기준]" displayFolder="" count="0" memberValueDatatype="20" unbalanced="0"/>
    <cacheHierarchy uniqueName="[자료실기준].[총류]" caption="총류" attribute="1" defaultMemberUniqueName="[자료실기준].[총류].[All]" allUniqueName="[자료실기준].[총류].[All]" dimensionUniqueName="[자료실기준]" displayFolder="" count="0" memberValueDatatype="20" unbalanced="0"/>
    <cacheHierarchy uniqueName="[자료실기준].[철학]" caption="철학" attribute="1" defaultMemberUniqueName="[자료실기준].[철학].[All]" allUniqueName="[자료실기준].[철학].[All]" dimensionUniqueName="[자료실기준]" displayFolder="" count="0" memberValueDatatype="20" unbalanced="0"/>
    <cacheHierarchy uniqueName="[자료실기준].[종교]" caption="종교" attribute="1" defaultMemberUniqueName="[자료실기준].[종교].[All]" allUniqueName="[자료실기준].[종교].[All]" dimensionUniqueName="[자료실기준]" displayFolder="" count="0" memberValueDatatype="20" unbalanced="0"/>
    <cacheHierarchy uniqueName="[자료실기준].[사회과학]" caption="사회과학" attribute="1" defaultMemberUniqueName="[자료실기준].[사회과학].[All]" allUniqueName="[자료실기준].[사회과학].[All]" dimensionUniqueName="[자료실기준]" displayFolder="" count="0" memberValueDatatype="20" unbalanced="0"/>
    <cacheHierarchy uniqueName="[자료실기준].[자연과학]" caption="자연과학" attribute="1" defaultMemberUniqueName="[자료실기준].[자연과학].[All]" allUniqueName="[자료실기준].[자연과학].[All]" dimensionUniqueName="[자료실기준]" displayFolder="" count="0" memberValueDatatype="20" unbalanced="0"/>
    <cacheHierarchy uniqueName="[자료실기준].[기술과학]" caption="기술과학" attribute="1" defaultMemberUniqueName="[자료실기준].[기술과학].[All]" allUniqueName="[자료실기준].[기술과학].[All]" dimensionUniqueName="[자료실기준]" displayFolder="" count="0" memberValueDatatype="20" unbalanced="0"/>
    <cacheHierarchy uniqueName="[자료실기준].[예술]" caption="예술" attribute="1" defaultMemberUniqueName="[자료실기준].[예술].[All]" allUniqueName="[자료실기준].[예술].[All]" dimensionUniqueName="[자료실기준]" displayFolder="" count="0" memberValueDatatype="20" unbalanced="0"/>
    <cacheHierarchy uniqueName="[자료실기준].[언어]" caption="언어" attribute="1" defaultMemberUniqueName="[자료실기준].[언어].[All]" allUniqueName="[자료실기준].[언어].[All]" dimensionUniqueName="[자료실기준]" displayFolder="" count="0" memberValueDatatype="20" unbalanced="0"/>
    <cacheHierarchy uniqueName="[자료실기준].[문학]" caption="문학" attribute="1" defaultMemberUniqueName="[자료실기준].[문학].[All]" allUniqueName="[자료실기준].[문학].[All]" dimensionUniqueName="[자료실기준]" displayFolder="" count="0" memberValueDatatype="20" unbalanced="0"/>
    <cacheHierarchy uniqueName="[자료실기준].[역사]" caption="역사" attribute="1" defaultMemberUniqueName="[자료실기준].[역사].[All]" allUniqueName="[자료실기준].[역사].[All]" dimensionUniqueName="[자료실기준]" displayFolder="" count="0" memberValueDatatype="20" unbalanced="0"/>
    <cacheHierarchy uniqueName="[자료실기준].[대출권수합계]" caption="대출권수합계" attribute="1" defaultMemberUniqueName="[자료실기준].[대출권수합계].[All]" allUniqueName="[자료실기준].[대출권수합계].[All]" dimensionUniqueName="[자료실기준]" displayFolder="" count="0" memberValueDatatype="20" unbalanced="0"/>
    <cacheHierarchy uniqueName="[자료실기준].[자유학습실인원]" caption="자유학습실인원" attribute="1" defaultMemberUniqueName="[자료실기준].[자유학습실인원].[All]" allUniqueName="[자료실기준].[자유학습실인원].[All]" dimensionUniqueName="[자료실기준]" displayFolder="" count="0" memberValueDatatype="20" unbalanced="0"/>
    <cacheHierarchy uniqueName="[자료실기준].[열람자수]" caption="열람자수" attribute="1" defaultMemberUniqueName="[자료실기준].[열람자수].[All]" allUniqueName="[자료실기준].[열람자수].[All]" dimensionUniqueName="[자료실기준]" displayFolder="" count="0" memberValueDatatype="20" unbalanced="0"/>
    <cacheHierarchy uniqueName="[자료실기준].[열람권수]" caption="열람권수" attribute="1" defaultMemberUniqueName="[자료실기준].[열람권수].[All]" allUniqueName="[자료실기준].[열람권수].[All]" dimensionUniqueName="[자료실기준]" displayFolder="" count="0" memberValueDatatype="20" unbalanced="0"/>
    <cacheHierarchy uniqueName="[자료실기준].[대출권수(6월예측포함)]" caption="대출권수(6월예측포함)" attribute="1" defaultMemberUniqueName="[자료실기준].[대출권수(6월예측포함)].[All]" allUniqueName="[자료실기준].[대출권수(6월예측포함)].[All]" dimensionUniqueName="[자료실기준]" displayFolder="" count="0" memberValueDatatype="5" unbalanced="0"/>
    <cacheHierarchy uniqueName="[자료실기준].[대출자수(6월예측포함)]" caption="대출자수(6월예측포함)" attribute="1" defaultMemberUniqueName="[자료실기준].[대출자수(6월예측포함)].[All]" allUniqueName="[자료실기준].[대출자수(6월예측포함)].[All]" dimensionUniqueName="[자료실기준]" displayFolder="" count="0" memberValueDatatype="5" unbalanced="0"/>
    <cacheHierarchy uniqueName="[자료실기준].[열람권수(6월예측포함)]" caption="열람권수(6월예측포함)" attribute="1" defaultMemberUniqueName="[자료실기준].[열람권수(6월예측포함)].[All]" allUniqueName="[자료실기준].[열람권수(6월예측포함)].[All]" dimensionUniqueName="[자료실기준]" displayFolder="" count="0" memberValueDatatype="5" unbalanced="0"/>
    <cacheHierarchy uniqueName="[자료실기준].[열람자수(6월예측포함)]" caption="열람자수(6월예측포함)" attribute="1" defaultMemberUniqueName="[자료실기준].[열람자수(6월예측포함)].[All]" allUniqueName="[자료실기준].[열람자수(6월예측포함)].[All]" dimensionUniqueName="[자료실기준]" displayFolder="" count="0" memberValueDatatype="5" unbalanced="0"/>
    <cacheHierarchy uniqueName="[자료실범례].[소장처명]" caption="소장처명" attribute="1" defaultMemberUniqueName="[자료실범례].[소장처명].[All]" allUniqueName="[자료실범례].[소장처명].[All]" dimensionUniqueName="[자료실범례]" displayFolder="" count="0" memberValueDatatype="130" unbalanced="0"/>
    <cacheHierarchy uniqueName="[자료실범례].[구분]" caption="구분" attribute="1" defaultMemberUniqueName="[자료실범례].[구분].[All]" allUniqueName="[자료실범례].[구분].[All]" dimensionUniqueName="[자료실범례]" displayFolder="" count="0" memberValueDatatype="130" unbalanced="0"/>
    <cacheHierarchy uniqueName="[행사기준].[년월]" caption="년월" attribute="1" time="1" defaultMemberUniqueName="[행사기준].[년월].[All]" allUniqueName="[행사기준].[년월].[All]" dimensionUniqueName="[행사기준]" displayFolder="" count="0" memberValueDatatype="7" unbalanced="0"/>
    <cacheHierarchy uniqueName="[행사기준].[행사분류]" caption="행사분류" attribute="1" defaultMemberUniqueName="[행사기준].[행사분류].[All]" allUniqueName="[행사기준].[행사분류].[All]" dimensionUniqueName="[행사기준]" displayFolder="" count="0" memberValueDatatype="130" unbalanced="0"/>
    <cacheHierarchy uniqueName="[행사기준].[행사분류2]" caption="행사분류2" attribute="1" defaultMemberUniqueName="[행사기준].[행사분류2].[All]" allUniqueName="[행사기준].[행사분류2].[All]" dimensionUniqueName="[행사기준]" displayFolder="" count="0" memberValueDatatype="130" unbalanced="0"/>
    <cacheHierarchy uniqueName="[행사기준].[행사명]" caption="행사명" attribute="1" defaultMemberUniqueName="[행사기준].[행사명].[All]" allUniqueName="[행사기준].[행사명].[All]" dimensionUniqueName="[행사기준]" displayFolder="" count="0" memberValueDatatype="130" unbalanced="0"/>
    <cacheHierarchy uniqueName="[행사기준].[대상1]" caption="대상1" attribute="1" defaultMemberUniqueName="[행사기준].[대상1].[All]" allUniqueName="[행사기준].[대상1].[All]" dimensionUniqueName="[행사기준]" displayFolder="" count="0" memberValueDatatype="130" unbalanced="0"/>
    <cacheHierarchy uniqueName="[행사기준].[대상2]" caption="대상2" attribute="1" defaultMemberUniqueName="[행사기준].[대상2].[All]" allUniqueName="[행사기준].[대상2].[All]" dimensionUniqueName="[행사기준]" displayFolder="" count="0" memberValueDatatype="130" unbalanced="0"/>
    <cacheHierarchy uniqueName="[행사기준].[대상(상세)]" caption="대상(상세)" attribute="1" defaultMemberUniqueName="[행사기준].[대상(상세)].[All]" allUniqueName="[행사기준].[대상(상세)].[All]" dimensionUniqueName="[행사기준]" displayFolder="" count="0" memberValueDatatype="130" unbalanced="0"/>
    <cacheHierarchy uniqueName="[행사기준].[횟수]" caption="횟수" attribute="1" defaultMemberUniqueName="[행사기준].[횟수].[All]" allUniqueName="[행사기준].[횟수].[All]" dimensionUniqueName="[행사기준]" displayFolder="" count="0" memberValueDatatype="20" unbalanced="0"/>
    <cacheHierarchy uniqueName="[행사기준].[남자]" caption="남자" attribute="1" defaultMemberUniqueName="[행사기준].[남자].[All]" allUniqueName="[행사기준].[남자].[All]" dimensionUniqueName="[행사기준]" displayFolder="" count="0" memberValueDatatype="20" unbalanced="0"/>
    <cacheHierarchy uniqueName="[행사기준].[여자]" caption="여자" attribute="1" defaultMemberUniqueName="[행사기준].[여자].[All]" allUniqueName="[행사기준].[여자].[All]" dimensionUniqueName="[행사기준]" displayFolder="" count="0" memberValueDatatype="20" unbalanced="0"/>
    <cacheHierarchy uniqueName="[행사기준].[계]" caption="계" attribute="1" defaultMemberUniqueName="[행사기준].[계].[All]" allUniqueName="[행사기준].[계].[All]" dimensionUniqueName="[행사기준]" displayFolder="" count="0" memberValueDatatype="20" unbalanced="0"/>
    <cacheHierarchy uniqueName="[행사기준].[강사명]" caption="강사명" attribute="1" defaultMemberUniqueName="[행사기준].[강사명].[All]" allUniqueName="[행사기준].[강사명].[All]" dimensionUniqueName="[행사기준]" displayFolder="" count="0" memberValueDatatype="130" unbalanced="0"/>
    <cacheHierarchy uniqueName="[행사기준].[담당자1]" caption="담당자1" attribute="1" defaultMemberUniqueName="[행사기준].[담당자1].[All]" allUniqueName="[행사기준].[담당자1].[All]" dimensionUniqueName="[행사기준]" displayFolder="" count="0" memberValueDatatype="130" unbalanced="0"/>
    <cacheHierarchy uniqueName="[행사기준].[담당자2]" caption="담당자2" attribute="1" defaultMemberUniqueName="[행사기준].[담당자2].[All]" allUniqueName="[행사기준].[담당자2].[All]" dimensionUniqueName="[행사기준]" displayFolder="" count="0" memberValueDatatype="130" unbalanced="0"/>
    <cacheHierarchy uniqueName="[행사기준].[고유값]" caption="고유값" attribute="1" defaultMemberUniqueName="[행사기준].[고유값].[All]" allUniqueName="[행사기준].[고유값].[All]" dimensionUniqueName="[행사기준]" displayFolder="" count="0" memberValueDatatype="130" unbalanced="0"/>
    <cacheHierarchy uniqueName="[날짜tb].[월(월 인덱스)]" caption="월(월 인덱스)" attribute="1" defaultMemberUniqueName="[날짜tb].[월(월 인덱스)].[All]" allUniqueName="[날짜tb].[월(월 인덱스)].[All]" dimensionUniqueName="[날짜tb]" displayFolder="" count="0" memberValueDatatype="20" unbalanced="0" hidden="1"/>
    <cacheHierarchy uniqueName="[년월기준].[년월(월 인덱스)]" caption="년월(월 인덱스)" attribute="1" defaultMemberUniqueName="[년월기준].[년월(월 인덱스)].[All]" allUniqueName="[년월기준].[년월(월 인덱스)].[All]" dimensionUniqueName="[년월기준]" displayFolder="" count="0" memberValueDatatype="20" unbalanced="0" hidden="1"/>
    <cacheHierarchy uniqueName="[Measures].[__XL_Count 자료실기준]" caption="__XL_Count 자료실기준" measure="1" displayFolder="" measureGroup="자료실기준" count="0" hidden="1"/>
    <cacheHierarchy uniqueName="[Measures].[__XL_Count 행사기준]" caption="__XL_Count 행사기준" measure="1" displayFolder="" measureGroup="행사기준" count="0" hidden="1"/>
    <cacheHierarchy uniqueName="[Measures].[__XL_Count 날짜tb]" caption="__XL_Count 날짜tb" measure="1" displayFolder="" measureGroup="날짜tb" count="0" hidden="1"/>
    <cacheHierarchy uniqueName="[Measures].[__XL_Count 대출권수]" caption="__XL_Count 대출권수" measure="1" displayFolder="" measureGroup="대출권수" count="0" hidden="1"/>
    <cacheHierarchy uniqueName="[Measures].[__XL_Count 년월기준]" caption="__XL_Count 년월기준" measure="1" displayFolder="" measureGroup="년월기준" count="0" hidden="1"/>
    <cacheHierarchy uniqueName="[Measures].[__XL_Count 자료실범례]" caption="__XL_Count 자료실범례" measure="1" displayFolder="" measureGroup="자료실범례" count="0" hidden="1"/>
    <cacheHierarchy uniqueName="[Measures].[__XL_Count 개관일수범례]" caption="__XL_Count 개관일수범례" measure="1" displayFolder="" measureGroup="개관일수범례" count="0" hidden="1"/>
    <cacheHierarchy uniqueName="[Measures].[__정의된 측정값 없음]" caption="__정의된 측정값 없음" measure="1" displayFolder="" count="0" hidden="1"/>
    <cacheHierarchy uniqueName="[Measures].[합계: 어린이남자]" caption="합계: 어린이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합계: 어린이여자]" caption="합계: 어린이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합계: 청소년남자]" caption="합계: 청소년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합계: 청소년여자]" caption="합계: 청소년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합계: 성인남자]" caption="합계: 성인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합계: 성인여자]" caption="합계: 성인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합계: 어린이]" caption="합계: 어린이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합계: 청소년]" caption="합계: 청소년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합계: 성인]" caption="합계: 성인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합계: 남자]" caption="합계: 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합계: 여자]" caption="합계: 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합계: 합계]" caption="합계: 합계" measure="1" displayFolder="" measureGroup="대출권수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합계: 대출자수합계]" caption="합계: 대출자수합계" measure="1" displayFolder="" measureGroup="자료실기준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합계: 대출자수]" caption="합계: 대출자수" measure="1" displayFolder="" measureGroup="년월기준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합계: 대출권수]" caption="합계: 대출권수" measure="1" displayFolder="" measureGroup="년월기준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합계: 대출자수(전년동월)]" caption="합계: 대출자수(전년동월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개수: 전년동월비(대출자수)]" caption="개수: 전년동월비(대출자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합계: 대출권수(전년동월)]" caption="합계: 대출권수(전년동월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합계: 자유학습실인원]" caption="합계: 자유학습실인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합계: 여자 2]" caption="합계: 여자 2" measure="1" displayFolder="" measureGroup="행사기준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개수: 행사명]" caption="개수: 행사명" measure="1" displayFolder="" measureGroup="행사기준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개수: 전년동월비(행사참여자수)]" caption="개수: 전년동월비(행사참여자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합계: 전년동월비(대출자수)]" caption="합계: 전년동월비(대출자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합계: 전년동월비(권수)]" caption="합계: 전년동월비(권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총류]" caption="개수: 총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개수: 철학]" caption="개수: 철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개수: 종교]" caption="개수: 종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개수: 사회과학]" caption="개수: 사회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합계: 총류]" caption="합계: 총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합계: 철학]" caption="합계: 철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합계: 종교]" caption="합계: 종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합계: 사회과학]" caption="합계: 사회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합계: 자연과학]" caption="합계: 자연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합계: 기술과학]" caption="합계: 기술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합계: 예술]" caption="합계: 예술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합계: 언어]" caption="합계: 언어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합계: 문학]" caption="합계: 문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합계: 역사]" caption="합계: 역사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합계: 대출권수합계]" caption="합계: 대출권수합계" measure="1" displayFolder="" measureGroup="자료실기준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합계: 열람자수]" caption="합계: 열람자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합계: 열람권수]" caption="합계: 열람권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합계: 대출권수(6월예측포함)]" caption="합계: 대출권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합계: 대출자수(6월예측포함)]" caption="합계: 대출자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합계: 열람권수(6월예측포함)]" caption="합계: 열람권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합계: 열람자수(6월예측포함)]" caption="합계: 열람자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합계: 계]" caption="합계: 계" measure="1" displayFolder="" measureGroup="행사기준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합계: 횟수]" caption="합계: 횟수" measure="1" displayFolder="" measureGroup="행사기준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합계: 자유학습실]" caption="합계: 자유학습실" measure="1" displayFolder="" measureGroup="개관일수범례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합계: 자료실개관일수]" caption="합계: 자료실개관일수" measure="1" displayFolder="" measureGroup="개관일수범례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8">
    <dimension measure="1" name="Measures" uniqueName="[Measures]" caption="Measures"/>
    <dimension name="개관일수범례" uniqueName="[개관일수범례]" caption="개관일수범례"/>
    <dimension name="날짜tb" uniqueName="[날짜tb]" caption="날짜tb"/>
    <dimension name="년월기준" uniqueName="[년월기준]" caption="년월기준"/>
    <dimension name="대출권수" uniqueName="[대출권수]" caption="대출권수"/>
    <dimension name="자료실기준" uniqueName="[자료실기준]" caption="자료실기준"/>
    <dimension name="자료실범례" uniqueName="[자료실범례]" caption="자료실범례"/>
    <dimension name="행사기준" uniqueName="[행사기준]" caption="행사기준"/>
  </dimensions>
  <measureGroups count="7">
    <measureGroup name="개관일수범례" caption="개관일수범례"/>
    <measureGroup name="날짜tb" caption="날짜tb"/>
    <measureGroup name="년월기준" caption="년월기준"/>
    <measureGroup name="대출권수" caption="대출권수"/>
    <measureGroup name="자료실기준" caption="자료실기준"/>
    <measureGroup name="자료실범례" caption="자료실범례"/>
    <measureGroup name="행사기준" caption="행사기준"/>
  </measureGroups>
  <maps count="11">
    <map measureGroup="0" dimension="1"/>
    <map measureGroup="0" dimension="2"/>
    <map measureGroup="1" dimension="2"/>
    <map measureGroup="2" dimension="2"/>
    <map measureGroup="2" dimension="3"/>
    <map measureGroup="3" dimension="4"/>
    <map measureGroup="4" dimension="2"/>
    <map measureGroup="4" dimension="5"/>
    <map measureGroup="5" dimension="6"/>
    <map measureGroup="6" dimension="2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29.583627777778" backgroundQuery="1" createdVersion="6" refreshedVersion="6" minRefreshableVersion="3" recordCount="0" supportSubquery="1" supportAdvancedDrill="1" xr:uid="{CC887486-78CC-4B5F-9D17-5F72DA22F737}">
  <cacheSource type="external" connectionId="1"/>
  <cacheFields count="4">
    <cacheField name="[날짜tb].[월(월)].[월(월)]" caption="월(월)" numFmtId="0" hierarchy="10" level="1">
      <sharedItems containsSemiMixedTypes="0" containsNonDate="0" containsString="0"/>
    </cacheField>
    <cacheField name="[행사기준].[행사명].[행사명]" caption="행사명" numFmtId="0" hierarchy="78" level="1">
      <sharedItems count="43">
        <s v="MBTI 진단을 통한 자기이해와 진로 탐색"/>
        <s v="건강 셀프 발마사지"/>
        <s v="그림책이 살아 있다"/>
        <s v="꿈동(청소년) 독서동아리"/>
        <s v="내 단풍은 무슨 색?"/>
        <s v="내 손안의 스마트 미디어"/>
        <s v="내가 좋아하는 책 속 한 구절"/>
        <s v="당신의 문해력은 안녕하십니까?"/>
        <s v="도서관에서 만나는 창녕시네마"/>
        <s v="도서관에서 만나는 특별한 책 이야기"/>
        <s v="도전 119%"/>
        <s v="도토리 그림책 동아리"/>
        <s v="도토리 모자"/>
        <s v="두 배로 데이"/>
        <s v="딩동"/>
        <s v="레오 리오니 작가의 책"/>
        <s v="바이올린 초급반"/>
        <s v="버블 공연"/>
        <s v="브리타 테큰트럽 작가의 책"/>
        <s v="사서 추천 도서 서평 전시"/>
        <s v="사서가 들려주는 북 스토리"/>
        <s v="생각키움 독서퀴즈"/>
        <s v="생태야 같이 놀자"/>
        <s v="스마트한 독서생활"/>
        <s v="신난다 보드게임"/>
        <s v="신통방통 마법 천자문"/>
        <s v="어린이 현장학습"/>
        <s v="어린이역사인문학"/>
        <s v="연체 클린 데이"/>
        <s v="영화속 인문학 여행"/>
        <s v="왕초보를 위한 기초 생활 영어"/>
        <s v="이야기가 있는 그림책 원화 전시"/>
        <s v="조물조물손끝책빵"/>
        <s v="존 버닝햄 작가의 책"/>
        <s v="좋아한다고 말할 수 없었어"/>
        <s v="창녕 어린이 탐정단"/>
        <s v="창녕도서관을 빛낸 올해의 작가전"/>
        <s v="책이랑놀이랑"/>
        <s v="천고마비, 달콤한 도서관"/>
        <s v="초등 영어 마스터"/>
        <s v="추운 날엔 책 한잔"/>
        <s v="푸르미(어린이) 독서 동아리"/>
        <s v="화왕(성인) 독서동아리"/>
      </sharedItems>
    </cacheField>
    <cacheField name="[날짜tb].[월].[월]" caption="월" numFmtId="0" hierarchy="8" level="1">
      <sharedItems containsSemiMixedTypes="0" containsNonDate="0" containsString="0"/>
    </cacheField>
    <cacheField name="[Measures].[합계: 계]" caption="합계: 계" numFmtId="0" hierarchy="145" level="32767"/>
  </cacheFields>
  <cacheHierarchies count="149">
    <cacheHierarchy uniqueName="[개관일수범례].[년월]" caption="년월" attribute="1" time="1" defaultMemberUniqueName="[개관일수범례].[년월].[All]" allUniqueName="[개관일수범례].[년월].[All]" dimensionUniqueName="[개관일수범례]" displayFolder="" count="0" memberValueDatatype="7" unbalanced="0"/>
    <cacheHierarchy uniqueName="[개관일수범례].[자료실개관일수]" caption="자료실개관일수" attribute="1" defaultMemberUniqueName="[개관일수범례].[자료실개관일수].[All]" allUniqueName="[개관일수범례].[자료실개관일수].[All]" dimensionUniqueName="[개관일수범례]" displayFolder="" count="0" memberValueDatatype="20" unbalanced="0"/>
    <cacheHierarchy uniqueName="[개관일수범례].[자유학습실개관일수]" caption="자유학습실개관일수" attribute="1" defaultMemberUniqueName="[개관일수범례].[자유학습실개관일수].[All]" allUniqueName="[개관일수범례].[자유학습실개관일수].[All]" dimensionUniqueName="[개관일수범례]" displayFolder="" count="0" memberValueDatatype="20" unbalanced="0"/>
    <cacheHierarchy uniqueName="[개관일수범례].[자유학습실]" caption="자유학습실" attribute="1" defaultMemberUniqueName="[개관일수범례].[자유학습실].[All]" allUniqueName="[개관일수범례].[자유학습실].[All]" dimensionUniqueName="[개관일수범례]" displayFolder="" count="0" memberValueDatatype="20" unbalanced="0"/>
    <cacheHierarchy uniqueName="[개관일수범례].[일수]" caption="일수" attribute="1" defaultMemberUniqueName="[개관일수범례].[일수].[All]" allUniqueName="[개관일수범례].[일수].[All]" dimensionUniqueName="[개관일수범례]" displayFolder="" count="0" memberValueDatatype="20" unbalanced="0"/>
    <cacheHierarchy uniqueName="[개관일수범례].[정기휴관일]" caption="정기휴관일" attribute="1" defaultMemberUniqueName="[개관일수범례].[정기휴관일].[All]" allUniqueName="[개관일수범례].[정기휴관일].[All]" dimensionUniqueName="[개관일수범례]" displayFolder="" count="0" memberValueDatatype="20" unbalanced="0"/>
    <cacheHierarchy uniqueName="[개관일수범례].[공휴일]" caption="공휴일" attribute="1" defaultMemberUniqueName="[개관일수범례].[공휴일].[All]" allUniqueName="[개관일수범례].[공휴일].[All]" dimensionUniqueName="[개관일수범례]" displayFolder="" count="0" memberValueDatatype="20" unbalanced="0"/>
    <cacheHierarchy uniqueName="[개관일수범례].[자유학습실휴관일]" caption="자유학습실휴관일" attribute="1" defaultMemberUniqueName="[개관일수범례].[자유학습실휴관일].[All]" allUniqueName="[개관일수범례].[자유학습실휴관일].[All]" dimensionUniqueName="[개관일수범례]" displayFolder="" count="0" memberValueDatatype="20" unbalanced="0"/>
    <cacheHierarchy uniqueName="[날짜tb].[월]" caption="월" attribute="1" time="1" defaultMemberUniqueName="[날짜tb].[월].[All]" allUniqueName="[날짜tb].[월].[All]" dimensionUniqueName="[날짜tb]" displayFolder="" count="2" memberValueDatatype="7" unbalanced="0">
      <fieldsUsage count="2">
        <fieldUsage x="-1"/>
        <fieldUsage x="2"/>
      </fieldsUsage>
    </cacheHierarchy>
    <cacheHierarchy uniqueName="[날짜tb].[주]" caption="주" attribute="1" defaultMemberUniqueName="[날짜tb].[주].[All]" allUniqueName="[날짜tb].[주].[All]" dimensionUniqueName="[날짜tb]" displayFolder="" count="0" memberValueDatatype="20" unbalanced="0"/>
    <cacheHierarchy uniqueName="[날짜tb].[월(월)]" caption="월(월)" attribute="1" defaultMemberUniqueName="[날짜tb].[월(월)].[All]" allUniqueName="[날짜tb].[월(월)].[All]" dimensionUniqueName="[날짜tb]" displayFolder="" count="2" memberValueDatatype="130" unbalanced="0">
      <fieldsUsage count="2">
        <fieldUsage x="-1"/>
        <fieldUsage x="0"/>
      </fieldsUsage>
    </cacheHierarchy>
    <cacheHierarchy uniqueName="[년월기준].[년월]" caption="년월" attribute="1" time="1" defaultMemberUniqueName="[년월기준].[년월].[All]" allUniqueName="[년월기준].[년월].[All]" dimensionUniqueName="[년월기준]" displayFolder="" count="0" memberValueDatatype="7" unbalanced="0"/>
    <cacheHierarchy uniqueName="[년월기준].[고유값]" caption="고유값" attribute="1" defaultMemberUniqueName="[년월기준].[고유값].[All]" allUniqueName="[년월기준].[고유값].[All]" dimensionUniqueName="[년월기준]" displayFolder="" count="0" memberValueDatatype="130" unbalanced="0"/>
    <cacheHierarchy uniqueName="[년월기준].[대출자수]" caption="대출자수" attribute="1" defaultMemberUniqueName="[년월기준].[대출자수].[All]" allUniqueName="[년월기준].[대출자수].[All]" dimensionUniqueName="[년월기준]" displayFolder="" count="0" memberValueDatatype="20" unbalanced="0"/>
    <cacheHierarchy uniqueName="[년월기준].[대출자수(전년동월)]" caption="대출자수(전년동월)" attribute="1" defaultMemberUniqueName="[년월기준].[대출자수(전년동월)].[All]" allUniqueName="[년월기준].[대출자수(전년동월)].[All]" dimensionUniqueName="[년월기준]" displayFolder="" count="0" memberValueDatatype="20" unbalanced="0"/>
    <cacheHierarchy uniqueName="[년월기준].[전년동월비(대출자수)]" caption="전년동월비(대출자수)" attribute="1" defaultMemberUniqueName="[년월기준].[전년동월비(대출자수)].[All]" allUniqueName="[년월기준].[전년동월비(대출자수)].[All]" dimensionUniqueName="[년월기준]" displayFolder="" count="0" memberValueDatatype="5" unbalanced="0"/>
    <cacheHierarchy uniqueName="[년월기준].[대출권수]" caption="대출권수" attribute="1" defaultMemberUniqueName="[년월기준].[대출권수].[All]" allUniqueName="[년월기준].[대출권수].[All]" dimensionUniqueName="[년월기준]" displayFolder="" count="0" memberValueDatatype="20" unbalanced="0"/>
    <cacheHierarchy uniqueName="[년월기준].[대출권수(전년동월)]" caption="대출권수(전년동월)" attribute="1" defaultMemberUniqueName="[년월기준].[대출권수(전년동월)].[All]" allUniqueName="[년월기준].[대출권수(전년동월)].[All]" dimensionUniqueName="[년월기준]" displayFolder="" count="0" memberValueDatatype="20" unbalanced="0"/>
    <cacheHierarchy uniqueName="[년월기준].[전년동월비(권수)]" caption="전년동월비(권수)" attribute="1" defaultMemberUniqueName="[년월기준].[전년동월비(권수)].[All]" allUniqueName="[년월기준].[전년동월비(권수)].[All]" dimensionUniqueName="[년월기준]" displayFolder="" count="0" memberValueDatatype="5" unbalanced="0"/>
    <cacheHierarchy uniqueName="[년월기준].[행사참여자수]" caption="행사참여자수" attribute="1" defaultMemberUniqueName="[년월기준].[행사참여자수].[All]" allUniqueName="[년월기준].[행사참여자수].[All]" dimensionUniqueName="[년월기준]" displayFolder="" count="0" memberValueDatatype="20" unbalanced="0"/>
    <cacheHierarchy uniqueName="[년월기준].[행사참여자수(전년동월)]" caption="행사참여자수(전년동월)" attribute="1" defaultMemberUniqueName="[년월기준].[행사참여자수(전년동월)].[All]" allUniqueName="[년월기준].[행사참여자수(전년동월)].[All]" dimensionUniqueName="[년월기준]" displayFolder="" count="0" memberValueDatatype="20" unbalanced="0"/>
    <cacheHierarchy uniqueName="[년월기준].[전년동월비(행사참여자수)]" caption="전년동월비(행사참여자수)" attribute="1" defaultMemberUniqueName="[년월기준].[전년동월비(행사참여자수)].[All]" allUniqueName="[년월기준].[전년동월비(행사참여자수)].[All]" dimensionUniqueName="[년월기준]" displayFolder="" count="0" memberValueDatatype="5" unbalanced="0"/>
    <cacheHierarchy uniqueName="[년월기준].[년월(월)]" caption="년월(월)" attribute="1" defaultMemberUniqueName="[년월기준].[년월(월)].[All]" allUniqueName="[년월기준].[년월(월)].[All]" dimensionUniqueName="[년월기준]" displayFolder="" count="0" memberValueDatatype="130" unbalanced="0"/>
    <cacheHierarchy uniqueName="[대출권수].[년월]" caption="년월" attribute="1" time="1" defaultMemberUniqueName="[대출권수].[년월].[All]" allUniqueName="[대출권수].[년월].[All]" dimensionUniqueName="[대출권수]" displayFolder="" count="0" memberValueDatatype="7" unbalanced="0"/>
    <cacheHierarchy uniqueName="[대출권수].[소장처명]" caption="소장처명" attribute="1" defaultMemberUniqueName="[대출권수].[소장처명].[All]" allUniqueName="[대출권수].[소장처명].[All]" dimensionUniqueName="[대출권수]" displayFolder="" count="0" memberValueDatatype="130" unbalanced="0"/>
    <cacheHierarchy uniqueName="[대출권수].[자료실구분]" caption="자료실구분" attribute="1" defaultMemberUniqueName="[대출권수].[자료실구분].[All]" allUniqueName="[대출권수].[자료실구분].[All]" dimensionUniqueName="[대출권수]" displayFolder="" count="0" memberValueDatatype="130" unbalanced="0"/>
    <cacheHierarchy uniqueName="[대출권수].[대출반납]" caption="대출반납" attribute="1" defaultMemberUniqueName="[대출권수].[대출반납].[All]" allUniqueName="[대출권수].[대출반납].[All]" dimensionUniqueName="[대출권수]" displayFolder="" count="0" memberValueDatatype="130" unbalanced="0"/>
    <cacheHierarchy uniqueName="[대출권수].[총류]" caption="총류" attribute="1" defaultMemberUniqueName="[대출권수].[총류].[All]" allUniqueName="[대출권수].[총류].[All]" dimensionUniqueName="[대출권수]" displayFolder="" count="0" memberValueDatatype="20" unbalanced="0"/>
    <cacheHierarchy uniqueName="[대출권수].[철학]" caption="철학" attribute="1" defaultMemberUniqueName="[대출권수].[철학].[All]" allUniqueName="[대출권수].[철학].[All]" dimensionUniqueName="[대출권수]" displayFolder="" count="0" memberValueDatatype="20" unbalanced="0"/>
    <cacheHierarchy uniqueName="[대출권수].[종교]" caption="종교" attribute="1" defaultMemberUniqueName="[대출권수].[종교].[All]" allUniqueName="[대출권수].[종교].[All]" dimensionUniqueName="[대출권수]" displayFolder="" count="0" memberValueDatatype="20" unbalanced="0"/>
    <cacheHierarchy uniqueName="[대출권수].[사회과학]" caption="사회과학" attribute="1" defaultMemberUniqueName="[대출권수].[사회과학].[All]" allUniqueName="[대출권수].[사회과학].[All]" dimensionUniqueName="[대출권수]" displayFolder="" count="0" memberValueDatatype="20" unbalanced="0"/>
    <cacheHierarchy uniqueName="[대출권수].[자연과학]" caption="자연과학" attribute="1" defaultMemberUniqueName="[대출권수].[자연과학].[All]" allUniqueName="[대출권수].[자연과학].[All]" dimensionUniqueName="[대출권수]" displayFolder="" count="0" memberValueDatatype="20" unbalanced="0"/>
    <cacheHierarchy uniqueName="[대출권수].[기술과학]" caption="기술과학" attribute="1" defaultMemberUniqueName="[대출권수].[기술과학].[All]" allUniqueName="[대출권수].[기술과학].[All]" dimensionUniqueName="[대출권수]" displayFolder="" count="0" memberValueDatatype="20" unbalanced="0"/>
    <cacheHierarchy uniqueName="[대출권수].[예술]" caption="예술" attribute="1" defaultMemberUniqueName="[대출권수].[예술].[All]" allUniqueName="[대출권수].[예술].[All]" dimensionUniqueName="[대출권수]" displayFolder="" count="0" memberValueDatatype="20" unbalanced="0"/>
    <cacheHierarchy uniqueName="[대출권수].[언어]" caption="언어" attribute="1" defaultMemberUniqueName="[대출권수].[언어].[All]" allUniqueName="[대출권수].[언어].[All]" dimensionUniqueName="[대출권수]" displayFolder="" count="0" memberValueDatatype="20" unbalanced="0"/>
    <cacheHierarchy uniqueName="[대출권수].[문학]" caption="문학" attribute="1" defaultMemberUniqueName="[대출권수].[문학].[All]" allUniqueName="[대출권수].[문학].[All]" dimensionUniqueName="[대출권수]" displayFolder="" count="0" memberValueDatatype="20" unbalanced="0"/>
    <cacheHierarchy uniqueName="[대출권수].[역사]" caption="역사" attribute="1" defaultMemberUniqueName="[대출권수].[역사].[All]" allUniqueName="[대출권수].[역사].[All]" dimensionUniqueName="[대출권수]" displayFolder="" count="0" memberValueDatatype="20" unbalanced="0"/>
    <cacheHierarchy uniqueName="[대출권수].[기타]" caption="기타" attribute="1" defaultMemberUniqueName="[대출권수].[기타].[All]" allUniqueName="[대출권수].[기타].[All]" dimensionUniqueName="[대출권수]" displayFolder="" count="0" memberValueDatatype="20" unbalanced="0"/>
    <cacheHierarchy uniqueName="[대출권수].[합계]" caption="합계" attribute="1" defaultMemberUniqueName="[대출권수].[합계].[All]" allUniqueName="[대출권수].[합계].[All]" dimensionUniqueName="[대출권수]" displayFolder="" count="0" memberValueDatatype="20" unbalanced="0"/>
    <cacheHierarchy uniqueName="[자료실기준].[년월]" caption="년월" attribute="1" time="1" defaultMemberUniqueName="[자료실기준].[년월].[All]" allUniqueName="[자료실기준].[년월].[All]" dimensionUniqueName="[자료실기준]" displayFolder="" count="0" memberValueDatatype="7" unbalanced="0"/>
    <cacheHierarchy uniqueName="[자료실기준].[소장처명]" caption="소장처명" attribute="1" defaultMemberUniqueName="[자료실기준].[소장처명].[All]" allUniqueName="[자료실기준].[소장처명].[All]" dimensionUniqueName="[자료실기준]" displayFolder="" count="0" memberValueDatatype="130" unbalanced="0"/>
    <cacheHierarchy uniqueName="[자료실기준].[고유값]" caption="고유값" attribute="1" defaultMemberUniqueName="[자료실기준].[고유값].[All]" allUniqueName="[자료실기준].[고유값].[All]" dimensionUniqueName="[자료실기준]" displayFolder="" count="0" memberValueDatatype="130" unbalanced="0"/>
    <cacheHierarchy uniqueName="[자료실기준].[자료실구분]" caption="자료실구분" attribute="1" defaultMemberUniqueName="[자료실기준].[자료실구분].[All]" allUniqueName="[자료실기준].[자료실구분].[All]" dimensionUniqueName="[자료실기준]" displayFolder="" count="0" memberValueDatatype="130" unbalanced="0"/>
    <cacheHierarchy uniqueName="[자료실기준].[어린이남자]" caption="어린이남자" attribute="1" defaultMemberUniqueName="[자료실기준].[어린이남자].[All]" allUniqueName="[자료실기준].[어린이남자].[All]" dimensionUniqueName="[자료실기준]" displayFolder="" count="0" memberValueDatatype="20" unbalanced="0"/>
    <cacheHierarchy uniqueName="[자료실기준].[어린이여자]" caption="어린이여자" attribute="1" defaultMemberUniqueName="[자료실기준].[어린이여자].[All]" allUniqueName="[자료실기준].[어린이여자].[All]" dimensionUniqueName="[자료실기준]" displayFolder="" count="0" memberValueDatatype="20" unbalanced="0"/>
    <cacheHierarchy uniqueName="[자료실기준].[청소년남자]" caption="청소년남자" attribute="1" defaultMemberUniqueName="[자료실기준].[청소년남자].[All]" allUniqueName="[자료실기준].[청소년남자].[All]" dimensionUniqueName="[자료실기준]" displayFolder="" count="0" memberValueDatatype="20" unbalanced="0"/>
    <cacheHierarchy uniqueName="[자료실기준].[청소년여자]" caption="청소년여자" attribute="1" defaultMemberUniqueName="[자료실기준].[청소년여자].[All]" allUniqueName="[자료실기준].[청소년여자].[All]" dimensionUniqueName="[자료실기준]" displayFolder="" count="0" memberValueDatatype="20" unbalanced="0"/>
    <cacheHierarchy uniqueName="[자료실기준].[성인남자]" caption="성인남자" attribute="1" defaultMemberUniqueName="[자료실기준].[성인남자].[All]" allUniqueName="[자료실기준].[성인남자].[All]" dimensionUniqueName="[자료실기준]" displayFolder="" count="0" memberValueDatatype="20" unbalanced="0"/>
    <cacheHierarchy uniqueName="[자료실기준].[성인여자]" caption="성인여자" attribute="1" defaultMemberUniqueName="[자료실기준].[성인여자].[All]" allUniqueName="[자료실기준].[성인여자].[All]" dimensionUniqueName="[자료실기준]" displayFolder="" count="0" memberValueDatatype="20" unbalanced="0"/>
    <cacheHierarchy uniqueName="[자료실기준].[어린이]" caption="어린이" attribute="1" defaultMemberUniqueName="[자료실기준].[어린이].[All]" allUniqueName="[자료실기준].[어린이].[All]" dimensionUniqueName="[자료실기준]" displayFolder="" count="0" memberValueDatatype="20" unbalanced="0"/>
    <cacheHierarchy uniqueName="[자료실기준].[청소년]" caption="청소년" attribute="1" defaultMemberUniqueName="[자료실기준].[청소년].[All]" allUniqueName="[자료실기준].[청소년].[All]" dimensionUniqueName="[자료실기준]" displayFolder="" count="0" memberValueDatatype="20" unbalanced="0"/>
    <cacheHierarchy uniqueName="[자료실기준].[성인]" caption="성인" attribute="1" defaultMemberUniqueName="[자료실기준].[성인].[All]" allUniqueName="[자료실기준].[성인].[All]" dimensionUniqueName="[자료실기준]" displayFolder="" count="0" memberValueDatatype="20" unbalanced="0"/>
    <cacheHierarchy uniqueName="[자료실기준].[남자]" caption="남자" attribute="1" defaultMemberUniqueName="[자료실기준].[남자].[All]" allUniqueName="[자료실기준].[남자].[All]" dimensionUniqueName="[자료실기준]" displayFolder="" count="0" memberValueDatatype="20" unbalanced="0"/>
    <cacheHierarchy uniqueName="[자료실기준].[여자]" caption="여자" attribute="1" defaultMemberUniqueName="[자료실기준].[여자].[All]" allUniqueName="[자료실기준].[여자].[All]" dimensionUniqueName="[자료실기준]" displayFolder="" count="0" memberValueDatatype="20" unbalanced="0"/>
    <cacheHierarchy uniqueName="[자료실기준].[대출자수합계]" caption="대출자수합계" attribute="1" defaultMemberUniqueName="[자료실기준].[대출자수합계].[All]" allUniqueName="[자료실기준].[대출자수합계].[All]" dimensionUniqueName="[자료실기준]" displayFolder="" count="0" memberValueDatatype="20" unbalanced="0"/>
    <cacheHierarchy uniqueName="[자료실기준].[총류]" caption="총류" attribute="1" defaultMemberUniqueName="[자료실기준].[총류].[All]" allUniqueName="[자료실기준].[총류].[All]" dimensionUniqueName="[자료실기준]" displayFolder="" count="0" memberValueDatatype="20" unbalanced="0"/>
    <cacheHierarchy uniqueName="[자료실기준].[철학]" caption="철학" attribute="1" defaultMemberUniqueName="[자료실기준].[철학].[All]" allUniqueName="[자료실기준].[철학].[All]" dimensionUniqueName="[자료실기준]" displayFolder="" count="0" memberValueDatatype="20" unbalanced="0"/>
    <cacheHierarchy uniqueName="[자료실기준].[종교]" caption="종교" attribute="1" defaultMemberUniqueName="[자료실기준].[종교].[All]" allUniqueName="[자료실기준].[종교].[All]" dimensionUniqueName="[자료실기준]" displayFolder="" count="0" memberValueDatatype="20" unbalanced="0"/>
    <cacheHierarchy uniqueName="[자료실기준].[사회과학]" caption="사회과학" attribute="1" defaultMemberUniqueName="[자료실기준].[사회과학].[All]" allUniqueName="[자료실기준].[사회과학].[All]" dimensionUniqueName="[자료실기준]" displayFolder="" count="0" memberValueDatatype="20" unbalanced="0"/>
    <cacheHierarchy uniqueName="[자료실기준].[자연과학]" caption="자연과학" attribute="1" defaultMemberUniqueName="[자료실기준].[자연과학].[All]" allUniqueName="[자료실기준].[자연과학].[All]" dimensionUniqueName="[자료실기준]" displayFolder="" count="0" memberValueDatatype="20" unbalanced="0"/>
    <cacheHierarchy uniqueName="[자료실기준].[기술과학]" caption="기술과학" attribute="1" defaultMemberUniqueName="[자료실기준].[기술과학].[All]" allUniqueName="[자료실기준].[기술과학].[All]" dimensionUniqueName="[자료실기준]" displayFolder="" count="0" memberValueDatatype="20" unbalanced="0"/>
    <cacheHierarchy uniqueName="[자료실기준].[예술]" caption="예술" attribute="1" defaultMemberUniqueName="[자료실기준].[예술].[All]" allUniqueName="[자료실기준].[예술].[All]" dimensionUniqueName="[자료실기준]" displayFolder="" count="0" memberValueDatatype="20" unbalanced="0"/>
    <cacheHierarchy uniqueName="[자료실기준].[언어]" caption="언어" attribute="1" defaultMemberUniqueName="[자료실기준].[언어].[All]" allUniqueName="[자료실기준].[언어].[All]" dimensionUniqueName="[자료실기준]" displayFolder="" count="0" memberValueDatatype="20" unbalanced="0"/>
    <cacheHierarchy uniqueName="[자료실기준].[문학]" caption="문학" attribute="1" defaultMemberUniqueName="[자료실기준].[문학].[All]" allUniqueName="[자료실기준].[문학].[All]" dimensionUniqueName="[자료실기준]" displayFolder="" count="0" memberValueDatatype="20" unbalanced="0"/>
    <cacheHierarchy uniqueName="[자료실기준].[역사]" caption="역사" attribute="1" defaultMemberUniqueName="[자료실기준].[역사].[All]" allUniqueName="[자료실기준].[역사].[All]" dimensionUniqueName="[자료실기준]" displayFolder="" count="0" memberValueDatatype="20" unbalanced="0"/>
    <cacheHierarchy uniqueName="[자료실기준].[대출권수합계]" caption="대출권수합계" attribute="1" defaultMemberUniqueName="[자료실기준].[대출권수합계].[All]" allUniqueName="[자료실기준].[대출권수합계].[All]" dimensionUniqueName="[자료실기준]" displayFolder="" count="0" memberValueDatatype="20" unbalanced="0"/>
    <cacheHierarchy uniqueName="[자료실기준].[자유학습실인원]" caption="자유학습실인원" attribute="1" defaultMemberUniqueName="[자료실기준].[자유학습실인원].[All]" allUniqueName="[자료실기준].[자유학습실인원].[All]" dimensionUniqueName="[자료실기준]" displayFolder="" count="0" memberValueDatatype="20" unbalanced="0"/>
    <cacheHierarchy uniqueName="[자료실기준].[열람자수]" caption="열람자수" attribute="1" defaultMemberUniqueName="[자료실기준].[열람자수].[All]" allUniqueName="[자료실기준].[열람자수].[All]" dimensionUniqueName="[자료실기준]" displayFolder="" count="0" memberValueDatatype="20" unbalanced="0"/>
    <cacheHierarchy uniqueName="[자료실기준].[열람권수]" caption="열람권수" attribute="1" defaultMemberUniqueName="[자료실기준].[열람권수].[All]" allUniqueName="[자료실기준].[열람권수].[All]" dimensionUniqueName="[자료실기준]" displayFolder="" count="0" memberValueDatatype="20" unbalanced="0"/>
    <cacheHierarchy uniqueName="[자료실기준].[대출권수(6월예측포함)]" caption="대출권수(6월예측포함)" attribute="1" defaultMemberUniqueName="[자료실기준].[대출권수(6월예측포함)].[All]" allUniqueName="[자료실기준].[대출권수(6월예측포함)].[All]" dimensionUniqueName="[자료실기준]" displayFolder="" count="0" memberValueDatatype="5" unbalanced="0"/>
    <cacheHierarchy uniqueName="[자료실기준].[대출자수(6월예측포함)]" caption="대출자수(6월예측포함)" attribute="1" defaultMemberUniqueName="[자료실기준].[대출자수(6월예측포함)].[All]" allUniqueName="[자료실기준].[대출자수(6월예측포함)].[All]" dimensionUniqueName="[자료실기준]" displayFolder="" count="0" memberValueDatatype="5" unbalanced="0"/>
    <cacheHierarchy uniqueName="[자료실기준].[열람권수(6월예측포함)]" caption="열람권수(6월예측포함)" attribute="1" defaultMemberUniqueName="[자료실기준].[열람권수(6월예측포함)].[All]" allUniqueName="[자료실기준].[열람권수(6월예측포함)].[All]" dimensionUniqueName="[자료실기준]" displayFolder="" count="0" memberValueDatatype="5" unbalanced="0"/>
    <cacheHierarchy uniqueName="[자료실기준].[열람자수(6월예측포함)]" caption="열람자수(6월예측포함)" attribute="1" defaultMemberUniqueName="[자료실기준].[열람자수(6월예측포함)].[All]" allUniqueName="[자료실기준].[열람자수(6월예측포함)].[All]" dimensionUniqueName="[자료실기준]" displayFolder="" count="0" memberValueDatatype="5" unbalanced="0"/>
    <cacheHierarchy uniqueName="[자료실범례].[소장처명]" caption="소장처명" attribute="1" defaultMemberUniqueName="[자료실범례].[소장처명].[All]" allUniqueName="[자료실범례].[소장처명].[All]" dimensionUniqueName="[자료실범례]" displayFolder="" count="0" memberValueDatatype="130" unbalanced="0"/>
    <cacheHierarchy uniqueName="[자료실범례].[구분]" caption="구분" attribute="1" defaultMemberUniqueName="[자료실범례].[구분].[All]" allUniqueName="[자료실범례].[구분].[All]" dimensionUniqueName="[자료실범례]" displayFolder="" count="0" memberValueDatatype="130" unbalanced="0"/>
    <cacheHierarchy uniqueName="[행사기준].[년월]" caption="년월" attribute="1" time="1" defaultMemberUniqueName="[행사기준].[년월].[All]" allUniqueName="[행사기준].[년월].[All]" dimensionUniqueName="[행사기준]" displayFolder="" count="0" memberValueDatatype="7" unbalanced="0"/>
    <cacheHierarchy uniqueName="[행사기준].[행사분류]" caption="행사분류" attribute="1" defaultMemberUniqueName="[행사기준].[행사분류].[All]" allUniqueName="[행사기준].[행사분류].[All]" dimensionUniqueName="[행사기준]" displayFolder="" count="2" memberValueDatatype="130" unbalanced="0"/>
    <cacheHierarchy uniqueName="[행사기준].[행사분류2]" caption="행사분류2" attribute="1" defaultMemberUniqueName="[행사기준].[행사분류2].[All]" allUniqueName="[행사기준].[행사분류2].[All]" dimensionUniqueName="[행사기준]" displayFolder="" count="0" memberValueDatatype="130" unbalanced="0"/>
    <cacheHierarchy uniqueName="[행사기준].[행사명]" caption="행사명" attribute="1" defaultMemberUniqueName="[행사기준].[행사명].[All]" allUniqueName="[행사기준].[행사명].[All]" dimensionUniqueName="[행사기준]" displayFolder="" count="2" memberValueDatatype="130" unbalanced="0">
      <fieldsUsage count="2">
        <fieldUsage x="-1"/>
        <fieldUsage x="1"/>
      </fieldsUsage>
    </cacheHierarchy>
    <cacheHierarchy uniqueName="[행사기준].[대상1]" caption="대상1" attribute="1" defaultMemberUniqueName="[행사기준].[대상1].[All]" allUniqueName="[행사기준].[대상1].[All]" dimensionUniqueName="[행사기준]" displayFolder="" count="0" memberValueDatatype="130" unbalanced="0"/>
    <cacheHierarchy uniqueName="[행사기준].[대상2]" caption="대상2" attribute="1" defaultMemberUniqueName="[행사기준].[대상2].[All]" allUniqueName="[행사기준].[대상2].[All]" dimensionUniqueName="[행사기준]" displayFolder="" count="0" memberValueDatatype="130" unbalanced="0"/>
    <cacheHierarchy uniqueName="[행사기준].[대상(상세)]" caption="대상(상세)" attribute="1" defaultMemberUniqueName="[행사기준].[대상(상세)].[All]" allUniqueName="[행사기준].[대상(상세)].[All]" dimensionUniqueName="[행사기준]" displayFolder="" count="0" memberValueDatatype="130" unbalanced="0"/>
    <cacheHierarchy uniqueName="[행사기준].[횟수]" caption="횟수" attribute="1" defaultMemberUniqueName="[행사기준].[횟수].[All]" allUniqueName="[행사기준].[횟수].[All]" dimensionUniqueName="[행사기준]" displayFolder="" count="0" memberValueDatatype="20" unbalanced="0"/>
    <cacheHierarchy uniqueName="[행사기준].[남자]" caption="남자" attribute="1" defaultMemberUniqueName="[행사기준].[남자].[All]" allUniqueName="[행사기준].[남자].[All]" dimensionUniqueName="[행사기준]" displayFolder="" count="0" memberValueDatatype="20" unbalanced="0"/>
    <cacheHierarchy uniqueName="[행사기준].[여자]" caption="여자" attribute="1" defaultMemberUniqueName="[행사기준].[여자].[All]" allUniqueName="[행사기준].[여자].[All]" dimensionUniqueName="[행사기준]" displayFolder="" count="0" memberValueDatatype="20" unbalanced="0"/>
    <cacheHierarchy uniqueName="[행사기준].[계]" caption="계" attribute="1" defaultMemberUniqueName="[행사기준].[계].[All]" allUniqueName="[행사기준].[계].[All]" dimensionUniqueName="[행사기준]" displayFolder="" count="0" memberValueDatatype="20" unbalanced="0"/>
    <cacheHierarchy uniqueName="[행사기준].[강사명]" caption="강사명" attribute="1" defaultMemberUniqueName="[행사기준].[강사명].[All]" allUniqueName="[행사기준].[강사명].[All]" dimensionUniqueName="[행사기준]" displayFolder="" count="0" memberValueDatatype="130" unbalanced="0"/>
    <cacheHierarchy uniqueName="[행사기준].[담당자1]" caption="담당자1" attribute="1" defaultMemberUniqueName="[행사기준].[담당자1].[All]" allUniqueName="[행사기준].[담당자1].[All]" dimensionUniqueName="[행사기준]" displayFolder="" count="0" memberValueDatatype="130" unbalanced="0"/>
    <cacheHierarchy uniqueName="[행사기준].[담당자2]" caption="담당자2" attribute="1" defaultMemberUniqueName="[행사기준].[담당자2].[All]" allUniqueName="[행사기준].[담당자2].[All]" dimensionUniqueName="[행사기준]" displayFolder="" count="0" memberValueDatatype="130" unbalanced="0"/>
    <cacheHierarchy uniqueName="[행사기준].[고유값]" caption="고유값" attribute="1" defaultMemberUniqueName="[행사기준].[고유값].[All]" allUniqueName="[행사기준].[고유값].[All]" dimensionUniqueName="[행사기준]" displayFolder="" count="0" memberValueDatatype="130" unbalanced="0"/>
    <cacheHierarchy uniqueName="[날짜tb].[월(월 인덱스)]" caption="월(월 인덱스)" attribute="1" defaultMemberUniqueName="[날짜tb].[월(월 인덱스)].[All]" allUniqueName="[날짜tb].[월(월 인덱스)].[All]" dimensionUniqueName="[날짜tb]" displayFolder="" count="0" memberValueDatatype="20" unbalanced="0" hidden="1"/>
    <cacheHierarchy uniqueName="[년월기준].[년월(월 인덱스)]" caption="년월(월 인덱스)" attribute="1" defaultMemberUniqueName="[년월기준].[년월(월 인덱스)].[All]" allUniqueName="[년월기준].[년월(월 인덱스)].[All]" dimensionUniqueName="[년월기준]" displayFolder="" count="0" memberValueDatatype="20" unbalanced="0" hidden="1"/>
    <cacheHierarchy uniqueName="[Measures].[__XL_Count 자료실기준]" caption="__XL_Count 자료실기준" measure="1" displayFolder="" measureGroup="자료실기준" count="0" hidden="1"/>
    <cacheHierarchy uniqueName="[Measures].[__XL_Count 행사기준]" caption="__XL_Count 행사기준" measure="1" displayFolder="" measureGroup="행사기준" count="0" hidden="1"/>
    <cacheHierarchy uniqueName="[Measures].[__XL_Count 날짜tb]" caption="__XL_Count 날짜tb" measure="1" displayFolder="" measureGroup="날짜tb" count="0" hidden="1"/>
    <cacheHierarchy uniqueName="[Measures].[__XL_Count 대출권수]" caption="__XL_Count 대출권수" measure="1" displayFolder="" measureGroup="대출권수" count="0" hidden="1"/>
    <cacheHierarchy uniqueName="[Measures].[__XL_Count 년월기준]" caption="__XL_Count 년월기준" measure="1" displayFolder="" measureGroup="년월기준" count="0" hidden="1"/>
    <cacheHierarchy uniqueName="[Measures].[__XL_Count 자료실범례]" caption="__XL_Count 자료실범례" measure="1" displayFolder="" measureGroup="자료실범례" count="0" hidden="1"/>
    <cacheHierarchy uniqueName="[Measures].[__XL_Count 개관일수범례]" caption="__XL_Count 개관일수범례" measure="1" displayFolder="" measureGroup="개관일수범례" count="0" hidden="1"/>
    <cacheHierarchy uniqueName="[Measures].[__정의된 측정값 없음]" caption="__정의된 측정값 없음" measure="1" displayFolder="" count="0" hidden="1"/>
    <cacheHierarchy uniqueName="[Measures].[합계: 어린이남자]" caption="합계: 어린이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합계: 어린이여자]" caption="합계: 어린이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합계: 청소년남자]" caption="합계: 청소년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합계: 청소년여자]" caption="합계: 청소년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합계: 성인남자]" caption="합계: 성인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합계: 성인여자]" caption="합계: 성인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합계: 어린이]" caption="합계: 어린이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합계: 청소년]" caption="합계: 청소년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합계: 성인]" caption="합계: 성인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합계: 남자]" caption="합계: 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합계: 여자]" caption="합계: 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합계: 합계]" caption="합계: 합계" measure="1" displayFolder="" measureGroup="대출권수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합계: 대출자수합계]" caption="합계: 대출자수합계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합계: 대출자수]" caption="합계: 대출자수" measure="1" displayFolder="" measureGroup="년월기준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합계: 대출권수]" caption="합계: 대출권수" measure="1" displayFolder="" measureGroup="년월기준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합계: 대출자수(전년동월)]" caption="합계: 대출자수(전년동월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개수: 전년동월비(대출자수)]" caption="개수: 전년동월비(대출자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합계: 대출권수(전년동월)]" caption="합계: 대출권수(전년동월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합계: 자유학습실인원]" caption="합계: 자유학습실인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합계: 여자 2]" caption="합계: 여자 2" measure="1" displayFolder="" measureGroup="행사기준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개수: 행사명]" caption="개수: 행사명" measure="1" displayFolder="" measureGroup="행사기준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개수: 전년동월비(행사참여자수)]" caption="개수: 전년동월비(행사참여자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합계: 전년동월비(대출자수)]" caption="합계: 전년동월비(대출자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합계: 전년동월비(권수)]" caption="합계: 전년동월비(권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총류]" caption="개수: 총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개수: 철학]" caption="개수: 철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개수: 종교]" caption="개수: 종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개수: 사회과학]" caption="개수: 사회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합계: 총류]" caption="합계: 총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합계: 철학]" caption="합계: 철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합계: 종교]" caption="합계: 종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합계: 사회과학]" caption="합계: 사회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합계: 자연과학]" caption="합계: 자연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합계: 기술과학]" caption="합계: 기술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합계: 예술]" caption="합계: 예술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합계: 언어]" caption="합계: 언어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합계: 문학]" caption="합계: 문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합계: 역사]" caption="합계: 역사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합계: 대출권수합계]" caption="합계: 대출권수합계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합계: 열람자수]" caption="합계: 열람자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합계: 열람권수]" caption="합계: 열람권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합계: 대출권수(6월예측포함)]" caption="합계: 대출권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합계: 대출자수(6월예측포함)]" caption="합계: 대출자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합계: 열람권수(6월예측포함)]" caption="합계: 열람권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합계: 열람자수(6월예측포함)]" caption="합계: 열람자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합계: 계]" caption="합계: 계" measure="1" displayFolder="" measureGroup="행사기준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합계: 횟수]" caption="합계: 횟수" measure="1" displayFolder="" measureGroup="행사기준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합계: 자유학습실]" caption="합계: 자유학습실" measure="1" displayFolder="" measureGroup="개관일수범례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합계: 자료실개관일수]" caption="합계: 자료실개관일수" measure="1" displayFolder="" measureGroup="개관일수범례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8">
    <dimension measure="1" name="Measures" uniqueName="[Measures]" caption="Measures"/>
    <dimension name="개관일수범례" uniqueName="[개관일수범례]" caption="개관일수범례"/>
    <dimension name="날짜tb" uniqueName="[날짜tb]" caption="날짜tb"/>
    <dimension name="년월기준" uniqueName="[년월기준]" caption="년월기준"/>
    <dimension name="대출권수" uniqueName="[대출권수]" caption="대출권수"/>
    <dimension name="자료실기준" uniqueName="[자료실기준]" caption="자료실기준"/>
    <dimension name="자료실범례" uniqueName="[자료실범례]" caption="자료실범례"/>
    <dimension name="행사기준" uniqueName="[행사기준]" caption="행사기준"/>
  </dimensions>
  <measureGroups count="7">
    <measureGroup name="개관일수범례" caption="개관일수범례"/>
    <measureGroup name="날짜tb" caption="날짜tb"/>
    <measureGroup name="년월기준" caption="년월기준"/>
    <measureGroup name="대출권수" caption="대출권수"/>
    <measureGroup name="자료실기준" caption="자료실기준"/>
    <measureGroup name="자료실범례" caption="자료실범례"/>
    <measureGroup name="행사기준" caption="행사기준"/>
  </measureGroups>
  <maps count="11">
    <map measureGroup="0" dimension="1"/>
    <map measureGroup="0" dimension="2"/>
    <map measureGroup="1" dimension="2"/>
    <map measureGroup="2" dimension="2"/>
    <map measureGroup="2" dimension="3"/>
    <map measureGroup="3" dimension="4"/>
    <map measureGroup="4" dimension="2"/>
    <map measureGroup="4" dimension="5"/>
    <map measureGroup="5" dimension="6"/>
    <map measureGroup="6" dimension="2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29.58362824074" backgroundQuery="1" createdVersion="6" refreshedVersion="6" minRefreshableVersion="3" recordCount="0" supportSubquery="1" supportAdvancedDrill="1" xr:uid="{0DD8122B-D643-49D1-86EF-278EACD299C3}">
  <cacheSource type="external" connectionId="1"/>
  <cacheFields count="4">
    <cacheField name="[날짜tb].[월(월)].[월(월)]" caption="월(월)" numFmtId="0" hierarchy="10" level="1">
      <sharedItems containsSemiMixedTypes="0" containsNonDate="0" containsString="0"/>
    </cacheField>
    <cacheField name="[행사기준].[행사분류].[행사분류]" caption="행사분류" numFmtId="0" hierarchy="76" level="1">
      <sharedItems count="7">
        <s v="SNS"/>
        <s v="견학"/>
        <s v="독서동아리"/>
        <s v="독서문화"/>
        <s v="전시"/>
        <s v="평생학습"/>
        <s v="학교도서관"/>
      </sharedItems>
    </cacheField>
    <cacheField name="[날짜tb].[월].[월]" caption="월" numFmtId="0" hierarchy="8" level="1">
      <sharedItems containsSemiMixedTypes="0" containsNonDate="0" containsString="0"/>
    </cacheField>
    <cacheField name="[Measures].[합계: 계]" caption="합계: 계" numFmtId="0" hierarchy="145" level="32767"/>
  </cacheFields>
  <cacheHierarchies count="149">
    <cacheHierarchy uniqueName="[개관일수범례].[년월]" caption="년월" attribute="1" time="1" defaultMemberUniqueName="[개관일수범례].[년월].[All]" allUniqueName="[개관일수범례].[년월].[All]" dimensionUniqueName="[개관일수범례]" displayFolder="" count="0" memberValueDatatype="7" unbalanced="0"/>
    <cacheHierarchy uniqueName="[개관일수범례].[자료실개관일수]" caption="자료실개관일수" attribute="1" defaultMemberUniqueName="[개관일수범례].[자료실개관일수].[All]" allUniqueName="[개관일수범례].[자료실개관일수].[All]" dimensionUniqueName="[개관일수범례]" displayFolder="" count="0" memberValueDatatype="20" unbalanced="0"/>
    <cacheHierarchy uniqueName="[개관일수범례].[자유학습실개관일수]" caption="자유학습실개관일수" attribute="1" defaultMemberUniqueName="[개관일수범례].[자유학습실개관일수].[All]" allUniqueName="[개관일수범례].[자유학습실개관일수].[All]" dimensionUniqueName="[개관일수범례]" displayFolder="" count="0" memberValueDatatype="20" unbalanced="0"/>
    <cacheHierarchy uniqueName="[개관일수범례].[자유학습실]" caption="자유학습실" attribute="1" defaultMemberUniqueName="[개관일수범례].[자유학습실].[All]" allUniqueName="[개관일수범례].[자유학습실].[All]" dimensionUniqueName="[개관일수범례]" displayFolder="" count="0" memberValueDatatype="20" unbalanced="0"/>
    <cacheHierarchy uniqueName="[개관일수범례].[일수]" caption="일수" attribute="1" defaultMemberUniqueName="[개관일수범례].[일수].[All]" allUniqueName="[개관일수범례].[일수].[All]" dimensionUniqueName="[개관일수범례]" displayFolder="" count="0" memberValueDatatype="20" unbalanced="0"/>
    <cacheHierarchy uniqueName="[개관일수범례].[정기휴관일]" caption="정기휴관일" attribute="1" defaultMemberUniqueName="[개관일수범례].[정기휴관일].[All]" allUniqueName="[개관일수범례].[정기휴관일].[All]" dimensionUniqueName="[개관일수범례]" displayFolder="" count="0" memberValueDatatype="20" unbalanced="0"/>
    <cacheHierarchy uniqueName="[개관일수범례].[공휴일]" caption="공휴일" attribute="1" defaultMemberUniqueName="[개관일수범례].[공휴일].[All]" allUniqueName="[개관일수범례].[공휴일].[All]" dimensionUniqueName="[개관일수범례]" displayFolder="" count="0" memberValueDatatype="20" unbalanced="0"/>
    <cacheHierarchy uniqueName="[개관일수범례].[자유학습실휴관일]" caption="자유학습실휴관일" attribute="1" defaultMemberUniqueName="[개관일수범례].[자유학습실휴관일].[All]" allUniqueName="[개관일수범례].[자유학습실휴관일].[All]" dimensionUniqueName="[개관일수범례]" displayFolder="" count="0" memberValueDatatype="20" unbalanced="0"/>
    <cacheHierarchy uniqueName="[날짜tb].[월]" caption="월" attribute="1" time="1" defaultMemberUniqueName="[날짜tb].[월].[All]" allUniqueName="[날짜tb].[월].[All]" dimensionUniqueName="[날짜tb]" displayFolder="" count="2" memberValueDatatype="7" unbalanced="0">
      <fieldsUsage count="2">
        <fieldUsage x="-1"/>
        <fieldUsage x="2"/>
      </fieldsUsage>
    </cacheHierarchy>
    <cacheHierarchy uniqueName="[날짜tb].[주]" caption="주" attribute="1" defaultMemberUniqueName="[날짜tb].[주].[All]" allUniqueName="[날짜tb].[주].[All]" dimensionUniqueName="[날짜tb]" displayFolder="" count="0" memberValueDatatype="20" unbalanced="0"/>
    <cacheHierarchy uniqueName="[날짜tb].[월(월)]" caption="월(월)" attribute="1" defaultMemberUniqueName="[날짜tb].[월(월)].[All]" allUniqueName="[날짜tb].[월(월)].[All]" dimensionUniqueName="[날짜tb]" displayFolder="" count="2" memberValueDatatype="130" unbalanced="0">
      <fieldsUsage count="2">
        <fieldUsage x="-1"/>
        <fieldUsage x="0"/>
      </fieldsUsage>
    </cacheHierarchy>
    <cacheHierarchy uniqueName="[년월기준].[년월]" caption="년월" attribute="1" time="1" defaultMemberUniqueName="[년월기준].[년월].[All]" allUniqueName="[년월기준].[년월].[All]" dimensionUniqueName="[년월기준]" displayFolder="" count="0" memberValueDatatype="7" unbalanced="0"/>
    <cacheHierarchy uniqueName="[년월기준].[고유값]" caption="고유값" attribute="1" defaultMemberUniqueName="[년월기준].[고유값].[All]" allUniqueName="[년월기준].[고유값].[All]" dimensionUniqueName="[년월기준]" displayFolder="" count="0" memberValueDatatype="130" unbalanced="0"/>
    <cacheHierarchy uniqueName="[년월기준].[대출자수]" caption="대출자수" attribute="1" defaultMemberUniqueName="[년월기준].[대출자수].[All]" allUniqueName="[년월기준].[대출자수].[All]" dimensionUniqueName="[년월기준]" displayFolder="" count="0" memberValueDatatype="20" unbalanced="0"/>
    <cacheHierarchy uniqueName="[년월기준].[대출자수(전년동월)]" caption="대출자수(전년동월)" attribute="1" defaultMemberUniqueName="[년월기준].[대출자수(전년동월)].[All]" allUniqueName="[년월기준].[대출자수(전년동월)].[All]" dimensionUniqueName="[년월기준]" displayFolder="" count="0" memberValueDatatype="20" unbalanced="0"/>
    <cacheHierarchy uniqueName="[년월기준].[전년동월비(대출자수)]" caption="전년동월비(대출자수)" attribute="1" defaultMemberUniqueName="[년월기준].[전년동월비(대출자수)].[All]" allUniqueName="[년월기준].[전년동월비(대출자수)].[All]" dimensionUniqueName="[년월기준]" displayFolder="" count="0" memberValueDatatype="5" unbalanced="0"/>
    <cacheHierarchy uniqueName="[년월기준].[대출권수]" caption="대출권수" attribute="1" defaultMemberUniqueName="[년월기준].[대출권수].[All]" allUniqueName="[년월기준].[대출권수].[All]" dimensionUniqueName="[년월기준]" displayFolder="" count="0" memberValueDatatype="20" unbalanced="0"/>
    <cacheHierarchy uniqueName="[년월기준].[대출권수(전년동월)]" caption="대출권수(전년동월)" attribute="1" defaultMemberUniqueName="[년월기준].[대출권수(전년동월)].[All]" allUniqueName="[년월기준].[대출권수(전년동월)].[All]" dimensionUniqueName="[년월기준]" displayFolder="" count="0" memberValueDatatype="20" unbalanced="0"/>
    <cacheHierarchy uniqueName="[년월기준].[전년동월비(권수)]" caption="전년동월비(권수)" attribute="1" defaultMemberUniqueName="[년월기준].[전년동월비(권수)].[All]" allUniqueName="[년월기준].[전년동월비(권수)].[All]" dimensionUniqueName="[년월기준]" displayFolder="" count="0" memberValueDatatype="5" unbalanced="0"/>
    <cacheHierarchy uniqueName="[년월기준].[행사참여자수]" caption="행사참여자수" attribute="1" defaultMemberUniqueName="[년월기준].[행사참여자수].[All]" allUniqueName="[년월기준].[행사참여자수].[All]" dimensionUniqueName="[년월기준]" displayFolder="" count="0" memberValueDatatype="20" unbalanced="0"/>
    <cacheHierarchy uniqueName="[년월기준].[행사참여자수(전년동월)]" caption="행사참여자수(전년동월)" attribute="1" defaultMemberUniqueName="[년월기준].[행사참여자수(전년동월)].[All]" allUniqueName="[년월기준].[행사참여자수(전년동월)].[All]" dimensionUniqueName="[년월기준]" displayFolder="" count="0" memberValueDatatype="20" unbalanced="0"/>
    <cacheHierarchy uniqueName="[년월기준].[전년동월비(행사참여자수)]" caption="전년동월비(행사참여자수)" attribute="1" defaultMemberUniqueName="[년월기준].[전년동월비(행사참여자수)].[All]" allUniqueName="[년월기준].[전년동월비(행사참여자수)].[All]" dimensionUniqueName="[년월기준]" displayFolder="" count="0" memberValueDatatype="5" unbalanced="0"/>
    <cacheHierarchy uniqueName="[년월기준].[년월(월)]" caption="년월(월)" attribute="1" defaultMemberUniqueName="[년월기준].[년월(월)].[All]" allUniqueName="[년월기준].[년월(월)].[All]" dimensionUniqueName="[년월기준]" displayFolder="" count="0" memberValueDatatype="130" unbalanced="0"/>
    <cacheHierarchy uniqueName="[대출권수].[년월]" caption="년월" attribute="1" time="1" defaultMemberUniqueName="[대출권수].[년월].[All]" allUniqueName="[대출권수].[년월].[All]" dimensionUniqueName="[대출권수]" displayFolder="" count="0" memberValueDatatype="7" unbalanced="0"/>
    <cacheHierarchy uniqueName="[대출권수].[소장처명]" caption="소장처명" attribute="1" defaultMemberUniqueName="[대출권수].[소장처명].[All]" allUniqueName="[대출권수].[소장처명].[All]" dimensionUniqueName="[대출권수]" displayFolder="" count="0" memberValueDatatype="130" unbalanced="0"/>
    <cacheHierarchy uniqueName="[대출권수].[자료실구분]" caption="자료실구분" attribute="1" defaultMemberUniqueName="[대출권수].[자료실구분].[All]" allUniqueName="[대출권수].[자료실구분].[All]" dimensionUniqueName="[대출권수]" displayFolder="" count="0" memberValueDatatype="130" unbalanced="0"/>
    <cacheHierarchy uniqueName="[대출권수].[대출반납]" caption="대출반납" attribute="1" defaultMemberUniqueName="[대출권수].[대출반납].[All]" allUniqueName="[대출권수].[대출반납].[All]" dimensionUniqueName="[대출권수]" displayFolder="" count="0" memberValueDatatype="130" unbalanced="0"/>
    <cacheHierarchy uniqueName="[대출권수].[총류]" caption="총류" attribute="1" defaultMemberUniqueName="[대출권수].[총류].[All]" allUniqueName="[대출권수].[총류].[All]" dimensionUniqueName="[대출권수]" displayFolder="" count="0" memberValueDatatype="20" unbalanced="0"/>
    <cacheHierarchy uniqueName="[대출권수].[철학]" caption="철학" attribute="1" defaultMemberUniqueName="[대출권수].[철학].[All]" allUniqueName="[대출권수].[철학].[All]" dimensionUniqueName="[대출권수]" displayFolder="" count="0" memberValueDatatype="20" unbalanced="0"/>
    <cacheHierarchy uniqueName="[대출권수].[종교]" caption="종교" attribute="1" defaultMemberUniqueName="[대출권수].[종교].[All]" allUniqueName="[대출권수].[종교].[All]" dimensionUniqueName="[대출권수]" displayFolder="" count="0" memberValueDatatype="20" unbalanced="0"/>
    <cacheHierarchy uniqueName="[대출권수].[사회과학]" caption="사회과학" attribute="1" defaultMemberUniqueName="[대출권수].[사회과학].[All]" allUniqueName="[대출권수].[사회과학].[All]" dimensionUniqueName="[대출권수]" displayFolder="" count="0" memberValueDatatype="20" unbalanced="0"/>
    <cacheHierarchy uniqueName="[대출권수].[자연과학]" caption="자연과학" attribute="1" defaultMemberUniqueName="[대출권수].[자연과학].[All]" allUniqueName="[대출권수].[자연과학].[All]" dimensionUniqueName="[대출권수]" displayFolder="" count="0" memberValueDatatype="20" unbalanced="0"/>
    <cacheHierarchy uniqueName="[대출권수].[기술과학]" caption="기술과학" attribute="1" defaultMemberUniqueName="[대출권수].[기술과학].[All]" allUniqueName="[대출권수].[기술과학].[All]" dimensionUniqueName="[대출권수]" displayFolder="" count="0" memberValueDatatype="20" unbalanced="0"/>
    <cacheHierarchy uniqueName="[대출권수].[예술]" caption="예술" attribute="1" defaultMemberUniqueName="[대출권수].[예술].[All]" allUniqueName="[대출권수].[예술].[All]" dimensionUniqueName="[대출권수]" displayFolder="" count="0" memberValueDatatype="20" unbalanced="0"/>
    <cacheHierarchy uniqueName="[대출권수].[언어]" caption="언어" attribute="1" defaultMemberUniqueName="[대출권수].[언어].[All]" allUniqueName="[대출권수].[언어].[All]" dimensionUniqueName="[대출권수]" displayFolder="" count="0" memberValueDatatype="20" unbalanced="0"/>
    <cacheHierarchy uniqueName="[대출권수].[문학]" caption="문학" attribute="1" defaultMemberUniqueName="[대출권수].[문학].[All]" allUniqueName="[대출권수].[문학].[All]" dimensionUniqueName="[대출권수]" displayFolder="" count="0" memberValueDatatype="20" unbalanced="0"/>
    <cacheHierarchy uniqueName="[대출권수].[역사]" caption="역사" attribute="1" defaultMemberUniqueName="[대출권수].[역사].[All]" allUniqueName="[대출권수].[역사].[All]" dimensionUniqueName="[대출권수]" displayFolder="" count="0" memberValueDatatype="20" unbalanced="0"/>
    <cacheHierarchy uniqueName="[대출권수].[기타]" caption="기타" attribute="1" defaultMemberUniqueName="[대출권수].[기타].[All]" allUniqueName="[대출권수].[기타].[All]" dimensionUniqueName="[대출권수]" displayFolder="" count="0" memberValueDatatype="20" unbalanced="0"/>
    <cacheHierarchy uniqueName="[대출권수].[합계]" caption="합계" attribute="1" defaultMemberUniqueName="[대출권수].[합계].[All]" allUniqueName="[대출권수].[합계].[All]" dimensionUniqueName="[대출권수]" displayFolder="" count="0" memberValueDatatype="20" unbalanced="0"/>
    <cacheHierarchy uniqueName="[자료실기준].[년월]" caption="년월" attribute="1" time="1" defaultMemberUniqueName="[자료실기준].[년월].[All]" allUniqueName="[자료실기준].[년월].[All]" dimensionUniqueName="[자료실기준]" displayFolder="" count="0" memberValueDatatype="7" unbalanced="0"/>
    <cacheHierarchy uniqueName="[자료실기준].[소장처명]" caption="소장처명" attribute="1" defaultMemberUniqueName="[자료실기준].[소장처명].[All]" allUniqueName="[자료실기준].[소장처명].[All]" dimensionUniqueName="[자료실기준]" displayFolder="" count="0" memberValueDatatype="130" unbalanced="0"/>
    <cacheHierarchy uniqueName="[자료실기준].[고유값]" caption="고유값" attribute="1" defaultMemberUniqueName="[자료실기준].[고유값].[All]" allUniqueName="[자료실기준].[고유값].[All]" dimensionUniqueName="[자료실기준]" displayFolder="" count="0" memberValueDatatype="130" unbalanced="0"/>
    <cacheHierarchy uniqueName="[자료실기준].[자료실구분]" caption="자료실구분" attribute="1" defaultMemberUniqueName="[자료실기준].[자료실구분].[All]" allUniqueName="[자료실기준].[자료실구분].[All]" dimensionUniqueName="[자료실기준]" displayFolder="" count="0" memberValueDatatype="130" unbalanced="0"/>
    <cacheHierarchy uniqueName="[자료실기준].[어린이남자]" caption="어린이남자" attribute="1" defaultMemberUniqueName="[자료실기준].[어린이남자].[All]" allUniqueName="[자료실기준].[어린이남자].[All]" dimensionUniqueName="[자료실기준]" displayFolder="" count="0" memberValueDatatype="20" unbalanced="0"/>
    <cacheHierarchy uniqueName="[자료실기준].[어린이여자]" caption="어린이여자" attribute="1" defaultMemberUniqueName="[자료실기준].[어린이여자].[All]" allUniqueName="[자료실기준].[어린이여자].[All]" dimensionUniqueName="[자료실기준]" displayFolder="" count="0" memberValueDatatype="20" unbalanced="0"/>
    <cacheHierarchy uniqueName="[자료실기준].[청소년남자]" caption="청소년남자" attribute="1" defaultMemberUniqueName="[자료실기준].[청소년남자].[All]" allUniqueName="[자료실기준].[청소년남자].[All]" dimensionUniqueName="[자료실기준]" displayFolder="" count="0" memberValueDatatype="20" unbalanced="0"/>
    <cacheHierarchy uniqueName="[자료실기준].[청소년여자]" caption="청소년여자" attribute="1" defaultMemberUniqueName="[자료실기준].[청소년여자].[All]" allUniqueName="[자료실기준].[청소년여자].[All]" dimensionUniqueName="[자료실기준]" displayFolder="" count="0" memberValueDatatype="20" unbalanced="0"/>
    <cacheHierarchy uniqueName="[자료실기준].[성인남자]" caption="성인남자" attribute="1" defaultMemberUniqueName="[자료실기준].[성인남자].[All]" allUniqueName="[자료실기준].[성인남자].[All]" dimensionUniqueName="[자료실기준]" displayFolder="" count="0" memberValueDatatype="20" unbalanced="0"/>
    <cacheHierarchy uniqueName="[자료실기준].[성인여자]" caption="성인여자" attribute="1" defaultMemberUniqueName="[자료실기준].[성인여자].[All]" allUniqueName="[자료실기준].[성인여자].[All]" dimensionUniqueName="[자료실기준]" displayFolder="" count="0" memberValueDatatype="20" unbalanced="0"/>
    <cacheHierarchy uniqueName="[자료실기준].[어린이]" caption="어린이" attribute="1" defaultMemberUniqueName="[자료실기준].[어린이].[All]" allUniqueName="[자료실기준].[어린이].[All]" dimensionUniqueName="[자료실기준]" displayFolder="" count="0" memberValueDatatype="20" unbalanced="0"/>
    <cacheHierarchy uniqueName="[자료실기준].[청소년]" caption="청소년" attribute="1" defaultMemberUniqueName="[자료실기준].[청소년].[All]" allUniqueName="[자료실기준].[청소년].[All]" dimensionUniqueName="[자료실기준]" displayFolder="" count="0" memberValueDatatype="20" unbalanced="0"/>
    <cacheHierarchy uniqueName="[자료실기준].[성인]" caption="성인" attribute="1" defaultMemberUniqueName="[자료실기준].[성인].[All]" allUniqueName="[자료실기준].[성인].[All]" dimensionUniqueName="[자료실기준]" displayFolder="" count="0" memberValueDatatype="20" unbalanced="0"/>
    <cacheHierarchy uniqueName="[자료실기준].[남자]" caption="남자" attribute="1" defaultMemberUniqueName="[자료실기준].[남자].[All]" allUniqueName="[자료실기준].[남자].[All]" dimensionUniqueName="[자료실기준]" displayFolder="" count="0" memberValueDatatype="20" unbalanced="0"/>
    <cacheHierarchy uniqueName="[자료실기준].[여자]" caption="여자" attribute="1" defaultMemberUniqueName="[자료실기준].[여자].[All]" allUniqueName="[자료실기준].[여자].[All]" dimensionUniqueName="[자료실기준]" displayFolder="" count="0" memberValueDatatype="20" unbalanced="0"/>
    <cacheHierarchy uniqueName="[자료실기준].[대출자수합계]" caption="대출자수합계" attribute="1" defaultMemberUniqueName="[자료실기준].[대출자수합계].[All]" allUniqueName="[자료실기준].[대출자수합계].[All]" dimensionUniqueName="[자료실기준]" displayFolder="" count="0" memberValueDatatype="20" unbalanced="0"/>
    <cacheHierarchy uniqueName="[자료실기준].[총류]" caption="총류" attribute="1" defaultMemberUniqueName="[자료실기준].[총류].[All]" allUniqueName="[자료실기준].[총류].[All]" dimensionUniqueName="[자료실기준]" displayFolder="" count="0" memberValueDatatype="20" unbalanced="0"/>
    <cacheHierarchy uniqueName="[자료실기준].[철학]" caption="철학" attribute="1" defaultMemberUniqueName="[자료실기준].[철학].[All]" allUniqueName="[자료실기준].[철학].[All]" dimensionUniqueName="[자료실기준]" displayFolder="" count="0" memberValueDatatype="20" unbalanced="0"/>
    <cacheHierarchy uniqueName="[자료실기준].[종교]" caption="종교" attribute="1" defaultMemberUniqueName="[자료실기준].[종교].[All]" allUniqueName="[자료실기준].[종교].[All]" dimensionUniqueName="[자료실기준]" displayFolder="" count="0" memberValueDatatype="20" unbalanced="0"/>
    <cacheHierarchy uniqueName="[자료실기준].[사회과학]" caption="사회과학" attribute="1" defaultMemberUniqueName="[자료실기준].[사회과학].[All]" allUniqueName="[자료실기준].[사회과학].[All]" dimensionUniqueName="[자료실기준]" displayFolder="" count="0" memberValueDatatype="20" unbalanced="0"/>
    <cacheHierarchy uniqueName="[자료실기준].[자연과학]" caption="자연과학" attribute="1" defaultMemberUniqueName="[자료실기준].[자연과학].[All]" allUniqueName="[자료실기준].[자연과학].[All]" dimensionUniqueName="[자료실기준]" displayFolder="" count="0" memberValueDatatype="20" unbalanced="0"/>
    <cacheHierarchy uniqueName="[자료실기준].[기술과학]" caption="기술과학" attribute="1" defaultMemberUniqueName="[자료실기준].[기술과학].[All]" allUniqueName="[자료실기준].[기술과학].[All]" dimensionUniqueName="[자료실기준]" displayFolder="" count="0" memberValueDatatype="20" unbalanced="0"/>
    <cacheHierarchy uniqueName="[자료실기준].[예술]" caption="예술" attribute="1" defaultMemberUniqueName="[자료실기준].[예술].[All]" allUniqueName="[자료실기준].[예술].[All]" dimensionUniqueName="[자료실기준]" displayFolder="" count="0" memberValueDatatype="20" unbalanced="0"/>
    <cacheHierarchy uniqueName="[자료실기준].[언어]" caption="언어" attribute="1" defaultMemberUniqueName="[자료실기준].[언어].[All]" allUniqueName="[자료실기준].[언어].[All]" dimensionUniqueName="[자료실기준]" displayFolder="" count="0" memberValueDatatype="20" unbalanced="0"/>
    <cacheHierarchy uniqueName="[자료실기준].[문학]" caption="문학" attribute="1" defaultMemberUniqueName="[자료실기준].[문학].[All]" allUniqueName="[자료실기준].[문학].[All]" dimensionUniqueName="[자료실기준]" displayFolder="" count="0" memberValueDatatype="20" unbalanced="0"/>
    <cacheHierarchy uniqueName="[자료실기준].[역사]" caption="역사" attribute="1" defaultMemberUniqueName="[자료실기준].[역사].[All]" allUniqueName="[자료실기준].[역사].[All]" dimensionUniqueName="[자료실기준]" displayFolder="" count="0" memberValueDatatype="20" unbalanced="0"/>
    <cacheHierarchy uniqueName="[자료실기준].[대출권수합계]" caption="대출권수합계" attribute="1" defaultMemberUniqueName="[자료실기준].[대출권수합계].[All]" allUniqueName="[자료실기준].[대출권수합계].[All]" dimensionUniqueName="[자료실기준]" displayFolder="" count="0" memberValueDatatype="20" unbalanced="0"/>
    <cacheHierarchy uniqueName="[자료실기준].[자유학습실인원]" caption="자유학습실인원" attribute="1" defaultMemberUniqueName="[자료실기준].[자유학습실인원].[All]" allUniqueName="[자료실기준].[자유학습실인원].[All]" dimensionUniqueName="[자료실기준]" displayFolder="" count="0" memberValueDatatype="20" unbalanced="0"/>
    <cacheHierarchy uniqueName="[자료실기준].[열람자수]" caption="열람자수" attribute="1" defaultMemberUniqueName="[자료실기준].[열람자수].[All]" allUniqueName="[자료실기준].[열람자수].[All]" dimensionUniqueName="[자료실기준]" displayFolder="" count="0" memberValueDatatype="20" unbalanced="0"/>
    <cacheHierarchy uniqueName="[자료실기준].[열람권수]" caption="열람권수" attribute="1" defaultMemberUniqueName="[자료실기준].[열람권수].[All]" allUniqueName="[자료실기준].[열람권수].[All]" dimensionUniqueName="[자료실기준]" displayFolder="" count="0" memberValueDatatype="20" unbalanced="0"/>
    <cacheHierarchy uniqueName="[자료실기준].[대출권수(6월예측포함)]" caption="대출권수(6월예측포함)" attribute="1" defaultMemberUniqueName="[자료실기준].[대출권수(6월예측포함)].[All]" allUniqueName="[자료실기준].[대출권수(6월예측포함)].[All]" dimensionUniqueName="[자료실기준]" displayFolder="" count="0" memberValueDatatype="5" unbalanced="0"/>
    <cacheHierarchy uniqueName="[자료실기준].[대출자수(6월예측포함)]" caption="대출자수(6월예측포함)" attribute="1" defaultMemberUniqueName="[자료실기준].[대출자수(6월예측포함)].[All]" allUniqueName="[자료실기준].[대출자수(6월예측포함)].[All]" dimensionUniqueName="[자료실기준]" displayFolder="" count="0" memberValueDatatype="5" unbalanced="0"/>
    <cacheHierarchy uniqueName="[자료실기준].[열람권수(6월예측포함)]" caption="열람권수(6월예측포함)" attribute="1" defaultMemberUniqueName="[자료실기준].[열람권수(6월예측포함)].[All]" allUniqueName="[자료실기준].[열람권수(6월예측포함)].[All]" dimensionUniqueName="[자료실기준]" displayFolder="" count="0" memberValueDatatype="5" unbalanced="0"/>
    <cacheHierarchy uniqueName="[자료실기준].[열람자수(6월예측포함)]" caption="열람자수(6월예측포함)" attribute="1" defaultMemberUniqueName="[자료실기준].[열람자수(6월예측포함)].[All]" allUniqueName="[자료실기준].[열람자수(6월예측포함)].[All]" dimensionUniqueName="[자료실기준]" displayFolder="" count="0" memberValueDatatype="5" unbalanced="0"/>
    <cacheHierarchy uniqueName="[자료실범례].[소장처명]" caption="소장처명" attribute="1" defaultMemberUniqueName="[자료실범례].[소장처명].[All]" allUniqueName="[자료실범례].[소장처명].[All]" dimensionUniqueName="[자료실범례]" displayFolder="" count="0" memberValueDatatype="130" unbalanced="0"/>
    <cacheHierarchy uniqueName="[자료실범례].[구분]" caption="구분" attribute="1" defaultMemberUniqueName="[자료실범례].[구분].[All]" allUniqueName="[자료실범례].[구분].[All]" dimensionUniqueName="[자료실범례]" displayFolder="" count="0" memberValueDatatype="130" unbalanced="0"/>
    <cacheHierarchy uniqueName="[행사기준].[년월]" caption="년월" attribute="1" time="1" defaultMemberUniqueName="[행사기준].[년월].[All]" allUniqueName="[행사기준].[년월].[All]" dimensionUniqueName="[행사기준]" displayFolder="" count="0" memberValueDatatype="7" unbalanced="0"/>
    <cacheHierarchy uniqueName="[행사기준].[행사분류]" caption="행사분류" attribute="1" defaultMemberUniqueName="[행사기준].[행사분류].[All]" allUniqueName="[행사기준].[행사분류].[All]" dimensionUniqueName="[행사기준]" displayFolder="" count="2" memberValueDatatype="130" unbalanced="0">
      <fieldsUsage count="2">
        <fieldUsage x="-1"/>
        <fieldUsage x="1"/>
      </fieldsUsage>
    </cacheHierarchy>
    <cacheHierarchy uniqueName="[행사기준].[행사분류2]" caption="행사분류2" attribute="1" defaultMemberUniqueName="[행사기준].[행사분류2].[All]" allUniqueName="[행사기준].[행사분류2].[All]" dimensionUniqueName="[행사기준]" displayFolder="" count="0" memberValueDatatype="130" unbalanced="0"/>
    <cacheHierarchy uniqueName="[행사기준].[행사명]" caption="행사명" attribute="1" defaultMemberUniqueName="[행사기준].[행사명].[All]" allUniqueName="[행사기준].[행사명].[All]" dimensionUniqueName="[행사기준]" displayFolder="" count="0" memberValueDatatype="130" unbalanced="0"/>
    <cacheHierarchy uniqueName="[행사기준].[대상1]" caption="대상1" attribute="1" defaultMemberUniqueName="[행사기준].[대상1].[All]" allUniqueName="[행사기준].[대상1].[All]" dimensionUniqueName="[행사기준]" displayFolder="" count="0" memberValueDatatype="130" unbalanced="0"/>
    <cacheHierarchy uniqueName="[행사기준].[대상2]" caption="대상2" attribute="1" defaultMemberUniqueName="[행사기준].[대상2].[All]" allUniqueName="[행사기준].[대상2].[All]" dimensionUniqueName="[행사기준]" displayFolder="" count="0" memberValueDatatype="130" unbalanced="0"/>
    <cacheHierarchy uniqueName="[행사기준].[대상(상세)]" caption="대상(상세)" attribute="1" defaultMemberUniqueName="[행사기준].[대상(상세)].[All]" allUniqueName="[행사기준].[대상(상세)].[All]" dimensionUniqueName="[행사기준]" displayFolder="" count="0" memberValueDatatype="130" unbalanced="0"/>
    <cacheHierarchy uniqueName="[행사기준].[횟수]" caption="횟수" attribute="1" defaultMemberUniqueName="[행사기준].[횟수].[All]" allUniqueName="[행사기준].[횟수].[All]" dimensionUniqueName="[행사기준]" displayFolder="" count="0" memberValueDatatype="20" unbalanced="0"/>
    <cacheHierarchy uniqueName="[행사기준].[남자]" caption="남자" attribute="1" defaultMemberUniqueName="[행사기준].[남자].[All]" allUniqueName="[행사기준].[남자].[All]" dimensionUniqueName="[행사기준]" displayFolder="" count="0" memberValueDatatype="20" unbalanced="0"/>
    <cacheHierarchy uniqueName="[행사기준].[여자]" caption="여자" attribute="1" defaultMemberUniqueName="[행사기준].[여자].[All]" allUniqueName="[행사기준].[여자].[All]" dimensionUniqueName="[행사기준]" displayFolder="" count="0" memberValueDatatype="20" unbalanced="0"/>
    <cacheHierarchy uniqueName="[행사기준].[계]" caption="계" attribute="1" defaultMemberUniqueName="[행사기준].[계].[All]" allUniqueName="[행사기준].[계].[All]" dimensionUniqueName="[행사기준]" displayFolder="" count="0" memberValueDatatype="20" unbalanced="0"/>
    <cacheHierarchy uniqueName="[행사기준].[강사명]" caption="강사명" attribute="1" defaultMemberUniqueName="[행사기준].[강사명].[All]" allUniqueName="[행사기준].[강사명].[All]" dimensionUniqueName="[행사기준]" displayFolder="" count="0" memberValueDatatype="130" unbalanced="0"/>
    <cacheHierarchy uniqueName="[행사기준].[담당자1]" caption="담당자1" attribute="1" defaultMemberUniqueName="[행사기준].[담당자1].[All]" allUniqueName="[행사기준].[담당자1].[All]" dimensionUniqueName="[행사기준]" displayFolder="" count="0" memberValueDatatype="130" unbalanced="0"/>
    <cacheHierarchy uniqueName="[행사기준].[담당자2]" caption="담당자2" attribute="1" defaultMemberUniqueName="[행사기준].[담당자2].[All]" allUniqueName="[행사기준].[담당자2].[All]" dimensionUniqueName="[행사기준]" displayFolder="" count="0" memberValueDatatype="130" unbalanced="0"/>
    <cacheHierarchy uniqueName="[행사기준].[고유값]" caption="고유값" attribute="1" defaultMemberUniqueName="[행사기준].[고유값].[All]" allUniqueName="[행사기준].[고유값].[All]" dimensionUniqueName="[행사기준]" displayFolder="" count="0" memberValueDatatype="130" unbalanced="0"/>
    <cacheHierarchy uniqueName="[날짜tb].[월(월 인덱스)]" caption="월(월 인덱스)" attribute="1" defaultMemberUniqueName="[날짜tb].[월(월 인덱스)].[All]" allUniqueName="[날짜tb].[월(월 인덱스)].[All]" dimensionUniqueName="[날짜tb]" displayFolder="" count="0" memberValueDatatype="20" unbalanced="0" hidden="1"/>
    <cacheHierarchy uniqueName="[년월기준].[년월(월 인덱스)]" caption="년월(월 인덱스)" attribute="1" defaultMemberUniqueName="[년월기준].[년월(월 인덱스)].[All]" allUniqueName="[년월기준].[년월(월 인덱스)].[All]" dimensionUniqueName="[년월기준]" displayFolder="" count="0" memberValueDatatype="20" unbalanced="0" hidden="1"/>
    <cacheHierarchy uniqueName="[Measures].[__XL_Count 자료실기준]" caption="__XL_Count 자료실기준" measure="1" displayFolder="" measureGroup="자료실기준" count="0" hidden="1"/>
    <cacheHierarchy uniqueName="[Measures].[__XL_Count 행사기준]" caption="__XL_Count 행사기준" measure="1" displayFolder="" measureGroup="행사기준" count="0" hidden="1"/>
    <cacheHierarchy uniqueName="[Measures].[__XL_Count 날짜tb]" caption="__XL_Count 날짜tb" measure="1" displayFolder="" measureGroup="날짜tb" count="0" hidden="1"/>
    <cacheHierarchy uniqueName="[Measures].[__XL_Count 대출권수]" caption="__XL_Count 대출권수" measure="1" displayFolder="" measureGroup="대출권수" count="0" hidden="1"/>
    <cacheHierarchy uniqueName="[Measures].[__XL_Count 년월기준]" caption="__XL_Count 년월기준" measure="1" displayFolder="" measureGroup="년월기준" count="0" hidden="1"/>
    <cacheHierarchy uniqueName="[Measures].[__XL_Count 자료실범례]" caption="__XL_Count 자료실범례" measure="1" displayFolder="" measureGroup="자료실범례" count="0" hidden="1"/>
    <cacheHierarchy uniqueName="[Measures].[__XL_Count 개관일수범례]" caption="__XL_Count 개관일수범례" measure="1" displayFolder="" measureGroup="개관일수범례" count="0" hidden="1"/>
    <cacheHierarchy uniqueName="[Measures].[__정의된 측정값 없음]" caption="__정의된 측정값 없음" measure="1" displayFolder="" count="0" hidden="1"/>
    <cacheHierarchy uniqueName="[Measures].[합계: 어린이남자]" caption="합계: 어린이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합계: 어린이여자]" caption="합계: 어린이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합계: 청소년남자]" caption="합계: 청소년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합계: 청소년여자]" caption="합계: 청소년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합계: 성인남자]" caption="합계: 성인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합계: 성인여자]" caption="합계: 성인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합계: 어린이]" caption="합계: 어린이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합계: 청소년]" caption="합계: 청소년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합계: 성인]" caption="합계: 성인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합계: 남자]" caption="합계: 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합계: 여자]" caption="합계: 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합계: 합계]" caption="합계: 합계" measure="1" displayFolder="" measureGroup="대출권수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합계: 대출자수합계]" caption="합계: 대출자수합계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합계: 대출자수]" caption="합계: 대출자수" measure="1" displayFolder="" measureGroup="년월기준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합계: 대출권수]" caption="합계: 대출권수" measure="1" displayFolder="" measureGroup="년월기준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합계: 대출자수(전년동월)]" caption="합계: 대출자수(전년동월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개수: 전년동월비(대출자수)]" caption="개수: 전년동월비(대출자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합계: 대출권수(전년동월)]" caption="합계: 대출권수(전년동월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합계: 자유학습실인원]" caption="합계: 자유학습실인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합계: 여자 2]" caption="합계: 여자 2" measure="1" displayFolder="" measureGroup="행사기준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개수: 행사명]" caption="개수: 행사명" measure="1" displayFolder="" measureGroup="행사기준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개수: 전년동월비(행사참여자수)]" caption="개수: 전년동월비(행사참여자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합계: 전년동월비(대출자수)]" caption="합계: 전년동월비(대출자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합계: 전년동월비(권수)]" caption="합계: 전년동월비(권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총류]" caption="개수: 총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개수: 철학]" caption="개수: 철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개수: 종교]" caption="개수: 종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개수: 사회과학]" caption="개수: 사회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합계: 총류]" caption="합계: 총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합계: 철학]" caption="합계: 철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합계: 종교]" caption="합계: 종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합계: 사회과학]" caption="합계: 사회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합계: 자연과학]" caption="합계: 자연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합계: 기술과학]" caption="합계: 기술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합계: 예술]" caption="합계: 예술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합계: 언어]" caption="합계: 언어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합계: 문학]" caption="합계: 문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합계: 역사]" caption="합계: 역사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합계: 대출권수합계]" caption="합계: 대출권수합계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합계: 열람자수]" caption="합계: 열람자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합계: 열람권수]" caption="합계: 열람권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합계: 대출권수(6월예측포함)]" caption="합계: 대출권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합계: 대출자수(6월예측포함)]" caption="합계: 대출자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합계: 열람권수(6월예측포함)]" caption="합계: 열람권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합계: 열람자수(6월예측포함)]" caption="합계: 열람자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합계: 계]" caption="합계: 계" measure="1" displayFolder="" measureGroup="행사기준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합계: 횟수]" caption="합계: 횟수" measure="1" displayFolder="" measureGroup="행사기준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합계: 자유학습실]" caption="합계: 자유학습실" measure="1" displayFolder="" measureGroup="개관일수범례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합계: 자료실개관일수]" caption="합계: 자료실개관일수" measure="1" displayFolder="" measureGroup="개관일수범례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8">
    <dimension measure="1" name="Measures" uniqueName="[Measures]" caption="Measures"/>
    <dimension name="개관일수범례" uniqueName="[개관일수범례]" caption="개관일수범례"/>
    <dimension name="날짜tb" uniqueName="[날짜tb]" caption="날짜tb"/>
    <dimension name="년월기준" uniqueName="[년월기준]" caption="년월기준"/>
    <dimension name="대출권수" uniqueName="[대출권수]" caption="대출권수"/>
    <dimension name="자료실기준" uniqueName="[자료실기준]" caption="자료실기준"/>
    <dimension name="자료실범례" uniqueName="[자료실범례]" caption="자료실범례"/>
    <dimension name="행사기준" uniqueName="[행사기준]" caption="행사기준"/>
  </dimensions>
  <measureGroups count="7">
    <measureGroup name="개관일수범례" caption="개관일수범례"/>
    <measureGroup name="날짜tb" caption="날짜tb"/>
    <measureGroup name="년월기준" caption="년월기준"/>
    <measureGroup name="대출권수" caption="대출권수"/>
    <measureGroup name="자료실기준" caption="자료실기준"/>
    <measureGroup name="자료실범례" caption="자료실범례"/>
    <measureGroup name="행사기준" caption="행사기준"/>
  </measureGroups>
  <maps count="11">
    <map measureGroup="0" dimension="1"/>
    <map measureGroup="0" dimension="2"/>
    <map measureGroup="1" dimension="2"/>
    <map measureGroup="2" dimension="2"/>
    <map measureGroup="2" dimension="3"/>
    <map measureGroup="3" dimension="4"/>
    <map measureGroup="4" dimension="2"/>
    <map measureGroup="4" dimension="5"/>
    <map measureGroup="5" dimension="6"/>
    <map measureGroup="6" dimension="2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29.583628587963" backgroundQuery="1" createdVersion="6" refreshedVersion="6" minRefreshableVersion="3" recordCount="0" supportSubquery="1" supportAdvancedDrill="1" xr:uid="{5171BF19-5C67-4036-B87D-E58446074830}">
  <cacheSource type="external" connectionId="1"/>
  <cacheFields count="4">
    <cacheField name="[날짜tb].[월(월)].[월(월)]" caption="월(월)" numFmtId="0" hierarchy="10" level="1">
      <sharedItems containsSemiMixedTypes="0" containsNonDate="0" containsString="0"/>
    </cacheField>
    <cacheField name="[Measures].[합계: 여자 2]" caption="합계: 여자 2" numFmtId="0" hierarchy="119" level="32767"/>
    <cacheField name="[날짜tb].[월].[월]" caption="월" numFmtId="0" hierarchy="8" level="1">
      <sharedItems containsSemiMixedTypes="0" containsNonDate="0" containsString="0"/>
    </cacheField>
    <cacheField name="[Measures].[합계: 남자]" caption="합계: 남자" numFmtId="0" hierarchy="109" level="32767"/>
  </cacheFields>
  <cacheHierarchies count="149">
    <cacheHierarchy uniqueName="[개관일수범례].[년월]" caption="년월" attribute="1" time="1" defaultMemberUniqueName="[개관일수범례].[년월].[All]" allUniqueName="[개관일수범례].[년월].[All]" dimensionUniqueName="[개관일수범례]" displayFolder="" count="0" memberValueDatatype="7" unbalanced="0"/>
    <cacheHierarchy uniqueName="[개관일수범례].[자료실개관일수]" caption="자료실개관일수" attribute="1" defaultMemberUniqueName="[개관일수범례].[자료실개관일수].[All]" allUniqueName="[개관일수범례].[자료실개관일수].[All]" dimensionUniqueName="[개관일수범례]" displayFolder="" count="0" memberValueDatatype="20" unbalanced="0"/>
    <cacheHierarchy uniqueName="[개관일수범례].[자유학습실개관일수]" caption="자유학습실개관일수" attribute="1" defaultMemberUniqueName="[개관일수범례].[자유학습실개관일수].[All]" allUniqueName="[개관일수범례].[자유학습실개관일수].[All]" dimensionUniqueName="[개관일수범례]" displayFolder="" count="0" memberValueDatatype="20" unbalanced="0"/>
    <cacheHierarchy uniqueName="[개관일수범례].[자유학습실]" caption="자유학습실" attribute="1" defaultMemberUniqueName="[개관일수범례].[자유학습실].[All]" allUniqueName="[개관일수범례].[자유학습실].[All]" dimensionUniqueName="[개관일수범례]" displayFolder="" count="0" memberValueDatatype="20" unbalanced="0"/>
    <cacheHierarchy uniqueName="[개관일수범례].[일수]" caption="일수" attribute="1" defaultMemberUniqueName="[개관일수범례].[일수].[All]" allUniqueName="[개관일수범례].[일수].[All]" dimensionUniqueName="[개관일수범례]" displayFolder="" count="0" memberValueDatatype="20" unbalanced="0"/>
    <cacheHierarchy uniqueName="[개관일수범례].[정기휴관일]" caption="정기휴관일" attribute="1" defaultMemberUniqueName="[개관일수범례].[정기휴관일].[All]" allUniqueName="[개관일수범례].[정기휴관일].[All]" dimensionUniqueName="[개관일수범례]" displayFolder="" count="0" memberValueDatatype="20" unbalanced="0"/>
    <cacheHierarchy uniqueName="[개관일수범례].[공휴일]" caption="공휴일" attribute="1" defaultMemberUniqueName="[개관일수범례].[공휴일].[All]" allUniqueName="[개관일수범례].[공휴일].[All]" dimensionUniqueName="[개관일수범례]" displayFolder="" count="0" memberValueDatatype="20" unbalanced="0"/>
    <cacheHierarchy uniqueName="[개관일수범례].[자유학습실휴관일]" caption="자유학습실휴관일" attribute="1" defaultMemberUniqueName="[개관일수범례].[자유학습실휴관일].[All]" allUniqueName="[개관일수범례].[자유학습실휴관일].[All]" dimensionUniqueName="[개관일수범례]" displayFolder="" count="0" memberValueDatatype="20" unbalanced="0"/>
    <cacheHierarchy uniqueName="[날짜tb].[월]" caption="월" attribute="1" time="1" defaultMemberUniqueName="[날짜tb].[월].[All]" allUniqueName="[날짜tb].[월].[All]" dimensionUniqueName="[날짜tb]" displayFolder="" count="2" memberValueDatatype="7" unbalanced="0">
      <fieldsUsage count="2">
        <fieldUsage x="-1"/>
        <fieldUsage x="2"/>
      </fieldsUsage>
    </cacheHierarchy>
    <cacheHierarchy uniqueName="[날짜tb].[주]" caption="주" attribute="1" defaultMemberUniqueName="[날짜tb].[주].[All]" allUniqueName="[날짜tb].[주].[All]" dimensionUniqueName="[날짜tb]" displayFolder="" count="0" memberValueDatatype="20" unbalanced="0"/>
    <cacheHierarchy uniqueName="[날짜tb].[월(월)]" caption="월(월)" attribute="1" defaultMemberUniqueName="[날짜tb].[월(월)].[All]" allUniqueName="[날짜tb].[월(월)].[All]" dimensionUniqueName="[날짜tb]" displayFolder="" count="2" memberValueDatatype="130" unbalanced="0">
      <fieldsUsage count="2">
        <fieldUsage x="-1"/>
        <fieldUsage x="0"/>
      </fieldsUsage>
    </cacheHierarchy>
    <cacheHierarchy uniqueName="[년월기준].[년월]" caption="년월" attribute="1" time="1" defaultMemberUniqueName="[년월기준].[년월].[All]" allUniqueName="[년월기준].[년월].[All]" dimensionUniqueName="[년월기준]" displayFolder="" count="0" memberValueDatatype="7" unbalanced="0"/>
    <cacheHierarchy uniqueName="[년월기준].[고유값]" caption="고유값" attribute="1" defaultMemberUniqueName="[년월기준].[고유값].[All]" allUniqueName="[년월기준].[고유값].[All]" dimensionUniqueName="[년월기준]" displayFolder="" count="0" memberValueDatatype="130" unbalanced="0"/>
    <cacheHierarchy uniqueName="[년월기준].[대출자수]" caption="대출자수" attribute="1" defaultMemberUniqueName="[년월기준].[대출자수].[All]" allUniqueName="[년월기준].[대출자수].[All]" dimensionUniqueName="[년월기준]" displayFolder="" count="0" memberValueDatatype="20" unbalanced="0"/>
    <cacheHierarchy uniqueName="[년월기준].[대출자수(전년동월)]" caption="대출자수(전년동월)" attribute="1" defaultMemberUniqueName="[년월기준].[대출자수(전년동월)].[All]" allUniqueName="[년월기준].[대출자수(전년동월)].[All]" dimensionUniqueName="[년월기준]" displayFolder="" count="0" memberValueDatatype="20" unbalanced="0"/>
    <cacheHierarchy uniqueName="[년월기준].[전년동월비(대출자수)]" caption="전년동월비(대출자수)" attribute="1" defaultMemberUniqueName="[년월기준].[전년동월비(대출자수)].[All]" allUniqueName="[년월기준].[전년동월비(대출자수)].[All]" dimensionUniqueName="[년월기준]" displayFolder="" count="0" memberValueDatatype="5" unbalanced="0"/>
    <cacheHierarchy uniqueName="[년월기준].[대출권수]" caption="대출권수" attribute="1" defaultMemberUniqueName="[년월기준].[대출권수].[All]" allUniqueName="[년월기준].[대출권수].[All]" dimensionUniqueName="[년월기준]" displayFolder="" count="0" memberValueDatatype="20" unbalanced="0"/>
    <cacheHierarchy uniqueName="[년월기준].[대출권수(전년동월)]" caption="대출권수(전년동월)" attribute="1" defaultMemberUniqueName="[년월기준].[대출권수(전년동월)].[All]" allUniqueName="[년월기준].[대출권수(전년동월)].[All]" dimensionUniqueName="[년월기준]" displayFolder="" count="0" memberValueDatatype="20" unbalanced="0"/>
    <cacheHierarchy uniqueName="[년월기준].[전년동월비(권수)]" caption="전년동월비(권수)" attribute="1" defaultMemberUniqueName="[년월기준].[전년동월비(권수)].[All]" allUniqueName="[년월기준].[전년동월비(권수)].[All]" dimensionUniqueName="[년월기준]" displayFolder="" count="0" memberValueDatatype="5" unbalanced="0"/>
    <cacheHierarchy uniqueName="[년월기준].[행사참여자수]" caption="행사참여자수" attribute="1" defaultMemberUniqueName="[년월기준].[행사참여자수].[All]" allUniqueName="[년월기준].[행사참여자수].[All]" dimensionUniqueName="[년월기준]" displayFolder="" count="0" memberValueDatatype="20" unbalanced="0"/>
    <cacheHierarchy uniqueName="[년월기준].[행사참여자수(전년동월)]" caption="행사참여자수(전년동월)" attribute="1" defaultMemberUniqueName="[년월기준].[행사참여자수(전년동월)].[All]" allUniqueName="[년월기준].[행사참여자수(전년동월)].[All]" dimensionUniqueName="[년월기준]" displayFolder="" count="0" memberValueDatatype="20" unbalanced="0"/>
    <cacheHierarchy uniqueName="[년월기준].[전년동월비(행사참여자수)]" caption="전년동월비(행사참여자수)" attribute="1" defaultMemberUniqueName="[년월기준].[전년동월비(행사참여자수)].[All]" allUniqueName="[년월기준].[전년동월비(행사참여자수)].[All]" dimensionUniqueName="[년월기준]" displayFolder="" count="0" memberValueDatatype="5" unbalanced="0"/>
    <cacheHierarchy uniqueName="[년월기준].[년월(월)]" caption="년월(월)" attribute="1" defaultMemberUniqueName="[년월기준].[년월(월)].[All]" allUniqueName="[년월기준].[년월(월)].[All]" dimensionUniqueName="[년월기준]" displayFolder="" count="0" memberValueDatatype="130" unbalanced="0"/>
    <cacheHierarchy uniqueName="[대출권수].[년월]" caption="년월" attribute="1" time="1" defaultMemberUniqueName="[대출권수].[년월].[All]" allUniqueName="[대출권수].[년월].[All]" dimensionUniqueName="[대출권수]" displayFolder="" count="0" memberValueDatatype="7" unbalanced="0"/>
    <cacheHierarchy uniqueName="[대출권수].[소장처명]" caption="소장처명" attribute="1" defaultMemberUniqueName="[대출권수].[소장처명].[All]" allUniqueName="[대출권수].[소장처명].[All]" dimensionUniqueName="[대출권수]" displayFolder="" count="0" memberValueDatatype="130" unbalanced="0"/>
    <cacheHierarchy uniqueName="[대출권수].[자료실구분]" caption="자료실구분" attribute="1" defaultMemberUniqueName="[대출권수].[자료실구분].[All]" allUniqueName="[대출권수].[자료실구분].[All]" dimensionUniqueName="[대출권수]" displayFolder="" count="0" memberValueDatatype="130" unbalanced="0"/>
    <cacheHierarchy uniqueName="[대출권수].[대출반납]" caption="대출반납" attribute="1" defaultMemberUniqueName="[대출권수].[대출반납].[All]" allUniqueName="[대출권수].[대출반납].[All]" dimensionUniqueName="[대출권수]" displayFolder="" count="0" memberValueDatatype="130" unbalanced="0"/>
    <cacheHierarchy uniqueName="[대출권수].[총류]" caption="총류" attribute="1" defaultMemberUniqueName="[대출권수].[총류].[All]" allUniqueName="[대출권수].[총류].[All]" dimensionUniqueName="[대출권수]" displayFolder="" count="0" memberValueDatatype="20" unbalanced="0"/>
    <cacheHierarchy uniqueName="[대출권수].[철학]" caption="철학" attribute="1" defaultMemberUniqueName="[대출권수].[철학].[All]" allUniqueName="[대출권수].[철학].[All]" dimensionUniqueName="[대출권수]" displayFolder="" count="0" memberValueDatatype="20" unbalanced="0"/>
    <cacheHierarchy uniqueName="[대출권수].[종교]" caption="종교" attribute="1" defaultMemberUniqueName="[대출권수].[종교].[All]" allUniqueName="[대출권수].[종교].[All]" dimensionUniqueName="[대출권수]" displayFolder="" count="0" memberValueDatatype="20" unbalanced="0"/>
    <cacheHierarchy uniqueName="[대출권수].[사회과학]" caption="사회과학" attribute="1" defaultMemberUniqueName="[대출권수].[사회과학].[All]" allUniqueName="[대출권수].[사회과학].[All]" dimensionUniqueName="[대출권수]" displayFolder="" count="0" memberValueDatatype="20" unbalanced="0"/>
    <cacheHierarchy uniqueName="[대출권수].[자연과학]" caption="자연과학" attribute="1" defaultMemberUniqueName="[대출권수].[자연과학].[All]" allUniqueName="[대출권수].[자연과학].[All]" dimensionUniqueName="[대출권수]" displayFolder="" count="0" memberValueDatatype="20" unbalanced="0"/>
    <cacheHierarchy uniqueName="[대출권수].[기술과학]" caption="기술과학" attribute="1" defaultMemberUniqueName="[대출권수].[기술과학].[All]" allUniqueName="[대출권수].[기술과학].[All]" dimensionUniqueName="[대출권수]" displayFolder="" count="0" memberValueDatatype="20" unbalanced="0"/>
    <cacheHierarchy uniqueName="[대출권수].[예술]" caption="예술" attribute="1" defaultMemberUniqueName="[대출권수].[예술].[All]" allUniqueName="[대출권수].[예술].[All]" dimensionUniqueName="[대출권수]" displayFolder="" count="0" memberValueDatatype="20" unbalanced="0"/>
    <cacheHierarchy uniqueName="[대출권수].[언어]" caption="언어" attribute="1" defaultMemberUniqueName="[대출권수].[언어].[All]" allUniqueName="[대출권수].[언어].[All]" dimensionUniqueName="[대출권수]" displayFolder="" count="0" memberValueDatatype="20" unbalanced="0"/>
    <cacheHierarchy uniqueName="[대출권수].[문학]" caption="문학" attribute="1" defaultMemberUniqueName="[대출권수].[문학].[All]" allUniqueName="[대출권수].[문학].[All]" dimensionUniqueName="[대출권수]" displayFolder="" count="0" memberValueDatatype="20" unbalanced="0"/>
    <cacheHierarchy uniqueName="[대출권수].[역사]" caption="역사" attribute="1" defaultMemberUniqueName="[대출권수].[역사].[All]" allUniqueName="[대출권수].[역사].[All]" dimensionUniqueName="[대출권수]" displayFolder="" count="0" memberValueDatatype="20" unbalanced="0"/>
    <cacheHierarchy uniqueName="[대출권수].[기타]" caption="기타" attribute="1" defaultMemberUniqueName="[대출권수].[기타].[All]" allUniqueName="[대출권수].[기타].[All]" dimensionUniqueName="[대출권수]" displayFolder="" count="0" memberValueDatatype="20" unbalanced="0"/>
    <cacheHierarchy uniqueName="[대출권수].[합계]" caption="합계" attribute="1" defaultMemberUniqueName="[대출권수].[합계].[All]" allUniqueName="[대출권수].[합계].[All]" dimensionUniqueName="[대출권수]" displayFolder="" count="0" memberValueDatatype="20" unbalanced="0"/>
    <cacheHierarchy uniqueName="[자료실기준].[년월]" caption="년월" attribute="1" time="1" defaultMemberUniqueName="[자료실기준].[년월].[All]" allUniqueName="[자료실기준].[년월].[All]" dimensionUniqueName="[자료실기준]" displayFolder="" count="0" memberValueDatatype="7" unbalanced="0"/>
    <cacheHierarchy uniqueName="[자료실기준].[소장처명]" caption="소장처명" attribute="1" defaultMemberUniqueName="[자료실기준].[소장처명].[All]" allUniqueName="[자료실기준].[소장처명].[All]" dimensionUniqueName="[자료실기준]" displayFolder="" count="0" memberValueDatatype="130" unbalanced="0"/>
    <cacheHierarchy uniqueName="[자료실기준].[고유값]" caption="고유값" attribute="1" defaultMemberUniqueName="[자료실기준].[고유값].[All]" allUniqueName="[자료실기준].[고유값].[All]" dimensionUniqueName="[자료실기준]" displayFolder="" count="0" memberValueDatatype="130" unbalanced="0"/>
    <cacheHierarchy uniqueName="[자료실기준].[자료실구분]" caption="자료실구분" attribute="1" defaultMemberUniqueName="[자료실기준].[자료실구분].[All]" allUniqueName="[자료실기준].[자료실구분].[All]" dimensionUniqueName="[자료실기준]" displayFolder="" count="0" memberValueDatatype="130" unbalanced="0"/>
    <cacheHierarchy uniqueName="[자료실기준].[어린이남자]" caption="어린이남자" attribute="1" defaultMemberUniqueName="[자료실기준].[어린이남자].[All]" allUniqueName="[자료실기준].[어린이남자].[All]" dimensionUniqueName="[자료실기준]" displayFolder="" count="0" memberValueDatatype="20" unbalanced="0"/>
    <cacheHierarchy uniqueName="[자료실기준].[어린이여자]" caption="어린이여자" attribute="1" defaultMemberUniqueName="[자료실기준].[어린이여자].[All]" allUniqueName="[자료실기준].[어린이여자].[All]" dimensionUniqueName="[자료실기준]" displayFolder="" count="0" memberValueDatatype="20" unbalanced="0"/>
    <cacheHierarchy uniqueName="[자료실기준].[청소년남자]" caption="청소년남자" attribute="1" defaultMemberUniqueName="[자료실기준].[청소년남자].[All]" allUniqueName="[자료실기준].[청소년남자].[All]" dimensionUniqueName="[자료실기준]" displayFolder="" count="0" memberValueDatatype="20" unbalanced="0"/>
    <cacheHierarchy uniqueName="[자료실기준].[청소년여자]" caption="청소년여자" attribute="1" defaultMemberUniqueName="[자료실기준].[청소년여자].[All]" allUniqueName="[자료실기준].[청소년여자].[All]" dimensionUniqueName="[자료실기준]" displayFolder="" count="0" memberValueDatatype="20" unbalanced="0"/>
    <cacheHierarchy uniqueName="[자료실기준].[성인남자]" caption="성인남자" attribute="1" defaultMemberUniqueName="[자료실기준].[성인남자].[All]" allUniqueName="[자료실기준].[성인남자].[All]" dimensionUniqueName="[자료실기준]" displayFolder="" count="0" memberValueDatatype="20" unbalanced="0"/>
    <cacheHierarchy uniqueName="[자료실기준].[성인여자]" caption="성인여자" attribute="1" defaultMemberUniqueName="[자료실기준].[성인여자].[All]" allUniqueName="[자료실기준].[성인여자].[All]" dimensionUniqueName="[자료실기준]" displayFolder="" count="0" memberValueDatatype="20" unbalanced="0"/>
    <cacheHierarchy uniqueName="[자료실기준].[어린이]" caption="어린이" attribute="1" defaultMemberUniqueName="[자료실기준].[어린이].[All]" allUniqueName="[자료실기준].[어린이].[All]" dimensionUniqueName="[자료실기준]" displayFolder="" count="0" memberValueDatatype="20" unbalanced="0"/>
    <cacheHierarchy uniqueName="[자료실기준].[청소년]" caption="청소년" attribute="1" defaultMemberUniqueName="[자료실기준].[청소년].[All]" allUniqueName="[자료실기준].[청소년].[All]" dimensionUniqueName="[자료실기준]" displayFolder="" count="0" memberValueDatatype="20" unbalanced="0"/>
    <cacheHierarchy uniqueName="[자료실기준].[성인]" caption="성인" attribute="1" defaultMemberUniqueName="[자료실기준].[성인].[All]" allUniqueName="[자료실기준].[성인].[All]" dimensionUniqueName="[자료실기준]" displayFolder="" count="0" memberValueDatatype="20" unbalanced="0"/>
    <cacheHierarchy uniqueName="[자료실기준].[남자]" caption="남자" attribute="1" defaultMemberUniqueName="[자료실기준].[남자].[All]" allUniqueName="[자료실기준].[남자].[All]" dimensionUniqueName="[자료실기준]" displayFolder="" count="0" memberValueDatatype="20" unbalanced="0"/>
    <cacheHierarchy uniqueName="[자료실기준].[여자]" caption="여자" attribute="1" defaultMemberUniqueName="[자료실기준].[여자].[All]" allUniqueName="[자료실기준].[여자].[All]" dimensionUniqueName="[자료실기준]" displayFolder="" count="0" memberValueDatatype="20" unbalanced="0"/>
    <cacheHierarchy uniqueName="[자료실기준].[대출자수합계]" caption="대출자수합계" attribute="1" defaultMemberUniqueName="[자료실기준].[대출자수합계].[All]" allUniqueName="[자료실기준].[대출자수합계].[All]" dimensionUniqueName="[자료실기준]" displayFolder="" count="0" memberValueDatatype="20" unbalanced="0"/>
    <cacheHierarchy uniqueName="[자료실기준].[총류]" caption="총류" attribute="1" defaultMemberUniqueName="[자료실기준].[총류].[All]" allUniqueName="[자료실기준].[총류].[All]" dimensionUniqueName="[자료실기준]" displayFolder="" count="0" memberValueDatatype="20" unbalanced="0"/>
    <cacheHierarchy uniqueName="[자료실기준].[철학]" caption="철학" attribute="1" defaultMemberUniqueName="[자료실기준].[철학].[All]" allUniqueName="[자료실기준].[철학].[All]" dimensionUniqueName="[자료실기준]" displayFolder="" count="0" memberValueDatatype="20" unbalanced="0"/>
    <cacheHierarchy uniqueName="[자료실기준].[종교]" caption="종교" attribute="1" defaultMemberUniqueName="[자료실기준].[종교].[All]" allUniqueName="[자료실기준].[종교].[All]" dimensionUniqueName="[자료실기준]" displayFolder="" count="0" memberValueDatatype="20" unbalanced="0"/>
    <cacheHierarchy uniqueName="[자료실기준].[사회과학]" caption="사회과학" attribute="1" defaultMemberUniqueName="[자료실기준].[사회과학].[All]" allUniqueName="[자료실기준].[사회과학].[All]" dimensionUniqueName="[자료실기준]" displayFolder="" count="0" memberValueDatatype="20" unbalanced="0"/>
    <cacheHierarchy uniqueName="[자료실기준].[자연과학]" caption="자연과학" attribute="1" defaultMemberUniqueName="[자료실기준].[자연과학].[All]" allUniqueName="[자료실기준].[자연과학].[All]" dimensionUniqueName="[자료실기준]" displayFolder="" count="0" memberValueDatatype="20" unbalanced="0"/>
    <cacheHierarchy uniqueName="[자료실기준].[기술과학]" caption="기술과학" attribute="1" defaultMemberUniqueName="[자료실기준].[기술과학].[All]" allUniqueName="[자료실기준].[기술과학].[All]" dimensionUniqueName="[자료실기준]" displayFolder="" count="0" memberValueDatatype="20" unbalanced="0"/>
    <cacheHierarchy uniqueName="[자료실기준].[예술]" caption="예술" attribute="1" defaultMemberUniqueName="[자료실기준].[예술].[All]" allUniqueName="[자료실기준].[예술].[All]" dimensionUniqueName="[자료실기준]" displayFolder="" count="0" memberValueDatatype="20" unbalanced="0"/>
    <cacheHierarchy uniqueName="[자료실기준].[언어]" caption="언어" attribute="1" defaultMemberUniqueName="[자료실기준].[언어].[All]" allUniqueName="[자료실기준].[언어].[All]" dimensionUniqueName="[자료실기준]" displayFolder="" count="0" memberValueDatatype="20" unbalanced="0"/>
    <cacheHierarchy uniqueName="[자료실기준].[문학]" caption="문학" attribute="1" defaultMemberUniqueName="[자료실기준].[문학].[All]" allUniqueName="[자료실기준].[문학].[All]" dimensionUniqueName="[자료실기준]" displayFolder="" count="0" memberValueDatatype="20" unbalanced="0"/>
    <cacheHierarchy uniqueName="[자료실기준].[역사]" caption="역사" attribute="1" defaultMemberUniqueName="[자료실기준].[역사].[All]" allUniqueName="[자료실기준].[역사].[All]" dimensionUniqueName="[자료실기준]" displayFolder="" count="0" memberValueDatatype="20" unbalanced="0"/>
    <cacheHierarchy uniqueName="[자료실기준].[대출권수합계]" caption="대출권수합계" attribute="1" defaultMemberUniqueName="[자료실기준].[대출권수합계].[All]" allUniqueName="[자료실기준].[대출권수합계].[All]" dimensionUniqueName="[자료실기준]" displayFolder="" count="0" memberValueDatatype="20" unbalanced="0"/>
    <cacheHierarchy uniqueName="[자료실기준].[자유학습실인원]" caption="자유학습실인원" attribute="1" defaultMemberUniqueName="[자료실기준].[자유학습실인원].[All]" allUniqueName="[자료실기준].[자유학습실인원].[All]" dimensionUniqueName="[자료실기준]" displayFolder="" count="0" memberValueDatatype="20" unbalanced="0"/>
    <cacheHierarchy uniqueName="[자료실기준].[열람자수]" caption="열람자수" attribute="1" defaultMemberUniqueName="[자료실기준].[열람자수].[All]" allUniqueName="[자료실기준].[열람자수].[All]" dimensionUniqueName="[자료실기준]" displayFolder="" count="0" memberValueDatatype="20" unbalanced="0"/>
    <cacheHierarchy uniqueName="[자료실기준].[열람권수]" caption="열람권수" attribute="1" defaultMemberUniqueName="[자료실기준].[열람권수].[All]" allUniqueName="[자료실기준].[열람권수].[All]" dimensionUniqueName="[자료실기준]" displayFolder="" count="0" memberValueDatatype="20" unbalanced="0"/>
    <cacheHierarchy uniqueName="[자료실기준].[대출권수(6월예측포함)]" caption="대출권수(6월예측포함)" attribute="1" defaultMemberUniqueName="[자료실기준].[대출권수(6월예측포함)].[All]" allUniqueName="[자료실기준].[대출권수(6월예측포함)].[All]" dimensionUniqueName="[자료실기준]" displayFolder="" count="0" memberValueDatatype="5" unbalanced="0"/>
    <cacheHierarchy uniqueName="[자료실기준].[대출자수(6월예측포함)]" caption="대출자수(6월예측포함)" attribute="1" defaultMemberUniqueName="[자료실기준].[대출자수(6월예측포함)].[All]" allUniqueName="[자료실기준].[대출자수(6월예측포함)].[All]" dimensionUniqueName="[자료실기준]" displayFolder="" count="0" memberValueDatatype="5" unbalanced="0"/>
    <cacheHierarchy uniqueName="[자료실기준].[열람권수(6월예측포함)]" caption="열람권수(6월예측포함)" attribute="1" defaultMemberUniqueName="[자료실기준].[열람권수(6월예측포함)].[All]" allUniqueName="[자료실기준].[열람권수(6월예측포함)].[All]" dimensionUniqueName="[자료실기준]" displayFolder="" count="0" memberValueDatatype="5" unbalanced="0"/>
    <cacheHierarchy uniqueName="[자료실기준].[열람자수(6월예측포함)]" caption="열람자수(6월예측포함)" attribute="1" defaultMemberUniqueName="[자료실기준].[열람자수(6월예측포함)].[All]" allUniqueName="[자료실기준].[열람자수(6월예측포함)].[All]" dimensionUniqueName="[자료실기준]" displayFolder="" count="0" memberValueDatatype="5" unbalanced="0"/>
    <cacheHierarchy uniqueName="[자료실범례].[소장처명]" caption="소장처명" attribute="1" defaultMemberUniqueName="[자료실범례].[소장처명].[All]" allUniqueName="[자료실범례].[소장처명].[All]" dimensionUniqueName="[자료실범례]" displayFolder="" count="0" memberValueDatatype="130" unbalanced="0"/>
    <cacheHierarchy uniqueName="[자료실범례].[구분]" caption="구분" attribute="1" defaultMemberUniqueName="[자료실범례].[구분].[All]" allUniqueName="[자료실범례].[구분].[All]" dimensionUniqueName="[자료실범례]" displayFolder="" count="0" memberValueDatatype="130" unbalanced="0"/>
    <cacheHierarchy uniqueName="[행사기준].[년월]" caption="년월" attribute="1" time="1" defaultMemberUniqueName="[행사기준].[년월].[All]" allUniqueName="[행사기준].[년월].[All]" dimensionUniqueName="[행사기준]" displayFolder="" count="0" memberValueDatatype="7" unbalanced="0"/>
    <cacheHierarchy uniqueName="[행사기준].[행사분류]" caption="행사분류" attribute="1" defaultMemberUniqueName="[행사기준].[행사분류].[All]" allUniqueName="[행사기준].[행사분류].[All]" dimensionUniqueName="[행사기준]" displayFolder="" count="2" memberValueDatatype="130" unbalanced="0"/>
    <cacheHierarchy uniqueName="[행사기준].[행사분류2]" caption="행사분류2" attribute="1" defaultMemberUniqueName="[행사기준].[행사분류2].[All]" allUniqueName="[행사기준].[행사분류2].[All]" dimensionUniqueName="[행사기준]" displayFolder="" count="0" memberValueDatatype="130" unbalanced="0"/>
    <cacheHierarchy uniqueName="[행사기준].[행사명]" caption="행사명" attribute="1" defaultMemberUniqueName="[행사기준].[행사명].[All]" allUniqueName="[행사기준].[행사명].[All]" dimensionUniqueName="[행사기준]" displayFolder="" count="0" memberValueDatatype="130" unbalanced="0"/>
    <cacheHierarchy uniqueName="[행사기준].[대상1]" caption="대상1" attribute="1" defaultMemberUniqueName="[행사기준].[대상1].[All]" allUniqueName="[행사기준].[대상1].[All]" dimensionUniqueName="[행사기준]" displayFolder="" count="0" memberValueDatatype="130" unbalanced="0"/>
    <cacheHierarchy uniqueName="[행사기준].[대상2]" caption="대상2" attribute="1" defaultMemberUniqueName="[행사기준].[대상2].[All]" allUniqueName="[행사기준].[대상2].[All]" dimensionUniqueName="[행사기준]" displayFolder="" count="0" memberValueDatatype="130" unbalanced="0"/>
    <cacheHierarchy uniqueName="[행사기준].[대상(상세)]" caption="대상(상세)" attribute="1" defaultMemberUniqueName="[행사기준].[대상(상세)].[All]" allUniqueName="[행사기준].[대상(상세)].[All]" dimensionUniqueName="[행사기준]" displayFolder="" count="0" memberValueDatatype="130" unbalanced="0"/>
    <cacheHierarchy uniqueName="[행사기준].[횟수]" caption="횟수" attribute="1" defaultMemberUniqueName="[행사기준].[횟수].[All]" allUniqueName="[행사기준].[횟수].[All]" dimensionUniqueName="[행사기준]" displayFolder="" count="0" memberValueDatatype="20" unbalanced="0"/>
    <cacheHierarchy uniqueName="[행사기준].[남자]" caption="남자" attribute="1" defaultMemberUniqueName="[행사기준].[남자].[All]" allUniqueName="[행사기준].[남자].[All]" dimensionUniqueName="[행사기준]" displayFolder="" count="0" memberValueDatatype="20" unbalanced="0"/>
    <cacheHierarchy uniqueName="[행사기준].[여자]" caption="여자" attribute="1" defaultMemberUniqueName="[행사기준].[여자].[All]" allUniqueName="[행사기준].[여자].[All]" dimensionUniqueName="[행사기준]" displayFolder="" count="0" memberValueDatatype="20" unbalanced="0"/>
    <cacheHierarchy uniqueName="[행사기준].[계]" caption="계" attribute="1" defaultMemberUniqueName="[행사기준].[계].[All]" allUniqueName="[행사기준].[계].[All]" dimensionUniqueName="[행사기준]" displayFolder="" count="0" memberValueDatatype="20" unbalanced="0"/>
    <cacheHierarchy uniqueName="[행사기준].[강사명]" caption="강사명" attribute="1" defaultMemberUniqueName="[행사기준].[강사명].[All]" allUniqueName="[행사기준].[강사명].[All]" dimensionUniqueName="[행사기준]" displayFolder="" count="0" memberValueDatatype="130" unbalanced="0"/>
    <cacheHierarchy uniqueName="[행사기준].[담당자1]" caption="담당자1" attribute="1" defaultMemberUniqueName="[행사기준].[담당자1].[All]" allUniqueName="[행사기준].[담당자1].[All]" dimensionUniqueName="[행사기준]" displayFolder="" count="0" memberValueDatatype="130" unbalanced="0"/>
    <cacheHierarchy uniqueName="[행사기준].[담당자2]" caption="담당자2" attribute="1" defaultMemberUniqueName="[행사기준].[담당자2].[All]" allUniqueName="[행사기준].[담당자2].[All]" dimensionUniqueName="[행사기준]" displayFolder="" count="0" memberValueDatatype="130" unbalanced="0"/>
    <cacheHierarchy uniqueName="[행사기준].[고유값]" caption="고유값" attribute="1" defaultMemberUniqueName="[행사기준].[고유값].[All]" allUniqueName="[행사기준].[고유값].[All]" dimensionUniqueName="[행사기준]" displayFolder="" count="0" memberValueDatatype="130" unbalanced="0"/>
    <cacheHierarchy uniqueName="[날짜tb].[월(월 인덱스)]" caption="월(월 인덱스)" attribute="1" defaultMemberUniqueName="[날짜tb].[월(월 인덱스)].[All]" allUniqueName="[날짜tb].[월(월 인덱스)].[All]" dimensionUniqueName="[날짜tb]" displayFolder="" count="0" memberValueDatatype="20" unbalanced="0" hidden="1"/>
    <cacheHierarchy uniqueName="[년월기준].[년월(월 인덱스)]" caption="년월(월 인덱스)" attribute="1" defaultMemberUniqueName="[년월기준].[년월(월 인덱스)].[All]" allUniqueName="[년월기준].[년월(월 인덱스)].[All]" dimensionUniqueName="[년월기준]" displayFolder="" count="0" memberValueDatatype="20" unbalanced="0" hidden="1"/>
    <cacheHierarchy uniqueName="[Measures].[__XL_Count 자료실기준]" caption="__XL_Count 자료실기준" measure="1" displayFolder="" measureGroup="자료실기준" count="0" hidden="1"/>
    <cacheHierarchy uniqueName="[Measures].[__XL_Count 행사기준]" caption="__XL_Count 행사기준" measure="1" displayFolder="" measureGroup="행사기준" count="0" hidden="1"/>
    <cacheHierarchy uniqueName="[Measures].[__XL_Count 날짜tb]" caption="__XL_Count 날짜tb" measure="1" displayFolder="" measureGroup="날짜tb" count="0" hidden="1"/>
    <cacheHierarchy uniqueName="[Measures].[__XL_Count 대출권수]" caption="__XL_Count 대출권수" measure="1" displayFolder="" measureGroup="대출권수" count="0" hidden="1"/>
    <cacheHierarchy uniqueName="[Measures].[__XL_Count 년월기준]" caption="__XL_Count 년월기준" measure="1" displayFolder="" measureGroup="년월기준" count="0" hidden="1"/>
    <cacheHierarchy uniqueName="[Measures].[__XL_Count 자료실범례]" caption="__XL_Count 자료실범례" measure="1" displayFolder="" measureGroup="자료실범례" count="0" hidden="1"/>
    <cacheHierarchy uniqueName="[Measures].[__XL_Count 개관일수범례]" caption="__XL_Count 개관일수범례" measure="1" displayFolder="" measureGroup="개관일수범례" count="0" hidden="1"/>
    <cacheHierarchy uniqueName="[Measures].[__정의된 측정값 없음]" caption="__정의된 측정값 없음" measure="1" displayFolder="" count="0" hidden="1"/>
    <cacheHierarchy uniqueName="[Measures].[합계: 어린이남자]" caption="합계: 어린이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합계: 어린이여자]" caption="합계: 어린이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합계: 청소년남자]" caption="합계: 청소년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합계: 청소년여자]" caption="합계: 청소년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합계: 성인남자]" caption="합계: 성인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합계: 성인여자]" caption="합계: 성인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합계: 어린이]" caption="합계: 어린이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합계: 청소년]" caption="합계: 청소년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합계: 성인]" caption="합계: 성인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합계: 남자]" caption="합계: 남자" measure="1" displayFolder="" measureGroup="자료실기준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합계: 여자]" caption="합계: 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합계: 합계]" caption="합계: 합계" measure="1" displayFolder="" measureGroup="대출권수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합계: 대출자수합계]" caption="합계: 대출자수합계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합계: 대출자수]" caption="합계: 대출자수" measure="1" displayFolder="" measureGroup="년월기준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합계: 대출권수]" caption="합계: 대출권수" measure="1" displayFolder="" measureGroup="년월기준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합계: 대출자수(전년동월)]" caption="합계: 대출자수(전년동월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개수: 전년동월비(대출자수)]" caption="개수: 전년동월비(대출자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합계: 대출권수(전년동월)]" caption="합계: 대출권수(전년동월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합계: 자유학습실인원]" caption="합계: 자유학습실인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합계: 여자 2]" caption="합계: 여자 2" measure="1" displayFolder="" measureGroup="행사기준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개수: 행사명]" caption="개수: 행사명" measure="1" displayFolder="" measureGroup="행사기준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개수: 전년동월비(행사참여자수)]" caption="개수: 전년동월비(행사참여자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합계: 전년동월비(대출자수)]" caption="합계: 전년동월비(대출자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합계: 전년동월비(권수)]" caption="합계: 전년동월비(권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총류]" caption="개수: 총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개수: 철학]" caption="개수: 철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개수: 종교]" caption="개수: 종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개수: 사회과학]" caption="개수: 사회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합계: 총류]" caption="합계: 총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합계: 철학]" caption="합계: 철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합계: 종교]" caption="합계: 종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합계: 사회과학]" caption="합계: 사회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합계: 자연과학]" caption="합계: 자연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합계: 기술과학]" caption="합계: 기술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합계: 예술]" caption="합계: 예술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합계: 언어]" caption="합계: 언어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합계: 문학]" caption="합계: 문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합계: 역사]" caption="합계: 역사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합계: 대출권수합계]" caption="합계: 대출권수합계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합계: 열람자수]" caption="합계: 열람자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합계: 열람권수]" caption="합계: 열람권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합계: 대출권수(6월예측포함)]" caption="합계: 대출권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합계: 대출자수(6월예측포함)]" caption="합계: 대출자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합계: 열람권수(6월예측포함)]" caption="합계: 열람권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합계: 열람자수(6월예측포함)]" caption="합계: 열람자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합계: 계]" caption="합계: 계" measure="1" displayFolder="" measureGroup="행사기준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합계: 횟수]" caption="합계: 횟수" measure="1" displayFolder="" measureGroup="행사기준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합계: 자유학습실]" caption="합계: 자유학습실" measure="1" displayFolder="" measureGroup="개관일수범례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합계: 자료실개관일수]" caption="합계: 자료실개관일수" measure="1" displayFolder="" measureGroup="개관일수범례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8">
    <dimension measure="1" name="Measures" uniqueName="[Measures]" caption="Measures"/>
    <dimension name="개관일수범례" uniqueName="[개관일수범례]" caption="개관일수범례"/>
    <dimension name="날짜tb" uniqueName="[날짜tb]" caption="날짜tb"/>
    <dimension name="년월기준" uniqueName="[년월기준]" caption="년월기준"/>
    <dimension name="대출권수" uniqueName="[대출권수]" caption="대출권수"/>
    <dimension name="자료실기준" uniqueName="[자료실기준]" caption="자료실기준"/>
    <dimension name="자료실범례" uniqueName="[자료실범례]" caption="자료실범례"/>
    <dimension name="행사기준" uniqueName="[행사기준]" caption="행사기준"/>
  </dimensions>
  <measureGroups count="7">
    <measureGroup name="개관일수범례" caption="개관일수범례"/>
    <measureGroup name="날짜tb" caption="날짜tb"/>
    <measureGroup name="년월기준" caption="년월기준"/>
    <measureGroup name="대출권수" caption="대출권수"/>
    <measureGroup name="자료실기준" caption="자료실기준"/>
    <measureGroup name="자료실범례" caption="자료실범례"/>
    <measureGroup name="행사기준" caption="행사기준"/>
  </measureGroups>
  <maps count="11">
    <map measureGroup="0" dimension="1"/>
    <map measureGroup="0" dimension="2"/>
    <map measureGroup="1" dimension="2"/>
    <map measureGroup="2" dimension="2"/>
    <map measureGroup="2" dimension="3"/>
    <map measureGroup="3" dimension="4"/>
    <map measureGroup="4" dimension="2"/>
    <map measureGroup="4" dimension="5"/>
    <map measureGroup="5" dimension="6"/>
    <map measureGroup="6" dimension="2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29.583628935186" backgroundQuery="1" createdVersion="6" refreshedVersion="6" minRefreshableVersion="3" recordCount="0" supportSubquery="1" supportAdvancedDrill="1" xr:uid="{58CA5406-6A58-4F47-B2B8-39CC2338CF15}">
  <cacheSource type="external" connectionId="1"/>
  <cacheFields count="4">
    <cacheField name="[날짜tb].[월(월)].[월(월)]" caption="월(월)" numFmtId="0" hierarchy="10" level="1">
      <sharedItems containsSemiMixedTypes="0" containsNonDate="0" containsString="0"/>
    </cacheField>
    <cacheField name="[행사기준].[대상1].[대상1]" caption="대상1" numFmtId="0" hierarchy="79" level="1">
      <sharedItems count="4">
        <s v="성인"/>
        <s v="어린이"/>
        <s v="전체"/>
        <s v="청소년"/>
      </sharedItems>
    </cacheField>
    <cacheField name="[날짜tb].[월].[월]" caption="월" numFmtId="0" hierarchy="8" level="1">
      <sharedItems containsSemiMixedTypes="0" containsNonDate="0" containsString="0"/>
    </cacheField>
    <cacheField name="[Measures].[합계: 계]" caption="합계: 계" numFmtId="0" hierarchy="145" level="32767"/>
  </cacheFields>
  <cacheHierarchies count="149">
    <cacheHierarchy uniqueName="[개관일수범례].[년월]" caption="년월" attribute="1" time="1" defaultMemberUniqueName="[개관일수범례].[년월].[All]" allUniqueName="[개관일수범례].[년월].[All]" dimensionUniqueName="[개관일수범례]" displayFolder="" count="0" memberValueDatatype="7" unbalanced="0"/>
    <cacheHierarchy uniqueName="[개관일수범례].[자료실개관일수]" caption="자료실개관일수" attribute="1" defaultMemberUniqueName="[개관일수범례].[자료실개관일수].[All]" allUniqueName="[개관일수범례].[자료실개관일수].[All]" dimensionUniqueName="[개관일수범례]" displayFolder="" count="0" memberValueDatatype="20" unbalanced="0"/>
    <cacheHierarchy uniqueName="[개관일수범례].[자유학습실개관일수]" caption="자유학습실개관일수" attribute="1" defaultMemberUniqueName="[개관일수범례].[자유학습실개관일수].[All]" allUniqueName="[개관일수범례].[자유학습실개관일수].[All]" dimensionUniqueName="[개관일수범례]" displayFolder="" count="0" memberValueDatatype="20" unbalanced="0"/>
    <cacheHierarchy uniqueName="[개관일수범례].[자유학습실]" caption="자유학습실" attribute="1" defaultMemberUniqueName="[개관일수범례].[자유학습실].[All]" allUniqueName="[개관일수범례].[자유학습실].[All]" dimensionUniqueName="[개관일수범례]" displayFolder="" count="0" memberValueDatatype="20" unbalanced="0"/>
    <cacheHierarchy uniqueName="[개관일수범례].[일수]" caption="일수" attribute="1" defaultMemberUniqueName="[개관일수범례].[일수].[All]" allUniqueName="[개관일수범례].[일수].[All]" dimensionUniqueName="[개관일수범례]" displayFolder="" count="0" memberValueDatatype="20" unbalanced="0"/>
    <cacheHierarchy uniqueName="[개관일수범례].[정기휴관일]" caption="정기휴관일" attribute="1" defaultMemberUniqueName="[개관일수범례].[정기휴관일].[All]" allUniqueName="[개관일수범례].[정기휴관일].[All]" dimensionUniqueName="[개관일수범례]" displayFolder="" count="0" memberValueDatatype="20" unbalanced="0"/>
    <cacheHierarchy uniqueName="[개관일수범례].[공휴일]" caption="공휴일" attribute="1" defaultMemberUniqueName="[개관일수범례].[공휴일].[All]" allUniqueName="[개관일수범례].[공휴일].[All]" dimensionUniqueName="[개관일수범례]" displayFolder="" count="0" memberValueDatatype="20" unbalanced="0"/>
    <cacheHierarchy uniqueName="[개관일수범례].[자유학습실휴관일]" caption="자유학습실휴관일" attribute="1" defaultMemberUniqueName="[개관일수범례].[자유학습실휴관일].[All]" allUniqueName="[개관일수범례].[자유학습실휴관일].[All]" dimensionUniqueName="[개관일수범례]" displayFolder="" count="0" memberValueDatatype="20" unbalanced="0"/>
    <cacheHierarchy uniqueName="[날짜tb].[월]" caption="월" attribute="1" time="1" defaultMemberUniqueName="[날짜tb].[월].[All]" allUniqueName="[날짜tb].[월].[All]" dimensionUniqueName="[날짜tb]" displayFolder="" count="2" memberValueDatatype="7" unbalanced="0">
      <fieldsUsage count="2">
        <fieldUsage x="-1"/>
        <fieldUsage x="2"/>
      </fieldsUsage>
    </cacheHierarchy>
    <cacheHierarchy uniqueName="[날짜tb].[주]" caption="주" attribute="1" defaultMemberUniqueName="[날짜tb].[주].[All]" allUniqueName="[날짜tb].[주].[All]" dimensionUniqueName="[날짜tb]" displayFolder="" count="0" memberValueDatatype="20" unbalanced="0"/>
    <cacheHierarchy uniqueName="[날짜tb].[월(월)]" caption="월(월)" attribute="1" defaultMemberUniqueName="[날짜tb].[월(월)].[All]" allUniqueName="[날짜tb].[월(월)].[All]" dimensionUniqueName="[날짜tb]" displayFolder="" count="2" memberValueDatatype="130" unbalanced="0">
      <fieldsUsage count="2">
        <fieldUsage x="-1"/>
        <fieldUsage x="0"/>
      </fieldsUsage>
    </cacheHierarchy>
    <cacheHierarchy uniqueName="[년월기준].[년월]" caption="년월" attribute="1" time="1" defaultMemberUniqueName="[년월기준].[년월].[All]" allUniqueName="[년월기준].[년월].[All]" dimensionUniqueName="[년월기준]" displayFolder="" count="0" memberValueDatatype="7" unbalanced="0"/>
    <cacheHierarchy uniqueName="[년월기준].[고유값]" caption="고유값" attribute="1" defaultMemberUniqueName="[년월기준].[고유값].[All]" allUniqueName="[년월기준].[고유값].[All]" dimensionUniqueName="[년월기준]" displayFolder="" count="0" memberValueDatatype="130" unbalanced="0"/>
    <cacheHierarchy uniqueName="[년월기준].[대출자수]" caption="대출자수" attribute="1" defaultMemberUniqueName="[년월기준].[대출자수].[All]" allUniqueName="[년월기준].[대출자수].[All]" dimensionUniqueName="[년월기준]" displayFolder="" count="0" memberValueDatatype="20" unbalanced="0"/>
    <cacheHierarchy uniqueName="[년월기준].[대출자수(전년동월)]" caption="대출자수(전년동월)" attribute="1" defaultMemberUniqueName="[년월기준].[대출자수(전년동월)].[All]" allUniqueName="[년월기준].[대출자수(전년동월)].[All]" dimensionUniqueName="[년월기준]" displayFolder="" count="0" memberValueDatatype="20" unbalanced="0"/>
    <cacheHierarchy uniqueName="[년월기준].[전년동월비(대출자수)]" caption="전년동월비(대출자수)" attribute="1" defaultMemberUniqueName="[년월기준].[전년동월비(대출자수)].[All]" allUniqueName="[년월기준].[전년동월비(대출자수)].[All]" dimensionUniqueName="[년월기준]" displayFolder="" count="0" memberValueDatatype="5" unbalanced="0"/>
    <cacheHierarchy uniqueName="[년월기준].[대출권수]" caption="대출권수" attribute="1" defaultMemberUniqueName="[년월기준].[대출권수].[All]" allUniqueName="[년월기준].[대출권수].[All]" dimensionUniqueName="[년월기준]" displayFolder="" count="0" memberValueDatatype="20" unbalanced="0"/>
    <cacheHierarchy uniqueName="[년월기준].[대출권수(전년동월)]" caption="대출권수(전년동월)" attribute="1" defaultMemberUniqueName="[년월기준].[대출권수(전년동월)].[All]" allUniqueName="[년월기준].[대출권수(전년동월)].[All]" dimensionUniqueName="[년월기준]" displayFolder="" count="0" memberValueDatatype="20" unbalanced="0"/>
    <cacheHierarchy uniqueName="[년월기준].[전년동월비(권수)]" caption="전년동월비(권수)" attribute="1" defaultMemberUniqueName="[년월기준].[전년동월비(권수)].[All]" allUniqueName="[년월기준].[전년동월비(권수)].[All]" dimensionUniqueName="[년월기준]" displayFolder="" count="0" memberValueDatatype="5" unbalanced="0"/>
    <cacheHierarchy uniqueName="[년월기준].[행사참여자수]" caption="행사참여자수" attribute="1" defaultMemberUniqueName="[년월기준].[행사참여자수].[All]" allUniqueName="[년월기준].[행사참여자수].[All]" dimensionUniqueName="[년월기준]" displayFolder="" count="0" memberValueDatatype="20" unbalanced="0"/>
    <cacheHierarchy uniqueName="[년월기준].[행사참여자수(전년동월)]" caption="행사참여자수(전년동월)" attribute="1" defaultMemberUniqueName="[년월기준].[행사참여자수(전년동월)].[All]" allUniqueName="[년월기준].[행사참여자수(전년동월)].[All]" dimensionUniqueName="[년월기준]" displayFolder="" count="0" memberValueDatatype="20" unbalanced="0"/>
    <cacheHierarchy uniqueName="[년월기준].[전년동월비(행사참여자수)]" caption="전년동월비(행사참여자수)" attribute="1" defaultMemberUniqueName="[년월기준].[전년동월비(행사참여자수)].[All]" allUniqueName="[년월기준].[전년동월비(행사참여자수)].[All]" dimensionUniqueName="[년월기준]" displayFolder="" count="0" memberValueDatatype="5" unbalanced="0"/>
    <cacheHierarchy uniqueName="[년월기준].[년월(월)]" caption="년월(월)" attribute="1" defaultMemberUniqueName="[년월기준].[년월(월)].[All]" allUniqueName="[년월기준].[년월(월)].[All]" dimensionUniqueName="[년월기준]" displayFolder="" count="0" memberValueDatatype="130" unbalanced="0"/>
    <cacheHierarchy uniqueName="[대출권수].[년월]" caption="년월" attribute="1" time="1" defaultMemberUniqueName="[대출권수].[년월].[All]" allUniqueName="[대출권수].[년월].[All]" dimensionUniqueName="[대출권수]" displayFolder="" count="0" memberValueDatatype="7" unbalanced="0"/>
    <cacheHierarchy uniqueName="[대출권수].[소장처명]" caption="소장처명" attribute="1" defaultMemberUniqueName="[대출권수].[소장처명].[All]" allUniqueName="[대출권수].[소장처명].[All]" dimensionUniqueName="[대출권수]" displayFolder="" count="0" memberValueDatatype="130" unbalanced="0"/>
    <cacheHierarchy uniqueName="[대출권수].[자료실구분]" caption="자료실구분" attribute="1" defaultMemberUniqueName="[대출권수].[자료실구분].[All]" allUniqueName="[대출권수].[자료실구분].[All]" dimensionUniqueName="[대출권수]" displayFolder="" count="0" memberValueDatatype="130" unbalanced="0"/>
    <cacheHierarchy uniqueName="[대출권수].[대출반납]" caption="대출반납" attribute="1" defaultMemberUniqueName="[대출권수].[대출반납].[All]" allUniqueName="[대출권수].[대출반납].[All]" dimensionUniqueName="[대출권수]" displayFolder="" count="0" memberValueDatatype="130" unbalanced="0"/>
    <cacheHierarchy uniqueName="[대출권수].[총류]" caption="총류" attribute="1" defaultMemberUniqueName="[대출권수].[총류].[All]" allUniqueName="[대출권수].[총류].[All]" dimensionUniqueName="[대출권수]" displayFolder="" count="0" memberValueDatatype="20" unbalanced="0"/>
    <cacheHierarchy uniqueName="[대출권수].[철학]" caption="철학" attribute="1" defaultMemberUniqueName="[대출권수].[철학].[All]" allUniqueName="[대출권수].[철학].[All]" dimensionUniqueName="[대출권수]" displayFolder="" count="0" memberValueDatatype="20" unbalanced="0"/>
    <cacheHierarchy uniqueName="[대출권수].[종교]" caption="종교" attribute="1" defaultMemberUniqueName="[대출권수].[종교].[All]" allUniqueName="[대출권수].[종교].[All]" dimensionUniqueName="[대출권수]" displayFolder="" count="0" memberValueDatatype="20" unbalanced="0"/>
    <cacheHierarchy uniqueName="[대출권수].[사회과학]" caption="사회과학" attribute="1" defaultMemberUniqueName="[대출권수].[사회과학].[All]" allUniqueName="[대출권수].[사회과학].[All]" dimensionUniqueName="[대출권수]" displayFolder="" count="0" memberValueDatatype="20" unbalanced="0"/>
    <cacheHierarchy uniqueName="[대출권수].[자연과학]" caption="자연과학" attribute="1" defaultMemberUniqueName="[대출권수].[자연과학].[All]" allUniqueName="[대출권수].[자연과학].[All]" dimensionUniqueName="[대출권수]" displayFolder="" count="0" memberValueDatatype="20" unbalanced="0"/>
    <cacheHierarchy uniqueName="[대출권수].[기술과학]" caption="기술과학" attribute="1" defaultMemberUniqueName="[대출권수].[기술과학].[All]" allUniqueName="[대출권수].[기술과학].[All]" dimensionUniqueName="[대출권수]" displayFolder="" count="0" memberValueDatatype="20" unbalanced="0"/>
    <cacheHierarchy uniqueName="[대출권수].[예술]" caption="예술" attribute="1" defaultMemberUniqueName="[대출권수].[예술].[All]" allUniqueName="[대출권수].[예술].[All]" dimensionUniqueName="[대출권수]" displayFolder="" count="0" memberValueDatatype="20" unbalanced="0"/>
    <cacheHierarchy uniqueName="[대출권수].[언어]" caption="언어" attribute="1" defaultMemberUniqueName="[대출권수].[언어].[All]" allUniqueName="[대출권수].[언어].[All]" dimensionUniqueName="[대출권수]" displayFolder="" count="0" memberValueDatatype="20" unbalanced="0"/>
    <cacheHierarchy uniqueName="[대출권수].[문학]" caption="문학" attribute="1" defaultMemberUniqueName="[대출권수].[문학].[All]" allUniqueName="[대출권수].[문학].[All]" dimensionUniqueName="[대출권수]" displayFolder="" count="0" memberValueDatatype="20" unbalanced="0"/>
    <cacheHierarchy uniqueName="[대출권수].[역사]" caption="역사" attribute="1" defaultMemberUniqueName="[대출권수].[역사].[All]" allUniqueName="[대출권수].[역사].[All]" dimensionUniqueName="[대출권수]" displayFolder="" count="0" memberValueDatatype="20" unbalanced="0"/>
    <cacheHierarchy uniqueName="[대출권수].[기타]" caption="기타" attribute="1" defaultMemberUniqueName="[대출권수].[기타].[All]" allUniqueName="[대출권수].[기타].[All]" dimensionUniqueName="[대출권수]" displayFolder="" count="0" memberValueDatatype="20" unbalanced="0"/>
    <cacheHierarchy uniqueName="[대출권수].[합계]" caption="합계" attribute="1" defaultMemberUniqueName="[대출권수].[합계].[All]" allUniqueName="[대출권수].[합계].[All]" dimensionUniqueName="[대출권수]" displayFolder="" count="0" memberValueDatatype="20" unbalanced="0"/>
    <cacheHierarchy uniqueName="[자료실기준].[년월]" caption="년월" attribute="1" time="1" defaultMemberUniqueName="[자료실기준].[년월].[All]" allUniqueName="[자료실기준].[년월].[All]" dimensionUniqueName="[자료실기준]" displayFolder="" count="0" memberValueDatatype="7" unbalanced="0"/>
    <cacheHierarchy uniqueName="[자료실기준].[소장처명]" caption="소장처명" attribute="1" defaultMemberUniqueName="[자료실기준].[소장처명].[All]" allUniqueName="[자료실기준].[소장처명].[All]" dimensionUniqueName="[자료실기준]" displayFolder="" count="0" memberValueDatatype="130" unbalanced="0"/>
    <cacheHierarchy uniqueName="[자료실기준].[고유값]" caption="고유값" attribute="1" defaultMemberUniqueName="[자료실기준].[고유값].[All]" allUniqueName="[자료실기준].[고유값].[All]" dimensionUniqueName="[자료실기준]" displayFolder="" count="0" memberValueDatatype="130" unbalanced="0"/>
    <cacheHierarchy uniqueName="[자료실기준].[자료실구분]" caption="자료실구분" attribute="1" defaultMemberUniqueName="[자료실기준].[자료실구분].[All]" allUniqueName="[자료실기준].[자료실구분].[All]" dimensionUniqueName="[자료실기준]" displayFolder="" count="0" memberValueDatatype="130" unbalanced="0"/>
    <cacheHierarchy uniqueName="[자료실기준].[어린이남자]" caption="어린이남자" attribute="1" defaultMemberUniqueName="[자료실기준].[어린이남자].[All]" allUniqueName="[자료실기준].[어린이남자].[All]" dimensionUniqueName="[자료실기준]" displayFolder="" count="0" memberValueDatatype="20" unbalanced="0"/>
    <cacheHierarchy uniqueName="[자료실기준].[어린이여자]" caption="어린이여자" attribute="1" defaultMemberUniqueName="[자료실기준].[어린이여자].[All]" allUniqueName="[자료실기준].[어린이여자].[All]" dimensionUniqueName="[자료실기준]" displayFolder="" count="0" memberValueDatatype="20" unbalanced="0"/>
    <cacheHierarchy uniqueName="[자료실기준].[청소년남자]" caption="청소년남자" attribute="1" defaultMemberUniqueName="[자료실기준].[청소년남자].[All]" allUniqueName="[자료실기준].[청소년남자].[All]" dimensionUniqueName="[자료실기준]" displayFolder="" count="0" memberValueDatatype="20" unbalanced="0"/>
    <cacheHierarchy uniqueName="[자료실기준].[청소년여자]" caption="청소년여자" attribute="1" defaultMemberUniqueName="[자료실기준].[청소년여자].[All]" allUniqueName="[자료실기준].[청소년여자].[All]" dimensionUniqueName="[자료실기준]" displayFolder="" count="0" memberValueDatatype="20" unbalanced="0"/>
    <cacheHierarchy uniqueName="[자료실기준].[성인남자]" caption="성인남자" attribute="1" defaultMemberUniqueName="[자료실기준].[성인남자].[All]" allUniqueName="[자료실기준].[성인남자].[All]" dimensionUniqueName="[자료실기준]" displayFolder="" count="0" memberValueDatatype="20" unbalanced="0"/>
    <cacheHierarchy uniqueName="[자료실기준].[성인여자]" caption="성인여자" attribute="1" defaultMemberUniqueName="[자료실기준].[성인여자].[All]" allUniqueName="[자료실기준].[성인여자].[All]" dimensionUniqueName="[자료실기준]" displayFolder="" count="0" memberValueDatatype="20" unbalanced="0"/>
    <cacheHierarchy uniqueName="[자료실기준].[어린이]" caption="어린이" attribute="1" defaultMemberUniqueName="[자료실기준].[어린이].[All]" allUniqueName="[자료실기준].[어린이].[All]" dimensionUniqueName="[자료실기준]" displayFolder="" count="0" memberValueDatatype="20" unbalanced="0"/>
    <cacheHierarchy uniqueName="[자료실기준].[청소년]" caption="청소년" attribute="1" defaultMemberUniqueName="[자료실기준].[청소년].[All]" allUniqueName="[자료실기준].[청소년].[All]" dimensionUniqueName="[자료실기준]" displayFolder="" count="0" memberValueDatatype="20" unbalanced="0"/>
    <cacheHierarchy uniqueName="[자료실기준].[성인]" caption="성인" attribute="1" defaultMemberUniqueName="[자료실기준].[성인].[All]" allUniqueName="[자료실기준].[성인].[All]" dimensionUniqueName="[자료실기준]" displayFolder="" count="0" memberValueDatatype="20" unbalanced="0"/>
    <cacheHierarchy uniqueName="[자료실기준].[남자]" caption="남자" attribute="1" defaultMemberUniqueName="[자료실기준].[남자].[All]" allUniqueName="[자료실기준].[남자].[All]" dimensionUniqueName="[자료실기준]" displayFolder="" count="0" memberValueDatatype="20" unbalanced="0"/>
    <cacheHierarchy uniqueName="[자료실기준].[여자]" caption="여자" attribute="1" defaultMemberUniqueName="[자료실기준].[여자].[All]" allUniqueName="[자료실기준].[여자].[All]" dimensionUniqueName="[자료실기준]" displayFolder="" count="0" memberValueDatatype="20" unbalanced="0"/>
    <cacheHierarchy uniqueName="[자료실기준].[대출자수합계]" caption="대출자수합계" attribute="1" defaultMemberUniqueName="[자료실기준].[대출자수합계].[All]" allUniqueName="[자료실기준].[대출자수합계].[All]" dimensionUniqueName="[자료실기준]" displayFolder="" count="0" memberValueDatatype="20" unbalanced="0"/>
    <cacheHierarchy uniqueName="[자료실기준].[총류]" caption="총류" attribute="1" defaultMemberUniqueName="[자료실기준].[총류].[All]" allUniqueName="[자료실기준].[총류].[All]" dimensionUniqueName="[자료실기준]" displayFolder="" count="0" memberValueDatatype="20" unbalanced="0"/>
    <cacheHierarchy uniqueName="[자료실기준].[철학]" caption="철학" attribute="1" defaultMemberUniqueName="[자료실기준].[철학].[All]" allUniqueName="[자료실기준].[철학].[All]" dimensionUniqueName="[자료실기준]" displayFolder="" count="0" memberValueDatatype="20" unbalanced="0"/>
    <cacheHierarchy uniqueName="[자료실기준].[종교]" caption="종교" attribute="1" defaultMemberUniqueName="[자료실기준].[종교].[All]" allUniqueName="[자료실기준].[종교].[All]" dimensionUniqueName="[자료실기준]" displayFolder="" count="0" memberValueDatatype="20" unbalanced="0"/>
    <cacheHierarchy uniqueName="[자료실기준].[사회과학]" caption="사회과학" attribute="1" defaultMemberUniqueName="[자료실기준].[사회과학].[All]" allUniqueName="[자료실기준].[사회과학].[All]" dimensionUniqueName="[자료실기준]" displayFolder="" count="0" memberValueDatatype="20" unbalanced="0"/>
    <cacheHierarchy uniqueName="[자료실기준].[자연과학]" caption="자연과학" attribute="1" defaultMemberUniqueName="[자료실기준].[자연과학].[All]" allUniqueName="[자료실기준].[자연과학].[All]" dimensionUniqueName="[자료실기준]" displayFolder="" count="0" memberValueDatatype="20" unbalanced="0"/>
    <cacheHierarchy uniqueName="[자료실기준].[기술과학]" caption="기술과학" attribute="1" defaultMemberUniqueName="[자료실기준].[기술과학].[All]" allUniqueName="[자료실기준].[기술과학].[All]" dimensionUniqueName="[자료실기준]" displayFolder="" count="0" memberValueDatatype="20" unbalanced="0"/>
    <cacheHierarchy uniqueName="[자료실기준].[예술]" caption="예술" attribute="1" defaultMemberUniqueName="[자료실기준].[예술].[All]" allUniqueName="[자료실기준].[예술].[All]" dimensionUniqueName="[자료실기준]" displayFolder="" count="0" memberValueDatatype="20" unbalanced="0"/>
    <cacheHierarchy uniqueName="[자료실기준].[언어]" caption="언어" attribute="1" defaultMemberUniqueName="[자료실기준].[언어].[All]" allUniqueName="[자료실기준].[언어].[All]" dimensionUniqueName="[자료실기준]" displayFolder="" count="0" memberValueDatatype="20" unbalanced="0"/>
    <cacheHierarchy uniqueName="[자료실기준].[문학]" caption="문학" attribute="1" defaultMemberUniqueName="[자료실기준].[문학].[All]" allUniqueName="[자료실기준].[문학].[All]" dimensionUniqueName="[자료실기준]" displayFolder="" count="0" memberValueDatatype="20" unbalanced="0"/>
    <cacheHierarchy uniqueName="[자료실기준].[역사]" caption="역사" attribute="1" defaultMemberUniqueName="[자료실기준].[역사].[All]" allUniqueName="[자료실기준].[역사].[All]" dimensionUniqueName="[자료실기준]" displayFolder="" count="0" memberValueDatatype="20" unbalanced="0"/>
    <cacheHierarchy uniqueName="[자료실기준].[대출권수합계]" caption="대출권수합계" attribute="1" defaultMemberUniqueName="[자료실기준].[대출권수합계].[All]" allUniqueName="[자료실기준].[대출권수합계].[All]" dimensionUniqueName="[자료실기준]" displayFolder="" count="0" memberValueDatatype="20" unbalanced="0"/>
    <cacheHierarchy uniqueName="[자료실기준].[자유학습실인원]" caption="자유학습실인원" attribute="1" defaultMemberUniqueName="[자료실기준].[자유학습실인원].[All]" allUniqueName="[자료실기준].[자유학습실인원].[All]" dimensionUniqueName="[자료실기준]" displayFolder="" count="0" memberValueDatatype="20" unbalanced="0"/>
    <cacheHierarchy uniqueName="[자료실기준].[열람자수]" caption="열람자수" attribute="1" defaultMemberUniqueName="[자료실기준].[열람자수].[All]" allUniqueName="[자료실기준].[열람자수].[All]" dimensionUniqueName="[자료실기준]" displayFolder="" count="0" memberValueDatatype="20" unbalanced="0"/>
    <cacheHierarchy uniqueName="[자료실기준].[열람권수]" caption="열람권수" attribute="1" defaultMemberUniqueName="[자료실기준].[열람권수].[All]" allUniqueName="[자료실기준].[열람권수].[All]" dimensionUniqueName="[자료실기준]" displayFolder="" count="0" memberValueDatatype="20" unbalanced="0"/>
    <cacheHierarchy uniqueName="[자료실기준].[대출권수(6월예측포함)]" caption="대출권수(6월예측포함)" attribute="1" defaultMemberUniqueName="[자료실기준].[대출권수(6월예측포함)].[All]" allUniqueName="[자료실기준].[대출권수(6월예측포함)].[All]" dimensionUniqueName="[자료실기준]" displayFolder="" count="0" memberValueDatatype="5" unbalanced="0"/>
    <cacheHierarchy uniqueName="[자료실기준].[대출자수(6월예측포함)]" caption="대출자수(6월예측포함)" attribute="1" defaultMemberUniqueName="[자료실기준].[대출자수(6월예측포함)].[All]" allUniqueName="[자료실기준].[대출자수(6월예측포함)].[All]" dimensionUniqueName="[자료실기준]" displayFolder="" count="0" memberValueDatatype="5" unbalanced="0"/>
    <cacheHierarchy uniqueName="[자료실기준].[열람권수(6월예측포함)]" caption="열람권수(6월예측포함)" attribute="1" defaultMemberUniqueName="[자료실기준].[열람권수(6월예측포함)].[All]" allUniqueName="[자료실기준].[열람권수(6월예측포함)].[All]" dimensionUniqueName="[자료실기준]" displayFolder="" count="0" memberValueDatatype="5" unbalanced="0"/>
    <cacheHierarchy uniqueName="[자료실기준].[열람자수(6월예측포함)]" caption="열람자수(6월예측포함)" attribute="1" defaultMemberUniqueName="[자료실기준].[열람자수(6월예측포함)].[All]" allUniqueName="[자료실기준].[열람자수(6월예측포함)].[All]" dimensionUniqueName="[자료실기준]" displayFolder="" count="0" memberValueDatatype="5" unbalanced="0"/>
    <cacheHierarchy uniqueName="[자료실범례].[소장처명]" caption="소장처명" attribute="1" defaultMemberUniqueName="[자료실범례].[소장처명].[All]" allUniqueName="[자료실범례].[소장처명].[All]" dimensionUniqueName="[자료실범례]" displayFolder="" count="0" memberValueDatatype="130" unbalanced="0"/>
    <cacheHierarchy uniqueName="[자료실범례].[구분]" caption="구분" attribute="1" defaultMemberUniqueName="[자료실범례].[구분].[All]" allUniqueName="[자료실범례].[구분].[All]" dimensionUniqueName="[자료실범례]" displayFolder="" count="0" memberValueDatatype="130" unbalanced="0"/>
    <cacheHierarchy uniqueName="[행사기준].[년월]" caption="년월" attribute="1" time="1" defaultMemberUniqueName="[행사기준].[년월].[All]" allUniqueName="[행사기준].[년월].[All]" dimensionUniqueName="[행사기준]" displayFolder="" count="0" memberValueDatatype="7" unbalanced="0"/>
    <cacheHierarchy uniqueName="[행사기준].[행사분류]" caption="행사분류" attribute="1" defaultMemberUniqueName="[행사기준].[행사분류].[All]" allUniqueName="[행사기준].[행사분류].[All]" dimensionUniqueName="[행사기준]" displayFolder="" count="2" memberValueDatatype="130" unbalanced="0"/>
    <cacheHierarchy uniqueName="[행사기준].[행사분류2]" caption="행사분류2" attribute="1" defaultMemberUniqueName="[행사기준].[행사분류2].[All]" allUniqueName="[행사기준].[행사분류2].[All]" dimensionUniqueName="[행사기준]" displayFolder="" count="0" memberValueDatatype="130" unbalanced="0"/>
    <cacheHierarchy uniqueName="[행사기준].[행사명]" caption="행사명" attribute="1" defaultMemberUniqueName="[행사기준].[행사명].[All]" allUniqueName="[행사기준].[행사명].[All]" dimensionUniqueName="[행사기준]" displayFolder="" count="0" memberValueDatatype="130" unbalanced="0"/>
    <cacheHierarchy uniqueName="[행사기준].[대상1]" caption="대상1" attribute="1" defaultMemberUniqueName="[행사기준].[대상1].[All]" allUniqueName="[행사기준].[대상1].[All]" dimensionUniqueName="[행사기준]" displayFolder="" count="2" memberValueDatatype="130" unbalanced="0">
      <fieldsUsage count="2">
        <fieldUsage x="-1"/>
        <fieldUsage x="1"/>
      </fieldsUsage>
    </cacheHierarchy>
    <cacheHierarchy uniqueName="[행사기준].[대상2]" caption="대상2" attribute="1" defaultMemberUniqueName="[행사기준].[대상2].[All]" allUniqueName="[행사기준].[대상2].[All]" dimensionUniqueName="[행사기준]" displayFolder="" count="0" memberValueDatatype="130" unbalanced="0"/>
    <cacheHierarchy uniqueName="[행사기준].[대상(상세)]" caption="대상(상세)" attribute="1" defaultMemberUniqueName="[행사기준].[대상(상세)].[All]" allUniqueName="[행사기준].[대상(상세)].[All]" dimensionUniqueName="[행사기준]" displayFolder="" count="0" memberValueDatatype="130" unbalanced="0"/>
    <cacheHierarchy uniqueName="[행사기준].[횟수]" caption="횟수" attribute="1" defaultMemberUniqueName="[행사기준].[횟수].[All]" allUniqueName="[행사기준].[횟수].[All]" dimensionUniqueName="[행사기준]" displayFolder="" count="0" memberValueDatatype="20" unbalanced="0"/>
    <cacheHierarchy uniqueName="[행사기준].[남자]" caption="남자" attribute="1" defaultMemberUniqueName="[행사기준].[남자].[All]" allUniqueName="[행사기준].[남자].[All]" dimensionUniqueName="[행사기준]" displayFolder="" count="0" memberValueDatatype="20" unbalanced="0"/>
    <cacheHierarchy uniqueName="[행사기준].[여자]" caption="여자" attribute="1" defaultMemberUniqueName="[행사기준].[여자].[All]" allUniqueName="[행사기준].[여자].[All]" dimensionUniqueName="[행사기준]" displayFolder="" count="0" memberValueDatatype="20" unbalanced="0"/>
    <cacheHierarchy uniqueName="[행사기준].[계]" caption="계" attribute="1" defaultMemberUniqueName="[행사기준].[계].[All]" allUniqueName="[행사기준].[계].[All]" dimensionUniqueName="[행사기준]" displayFolder="" count="0" memberValueDatatype="20" unbalanced="0"/>
    <cacheHierarchy uniqueName="[행사기준].[강사명]" caption="강사명" attribute="1" defaultMemberUniqueName="[행사기준].[강사명].[All]" allUniqueName="[행사기준].[강사명].[All]" dimensionUniqueName="[행사기준]" displayFolder="" count="0" memberValueDatatype="130" unbalanced="0"/>
    <cacheHierarchy uniqueName="[행사기준].[담당자1]" caption="담당자1" attribute="1" defaultMemberUniqueName="[행사기준].[담당자1].[All]" allUniqueName="[행사기준].[담당자1].[All]" dimensionUniqueName="[행사기준]" displayFolder="" count="0" memberValueDatatype="130" unbalanced="0"/>
    <cacheHierarchy uniqueName="[행사기준].[담당자2]" caption="담당자2" attribute="1" defaultMemberUniqueName="[행사기준].[담당자2].[All]" allUniqueName="[행사기준].[담당자2].[All]" dimensionUniqueName="[행사기준]" displayFolder="" count="0" memberValueDatatype="130" unbalanced="0"/>
    <cacheHierarchy uniqueName="[행사기준].[고유값]" caption="고유값" attribute="1" defaultMemberUniqueName="[행사기준].[고유값].[All]" allUniqueName="[행사기준].[고유값].[All]" dimensionUniqueName="[행사기준]" displayFolder="" count="0" memberValueDatatype="130" unbalanced="0"/>
    <cacheHierarchy uniqueName="[날짜tb].[월(월 인덱스)]" caption="월(월 인덱스)" attribute="1" defaultMemberUniqueName="[날짜tb].[월(월 인덱스)].[All]" allUniqueName="[날짜tb].[월(월 인덱스)].[All]" dimensionUniqueName="[날짜tb]" displayFolder="" count="0" memberValueDatatype="20" unbalanced="0" hidden="1"/>
    <cacheHierarchy uniqueName="[년월기준].[년월(월 인덱스)]" caption="년월(월 인덱스)" attribute="1" defaultMemberUniqueName="[년월기준].[년월(월 인덱스)].[All]" allUniqueName="[년월기준].[년월(월 인덱스)].[All]" dimensionUniqueName="[년월기준]" displayFolder="" count="0" memberValueDatatype="20" unbalanced="0" hidden="1"/>
    <cacheHierarchy uniqueName="[Measures].[__XL_Count 자료실기준]" caption="__XL_Count 자료실기준" measure="1" displayFolder="" measureGroup="자료실기준" count="0" hidden="1"/>
    <cacheHierarchy uniqueName="[Measures].[__XL_Count 행사기준]" caption="__XL_Count 행사기준" measure="1" displayFolder="" measureGroup="행사기준" count="0" hidden="1"/>
    <cacheHierarchy uniqueName="[Measures].[__XL_Count 날짜tb]" caption="__XL_Count 날짜tb" measure="1" displayFolder="" measureGroup="날짜tb" count="0" hidden="1"/>
    <cacheHierarchy uniqueName="[Measures].[__XL_Count 대출권수]" caption="__XL_Count 대출권수" measure="1" displayFolder="" measureGroup="대출권수" count="0" hidden="1"/>
    <cacheHierarchy uniqueName="[Measures].[__XL_Count 년월기준]" caption="__XL_Count 년월기준" measure="1" displayFolder="" measureGroup="년월기준" count="0" hidden="1"/>
    <cacheHierarchy uniqueName="[Measures].[__XL_Count 자료실범례]" caption="__XL_Count 자료실범례" measure="1" displayFolder="" measureGroup="자료실범례" count="0" hidden="1"/>
    <cacheHierarchy uniqueName="[Measures].[__XL_Count 개관일수범례]" caption="__XL_Count 개관일수범례" measure="1" displayFolder="" measureGroup="개관일수범례" count="0" hidden="1"/>
    <cacheHierarchy uniqueName="[Measures].[__정의된 측정값 없음]" caption="__정의된 측정값 없음" measure="1" displayFolder="" count="0" hidden="1"/>
    <cacheHierarchy uniqueName="[Measures].[합계: 어린이남자]" caption="합계: 어린이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합계: 어린이여자]" caption="합계: 어린이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합계: 청소년남자]" caption="합계: 청소년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합계: 청소년여자]" caption="합계: 청소년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합계: 성인남자]" caption="합계: 성인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합계: 성인여자]" caption="합계: 성인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합계: 어린이]" caption="합계: 어린이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합계: 청소년]" caption="합계: 청소년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합계: 성인]" caption="합계: 성인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합계: 남자]" caption="합계: 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합계: 여자]" caption="합계: 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합계: 합계]" caption="합계: 합계" measure="1" displayFolder="" measureGroup="대출권수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합계: 대출자수합계]" caption="합계: 대출자수합계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합계: 대출자수]" caption="합계: 대출자수" measure="1" displayFolder="" measureGroup="년월기준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합계: 대출권수]" caption="합계: 대출권수" measure="1" displayFolder="" measureGroup="년월기준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합계: 대출자수(전년동월)]" caption="합계: 대출자수(전년동월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개수: 전년동월비(대출자수)]" caption="개수: 전년동월비(대출자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합계: 대출권수(전년동월)]" caption="합계: 대출권수(전년동월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합계: 자유학습실인원]" caption="합계: 자유학습실인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합계: 여자 2]" caption="합계: 여자 2" measure="1" displayFolder="" measureGroup="행사기준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개수: 행사명]" caption="개수: 행사명" measure="1" displayFolder="" measureGroup="행사기준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개수: 전년동월비(행사참여자수)]" caption="개수: 전년동월비(행사참여자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합계: 전년동월비(대출자수)]" caption="합계: 전년동월비(대출자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합계: 전년동월비(권수)]" caption="합계: 전년동월비(권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총류]" caption="개수: 총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개수: 철학]" caption="개수: 철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개수: 종교]" caption="개수: 종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개수: 사회과학]" caption="개수: 사회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합계: 총류]" caption="합계: 총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합계: 철학]" caption="합계: 철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합계: 종교]" caption="합계: 종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합계: 사회과학]" caption="합계: 사회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합계: 자연과학]" caption="합계: 자연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합계: 기술과학]" caption="합계: 기술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합계: 예술]" caption="합계: 예술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합계: 언어]" caption="합계: 언어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합계: 문학]" caption="합계: 문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합계: 역사]" caption="합계: 역사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합계: 대출권수합계]" caption="합계: 대출권수합계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합계: 열람자수]" caption="합계: 열람자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합계: 열람권수]" caption="합계: 열람권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합계: 대출권수(6월예측포함)]" caption="합계: 대출권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합계: 대출자수(6월예측포함)]" caption="합계: 대출자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합계: 열람권수(6월예측포함)]" caption="합계: 열람권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합계: 열람자수(6월예측포함)]" caption="합계: 열람자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합계: 계]" caption="합계: 계" measure="1" displayFolder="" measureGroup="행사기준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합계: 횟수]" caption="합계: 횟수" measure="1" displayFolder="" measureGroup="행사기준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합계: 자유학습실]" caption="합계: 자유학습실" measure="1" displayFolder="" measureGroup="개관일수범례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합계: 자료실개관일수]" caption="합계: 자료실개관일수" measure="1" displayFolder="" measureGroup="개관일수범례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8">
    <dimension measure="1" name="Measures" uniqueName="[Measures]" caption="Measures"/>
    <dimension name="개관일수범례" uniqueName="[개관일수범례]" caption="개관일수범례"/>
    <dimension name="날짜tb" uniqueName="[날짜tb]" caption="날짜tb"/>
    <dimension name="년월기준" uniqueName="[년월기준]" caption="년월기준"/>
    <dimension name="대출권수" uniqueName="[대출권수]" caption="대출권수"/>
    <dimension name="자료실기준" uniqueName="[자료실기준]" caption="자료실기준"/>
    <dimension name="자료실범례" uniqueName="[자료실범례]" caption="자료실범례"/>
    <dimension name="행사기준" uniqueName="[행사기준]" caption="행사기준"/>
  </dimensions>
  <measureGroups count="7">
    <measureGroup name="개관일수범례" caption="개관일수범례"/>
    <measureGroup name="날짜tb" caption="날짜tb"/>
    <measureGroup name="년월기준" caption="년월기준"/>
    <measureGroup name="대출권수" caption="대출권수"/>
    <measureGroup name="자료실기준" caption="자료실기준"/>
    <measureGroup name="자료실범례" caption="자료실범례"/>
    <measureGroup name="행사기준" caption="행사기준"/>
  </measureGroups>
  <maps count="11">
    <map measureGroup="0" dimension="1"/>
    <map measureGroup="0" dimension="2"/>
    <map measureGroup="1" dimension="2"/>
    <map measureGroup="2" dimension="2"/>
    <map measureGroup="2" dimension="3"/>
    <map measureGroup="3" dimension="4"/>
    <map measureGroup="4" dimension="2"/>
    <map measureGroup="4" dimension="5"/>
    <map measureGroup="5" dimension="6"/>
    <map measureGroup="6" dimension="2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29.583629398148" backgroundQuery="1" createdVersion="6" refreshedVersion="6" minRefreshableVersion="3" recordCount="0" supportSubquery="1" supportAdvancedDrill="1" xr:uid="{A66AEA74-246D-44B0-A7B6-E2D5B3D54A0B}">
  <cacheSource type="external" connectionId="1"/>
  <cacheFields count="4">
    <cacheField name="[날짜tb].[월(월)].[월(월)]" caption="월(월)" numFmtId="0" hierarchy="10" level="1">
      <sharedItems containsSemiMixedTypes="0" containsNonDate="0" containsString="0"/>
    </cacheField>
    <cacheField name="[날짜tb].[월].[월]" caption="월" numFmtId="0" hierarchy="8" level="1">
      <sharedItems containsSemiMixedTypes="0" containsNonDate="0" containsString="0"/>
    </cacheField>
    <cacheField name="[행사기준].[행사명].[행사명]" caption="행사명" numFmtId="0" hierarchy="78" level="1">
      <sharedItems count="38">
        <s v="MBTI 진단을 통한 자기이해와 진로 탐색"/>
        <s v="건강 셀프 발마사지"/>
        <s v="그림책이 살아 있다"/>
        <s v="꿈동(청소년) 독서동아리"/>
        <s v="내 단풍은 무슨 색?"/>
        <s v="내 손안의 스마트 미디어"/>
        <s v="내가 좋아하는 책 속 한 구절"/>
        <s v="도서관에서 만나는 창녕시네마"/>
        <s v="도서관에서 만나는 특별한 책 이야기"/>
        <s v="도토리 그림책 동아리"/>
        <s v="도토리 모자"/>
        <s v="딩동"/>
        <s v="레오 리오니 작가의 책"/>
        <s v="바이올린 초급반"/>
        <s v="버블 공연"/>
        <s v="브리타 테큰트럽 작가의 책"/>
        <s v="사서 추천 도서 서평 전시"/>
        <s v="사서가 들려주는 북 스토리"/>
        <s v="생각키움 독서퀴즈"/>
        <s v="생태야 같이 놀자"/>
        <s v="스마트한 독서생활"/>
        <s v="신난다 보드게임"/>
        <s v="신통방통 마법 천자문"/>
        <s v="어린이 현장학습"/>
        <s v="어린이역사인문학"/>
        <s v="영화속 인문학 여행"/>
        <s v="왕초보를 위한 기초 생활 영어"/>
        <s v="이야기가 있는 그림책 원화 전시"/>
        <s v="조물조물손끝책빵"/>
        <s v="존 버닝햄 작가의 책"/>
        <s v="좋아한다고 말할 수 없었어"/>
        <s v="창녕 어린이 탐정단"/>
        <s v="책이랑놀이랑"/>
        <s v="천고마비, 달콤한 도서관"/>
        <s v="초등 영어 마스터"/>
        <s v="추운 날엔 책 한잔"/>
        <s v="푸르미(어린이) 독서 동아리"/>
        <s v="화왕(성인) 독서동아리"/>
      </sharedItems>
    </cacheField>
    <cacheField name="[Measures].[합계: 횟수]" caption="합계: 횟수" numFmtId="0" hierarchy="146" level="32767"/>
  </cacheFields>
  <cacheHierarchies count="149">
    <cacheHierarchy uniqueName="[개관일수범례].[년월]" caption="년월" attribute="1" time="1" defaultMemberUniqueName="[개관일수범례].[년월].[All]" allUniqueName="[개관일수범례].[년월].[All]" dimensionUniqueName="[개관일수범례]" displayFolder="" count="0" memberValueDatatype="7" unbalanced="0"/>
    <cacheHierarchy uniqueName="[개관일수범례].[자료실개관일수]" caption="자료실개관일수" attribute="1" defaultMemberUniqueName="[개관일수범례].[자료실개관일수].[All]" allUniqueName="[개관일수범례].[자료실개관일수].[All]" dimensionUniqueName="[개관일수범례]" displayFolder="" count="0" memberValueDatatype="20" unbalanced="0"/>
    <cacheHierarchy uniqueName="[개관일수범례].[자유학습실개관일수]" caption="자유학습실개관일수" attribute="1" defaultMemberUniqueName="[개관일수범례].[자유학습실개관일수].[All]" allUniqueName="[개관일수범례].[자유학습실개관일수].[All]" dimensionUniqueName="[개관일수범례]" displayFolder="" count="0" memberValueDatatype="20" unbalanced="0"/>
    <cacheHierarchy uniqueName="[개관일수범례].[자유학습실]" caption="자유학습실" attribute="1" defaultMemberUniqueName="[개관일수범례].[자유학습실].[All]" allUniqueName="[개관일수범례].[자유학습실].[All]" dimensionUniqueName="[개관일수범례]" displayFolder="" count="0" memberValueDatatype="20" unbalanced="0"/>
    <cacheHierarchy uniqueName="[개관일수범례].[일수]" caption="일수" attribute="1" defaultMemberUniqueName="[개관일수범례].[일수].[All]" allUniqueName="[개관일수범례].[일수].[All]" dimensionUniqueName="[개관일수범례]" displayFolder="" count="0" memberValueDatatype="20" unbalanced="0"/>
    <cacheHierarchy uniqueName="[개관일수범례].[정기휴관일]" caption="정기휴관일" attribute="1" defaultMemberUniqueName="[개관일수범례].[정기휴관일].[All]" allUniqueName="[개관일수범례].[정기휴관일].[All]" dimensionUniqueName="[개관일수범례]" displayFolder="" count="0" memberValueDatatype="20" unbalanced="0"/>
    <cacheHierarchy uniqueName="[개관일수범례].[공휴일]" caption="공휴일" attribute="1" defaultMemberUniqueName="[개관일수범례].[공휴일].[All]" allUniqueName="[개관일수범례].[공휴일].[All]" dimensionUniqueName="[개관일수범례]" displayFolder="" count="0" memberValueDatatype="20" unbalanced="0"/>
    <cacheHierarchy uniqueName="[개관일수범례].[자유학습실휴관일]" caption="자유학습실휴관일" attribute="1" defaultMemberUniqueName="[개관일수범례].[자유학습실휴관일].[All]" allUniqueName="[개관일수범례].[자유학습실휴관일].[All]" dimensionUniqueName="[개관일수범례]" displayFolder="" count="0" memberValueDatatype="20" unbalanced="0"/>
    <cacheHierarchy uniqueName="[날짜tb].[월]" caption="월" attribute="1" time="1" defaultMemberUniqueName="[날짜tb].[월].[All]" allUniqueName="[날짜tb].[월].[All]" dimensionUniqueName="[날짜tb]" displayFolder="" count="2" memberValueDatatype="7" unbalanced="0">
      <fieldsUsage count="2">
        <fieldUsage x="-1"/>
        <fieldUsage x="1"/>
      </fieldsUsage>
    </cacheHierarchy>
    <cacheHierarchy uniqueName="[날짜tb].[주]" caption="주" attribute="1" defaultMemberUniqueName="[날짜tb].[주].[All]" allUniqueName="[날짜tb].[주].[All]" dimensionUniqueName="[날짜tb]" displayFolder="" count="0" memberValueDatatype="20" unbalanced="0"/>
    <cacheHierarchy uniqueName="[날짜tb].[월(월)]" caption="월(월)" attribute="1" defaultMemberUniqueName="[날짜tb].[월(월)].[All]" allUniqueName="[날짜tb].[월(월)].[All]" dimensionUniqueName="[날짜tb]" displayFolder="" count="2" memberValueDatatype="130" unbalanced="0">
      <fieldsUsage count="2">
        <fieldUsage x="-1"/>
        <fieldUsage x="0"/>
      </fieldsUsage>
    </cacheHierarchy>
    <cacheHierarchy uniqueName="[년월기준].[년월]" caption="년월" attribute="1" time="1" defaultMemberUniqueName="[년월기준].[년월].[All]" allUniqueName="[년월기준].[년월].[All]" dimensionUniqueName="[년월기준]" displayFolder="" count="0" memberValueDatatype="7" unbalanced="0"/>
    <cacheHierarchy uniqueName="[년월기준].[고유값]" caption="고유값" attribute="1" defaultMemberUniqueName="[년월기준].[고유값].[All]" allUniqueName="[년월기준].[고유값].[All]" dimensionUniqueName="[년월기준]" displayFolder="" count="0" memberValueDatatype="130" unbalanced="0"/>
    <cacheHierarchy uniqueName="[년월기준].[대출자수]" caption="대출자수" attribute="1" defaultMemberUniqueName="[년월기준].[대출자수].[All]" allUniqueName="[년월기준].[대출자수].[All]" dimensionUniqueName="[년월기준]" displayFolder="" count="0" memberValueDatatype="20" unbalanced="0"/>
    <cacheHierarchy uniqueName="[년월기준].[대출자수(전년동월)]" caption="대출자수(전년동월)" attribute="1" defaultMemberUniqueName="[년월기준].[대출자수(전년동월)].[All]" allUniqueName="[년월기준].[대출자수(전년동월)].[All]" dimensionUniqueName="[년월기준]" displayFolder="" count="0" memberValueDatatype="20" unbalanced="0"/>
    <cacheHierarchy uniqueName="[년월기준].[전년동월비(대출자수)]" caption="전년동월비(대출자수)" attribute="1" defaultMemberUniqueName="[년월기준].[전년동월비(대출자수)].[All]" allUniqueName="[년월기준].[전년동월비(대출자수)].[All]" dimensionUniqueName="[년월기준]" displayFolder="" count="0" memberValueDatatype="5" unbalanced="0"/>
    <cacheHierarchy uniqueName="[년월기준].[대출권수]" caption="대출권수" attribute="1" defaultMemberUniqueName="[년월기준].[대출권수].[All]" allUniqueName="[년월기준].[대출권수].[All]" dimensionUniqueName="[년월기준]" displayFolder="" count="0" memberValueDatatype="20" unbalanced="0"/>
    <cacheHierarchy uniqueName="[년월기준].[대출권수(전년동월)]" caption="대출권수(전년동월)" attribute="1" defaultMemberUniqueName="[년월기준].[대출권수(전년동월)].[All]" allUniqueName="[년월기준].[대출권수(전년동월)].[All]" dimensionUniqueName="[년월기준]" displayFolder="" count="0" memberValueDatatype="20" unbalanced="0"/>
    <cacheHierarchy uniqueName="[년월기준].[전년동월비(권수)]" caption="전년동월비(권수)" attribute="1" defaultMemberUniqueName="[년월기준].[전년동월비(권수)].[All]" allUniqueName="[년월기준].[전년동월비(권수)].[All]" dimensionUniqueName="[년월기준]" displayFolder="" count="0" memberValueDatatype="5" unbalanced="0"/>
    <cacheHierarchy uniqueName="[년월기준].[행사참여자수]" caption="행사참여자수" attribute="1" defaultMemberUniqueName="[년월기준].[행사참여자수].[All]" allUniqueName="[년월기준].[행사참여자수].[All]" dimensionUniqueName="[년월기준]" displayFolder="" count="0" memberValueDatatype="20" unbalanced="0"/>
    <cacheHierarchy uniqueName="[년월기준].[행사참여자수(전년동월)]" caption="행사참여자수(전년동월)" attribute="1" defaultMemberUniqueName="[년월기준].[행사참여자수(전년동월)].[All]" allUniqueName="[년월기준].[행사참여자수(전년동월)].[All]" dimensionUniqueName="[년월기준]" displayFolder="" count="0" memberValueDatatype="20" unbalanced="0"/>
    <cacheHierarchy uniqueName="[년월기준].[전년동월비(행사참여자수)]" caption="전년동월비(행사참여자수)" attribute="1" defaultMemberUniqueName="[년월기준].[전년동월비(행사참여자수)].[All]" allUniqueName="[년월기준].[전년동월비(행사참여자수)].[All]" dimensionUniqueName="[년월기준]" displayFolder="" count="0" memberValueDatatype="5" unbalanced="0"/>
    <cacheHierarchy uniqueName="[년월기준].[년월(월)]" caption="년월(월)" attribute="1" defaultMemberUniqueName="[년월기준].[년월(월)].[All]" allUniqueName="[년월기준].[년월(월)].[All]" dimensionUniqueName="[년월기준]" displayFolder="" count="0" memberValueDatatype="130" unbalanced="0"/>
    <cacheHierarchy uniqueName="[대출권수].[년월]" caption="년월" attribute="1" time="1" defaultMemberUniqueName="[대출권수].[년월].[All]" allUniqueName="[대출권수].[년월].[All]" dimensionUniqueName="[대출권수]" displayFolder="" count="0" memberValueDatatype="7" unbalanced="0"/>
    <cacheHierarchy uniqueName="[대출권수].[소장처명]" caption="소장처명" attribute="1" defaultMemberUniqueName="[대출권수].[소장처명].[All]" allUniqueName="[대출권수].[소장처명].[All]" dimensionUniqueName="[대출권수]" displayFolder="" count="0" memberValueDatatype="130" unbalanced="0"/>
    <cacheHierarchy uniqueName="[대출권수].[자료실구분]" caption="자료실구분" attribute="1" defaultMemberUniqueName="[대출권수].[자료실구분].[All]" allUniqueName="[대출권수].[자료실구분].[All]" dimensionUniqueName="[대출권수]" displayFolder="" count="0" memberValueDatatype="130" unbalanced="0"/>
    <cacheHierarchy uniqueName="[대출권수].[대출반납]" caption="대출반납" attribute="1" defaultMemberUniqueName="[대출권수].[대출반납].[All]" allUniqueName="[대출권수].[대출반납].[All]" dimensionUniqueName="[대출권수]" displayFolder="" count="0" memberValueDatatype="130" unbalanced="0"/>
    <cacheHierarchy uniqueName="[대출권수].[총류]" caption="총류" attribute="1" defaultMemberUniqueName="[대출권수].[총류].[All]" allUniqueName="[대출권수].[총류].[All]" dimensionUniqueName="[대출권수]" displayFolder="" count="0" memberValueDatatype="20" unbalanced="0"/>
    <cacheHierarchy uniqueName="[대출권수].[철학]" caption="철학" attribute="1" defaultMemberUniqueName="[대출권수].[철학].[All]" allUniqueName="[대출권수].[철학].[All]" dimensionUniqueName="[대출권수]" displayFolder="" count="0" memberValueDatatype="20" unbalanced="0"/>
    <cacheHierarchy uniqueName="[대출권수].[종교]" caption="종교" attribute="1" defaultMemberUniqueName="[대출권수].[종교].[All]" allUniqueName="[대출권수].[종교].[All]" dimensionUniqueName="[대출권수]" displayFolder="" count="0" memberValueDatatype="20" unbalanced="0"/>
    <cacheHierarchy uniqueName="[대출권수].[사회과학]" caption="사회과학" attribute="1" defaultMemberUniqueName="[대출권수].[사회과학].[All]" allUniqueName="[대출권수].[사회과학].[All]" dimensionUniqueName="[대출권수]" displayFolder="" count="0" memberValueDatatype="20" unbalanced="0"/>
    <cacheHierarchy uniqueName="[대출권수].[자연과학]" caption="자연과학" attribute="1" defaultMemberUniqueName="[대출권수].[자연과학].[All]" allUniqueName="[대출권수].[자연과학].[All]" dimensionUniqueName="[대출권수]" displayFolder="" count="0" memberValueDatatype="20" unbalanced="0"/>
    <cacheHierarchy uniqueName="[대출권수].[기술과학]" caption="기술과학" attribute="1" defaultMemberUniqueName="[대출권수].[기술과학].[All]" allUniqueName="[대출권수].[기술과학].[All]" dimensionUniqueName="[대출권수]" displayFolder="" count="0" memberValueDatatype="20" unbalanced="0"/>
    <cacheHierarchy uniqueName="[대출권수].[예술]" caption="예술" attribute="1" defaultMemberUniqueName="[대출권수].[예술].[All]" allUniqueName="[대출권수].[예술].[All]" dimensionUniqueName="[대출권수]" displayFolder="" count="0" memberValueDatatype="20" unbalanced="0"/>
    <cacheHierarchy uniqueName="[대출권수].[언어]" caption="언어" attribute="1" defaultMemberUniqueName="[대출권수].[언어].[All]" allUniqueName="[대출권수].[언어].[All]" dimensionUniqueName="[대출권수]" displayFolder="" count="0" memberValueDatatype="20" unbalanced="0"/>
    <cacheHierarchy uniqueName="[대출권수].[문학]" caption="문학" attribute="1" defaultMemberUniqueName="[대출권수].[문학].[All]" allUniqueName="[대출권수].[문학].[All]" dimensionUniqueName="[대출권수]" displayFolder="" count="0" memberValueDatatype="20" unbalanced="0"/>
    <cacheHierarchy uniqueName="[대출권수].[역사]" caption="역사" attribute="1" defaultMemberUniqueName="[대출권수].[역사].[All]" allUniqueName="[대출권수].[역사].[All]" dimensionUniqueName="[대출권수]" displayFolder="" count="0" memberValueDatatype="20" unbalanced="0"/>
    <cacheHierarchy uniqueName="[대출권수].[기타]" caption="기타" attribute="1" defaultMemberUniqueName="[대출권수].[기타].[All]" allUniqueName="[대출권수].[기타].[All]" dimensionUniqueName="[대출권수]" displayFolder="" count="0" memberValueDatatype="20" unbalanced="0"/>
    <cacheHierarchy uniqueName="[대출권수].[합계]" caption="합계" attribute="1" defaultMemberUniqueName="[대출권수].[합계].[All]" allUniqueName="[대출권수].[합계].[All]" dimensionUniqueName="[대출권수]" displayFolder="" count="0" memberValueDatatype="20" unbalanced="0"/>
    <cacheHierarchy uniqueName="[자료실기준].[년월]" caption="년월" attribute="1" time="1" defaultMemberUniqueName="[자료실기준].[년월].[All]" allUniqueName="[자료실기준].[년월].[All]" dimensionUniqueName="[자료실기준]" displayFolder="" count="0" memberValueDatatype="7" unbalanced="0"/>
    <cacheHierarchy uniqueName="[자료실기준].[소장처명]" caption="소장처명" attribute="1" defaultMemberUniqueName="[자료실기준].[소장처명].[All]" allUniqueName="[자료실기준].[소장처명].[All]" dimensionUniqueName="[자료실기준]" displayFolder="" count="0" memberValueDatatype="130" unbalanced="0"/>
    <cacheHierarchy uniqueName="[자료실기준].[고유값]" caption="고유값" attribute="1" defaultMemberUniqueName="[자료실기준].[고유값].[All]" allUniqueName="[자료실기준].[고유값].[All]" dimensionUniqueName="[자료실기준]" displayFolder="" count="0" memberValueDatatype="130" unbalanced="0"/>
    <cacheHierarchy uniqueName="[자료실기준].[자료실구분]" caption="자료실구분" attribute="1" defaultMemberUniqueName="[자료실기준].[자료실구분].[All]" allUniqueName="[자료실기준].[자료실구분].[All]" dimensionUniqueName="[자료실기준]" displayFolder="" count="0" memberValueDatatype="130" unbalanced="0"/>
    <cacheHierarchy uniqueName="[자료실기준].[어린이남자]" caption="어린이남자" attribute="1" defaultMemberUniqueName="[자료실기준].[어린이남자].[All]" allUniqueName="[자료실기준].[어린이남자].[All]" dimensionUniqueName="[자료실기준]" displayFolder="" count="0" memberValueDatatype="20" unbalanced="0"/>
    <cacheHierarchy uniqueName="[자료실기준].[어린이여자]" caption="어린이여자" attribute="1" defaultMemberUniqueName="[자료실기준].[어린이여자].[All]" allUniqueName="[자료실기준].[어린이여자].[All]" dimensionUniqueName="[자료실기준]" displayFolder="" count="0" memberValueDatatype="20" unbalanced="0"/>
    <cacheHierarchy uniqueName="[자료실기준].[청소년남자]" caption="청소년남자" attribute="1" defaultMemberUniqueName="[자료실기준].[청소년남자].[All]" allUniqueName="[자료실기준].[청소년남자].[All]" dimensionUniqueName="[자료실기준]" displayFolder="" count="0" memberValueDatatype="20" unbalanced="0"/>
    <cacheHierarchy uniqueName="[자료실기준].[청소년여자]" caption="청소년여자" attribute="1" defaultMemberUniqueName="[자료실기준].[청소년여자].[All]" allUniqueName="[자료실기준].[청소년여자].[All]" dimensionUniqueName="[자료실기준]" displayFolder="" count="0" memberValueDatatype="20" unbalanced="0"/>
    <cacheHierarchy uniqueName="[자료실기준].[성인남자]" caption="성인남자" attribute="1" defaultMemberUniqueName="[자료실기준].[성인남자].[All]" allUniqueName="[자료실기준].[성인남자].[All]" dimensionUniqueName="[자료실기준]" displayFolder="" count="0" memberValueDatatype="20" unbalanced="0"/>
    <cacheHierarchy uniqueName="[자료실기준].[성인여자]" caption="성인여자" attribute="1" defaultMemberUniqueName="[자료실기준].[성인여자].[All]" allUniqueName="[자료실기준].[성인여자].[All]" dimensionUniqueName="[자료실기준]" displayFolder="" count="0" memberValueDatatype="20" unbalanced="0"/>
    <cacheHierarchy uniqueName="[자료실기준].[어린이]" caption="어린이" attribute="1" defaultMemberUniqueName="[자료실기준].[어린이].[All]" allUniqueName="[자료실기준].[어린이].[All]" dimensionUniqueName="[자료실기준]" displayFolder="" count="0" memberValueDatatype="20" unbalanced="0"/>
    <cacheHierarchy uniqueName="[자료실기준].[청소년]" caption="청소년" attribute="1" defaultMemberUniqueName="[자료실기준].[청소년].[All]" allUniqueName="[자료실기준].[청소년].[All]" dimensionUniqueName="[자료실기준]" displayFolder="" count="0" memberValueDatatype="20" unbalanced="0"/>
    <cacheHierarchy uniqueName="[자료실기준].[성인]" caption="성인" attribute="1" defaultMemberUniqueName="[자료실기준].[성인].[All]" allUniqueName="[자료실기준].[성인].[All]" dimensionUniqueName="[자료실기준]" displayFolder="" count="0" memberValueDatatype="20" unbalanced="0"/>
    <cacheHierarchy uniqueName="[자료실기준].[남자]" caption="남자" attribute="1" defaultMemberUniqueName="[자료실기준].[남자].[All]" allUniqueName="[자료실기준].[남자].[All]" dimensionUniqueName="[자료실기준]" displayFolder="" count="0" memberValueDatatype="20" unbalanced="0"/>
    <cacheHierarchy uniqueName="[자료실기준].[여자]" caption="여자" attribute="1" defaultMemberUniqueName="[자료실기준].[여자].[All]" allUniqueName="[자료실기준].[여자].[All]" dimensionUniqueName="[자료실기준]" displayFolder="" count="0" memberValueDatatype="20" unbalanced="0"/>
    <cacheHierarchy uniqueName="[자료실기준].[대출자수합계]" caption="대출자수합계" attribute="1" defaultMemberUniqueName="[자료실기준].[대출자수합계].[All]" allUniqueName="[자료실기준].[대출자수합계].[All]" dimensionUniqueName="[자료실기준]" displayFolder="" count="0" memberValueDatatype="20" unbalanced="0"/>
    <cacheHierarchy uniqueName="[자료실기준].[총류]" caption="총류" attribute="1" defaultMemberUniqueName="[자료실기준].[총류].[All]" allUniqueName="[자료실기준].[총류].[All]" dimensionUniqueName="[자료실기준]" displayFolder="" count="0" memberValueDatatype="20" unbalanced="0"/>
    <cacheHierarchy uniqueName="[자료실기준].[철학]" caption="철학" attribute="1" defaultMemberUniqueName="[자료실기준].[철학].[All]" allUniqueName="[자료실기준].[철학].[All]" dimensionUniqueName="[자료실기준]" displayFolder="" count="0" memberValueDatatype="20" unbalanced="0"/>
    <cacheHierarchy uniqueName="[자료실기준].[종교]" caption="종교" attribute="1" defaultMemberUniqueName="[자료실기준].[종교].[All]" allUniqueName="[자료실기준].[종교].[All]" dimensionUniqueName="[자료실기준]" displayFolder="" count="0" memberValueDatatype="20" unbalanced="0"/>
    <cacheHierarchy uniqueName="[자료실기준].[사회과학]" caption="사회과학" attribute="1" defaultMemberUniqueName="[자료실기준].[사회과학].[All]" allUniqueName="[자료실기준].[사회과학].[All]" dimensionUniqueName="[자료실기준]" displayFolder="" count="0" memberValueDatatype="20" unbalanced="0"/>
    <cacheHierarchy uniqueName="[자료실기준].[자연과학]" caption="자연과학" attribute="1" defaultMemberUniqueName="[자료실기준].[자연과학].[All]" allUniqueName="[자료실기준].[자연과학].[All]" dimensionUniqueName="[자료실기준]" displayFolder="" count="0" memberValueDatatype="20" unbalanced="0"/>
    <cacheHierarchy uniqueName="[자료실기준].[기술과학]" caption="기술과학" attribute="1" defaultMemberUniqueName="[자료실기준].[기술과학].[All]" allUniqueName="[자료실기준].[기술과학].[All]" dimensionUniqueName="[자료실기준]" displayFolder="" count="0" memberValueDatatype="20" unbalanced="0"/>
    <cacheHierarchy uniqueName="[자료실기준].[예술]" caption="예술" attribute="1" defaultMemberUniqueName="[자료실기준].[예술].[All]" allUniqueName="[자료실기준].[예술].[All]" dimensionUniqueName="[자료실기준]" displayFolder="" count="0" memberValueDatatype="20" unbalanced="0"/>
    <cacheHierarchy uniqueName="[자료실기준].[언어]" caption="언어" attribute="1" defaultMemberUniqueName="[자료실기준].[언어].[All]" allUniqueName="[자료실기준].[언어].[All]" dimensionUniqueName="[자료실기준]" displayFolder="" count="0" memberValueDatatype="20" unbalanced="0"/>
    <cacheHierarchy uniqueName="[자료실기준].[문학]" caption="문학" attribute="1" defaultMemberUniqueName="[자료실기준].[문학].[All]" allUniqueName="[자료실기준].[문학].[All]" dimensionUniqueName="[자료실기준]" displayFolder="" count="0" memberValueDatatype="20" unbalanced="0"/>
    <cacheHierarchy uniqueName="[자료실기준].[역사]" caption="역사" attribute="1" defaultMemberUniqueName="[자료실기준].[역사].[All]" allUniqueName="[자료실기준].[역사].[All]" dimensionUniqueName="[자료실기준]" displayFolder="" count="0" memberValueDatatype="20" unbalanced="0"/>
    <cacheHierarchy uniqueName="[자료실기준].[대출권수합계]" caption="대출권수합계" attribute="1" defaultMemberUniqueName="[자료실기준].[대출권수합계].[All]" allUniqueName="[자료실기준].[대출권수합계].[All]" dimensionUniqueName="[자료실기준]" displayFolder="" count="0" memberValueDatatype="20" unbalanced="0"/>
    <cacheHierarchy uniqueName="[자료실기준].[자유학습실인원]" caption="자유학습실인원" attribute="1" defaultMemberUniqueName="[자료실기준].[자유학습실인원].[All]" allUniqueName="[자료실기준].[자유학습실인원].[All]" dimensionUniqueName="[자료실기준]" displayFolder="" count="0" memberValueDatatype="20" unbalanced="0"/>
    <cacheHierarchy uniqueName="[자료실기준].[열람자수]" caption="열람자수" attribute="1" defaultMemberUniqueName="[자료실기준].[열람자수].[All]" allUniqueName="[자료실기준].[열람자수].[All]" dimensionUniqueName="[자료실기준]" displayFolder="" count="0" memberValueDatatype="20" unbalanced="0"/>
    <cacheHierarchy uniqueName="[자료실기준].[열람권수]" caption="열람권수" attribute="1" defaultMemberUniqueName="[자료실기준].[열람권수].[All]" allUniqueName="[자료실기준].[열람권수].[All]" dimensionUniqueName="[자료실기준]" displayFolder="" count="0" memberValueDatatype="20" unbalanced="0"/>
    <cacheHierarchy uniqueName="[자료실기준].[대출권수(6월예측포함)]" caption="대출권수(6월예측포함)" attribute="1" defaultMemberUniqueName="[자료실기준].[대출권수(6월예측포함)].[All]" allUniqueName="[자료실기준].[대출권수(6월예측포함)].[All]" dimensionUniqueName="[자료실기준]" displayFolder="" count="0" memberValueDatatype="5" unbalanced="0"/>
    <cacheHierarchy uniqueName="[자료실기준].[대출자수(6월예측포함)]" caption="대출자수(6월예측포함)" attribute="1" defaultMemberUniqueName="[자료실기준].[대출자수(6월예측포함)].[All]" allUniqueName="[자료실기준].[대출자수(6월예측포함)].[All]" dimensionUniqueName="[자료실기준]" displayFolder="" count="0" memberValueDatatype="5" unbalanced="0"/>
    <cacheHierarchy uniqueName="[자료실기준].[열람권수(6월예측포함)]" caption="열람권수(6월예측포함)" attribute="1" defaultMemberUniqueName="[자료실기준].[열람권수(6월예측포함)].[All]" allUniqueName="[자료실기준].[열람권수(6월예측포함)].[All]" dimensionUniqueName="[자료실기준]" displayFolder="" count="0" memberValueDatatype="5" unbalanced="0"/>
    <cacheHierarchy uniqueName="[자료실기준].[열람자수(6월예측포함)]" caption="열람자수(6월예측포함)" attribute="1" defaultMemberUniqueName="[자료실기준].[열람자수(6월예측포함)].[All]" allUniqueName="[자료실기준].[열람자수(6월예측포함)].[All]" dimensionUniqueName="[자료실기준]" displayFolder="" count="0" memberValueDatatype="5" unbalanced="0"/>
    <cacheHierarchy uniqueName="[자료실범례].[소장처명]" caption="소장처명" attribute="1" defaultMemberUniqueName="[자료실범례].[소장처명].[All]" allUniqueName="[자료실범례].[소장처명].[All]" dimensionUniqueName="[자료실범례]" displayFolder="" count="0" memberValueDatatype="130" unbalanced="0"/>
    <cacheHierarchy uniqueName="[자료실범례].[구분]" caption="구분" attribute="1" defaultMemberUniqueName="[자료실범례].[구분].[All]" allUniqueName="[자료실범례].[구분].[All]" dimensionUniqueName="[자료실범례]" displayFolder="" count="0" memberValueDatatype="130" unbalanced="0"/>
    <cacheHierarchy uniqueName="[행사기준].[년월]" caption="년월" attribute="1" time="1" defaultMemberUniqueName="[행사기준].[년월].[All]" allUniqueName="[행사기준].[년월].[All]" dimensionUniqueName="[행사기준]" displayFolder="" count="0" memberValueDatatype="7" unbalanced="0"/>
    <cacheHierarchy uniqueName="[행사기준].[행사분류]" caption="행사분류" attribute="1" defaultMemberUniqueName="[행사기준].[행사분류].[All]" allUniqueName="[행사기준].[행사분류].[All]" dimensionUniqueName="[행사기준]" displayFolder="" count="2" memberValueDatatype="130" unbalanced="0"/>
    <cacheHierarchy uniqueName="[행사기준].[행사분류2]" caption="행사분류2" attribute="1" defaultMemberUniqueName="[행사기준].[행사분류2].[All]" allUniqueName="[행사기준].[행사분류2].[All]" dimensionUniqueName="[행사기준]" displayFolder="" count="0" memberValueDatatype="130" unbalanced="0"/>
    <cacheHierarchy uniqueName="[행사기준].[행사명]" caption="행사명" attribute="1" defaultMemberUniqueName="[행사기준].[행사명].[All]" allUniqueName="[행사기준].[행사명].[All]" dimensionUniqueName="[행사기준]" displayFolder="" count="2" memberValueDatatype="130" unbalanced="0">
      <fieldsUsage count="2">
        <fieldUsage x="-1"/>
        <fieldUsage x="2"/>
      </fieldsUsage>
    </cacheHierarchy>
    <cacheHierarchy uniqueName="[행사기준].[대상1]" caption="대상1" attribute="1" defaultMemberUniqueName="[행사기준].[대상1].[All]" allUniqueName="[행사기준].[대상1].[All]" dimensionUniqueName="[행사기준]" displayFolder="" count="0" memberValueDatatype="130" unbalanced="0"/>
    <cacheHierarchy uniqueName="[행사기준].[대상2]" caption="대상2" attribute="1" defaultMemberUniqueName="[행사기준].[대상2].[All]" allUniqueName="[행사기준].[대상2].[All]" dimensionUniqueName="[행사기준]" displayFolder="" count="0" memberValueDatatype="130" unbalanced="0"/>
    <cacheHierarchy uniqueName="[행사기준].[대상(상세)]" caption="대상(상세)" attribute="1" defaultMemberUniqueName="[행사기준].[대상(상세)].[All]" allUniqueName="[행사기준].[대상(상세)].[All]" dimensionUniqueName="[행사기준]" displayFolder="" count="0" memberValueDatatype="130" unbalanced="0"/>
    <cacheHierarchy uniqueName="[행사기준].[횟수]" caption="횟수" attribute="1" defaultMemberUniqueName="[행사기준].[횟수].[All]" allUniqueName="[행사기준].[횟수].[All]" dimensionUniqueName="[행사기준]" displayFolder="" count="0" memberValueDatatype="20" unbalanced="0"/>
    <cacheHierarchy uniqueName="[행사기준].[남자]" caption="남자" attribute="1" defaultMemberUniqueName="[행사기준].[남자].[All]" allUniqueName="[행사기준].[남자].[All]" dimensionUniqueName="[행사기준]" displayFolder="" count="0" memberValueDatatype="20" unbalanced="0"/>
    <cacheHierarchy uniqueName="[행사기준].[여자]" caption="여자" attribute="1" defaultMemberUniqueName="[행사기준].[여자].[All]" allUniqueName="[행사기준].[여자].[All]" dimensionUniqueName="[행사기준]" displayFolder="" count="0" memberValueDatatype="20" unbalanced="0"/>
    <cacheHierarchy uniqueName="[행사기준].[계]" caption="계" attribute="1" defaultMemberUniqueName="[행사기준].[계].[All]" allUniqueName="[행사기준].[계].[All]" dimensionUniqueName="[행사기준]" displayFolder="" count="0" memberValueDatatype="20" unbalanced="0"/>
    <cacheHierarchy uniqueName="[행사기준].[강사명]" caption="강사명" attribute="1" defaultMemberUniqueName="[행사기준].[강사명].[All]" allUniqueName="[행사기준].[강사명].[All]" dimensionUniqueName="[행사기준]" displayFolder="" count="0" memberValueDatatype="130" unbalanced="0"/>
    <cacheHierarchy uniqueName="[행사기준].[담당자1]" caption="담당자1" attribute="1" defaultMemberUniqueName="[행사기준].[담당자1].[All]" allUniqueName="[행사기준].[담당자1].[All]" dimensionUniqueName="[행사기준]" displayFolder="" count="0" memberValueDatatype="130" unbalanced="0"/>
    <cacheHierarchy uniqueName="[행사기준].[담당자2]" caption="담당자2" attribute="1" defaultMemberUniqueName="[행사기준].[담당자2].[All]" allUniqueName="[행사기준].[담당자2].[All]" dimensionUniqueName="[행사기준]" displayFolder="" count="0" memberValueDatatype="130" unbalanced="0"/>
    <cacheHierarchy uniqueName="[행사기준].[고유값]" caption="고유값" attribute="1" defaultMemberUniqueName="[행사기준].[고유값].[All]" allUniqueName="[행사기준].[고유값].[All]" dimensionUniqueName="[행사기준]" displayFolder="" count="0" memberValueDatatype="130" unbalanced="0"/>
    <cacheHierarchy uniqueName="[날짜tb].[월(월 인덱스)]" caption="월(월 인덱스)" attribute="1" defaultMemberUniqueName="[날짜tb].[월(월 인덱스)].[All]" allUniqueName="[날짜tb].[월(월 인덱스)].[All]" dimensionUniqueName="[날짜tb]" displayFolder="" count="0" memberValueDatatype="20" unbalanced="0" hidden="1"/>
    <cacheHierarchy uniqueName="[년월기준].[년월(월 인덱스)]" caption="년월(월 인덱스)" attribute="1" defaultMemberUniqueName="[년월기준].[년월(월 인덱스)].[All]" allUniqueName="[년월기준].[년월(월 인덱스)].[All]" dimensionUniqueName="[년월기준]" displayFolder="" count="0" memberValueDatatype="20" unbalanced="0" hidden="1"/>
    <cacheHierarchy uniqueName="[Measures].[__XL_Count 자료실기준]" caption="__XL_Count 자료실기준" measure="1" displayFolder="" measureGroup="자료실기준" count="0" hidden="1"/>
    <cacheHierarchy uniqueName="[Measures].[__XL_Count 행사기준]" caption="__XL_Count 행사기준" measure="1" displayFolder="" measureGroup="행사기준" count="0" hidden="1"/>
    <cacheHierarchy uniqueName="[Measures].[__XL_Count 날짜tb]" caption="__XL_Count 날짜tb" measure="1" displayFolder="" measureGroup="날짜tb" count="0" hidden="1"/>
    <cacheHierarchy uniqueName="[Measures].[__XL_Count 대출권수]" caption="__XL_Count 대출권수" measure="1" displayFolder="" measureGroup="대출권수" count="0" hidden="1"/>
    <cacheHierarchy uniqueName="[Measures].[__XL_Count 년월기준]" caption="__XL_Count 년월기준" measure="1" displayFolder="" measureGroup="년월기준" count="0" hidden="1"/>
    <cacheHierarchy uniqueName="[Measures].[__XL_Count 자료실범례]" caption="__XL_Count 자료실범례" measure="1" displayFolder="" measureGroup="자료실범례" count="0" hidden="1"/>
    <cacheHierarchy uniqueName="[Measures].[__XL_Count 개관일수범례]" caption="__XL_Count 개관일수범례" measure="1" displayFolder="" measureGroup="개관일수범례" count="0" hidden="1"/>
    <cacheHierarchy uniqueName="[Measures].[__정의된 측정값 없음]" caption="__정의된 측정값 없음" measure="1" displayFolder="" count="0" hidden="1"/>
    <cacheHierarchy uniqueName="[Measures].[합계: 어린이남자]" caption="합계: 어린이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합계: 어린이여자]" caption="합계: 어린이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합계: 청소년남자]" caption="합계: 청소년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합계: 청소년여자]" caption="합계: 청소년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합계: 성인남자]" caption="합계: 성인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합계: 성인여자]" caption="합계: 성인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합계: 어린이]" caption="합계: 어린이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합계: 청소년]" caption="합계: 청소년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합계: 성인]" caption="합계: 성인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합계: 남자]" caption="합계: 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합계: 여자]" caption="합계: 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합계: 합계]" caption="합계: 합계" measure="1" displayFolder="" measureGroup="대출권수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합계: 대출자수합계]" caption="합계: 대출자수합계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합계: 대출자수]" caption="합계: 대출자수" measure="1" displayFolder="" measureGroup="년월기준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합계: 대출권수]" caption="합계: 대출권수" measure="1" displayFolder="" measureGroup="년월기준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합계: 대출자수(전년동월)]" caption="합계: 대출자수(전년동월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개수: 전년동월비(대출자수)]" caption="개수: 전년동월비(대출자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합계: 대출권수(전년동월)]" caption="합계: 대출권수(전년동월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합계: 자유학습실인원]" caption="합계: 자유학습실인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합계: 여자 2]" caption="합계: 여자 2" measure="1" displayFolder="" measureGroup="행사기준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개수: 행사명]" caption="개수: 행사명" measure="1" displayFolder="" measureGroup="행사기준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개수: 전년동월비(행사참여자수)]" caption="개수: 전년동월비(행사참여자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합계: 전년동월비(대출자수)]" caption="합계: 전년동월비(대출자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합계: 전년동월비(권수)]" caption="합계: 전년동월비(권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총류]" caption="개수: 총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개수: 철학]" caption="개수: 철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개수: 종교]" caption="개수: 종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개수: 사회과학]" caption="개수: 사회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합계: 총류]" caption="합계: 총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합계: 철학]" caption="합계: 철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합계: 종교]" caption="합계: 종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합계: 사회과학]" caption="합계: 사회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합계: 자연과학]" caption="합계: 자연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합계: 기술과학]" caption="합계: 기술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합계: 예술]" caption="합계: 예술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합계: 언어]" caption="합계: 언어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합계: 문학]" caption="합계: 문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합계: 역사]" caption="합계: 역사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합계: 대출권수합계]" caption="합계: 대출권수합계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합계: 열람자수]" caption="합계: 열람자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합계: 열람권수]" caption="합계: 열람권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합계: 대출권수(6월예측포함)]" caption="합계: 대출권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합계: 대출자수(6월예측포함)]" caption="합계: 대출자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합계: 열람권수(6월예측포함)]" caption="합계: 열람권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합계: 열람자수(6월예측포함)]" caption="합계: 열람자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합계: 계]" caption="합계: 계" measure="1" displayFolder="" measureGroup="행사기준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합계: 횟수]" caption="합계: 횟수" measure="1" displayFolder="" measureGroup="행사기준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합계: 자유학습실]" caption="합계: 자유학습실" measure="1" displayFolder="" measureGroup="개관일수범례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합계: 자료실개관일수]" caption="합계: 자료실개관일수" measure="1" displayFolder="" measureGroup="개관일수범례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8">
    <dimension measure="1" name="Measures" uniqueName="[Measures]" caption="Measures"/>
    <dimension name="개관일수범례" uniqueName="[개관일수범례]" caption="개관일수범례"/>
    <dimension name="날짜tb" uniqueName="[날짜tb]" caption="날짜tb"/>
    <dimension name="년월기준" uniqueName="[년월기준]" caption="년월기준"/>
    <dimension name="대출권수" uniqueName="[대출권수]" caption="대출권수"/>
    <dimension name="자료실기준" uniqueName="[자료실기준]" caption="자료실기준"/>
    <dimension name="자료실범례" uniqueName="[자료실범례]" caption="자료실범례"/>
    <dimension name="행사기준" uniqueName="[행사기준]" caption="행사기준"/>
  </dimensions>
  <measureGroups count="7">
    <measureGroup name="개관일수범례" caption="개관일수범례"/>
    <measureGroup name="날짜tb" caption="날짜tb"/>
    <measureGroup name="년월기준" caption="년월기준"/>
    <measureGroup name="대출권수" caption="대출권수"/>
    <measureGroup name="자료실기준" caption="자료실기준"/>
    <measureGroup name="자료실범례" caption="자료실범례"/>
    <measureGroup name="행사기준" caption="행사기준"/>
  </measureGroups>
  <maps count="11">
    <map measureGroup="0" dimension="1"/>
    <map measureGroup="0" dimension="2"/>
    <map measureGroup="1" dimension="2"/>
    <map measureGroup="2" dimension="2"/>
    <map measureGroup="2" dimension="3"/>
    <map measureGroup="3" dimension="4"/>
    <map measureGroup="4" dimension="2"/>
    <map measureGroup="4" dimension="5"/>
    <map measureGroup="5" dimension="6"/>
    <map measureGroup="6" dimension="2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29.462208449077" backgroundQuery="1" createdVersion="3" refreshedVersion="6" minRefreshableVersion="3" recordCount="0" supportSubquery="1" supportAdvancedDrill="1" xr:uid="{48EEB867-7437-42A7-B8FA-1476CDE4F13A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49">
    <cacheHierarchy uniqueName="[개관일수범례].[년월]" caption="년월" attribute="1" time="1" defaultMemberUniqueName="[개관일수범례].[년월].[All]" allUniqueName="[개관일수범례].[년월].[All]" dimensionUniqueName="[개관일수범례]" displayFolder="" count="0" memberValueDatatype="7" unbalanced="0"/>
    <cacheHierarchy uniqueName="[개관일수범례].[자료실개관일수]" caption="자료실개관일수" attribute="1" defaultMemberUniqueName="[개관일수범례].[자료실개관일수].[All]" allUniqueName="[개관일수범례].[자료실개관일수].[All]" dimensionUniqueName="[개관일수범례]" displayFolder="" count="0" memberValueDatatype="20" unbalanced="0"/>
    <cacheHierarchy uniqueName="[개관일수범례].[자유학습실개관일수]" caption="자유학습실개관일수" attribute="1" defaultMemberUniqueName="[개관일수범례].[자유학습실개관일수].[All]" allUniqueName="[개관일수범례].[자유학습실개관일수].[All]" dimensionUniqueName="[개관일수범례]" displayFolder="" count="0" memberValueDatatype="20" unbalanced="0"/>
    <cacheHierarchy uniqueName="[개관일수범례].[자유학습실]" caption="자유학습실" attribute="1" defaultMemberUniqueName="[개관일수범례].[자유학습실].[All]" allUniqueName="[개관일수범례].[자유학습실].[All]" dimensionUniqueName="[개관일수범례]" displayFolder="" count="0" memberValueDatatype="20" unbalanced="0"/>
    <cacheHierarchy uniqueName="[개관일수범례].[일수]" caption="일수" attribute="1" defaultMemberUniqueName="[개관일수범례].[일수].[All]" allUniqueName="[개관일수범례].[일수].[All]" dimensionUniqueName="[개관일수범례]" displayFolder="" count="0" memberValueDatatype="20" unbalanced="0"/>
    <cacheHierarchy uniqueName="[개관일수범례].[정기휴관일]" caption="정기휴관일" attribute="1" defaultMemberUniqueName="[개관일수범례].[정기휴관일].[All]" allUniqueName="[개관일수범례].[정기휴관일].[All]" dimensionUniqueName="[개관일수범례]" displayFolder="" count="0" memberValueDatatype="20" unbalanced="0"/>
    <cacheHierarchy uniqueName="[개관일수범례].[공휴일]" caption="공휴일" attribute="1" defaultMemberUniqueName="[개관일수범례].[공휴일].[All]" allUniqueName="[개관일수범례].[공휴일].[All]" dimensionUniqueName="[개관일수범례]" displayFolder="" count="0" memberValueDatatype="20" unbalanced="0"/>
    <cacheHierarchy uniqueName="[개관일수범례].[자유학습실휴관일]" caption="자유학습실휴관일" attribute="1" defaultMemberUniqueName="[개관일수범례].[자유학습실휴관일].[All]" allUniqueName="[개관일수범례].[자유학습실휴관일].[All]" dimensionUniqueName="[개관일수범례]" displayFolder="" count="0" memberValueDatatype="20" unbalanced="0"/>
    <cacheHierarchy uniqueName="[날짜tb].[월]" caption="월" attribute="1" time="1" defaultMemberUniqueName="[날짜tb].[월].[All]" allUniqueName="[날짜tb].[월].[All]" dimensionUniqueName="[날짜tb]" displayFolder="" count="0" memberValueDatatype="7" unbalanced="0"/>
    <cacheHierarchy uniqueName="[날짜tb].[주]" caption="주" attribute="1" defaultMemberUniqueName="[날짜tb].[주].[All]" allUniqueName="[날짜tb].[주].[All]" dimensionUniqueName="[날짜tb]" displayFolder="" count="0" memberValueDatatype="20" unbalanced="0"/>
    <cacheHierarchy uniqueName="[날짜tb].[월(월)]" caption="월(월)" attribute="1" defaultMemberUniqueName="[날짜tb].[월(월)].[All]" allUniqueName="[날짜tb].[월(월)].[All]" dimensionUniqueName="[날짜tb]" displayFolder="" count="2" memberValueDatatype="130" unbalanced="0"/>
    <cacheHierarchy uniqueName="[년월기준].[년월]" caption="년월" attribute="1" time="1" defaultMemberUniqueName="[년월기준].[년월].[All]" allUniqueName="[년월기준].[년월].[All]" dimensionUniqueName="[년월기준]" displayFolder="" count="0" memberValueDatatype="7" unbalanced="0"/>
    <cacheHierarchy uniqueName="[년월기준].[고유값]" caption="고유값" attribute="1" defaultMemberUniqueName="[년월기준].[고유값].[All]" allUniqueName="[년월기준].[고유값].[All]" dimensionUniqueName="[년월기준]" displayFolder="" count="0" memberValueDatatype="130" unbalanced="0"/>
    <cacheHierarchy uniqueName="[년월기준].[대출자수]" caption="대출자수" attribute="1" defaultMemberUniqueName="[년월기준].[대출자수].[All]" allUniqueName="[년월기준].[대출자수].[All]" dimensionUniqueName="[년월기준]" displayFolder="" count="0" memberValueDatatype="20" unbalanced="0"/>
    <cacheHierarchy uniqueName="[년월기준].[대출자수(전년동월)]" caption="대출자수(전년동월)" attribute="1" defaultMemberUniqueName="[년월기준].[대출자수(전년동월)].[All]" allUniqueName="[년월기준].[대출자수(전년동월)].[All]" dimensionUniqueName="[년월기준]" displayFolder="" count="0" memberValueDatatype="20" unbalanced="0"/>
    <cacheHierarchy uniqueName="[년월기준].[전년동월비(대출자수)]" caption="전년동월비(대출자수)" attribute="1" defaultMemberUniqueName="[년월기준].[전년동월비(대출자수)].[All]" allUniqueName="[년월기준].[전년동월비(대출자수)].[All]" dimensionUniqueName="[년월기준]" displayFolder="" count="0" memberValueDatatype="5" unbalanced="0"/>
    <cacheHierarchy uniqueName="[년월기준].[대출권수]" caption="대출권수" attribute="1" defaultMemberUniqueName="[년월기준].[대출권수].[All]" allUniqueName="[년월기준].[대출권수].[All]" dimensionUniqueName="[년월기준]" displayFolder="" count="0" memberValueDatatype="20" unbalanced="0"/>
    <cacheHierarchy uniqueName="[년월기준].[대출권수(전년동월)]" caption="대출권수(전년동월)" attribute="1" defaultMemberUniqueName="[년월기준].[대출권수(전년동월)].[All]" allUniqueName="[년월기준].[대출권수(전년동월)].[All]" dimensionUniqueName="[년월기준]" displayFolder="" count="0" memberValueDatatype="20" unbalanced="0"/>
    <cacheHierarchy uniqueName="[년월기준].[전년동월비(권수)]" caption="전년동월비(권수)" attribute="1" defaultMemberUniqueName="[년월기준].[전년동월비(권수)].[All]" allUniqueName="[년월기준].[전년동월비(권수)].[All]" dimensionUniqueName="[년월기준]" displayFolder="" count="0" memberValueDatatype="5" unbalanced="0"/>
    <cacheHierarchy uniqueName="[년월기준].[행사참여자수]" caption="행사참여자수" attribute="1" defaultMemberUniqueName="[년월기준].[행사참여자수].[All]" allUniqueName="[년월기준].[행사참여자수].[All]" dimensionUniqueName="[년월기준]" displayFolder="" count="0" memberValueDatatype="20" unbalanced="0"/>
    <cacheHierarchy uniqueName="[년월기준].[행사참여자수(전년동월)]" caption="행사참여자수(전년동월)" attribute="1" defaultMemberUniqueName="[년월기준].[행사참여자수(전년동월)].[All]" allUniqueName="[년월기준].[행사참여자수(전년동월)].[All]" dimensionUniqueName="[년월기준]" displayFolder="" count="0" memberValueDatatype="20" unbalanced="0"/>
    <cacheHierarchy uniqueName="[년월기준].[전년동월비(행사참여자수)]" caption="전년동월비(행사참여자수)" attribute="1" defaultMemberUniqueName="[년월기준].[전년동월비(행사참여자수)].[All]" allUniqueName="[년월기준].[전년동월비(행사참여자수)].[All]" dimensionUniqueName="[년월기준]" displayFolder="" count="0" memberValueDatatype="5" unbalanced="0"/>
    <cacheHierarchy uniqueName="[년월기준].[년월(월)]" caption="년월(월)" attribute="1" defaultMemberUniqueName="[년월기준].[년월(월)].[All]" allUniqueName="[년월기준].[년월(월)].[All]" dimensionUniqueName="[년월기준]" displayFolder="" count="0" memberValueDatatype="130" unbalanced="0"/>
    <cacheHierarchy uniqueName="[대출권수].[년월]" caption="년월" attribute="1" time="1" defaultMemberUniqueName="[대출권수].[년월].[All]" allUniqueName="[대출권수].[년월].[All]" dimensionUniqueName="[대출권수]" displayFolder="" count="0" memberValueDatatype="7" unbalanced="0"/>
    <cacheHierarchy uniqueName="[대출권수].[소장처명]" caption="소장처명" attribute="1" defaultMemberUniqueName="[대출권수].[소장처명].[All]" allUniqueName="[대출권수].[소장처명].[All]" dimensionUniqueName="[대출권수]" displayFolder="" count="0" memberValueDatatype="130" unbalanced="0"/>
    <cacheHierarchy uniqueName="[대출권수].[자료실구분]" caption="자료실구분" attribute="1" defaultMemberUniqueName="[대출권수].[자료실구분].[All]" allUniqueName="[대출권수].[자료실구분].[All]" dimensionUniqueName="[대출권수]" displayFolder="" count="0" memberValueDatatype="130" unbalanced="0"/>
    <cacheHierarchy uniqueName="[대출권수].[대출반납]" caption="대출반납" attribute="1" defaultMemberUniqueName="[대출권수].[대출반납].[All]" allUniqueName="[대출권수].[대출반납].[All]" dimensionUniqueName="[대출권수]" displayFolder="" count="0" memberValueDatatype="130" unbalanced="0"/>
    <cacheHierarchy uniqueName="[대출권수].[총류]" caption="총류" attribute="1" defaultMemberUniqueName="[대출권수].[총류].[All]" allUniqueName="[대출권수].[총류].[All]" dimensionUniqueName="[대출권수]" displayFolder="" count="0" memberValueDatatype="20" unbalanced="0"/>
    <cacheHierarchy uniqueName="[대출권수].[철학]" caption="철학" attribute="1" defaultMemberUniqueName="[대출권수].[철학].[All]" allUniqueName="[대출권수].[철학].[All]" dimensionUniqueName="[대출권수]" displayFolder="" count="0" memberValueDatatype="20" unbalanced="0"/>
    <cacheHierarchy uniqueName="[대출권수].[종교]" caption="종교" attribute="1" defaultMemberUniqueName="[대출권수].[종교].[All]" allUniqueName="[대출권수].[종교].[All]" dimensionUniqueName="[대출권수]" displayFolder="" count="0" memberValueDatatype="20" unbalanced="0"/>
    <cacheHierarchy uniqueName="[대출권수].[사회과학]" caption="사회과학" attribute="1" defaultMemberUniqueName="[대출권수].[사회과학].[All]" allUniqueName="[대출권수].[사회과학].[All]" dimensionUniqueName="[대출권수]" displayFolder="" count="0" memberValueDatatype="20" unbalanced="0"/>
    <cacheHierarchy uniqueName="[대출권수].[자연과학]" caption="자연과학" attribute="1" defaultMemberUniqueName="[대출권수].[자연과학].[All]" allUniqueName="[대출권수].[자연과학].[All]" dimensionUniqueName="[대출권수]" displayFolder="" count="0" memberValueDatatype="20" unbalanced="0"/>
    <cacheHierarchy uniqueName="[대출권수].[기술과학]" caption="기술과학" attribute="1" defaultMemberUniqueName="[대출권수].[기술과학].[All]" allUniqueName="[대출권수].[기술과학].[All]" dimensionUniqueName="[대출권수]" displayFolder="" count="0" memberValueDatatype="20" unbalanced="0"/>
    <cacheHierarchy uniqueName="[대출권수].[예술]" caption="예술" attribute="1" defaultMemberUniqueName="[대출권수].[예술].[All]" allUniqueName="[대출권수].[예술].[All]" dimensionUniqueName="[대출권수]" displayFolder="" count="0" memberValueDatatype="20" unbalanced="0"/>
    <cacheHierarchy uniqueName="[대출권수].[언어]" caption="언어" attribute="1" defaultMemberUniqueName="[대출권수].[언어].[All]" allUniqueName="[대출권수].[언어].[All]" dimensionUniqueName="[대출권수]" displayFolder="" count="0" memberValueDatatype="20" unbalanced="0"/>
    <cacheHierarchy uniqueName="[대출권수].[문학]" caption="문학" attribute="1" defaultMemberUniqueName="[대출권수].[문학].[All]" allUniqueName="[대출권수].[문학].[All]" dimensionUniqueName="[대출권수]" displayFolder="" count="0" memberValueDatatype="20" unbalanced="0"/>
    <cacheHierarchy uniqueName="[대출권수].[역사]" caption="역사" attribute="1" defaultMemberUniqueName="[대출권수].[역사].[All]" allUniqueName="[대출권수].[역사].[All]" dimensionUniqueName="[대출권수]" displayFolder="" count="0" memberValueDatatype="20" unbalanced="0"/>
    <cacheHierarchy uniqueName="[대출권수].[기타]" caption="기타" attribute="1" defaultMemberUniqueName="[대출권수].[기타].[All]" allUniqueName="[대출권수].[기타].[All]" dimensionUniqueName="[대출권수]" displayFolder="" count="0" memberValueDatatype="20" unbalanced="0"/>
    <cacheHierarchy uniqueName="[대출권수].[합계]" caption="합계" attribute="1" defaultMemberUniqueName="[대출권수].[합계].[All]" allUniqueName="[대출권수].[합계].[All]" dimensionUniqueName="[대출권수]" displayFolder="" count="0" memberValueDatatype="20" unbalanced="0"/>
    <cacheHierarchy uniqueName="[자료실기준].[년월]" caption="년월" attribute="1" time="1" defaultMemberUniqueName="[자료실기준].[년월].[All]" allUniqueName="[자료실기준].[년월].[All]" dimensionUniqueName="[자료실기준]" displayFolder="" count="0" memberValueDatatype="7" unbalanced="0"/>
    <cacheHierarchy uniqueName="[자료실기준].[소장처명]" caption="소장처명" attribute="1" defaultMemberUniqueName="[자료실기준].[소장처명].[All]" allUniqueName="[자료실기준].[소장처명].[All]" dimensionUniqueName="[자료실기준]" displayFolder="" count="0" memberValueDatatype="130" unbalanced="0"/>
    <cacheHierarchy uniqueName="[자료실기준].[고유값]" caption="고유값" attribute="1" defaultMemberUniqueName="[자료실기준].[고유값].[All]" allUniqueName="[자료실기준].[고유값].[All]" dimensionUniqueName="[자료실기준]" displayFolder="" count="0" memberValueDatatype="130" unbalanced="0"/>
    <cacheHierarchy uniqueName="[자료실기준].[자료실구분]" caption="자료실구분" attribute="1" defaultMemberUniqueName="[자료실기준].[자료실구분].[All]" allUniqueName="[자료실기준].[자료실구분].[All]" dimensionUniqueName="[자료실기준]" displayFolder="" count="2" memberValueDatatype="130" unbalanced="0"/>
    <cacheHierarchy uniqueName="[자료실기준].[어린이남자]" caption="어린이남자" attribute="1" defaultMemberUniqueName="[자료실기준].[어린이남자].[All]" allUniqueName="[자료실기준].[어린이남자].[All]" dimensionUniqueName="[자료실기준]" displayFolder="" count="0" memberValueDatatype="20" unbalanced="0"/>
    <cacheHierarchy uniqueName="[자료실기준].[어린이여자]" caption="어린이여자" attribute="1" defaultMemberUniqueName="[자료실기준].[어린이여자].[All]" allUniqueName="[자료실기준].[어린이여자].[All]" dimensionUniqueName="[자료실기준]" displayFolder="" count="0" memberValueDatatype="20" unbalanced="0"/>
    <cacheHierarchy uniqueName="[자료실기준].[청소년남자]" caption="청소년남자" attribute="1" defaultMemberUniqueName="[자료실기준].[청소년남자].[All]" allUniqueName="[자료실기준].[청소년남자].[All]" dimensionUniqueName="[자료실기준]" displayFolder="" count="0" memberValueDatatype="20" unbalanced="0"/>
    <cacheHierarchy uniqueName="[자료실기준].[청소년여자]" caption="청소년여자" attribute="1" defaultMemberUniqueName="[자료실기준].[청소년여자].[All]" allUniqueName="[자료실기준].[청소년여자].[All]" dimensionUniqueName="[자료실기준]" displayFolder="" count="0" memberValueDatatype="20" unbalanced="0"/>
    <cacheHierarchy uniqueName="[자료실기준].[성인남자]" caption="성인남자" attribute="1" defaultMemberUniqueName="[자료실기준].[성인남자].[All]" allUniqueName="[자료실기준].[성인남자].[All]" dimensionUniqueName="[자료실기준]" displayFolder="" count="0" memberValueDatatype="20" unbalanced="0"/>
    <cacheHierarchy uniqueName="[자료실기준].[성인여자]" caption="성인여자" attribute="1" defaultMemberUniqueName="[자료실기준].[성인여자].[All]" allUniqueName="[자료실기준].[성인여자].[All]" dimensionUniqueName="[자료실기준]" displayFolder="" count="0" memberValueDatatype="20" unbalanced="0"/>
    <cacheHierarchy uniqueName="[자료실기준].[어린이]" caption="어린이" attribute="1" defaultMemberUniqueName="[자료실기준].[어린이].[All]" allUniqueName="[자료실기준].[어린이].[All]" dimensionUniqueName="[자료실기준]" displayFolder="" count="0" memberValueDatatype="20" unbalanced="0"/>
    <cacheHierarchy uniqueName="[자료실기준].[청소년]" caption="청소년" attribute="1" defaultMemberUniqueName="[자료실기준].[청소년].[All]" allUniqueName="[자료실기준].[청소년].[All]" dimensionUniqueName="[자료실기준]" displayFolder="" count="0" memberValueDatatype="20" unbalanced="0"/>
    <cacheHierarchy uniqueName="[자료실기준].[성인]" caption="성인" attribute="1" defaultMemberUniqueName="[자료실기준].[성인].[All]" allUniqueName="[자료실기준].[성인].[All]" dimensionUniqueName="[자료실기준]" displayFolder="" count="0" memberValueDatatype="20" unbalanced="0"/>
    <cacheHierarchy uniqueName="[자료실기준].[남자]" caption="남자" attribute="1" defaultMemberUniqueName="[자료실기준].[남자].[All]" allUniqueName="[자료실기준].[남자].[All]" dimensionUniqueName="[자료실기준]" displayFolder="" count="0" memberValueDatatype="20" unbalanced="0"/>
    <cacheHierarchy uniqueName="[자료실기준].[여자]" caption="여자" attribute="1" defaultMemberUniqueName="[자료실기준].[여자].[All]" allUniqueName="[자료실기준].[여자].[All]" dimensionUniqueName="[자료실기준]" displayFolder="" count="0" memberValueDatatype="20" unbalanced="0"/>
    <cacheHierarchy uniqueName="[자료실기준].[대출자수합계]" caption="대출자수합계" attribute="1" defaultMemberUniqueName="[자료실기준].[대출자수합계].[All]" allUniqueName="[자료실기준].[대출자수합계].[All]" dimensionUniqueName="[자료실기준]" displayFolder="" count="0" memberValueDatatype="20" unbalanced="0"/>
    <cacheHierarchy uniqueName="[자료실기준].[총류]" caption="총류" attribute="1" defaultMemberUniqueName="[자료실기준].[총류].[All]" allUniqueName="[자료실기준].[총류].[All]" dimensionUniqueName="[자료실기준]" displayFolder="" count="0" memberValueDatatype="20" unbalanced="0"/>
    <cacheHierarchy uniqueName="[자료실기준].[철학]" caption="철학" attribute="1" defaultMemberUniqueName="[자료실기준].[철학].[All]" allUniqueName="[자료실기준].[철학].[All]" dimensionUniqueName="[자료실기준]" displayFolder="" count="0" memberValueDatatype="20" unbalanced="0"/>
    <cacheHierarchy uniqueName="[자료실기준].[종교]" caption="종교" attribute="1" defaultMemberUniqueName="[자료실기준].[종교].[All]" allUniqueName="[자료실기준].[종교].[All]" dimensionUniqueName="[자료실기준]" displayFolder="" count="0" memberValueDatatype="20" unbalanced="0"/>
    <cacheHierarchy uniqueName="[자료실기준].[사회과학]" caption="사회과학" attribute="1" defaultMemberUniqueName="[자료실기준].[사회과학].[All]" allUniqueName="[자료실기준].[사회과학].[All]" dimensionUniqueName="[자료실기준]" displayFolder="" count="0" memberValueDatatype="20" unbalanced="0"/>
    <cacheHierarchy uniqueName="[자료실기준].[자연과학]" caption="자연과학" attribute="1" defaultMemberUniqueName="[자료실기준].[자연과학].[All]" allUniqueName="[자료실기준].[자연과학].[All]" dimensionUniqueName="[자료실기준]" displayFolder="" count="0" memberValueDatatype="20" unbalanced="0"/>
    <cacheHierarchy uniqueName="[자료실기준].[기술과학]" caption="기술과학" attribute="1" defaultMemberUniqueName="[자료실기준].[기술과학].[All]" allUniqueName="[자료실기준].[기술과학].[All]" dimensionUniqueName="[자료실기준]" displayFolder="" count="0" memberValueDatatype="20" unbalanced="0"/>
    <cacheHierarchy uniqueName="[자료실기준].[예술]" caption="예술" attribute="1" defaultMemberUniqueName="[자료실기준].[예술].[All]" allUniqueName="[자료실기준].[예술].[All]" dimensionUniqueName="[자료실기준]" displayFolder="" count="0" memberValueDatatype="20" unbalanced="0"/>
    <cacheHierarchy uniqueName="[자료실기준].[언어]" caption="언어" attribute="1" defaultMemberUniqueName="[자료실기준].[언어].[All]" allUniqueName="[자료실기준].[언어].[All]" dimensionUniqueName="[자료실기준]" displayFolder="" count="0" memberValueDatatype="20" unbalanced="0"/>
    <cacheHierarchy uniqueName="[자료실기준].[문학]" caption="문학" attribute="1" defaultMemberUniqueName="[자료실기준].[문학].[All]" allUniqueName="[자료실기준].[문학].[All]" dimensionUniqueName="[자료실기준]" displayFolder="" count="0" memberValueDatatype="20" unbalanced="0"/>
    <cacheHierarchy uniqueName="[자료실기준].[역사]" caption="역사" attribute="1" defaultMemberUniqueName="[자료실기준].[역사].[All]" allUniqueName="[자료실기준].[역사].[All]" dimensionUniqueName="[자료실기준]" displayFolder="" count="0" memberValueDatatype="20" unbalanced="0"/>
    <cacheHierarchy uniqueName="[자료실기준].[대출권수합계]" caption="대출권수합계" attribute="1" defaultMemberUniqueName="[자료실기준].[대출권수합계].[All]" allUniqueName="[자료실기준].[대출권수합계].[All]" dimensionUniqueName="[자료실기준]" displayFolder="" count="0" memberValueDatatype="20" unbalanced="0"/>
    <cacheHierarchy uniqueName="[자료실기준].[자유학습실인원]" caption="자유학습실인원" attribute="1" defaultMemberUniqueName="[자료실기준].[자유학습실인원].[All]" allUniqueName="[자료실기준].[자유학습실인원].[All]" dimensionUniqueName="[자료실기준]" displayFolder="" count="0" memberValueDatatype="20" unbalanced="0"/>
    <cacheHierarchy uniqueName="[자료실기준].[열람자수]" caption="열람자수" attribute="1" defaultMemberUniqueName="[자료실기준].[열람자수].[All]" allUniqueName="[자료실기준].[열람자수].[All]" dimensionUniqueName="[자료실기준]" displayFolder="" count="0" memberValueDatatype="20" unbalanced="0"/>
    <cacheHierarchy uniqueName="[자료실기준].[열람권수]" caption="열람권수" attribute="1" defaultMemberUniqueName="[자료실기준].[열람권수].[All]" allUniqueName="[자료실기준].[열람권수].[All]" dimensionUniqueName="[자료실기준]" displayFolder="" count="0" memberValueDatatype="20" unbalanced="0"/>
    <cacheHierarchy uniqueName="[자료실기준].[대출권수(6월예측포함)]" caption="대출권수(6월예측포함)" attribute="1" defaultMemberUniqueName="[자료실기준].[대출권수(6월예측포함)].[All]" allUniqueName="[자료실기준].[대출권수(6월예측포함)].[All]" dimensionUniqueName="[자료실기준]" displayFolder="" count="0" memberValueDatatype="5" unbalanced="0"/>
    <cacheHierarchy uniqueName="[자료실기준].[대출자수(6월예측포함)]" caption="대출자수(6월예측포함)" attribute="1" defaultMemberUniqueName="[자료실기준].[대출자수(6월예측포함)].[All]" allUniqueName="[자료실기준].[대출자수(6월예측포함)].[All]" dimensionUniqueName="[자료실기준]" displayFolder="" count="0" memberValueDatatype="5" unbalanced="0"/>
    <cacheHierarchy uniqueName="[자료실기준].[열람권수(6월예측포함)]" caption="열람권수(6월예측포함)" attribute="1" defaultMemberUniqueName="[자료실기준].[열람권수(6월예측포함)].[All]" allUniqueName="[자료실기준].[열람권수(6월예측포함)].[All]" dimensionUniqueName="[자료실기준]" displayFolder="" count="0" memberValueDatatype="5" unbalanced="0"/>
    <cacheHierarchy uniqueName="[자료실기준].[열람자수(6월예측포함)]" caption="열람자수(6월예측포함)" attribute="1" defaultMemberUniqueName="[자료실기준].[열람자수(6월예측포함)].[All]" allUniqueName="[자료실기준].[열람자수(6월예측포함)].[All]" dimensionUniqueName="[자료실기준]" displayFolder="" count="0" memberValueDatatype="5" unbalanced="0"/>
    <cacheHierarchy uniqueName="[자료실범례].[소장처명]" caption="소장처명" attribute="1" defaultMemberUniqueName="[자료실범례].[소장처명].[All]" allUniqueName="[자료실범례].[소장처명].[All]" dimensionUniqueName="[자료실범례]" displayFolder="" count="0" memberValueDatatype="130" unbalanced="0"/>
    <cacheHierarchy uniqueName="[자료실범례].[구분]" caption="구분" attribute="1" defaultMemberUniqueName="[자료실범례].[구분].[All]" allUniqueName="[자료실범례].[구분].[All]" dimensionUniqueName="[자료실범례]" displayFolder="" count="0" memberValueDatatype="130" unbalanced="0"/>
    <cacheHierarchy uniqueName="[행사기준].[년월]" caption="년월" attribute="1" time="1" defaultMemberUniqueName="[행사기준].[년월].[All]" allUniqueName="[행사기준].[년월].[All]" dimensionUniqueName="[행사기준]" displayFolder="" count="0" memberValueDatatype="7" unbalanced="0"/>
    <cacheHierarchy uniqueName="[행사기준].[행사분류]" caption="행사분류" attribute="1" defaultMemberUniqueName="[행사기준].[행사분류].[All]" allUniqueName="[행사기준].[행사분류].[All]" dimensionUniqueName="[행사기준]" displayFolder="" count="2" memberValueDatatype="130" unbalanced="0"/>
    <cacheHierarchy uniqueName="[행사기준].[행사분류2]" caption="행사분류2" attribute="1" defaultMemberUniqueName="[행사기준].[행사분류2].[All]" allUniqueName="[행사기준].[행사분류2].[All]" dimensionUniqueName="[행사기준]" displayFolder="" count="0" memberValueDatatype="130" unbalanced="0"/>
    <cacheHierarchy uniqueName="[행사기준].[행사명]" caption="행사명" attribute="1" defaultMemberUniqueName="[행사기준].[행사명].[All]" allUniqueName="[행사기준].[행사명].[All]" dimensionUniqueName="[행사기준]" displayFolder="" count="0" memberValueDatatype="130" unbalanced="0"/>
    <cacheHierarchy uniqueName="[행사기준].[대상1]" caption="대상1" attribute="1" defaultMemberUniqueName="[행사기준].[대상1].[All]" allUniqueName="[행사기준].[대상1].[All]" dimensionUniqueName="[행사기준]" displayFolder="" count="0" memberValueDatatype="130" unbalanced="0"/>
    <cacheHierarchy uniqueName="[행사기준].[대상2]" caption="대상2" attribute="1" defaultMemberUniqueName="[행사기준].[대상2].[All]" allUniqueName="[행사기준].[대상2].[All]" dimensionUniqueName="[행사기준]" displayFolder="" count="0" memberValueDatatype="130" unbalanced="0"/>
    <cacheHierarchy uniqueName="[행사기준].[대상(상세)]" caption="대상(상세)" attribute="1" defaultMemberUniqueName="[행사기준].[대상(상세)].[All]" allUniqueName="[행사기준].[대상(상세)].[All]" dimensionUniqueName="[행사기준]" displayFolder="" count="0" memberValueDatatype="130" unbalanced="0"/>
    <cacheHierarchy uniqueName="[행사기준].[횟수]" caption="횟수" attribute="1" defaultMemberUniqueName="[행사기준].[횟수].[All]" allUniqueName="[행사기준].[횟수].[All]" dimensionUniqueName="[행사기준]" displayFolder="" count="0" memberValueDatatype="20" unbalanced="0"/>
    <cacheHierarchy uniqueName="[행사기준].[남자]" caption="남자" attribute="1" defaultMemberUniqueName="[행사기준].[남자].[All]" allUniqueName="[행사기준].[남자].[All]" dimensionUniqueName="[행사기준]" displayFolder="" count="0" memberValueDatatype="20" unbalanced="0"/>
    <cacheHierarchy uniqueName="[행사기준].[여자]" caption="여자" attribute="1" defaultMemberUniqueName="[행사기준].[여자].[All]" allUniqueName="[행사기준].[여자].[All]" dimensionUniqueName="[행사기준]" displayFolder="" count="0" memberValueDatatype="20" unbalanced="0"/>
    <cacheHierarchy uniqueName="[행사기준].[계]" caption="계" attribute="1" defaultMemberUniqueName="[행사기준].[계].[All]" allUniqueName="[행사기준].[계].[All]" dimensionUniqueName="[행사기준]" displayFolder="" count="0" memberValueDatatype="20" unbalanced="0"/>
    <cacheHierarchy uniqueName="[행사기준].[강사명]" caption="강사명" attribute="1" defaultMemberUniqueName="[행사기준].[강사명].[All]" allUniqueName="[행사기준].[강사명].[All]" dimensionUniqueName="[행사기준]" displayFolder="" count="0" memberValueDatatype="130" unbalanced="0"/>
    <cacheHierarchy uniqueName="[행사기준].[담당자1]" caption="담당자1" attribute="1" defaultMemberUniqueName="[행사기준].[담당자1].[All]" allUniqueName="[행사기준].[담당자1].[All]" dimensionUniqueName="[행사기준]" displayFolder="" count="0" memberValueDatatype="130" unbalanced="0"/>
    <cacheHierarchy uniqueName="[행사기준].[담당자2]" caption="담당자2" attribute="1" defaultMemberUniqueName="[행사기준].[담당자2].[All]" allUniqueName="[행사기준].[담당자2].[All]" dimensionUniqueName="[행사기준]" displayFolder="" count="0" memberValueDatatype="130" unbalanced="0"/>
    <cacheHierarchy uniqueName="[행사기준].[고유값]" caption="고유값" attribute="1" defaultMemberUniqueName="[행사기준].[고유값].[All]" allUniqueName="[행사기준].[고유값].[All]" dimensionUniqueName="[행사기준]" displayFolder="" count="0" memberValueDatatype="130" unbalanced="0"/>
    <cacheHierarchy uniqueName="[날짜tb].[월(월 인덱스)]" caption="월(월 인덱스)" attribute="1" defaultMemberUniqueName="[날짜tb].[월(월 인덱스)].[All]" allUniqueName="[날짜tb].[월(월 인덱스)].[All]" dimensionUniqueName="[날짜tb]" displayFolder="" count="0" memberValueDatatype="20" unbalanced="0" hidden="1"/>
    <cacheHierarchy uniqueName="[년월기준].[년월(월 인덱스)]" caption="년월(월 인덱스)" attribute="1" defaultMemberUniqueName="[년월기준].[년월(월 인덱스)].[All]" allUniqueName="[년월기준].[년월(월 인덱스)].[All]" dimensionUniqueName="[년월기준]" displayFolder="" count="0" memberValueDatatype="20" unbalanced="0" hidden="1"/>
    <cacheHierarchy uniqueName="[Measures].[__XL_Count 자료실기준]" caption="__XL_Count 자료실기준" measure="1" displayFolder="" measureGroup="자료실기준" count="0" hidden="1"/>
    <cacheHierarchy uniqueName="[Measures].[__XL_Count 행사기준]" caption="__XL_Count 행사기준" measure="1" displayFolder="" measureGroup="행사기준" count="0" hidden="1"/>
    <cacheHierarchy uniqueName="[Measures].[__XL_Count 날짜tb]" caption="__XL_Count 날짜tb" measure="1" displayFolder="" measureGroup="날짜tb" count="0" hidden="1"/>
    <cacheHierarchy uniqueName="[Measures].[__XL_Count 대출권수]" caption="__XL_Count 대출권수" measure="1" displayFolder="" measureGroup="대출권수" count="0" hidden="1"/>
    <cacheHierarchy uniqueName="[Measures].[__XL_Count 년월기준]" caption="__XL_Count 년월기준" measure="1" displayFolder="" measureGroup="년월기준" count="0" hidden="1"/>
    <cacheHierarchy uniqueName="[Measures].[__XL_Count 자료실범례]" caption="__XL_Count 자료실범례" measure="1" displayFolder="" measureGroup="자료실범례" count="0" hidden="1"/>
    <cacheHierarchy uniqueName="[Measures].[__XL_Count 개관일수범례]" caption="__XL_Count 개관일수범례" measure="1" displayFolder="" measureGroup="개관일수범례" count="0" hidden="1"/>
    <cacheHierarchy uniqueName="[Measures].[__정의된 측정값 없음]" caption="__정의된 측정값 없음" measure="1" displayFolder="" count="0" hidden="1"/>
    <cacheHierarchy uniqueName="[Measures].[합계: 어린이남자]" caption="합계: 어린이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합계: 어린이여자]" caption="합계: 어린이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합계: 청소년남자]" caption="합계: 청소년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합계: 청소년여자]" caption="합계: 청소년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합계: 성인남자]" caption="합계: 성인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합계: 성인여자]" caption="합계: 성인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합계: 어린이]" caption="합계: 어린이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합계: 청소년]" caption="합계: 청소년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합계: 성인]" caption="합계: 성인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합계: 남자]" caption="합계: 남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합계: 여자]" caption="합계: 여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합계: 합계]" caption="합계: 합계" measure="1" displayFolder="" measureGroup="대출권수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합계: 대출자수합계]" caption="합계: 대출자수합계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합계: 대출자수]" caption="합계: 대출자수" measure="1" displayFolder="" measureGroup="년월기준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합계: 대출권수]" caption="합계: 대출권수" measure="1" displayFolder="" measureGroup="년월기준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합계: 대출자수(전년동월)]" caption="합계: 대출자수(전년동월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개수: 전년동월비(대출자수)]" caption="개수: 전년동월비(대출자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합계: 대출권수(전년동월)]" caption="합계: 대출권수(전년동월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합계: 자유학습실인원]" caption="합계: 자유학습실인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합계: 여자 2]" caption="합계: 여자 2" measure="1" displayFolder="" measureGroup="행사기준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개수: 행사명]" caption="개수: 행사명" measure="1" displayFolder="" measureGroup="행사기준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개수: 전년동월비(행사참여자수)]" caption="개수: 전년동월비(행사참여자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합계: 전년동월비(대출자수)]" caption="합계: 전년동월비(대출자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합계: 전년동월비(권수)]" caption="합계: 전년동월비(권수)" measure="1" displayFolder="" measureGroup="년월기준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총류]" caption="개수: 총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개수: 철학]" caption="개수: 철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개수: 종교]" caption="개수: 종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개수: 사회과학]" caption="개수: 사회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합계: 총류]" caption="합계: 총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합계: 철학]" caption="합계: 철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합계: 종교]" caption="합계: 종교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합계: 사회과학]" caption="합계: 사회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합계: 자연과학]" caption="합계: 자연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합계: 기술과학]" caption="합계: 기술과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합계: 예술]" caption="합계: 예술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합계: 언어]" caption="합계: 언어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합계: 문학]" caption="합계: 문학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합계: 역사]" caption="합계: 역사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합계: 대출권수합계]" caption="합계: 대출권수합계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합계: 열람자수]" caption="합계: 열람자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합계: 열람권수]" caption="합계: 열람권수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합계: 대출권수(6월예측포함)]" caption="합계: 대출권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합계: 대출자수(6월예측포함)]" caption="합계: 대출자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합계: 열람권수(6월예측포함)]" caption="합계: 열람권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합계: 열람자수(6월예측포함)]" caption="합계: 열람자수(6월예측포함)" measure="1" displayFolder="" measureGroup="자료실기준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합계: 계]" caption="합계: 계" measure="1" displayFolder="" measureGroup="행사기준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합계: 횟수]" caption="합계: 횟수" measure="1" displayFolder="" measureGroup="행사기준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합계: 자유학습실]" caption="합계: 자유학습실" measure="1" displayFolder="" measureGroup="개관일수범례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합계: 자료실개관일수]" caption="합계: 자료실개관일수" measure="1" displayFolder="" measureGroup="개관일수범례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951676093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F9DA84-F6D2-42E3-BCEA-2FAFB07ABD01}" name="행사참여자수" cacheId="124" dataOnRows="1" applyNumberFormats="0" applyBorderFormats="0" applyFontFormats="0" applyPatternFormats="0" applyAlignmentFormats="0" applyWidthHeightFormats="1" dataCaption="값" tag="8c7dd9b6-980b-4b6a-95ee-4e39aef3b6e9" updatedVersion="6" minRefreshableVersion="3" useAutoFormatting="1" subtotalHiddenItems="1" rowGrandTotals="0" itemPrintTitles="1" createdVersion="6" indent="0" outline="1" outlineData="1" multipleFieldFilters="0" chartFormat="18">
  <location ref="U3:V46" firstHeaderRow="1" firstDataRow="1" firstDataCol="1" rowPageCount="1" colPageCount="1"/>
  <pivotFields count="4">
    <pivotField axis="axisPage" allDrilled="1" subtotalTop="0" showAll="0" dataSourceSort="1" defaultSubtotal="0" defaultAttributeDrillState="1"/>
    <pivotField axis="axisRow" allDrilled="1" subtotalTop="0" showAll="0" sortType="descending" defaultSubtotal="0" defaultAttributeDrillState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  <pivotField dataField="1" subtotalTop="0" showAll="0" defaultSubtotal="0"/>
  </pivotFields>
  <rowFields count="1">
    <field x="1"/>
  </rowFields>
  <rowItems count="43">
    <i>
      <x v="19"/>
    </i>
    <i>
      <x v="31"/>
    </i>
    <i>
      <x v="14"/>
    </i>
    <i>
      <x v="9"/>
    </i>
    <i>
      <x v="15"/>
    </i>
    <i>
      <x v="2"/>
    </i>
    <i>
      <x v="34"/>
    </i>
    <i>
      <x v="12"/>
    </i>
    <i>
      <x v="18"/>
    </i>
    <i>
      <x v="33"/>
    </i>
    <i>
      <x v="4"/>
    </i>
    <i>
      <x v="5"/>
    </i>
    <i>
      <x/>
    </i>
    <i>
      <x v="17"/>
    </i>
    <i>
      <x v="1"/>
    </i>
    <i>
      <x v="38"/>
    </i>
    <i>
      <x v="21"/>
    </i>
    <i>
      <x v="35"/>
    </i>
    <i>
      <x v="37"/>
    </i>
    <i>
      <x v="26"/>
    </i>
    <i>
      <x v="8"/>
    </i>
    <i>
      <x v="40"/>
    </i>
    <i>
      <x v="16"/>
    </i>
    <i>
      <x v="22"/>
    </i>
    <i>
      <x v="27"/>
    </i>
    <i>
      <x v="32"/>
    </i>
    <i>
      <x v="29"/>
    </i>
    <i>
      <x v="23"/>
    </i>
    <i>
      <x v="6"/>
    </i>
    <i>
      <x v="24"/>
    </i>
    <i>
      <x v="30"/>
    </i>
    <i>
      <x v="25"/>
    </i>
    <i>
      <x v="39"/>
    </i>
    <i>
      <x v="41"/>
    </i>
    <i>
      <x v="11"/>
    </i>
    <i>
      <x v="13"/>
    </i>
    <i>
      <x v="3"/>
    </i>
    <i>
      <x v="28"/>
    </i>
    <i>
      <x v="42"/>
    </i>
    <i>
      <x v="36"/>
    </i>
    <i>
      <x v="7"/>
    </i>
    <i>
      <x v="20"/>
    </i>
    <i>
      <x v="10"/>
    </i>
  </rowItems>
  <colItems count="1">
    <i/>
  </colItems>
  <pageFields count="1">
    <pageField fld="0" hier="10" name="[날짜tb].[월(월)].&amp;[11월]" cap="11월"/>
  </pageFields>
  <dataFields count="1">
    <dataField name="합계: 계" fld="3" baseField="0" baseItem="0"/>
  </dataFields>
  <chartFormats count="1">
    <chartFormat chart="1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날짜tb].[월].&amp;[2024-02-01T00:00:00]"/>
      </members>
    </pivotHierarchy>
    <pivotHierarchy dragToData="1"/>
    <pivotHierarchy multipleItemSelectionAllowed="1" dragToData="1">
      <members count="1" level="1">
        <member name="[날짜tb].[월(월)].&amp;[11월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자료실기준]"/>
        <x15:activeTabTopLevelEntity name="[날짜tb]"/>
        <x15:activeTabTopLevelEntity name="[행사기준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A9794-7579-4237-945B-ECE906AF9199}" name="대출자연령비" cacheId="122" dataOnRows="1" applyNumberFormats="0" applyBorderFormats="0" applyFontFormats="0" applyPatternFormats="0" applyAlignmentFormats="0" applyWidthHeightFormats="1" dataCaption="값" tag="38d10c5f-c448-4048-b90f-c1c862ac3f60" updatedVersion="6" minRefreshableVersion="3" useAutoFormatting="1" subtotalHiddenItems="1" itemPrintTitles="1" createdVersion="6" indent="0" outline="1" outlineData="1" multipleFieldFilters="0" chartFormat="8">
  <location ref="O3:P6" firstHeaderRow="1" firstDataRow="1" firstDataCol="1" rowPageCount="1" colPageCount="1"/>
  <pivotFields count="5"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-2"/>
  </rowFields>
  <rowItems count="3">
    <i>
      <x/>
    </i>
    <i i="1">
      <x v="1"/>
    </i>
    <i i="2">
      <x v="2"/>
    </i>
  </rowItems>
  <colItems count="1">
    <i/>
  </colItems>
  <pageFields count="1">
    <pageField fld="0" hier="10" name="[날짜tb].[월(월)].&amp;[11월]" cap="11월"/>
  </pageFields>
  <dataFields count="3">
    <dataField name="어린이" fld="1" baseField="0" baseItem="0"/>
    <dataField name="청소년" fld="2" baseField="0" baseItem="0"/>
    <dataField name="성인" fld="3" baseField="0" baseItem="0"/>
  </dataField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1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날짜tb].[월].&amp;[2024-02-01T00:00:00]"/>
      </members>
    </pivotHierarchy>
    <pivotHierarchy dragToData="1"/>
    <pivotHierarchy multipleItemSelectionAllowed="1" dragToData="1">
      <members count="1" level="1">
        <member name="[날짜tb].[월(월)].&amp;[11월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어린이"/>
    <pivotHierarchy dragToData="1" caption="청소년"/>
    <pivotHierarchy dragToData="1" caption="성인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자료실기준]"/>
        <x15:activeTabTopLevelEntity name="[날짜t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166C4C-5FDD-4235-BB01-C6678F4C5FDB}" name="류별대출권수" cacheId="120" dataOnRows="1" applyNumberFormats="0" applyBorderFormats="0" applyFontFormats="0" applyPatternFormats="0" applyAlignmentFormats="0" applyWidthHeightFormats="1" dataCaption="값" tag="499f0d77-3004-4686-bad6-94227e738dbd" updatedVersion="6" minRefreshableVersion="3" useAutoFormatting="1" subtotalHiddenItems="1" itemPrintTitles="1" createdVersion="6" indent="0" outline="1" outlineData="1" multipleFieldFilters="0" chartFormat="9">
  <location ref="I3:J13" firstHeaderRow="1" firstDataRow="1" firstDataCol="1" rowPageCount="1" colPageCount="1"/>
  <pivotFields count="12"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-2"/>
  </rowFields>
  <row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rowItems>
  <colItems count="1">
    <i/>
  </colItems>
  <pageFields count="1">
    <pageField fld="0" hier="10" name="[날짜tb].[월(월)].&amp;[11월]" cap="11월"/>
  </pageFields>
  <dataFields count="10">
    <dataField name="총류" fld="2" baseField="0" baseItem="0"/>
    <dataField name="철학" fld="3" baseField="0" baseItem="0"/>
    <dataField name="종교" fld="4" baseField="0" baseItem="0"/>
    <dataField name="사회과학" fld="5" baseField="0" baseItem="0"/>
    <dataField name="자연과학" fld="6" baseField="0" baseItem="0"/>
    <dataField name="기술과학" fld="7" baseField="0" baseItem="0"/>
    <dataField name="예술" fld="8" baseField="0" baseItem="0"/>
    <dataField name="언어" fld="9" baseField="0" baseItem="0"/>
    <dataField name="문학" fld="10" baseField="0" baseItem="0"/>
    <dataField name="역사" fld="11" baseField="0" baseItem="0"/>
  </dataFields>
  <chartFormats count="1"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날짜tb].[월].&amp;[2024-02-01T00:00:00]"/>
      </members>
    </pivotHierarchy>
    <pivotHierarchy dragToData="1"/>
    <pivotHierarchy multipleItemSelectionAllowed="1" dragToData="1">
      <members count="1" level="1">
        <member name="[날짜tb].[월(월)].&amp;[11월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총류"/>
    <pivotHierarchy dragToData="1" caption="철학"/>
    <pivotHierarchy dragToData="1" caption="종교"/>
    <pivotHierarchy dragToData="1" caption="사회과학"/>
    <pivotHierarchy dragToData="1" caption="자연과학"/>
    <pivotHierarchy dragToData="1" caption="기술과학"/>
    <pivotHierarchy dragToData="1" caption="예술"/>
    <pivotHierarchy dragToData="1" caption="언어"/>
    <pivotHierarchy dragToData="1" caption="문학"/>
    <pivotHierarchy dragToData="1" caption="역사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자료실기준]"/>
        <x15:activeTabTopLevelEntity name="[날짜t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8FD007-455F-4030-AF5A-0CD31FB8C616}" name="월별대출데이터" cacheId="119" dataPosition="0" applyNumberFormats="0" applyBorderFormats="0" applyFontFormats="0" applyPatternFormats="0" applyAlignmentFormats="0" applyWidthHeightFormats="1" dataCaption="값" tag="80abf60c-6b11-4007-b2ac-b553ad38b01c" updatedVersion="6" minRefreshableVersion="3" useAutoFormatting="1" subtotalHiddenItems="1" rowGrandTotals="0" itemPrintTitles="1" createdVersion="6" indent="0" outline="1" outlineData="1" multipleFieldFilters="0" chartFormat="29">
  <location ref="A3:E4" firstHeaderRow="0" firstDataRow="1" firstDataCol="1" rowPageCount="1" colPageCount="1"/>
  <pivotFields count="6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1">
    <i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5" hier="10" name="[날짜tb].[월(월)].&amp;[11월]" cap="11월"/>
  </pageFields>
  <dataFields count="4">
    <dataField name="대출자수" fld="1" baseField="0" baseItem="0"/>
    <dataField name="전년동월비(대출자수)" fld="3" baseField="0" baseItem="0" numFmtId="9"/>
    <dataField name="대출권수" fld="2" baseField="0" baseItem="0"/>
    <dataField name="전년동월비(권수)" fld="4" baseField="0" baseItem="0" numFmtId="9"/>
  </dataFields>
  <formats count="2">
    <format dxfId="6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chartFormats count="7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1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chartFormat>
  </chartFormats>
  <pivotHierarchies count="1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>
      <members count="1" level="1">
        <member name="[날짜tb].[월(월)].&amp;[11월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대출자수"/>
    <pivotHierarchy dragToData="1" caption="대출권수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전년동월비(대출자수)"/>
    <pivotHierarchy dragToData="1" caption="전년동월비(권수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자료실기준]"/>
        <x15:activeTabTopLevelEntity name="[날짜tb]"/>
        <x15:activeTabTopLevelEntity name="[년월기준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5B400-0CD3-4372-9254-C8DEA2A6302F}" name="행사분류별참여자수" cacheId="125" dataOnRows="1" applyNumberFormats="0" applyBorderFormats="0" applyFontFormats="0" applyPatternFormats="0" applyAlignmentFormats="0" applyWidthHeightFormats="1" dataCaption="값" tag="4e637e0c-6143-457b-9dcd-be87a08b6165" updatedVersion="6" minRefreshableVersion="3" useAutoFormatting="1" subtotalHiddenItems="1" rowGrandTotals="0" itemPrintTitles="1" createdVersion="6" indent="0" outline="1" outlineData="1" multipleFieldFilters="0" chartFormat="8">
  <location ref="X3:Y10" firstHeaderRow="1" firstDataRow="1" firstDataCol="1" rowPageCount="1" colPageCount="1"/>
  <pivotFields count="4">
    <pivotField axis="axisPage" allDrilled="1" subtotalTop="0" showAll="0" dataSourceSort="1" defaultSubtotal="0" defaultAttributeDrillState="1"/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  <pivotField dataField="1" subtotalTop="0" showAll="0" defaultSubtotal="0"/>
  </pivotFields>
  <rowFields count="1">
    <field x="1"/>
  </rowFields>
  <rowItems count="7">
    <i>
      <x v="4"/>
    </i>
    <i>
      <x v="6"/>
    </i>
    <i>
      <x v="3"/>
    </i>
    <i>
      <x v="5"/>
    </i>
    <i>
      <x v="1"/>
    </i>
    <i>
      <x v="2"/>
    </i>
    <i>
      <x/>
    </i>
  </rowItems>
  <colItems count="1">
    <i/>
  </colItems>
  <pageFields count="1">
    <pageField fld="0" hier="10" name="[날짜tb].[월(월)].&amp;[11월]" cap="11월"/>
  </pageFields>
  <dataFields count="1">
    <dataField name="합계: 계" fld="3" baseField="0" baseItem="0"/>
  </dataFields>
  <chartFormats count="1"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날짜tb].[월].&amp;[2024-02-01T00:00:00]"/>
      </members>
    </pivotHierarchy>
    <pivotHierarchy dragToData="1"/>
    <pivotHierarchy multipleItemSelectionAllowed="1" dragToData="1">
      <members count="1" level="1">
        <member name="[날짜tb].[월(월)].&amp;[11월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자료실기준]"/>
        <x15:activeTabTopLevelEntity name="[날짜tb]"/>
        <x15:activeTabTopLevelEntity name="[행사기준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C57D75-FF95-4707-9F5C-14CC80147DB2}" name="대출자성비" cacheId="121" dataOnRows="1" applyNumberFormats="0" applyBorderFormats="0" applyFontFormats="0" applyPatternFormats="0" applyAlignmentFormats="0" applyWidthHeightFormats="1" dataCaption="값" tag="bee4346b-7721-4a03-bdce-c96bdb07d04e" updatedVersion="6" minRefreshableVersion="3" useAutoFormatting="1" subtotalHiddenItems="1" itemPrintTitles="1" createdVersion="6" indent="0" outline="1" outlineData="1" multipleFieldFilters="0" chartFormat="8">
  <location ref="L3:M5" firstHeaderRow="1" firstDataRow="1" firstDataCol="1" rowPageCount="1" colPageCount="1"/>
  <pivotFields count="4"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-2"/>
  </rowFields>
  <rowItems count="2">
    <i>
      <x/>
    </i>
    <i i="1">
      <x v="1"/>
    </i>
  </rowItems>
  <colItems count="1">
    <i/>
  </colItems>
  <pageFields count="1">
    <pageField fld="0" hier="10" name="[날짜tb].[월(월)].&amp;[11월]" cap="11월"/>
  </pageFields>
  <dataFields count="2">
    <dataField name="남자" fld="1" baseField="0" baseItem="0"/>
    <dataField name="여자" fld="2" baseField="0" baseItem="0"/>
  </dataField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날짜tb].[월].&amp;[2024-02-01T00:00:00]"/>
      </members>
    </pivotHierarchy>
    <pivotHierarchy dragToData="1"/>
    <pivotHierarchy multipleItemSelectionAllowed="1" dragToData="1">
      <members count="1" level="1">
        <member name="[날짜tb].[월(월)].&amp;[11월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남자"/>
    <pivotHierarchy dragToData="1" caption="여자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자료실기준]"/>
        <x15:activeTabTopLevelEntity name="[날짜t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2F4F02-07F1-4B20-BA1D-0AB448B46AC9}" name="행사참여자연령비" cacheId="127" dataOnRows="1" applyNumberFormats="0" applyBorderFormats="0" applyFontFormats="0" applyPatternFormats="0" applyAlignmentFormats="0" applyWidthHeightFormats="1" dataCaption="값" tag="c0c02072-d743-473c-bf62-cd2b3ef7bc61" updatedVersion="6" minRefreshableVersion="3" useAutoFormatting="1" subtotalHiddenItems="1" rowGrandTotals="0" itemPrintTitles="1" createdVersion="6" indent="0" outline="1" outlineData="1" multipleFieldFilters="0" chartFormat="8">
  <location ref="AD3:AE7" firstHeaderRow="1" firstDataRow="1" firstDataCol="1" rowPageCount="1" colPageCount="1"/>
  <pivotFields count="4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llDrilled="1" subtotalTop="0" showAll="0" dataSourceSort="1" defaultSubtotal="0" defaultAttributeDrillState="1"/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pageFields count="1">
    <pageField fld="0" hier="10" name="[날짜tb].[월(월)].&amp;[11월]" cap="11월"/>
  </pageFields>
  <dataFields count="1">
    <dataField name="합계: 계" fld="3" baseField="0" baseItem="0"/>
  </dataFields>
  <chartFormats count="5"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1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날짜tb].[월].&amp;[2024-02-01T00:00:00]"/>
      </members>
    </pivotHierarchy>
    <pivotHierarchy dragToData="1"/>
    <pivotHierarchy multipleItemSelectionAllowed="1" dragToData="1">
      <members count="1" level="1">
        <member name="[날짜tb].[월(월)].&amp;[11월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자료실기준]"/>
        <x15:activeTabTopLevelEntity name="[날짜tb]"/>
        <x15:activeTabTopLevelEntity name="[행사기준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2B8692-E0BF-4D19-9820-2D63A6B506CE}" name="행사횟수" cacheId="128" dataOnRows="1" applyNumberFormats="0" applyBorderFormats="0" applyFontFormats="0" applyPatternFormats="0" applyAlignmentFormats="0" applyWidthHeightFormats="1" dataCaption="값" tag="c0c02072-d743-473c-bf62-cd2b3ef7bc61" updatedVersion="6" minRefreshableVersion="3" useAutoFormatting="1" subtotalHiddenItems="1" rowGrandTotals="0" itemPrintTitles="1" createdVersion="6" indent="0" outline="1" outlineData="1" multipleFieldFilters="0" chartFormat="8">
  <location ref="AG3:AH41" firstHeaderRow="1" firstDataRow="1" firstDataCol="1" rowPageCount="1" colPageCount="1"/>
  <pivotFields count="4"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</pivotField>
    <pivotField dataField="1" subtotalTop="0" showAll="0" defaultSubtotal="0"/>
  </pivotFields>
  <rowFields count="1">
    <field x="2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</rowItems>
  <colItems count="1">
    <i/>
  </colItems>
  <pageFields count="1">
    <pageField fld="0" hier="10" name="[날짜tb].[월(월)].&amp;[11월]" cap="11월"/>
  </pageFields>
  <dataFields count="1">
    <dataField name="합계: 횟수" fld="3" baseField="0" baseItem="0"/>
  </dataFields>
  <pivotHierarchies count="1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날짜tb].[월].&amp;[2024-02-01T00:00:00]"/>
      </members>
    </pivotHierarchy>
    <pivotHierarchy dragToData="1"/>
    <pivotHierarchy multipleItemSelectionAllowed="1" dragToData="1">
      <members count="1" level="1">
        <member name="[날짜tb].[월(월)].&amp;[11월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자료실기준]"/>
        <x15:activeTabTopLevelEntity name="[날짜tb]"/>
        <x15:activeTabTopLevelEntity name="[행사기준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5D6B60-20A4-48A5-93D8-A5B6CA298FEE}" name="대출데이터_텍스트용" cacheId="123" dataOnRows="1" applyNumberFormats="0" applyBorderFormats="0" applyFontFormats="0" applyPatternFormats="0" applyAlignmentFormats="0" applyWidthHeightFormats="1" dataCaption="값" tag="b85a0aab-4e18-4a7b-8149-5aa807143db9" updatedVersion="6" minRefreshableVersion="3" useAutoFormatting="1" subtotalHiddenItems="1" itemPrintTitles="1" createdVersion="6" indent="0" outline="1" outlineData="1" multipleFieldFilters="0" chartFormat="4">
  <location ref="R3:S6" firstHeaderRow="1" firstDataRow="1" firstDataCol="1" rowPageCount="1" colPageCount="1"/>
  <pivotFields count="5"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-2"/>
  </rowFields>
  <rowItems count="3">
    <i>
      <x/>
    </i>
    <i i="1">
      <x v="1"/>
    </i>
    <i i="2">
      <x v="2"/>
    </i>
  </rowItems>
  <colItems count="1">
    <i/>
  </colItems>
  <pageFields count="1">
    <pageField fld="0" hier="10" name="[날짜tb].[월(월)].&amp;[11월]" cap="11월"/>
  </pageFields>
  <dataFields count="3">
    <dataField name="대출자수합계" fld="1" baseField="0" baseItem="0"/>
    <dataField name="대출권수합계" fld="3" baseField="0" baseItem="0"/>
    <dataField name="자유학습실" fld="4" baseField="0" baseItem="0"/>
  </dataFields>
  <formats count="1">
    <format dxfId="70">
      <pivotArea outline="0" collapsedLevelsAreSubtotals="1" fieldPosition="0"/>
    </format>
  </formats>
  <pivotHierarchies count="1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날짜tb].[월].&amp;[2024-02-01T00:00:00]"/>
      </members>
    </pivotHierarchy>
    <pivotHierarchy dragToData="1"/>
    <pivotHierarchy multipleItemSelectionAllowed="1" dragToData="1">
      <members count="1" level="1">
        <member name="[날짜tb].[월(월)].&amp;[11월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대출자수합계"/>
    <pivotHierarchy dragToData="1"/>
    <pivotHierarchy dragToData="1"/>
    <pivotHierarchy dragToData="1"/>
    <pivotHierarchy dragToData="1"/>
    <pivotHierarchy dragToData="1"/>
    <pivotHierarchy dragToData="1" caption="자유학습실인원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대출권수합계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자유학습실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자료실기준]"/>
        <x15:activeTabTopLevelEntity name="[날짜tb]"/>
        <x15:activeTabTopLevelEntity name="[개관일수범례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0736AA-191F-4B72-9981-BA85EE086911}" name="행사참여자성비" cacheId="126" dataOnRows="1" applyNumberFormats="0" applyBorderFormats="0" applyFontFormats="0" applyPatternFormats="0" applyAlignmentFormats="0" applyWidthHeightFormats="1" dataCaption="값" tag="405817e4-660e-4012-ab4d-a56132a1b73e" updatedVersion="6" minRefreshableVersion="3" useAutoFormatting="1" subtotalHiddenItems="1" rowGrandTotals="0" itemPrintTitles="1" createdVersion="6" indent="0" outline="1" outlineData="1" multipleFieldFilters="0" chartFormat="8">
  <location ref="AA3:AB5" firstHeaderRow="1" firstDataRow="1" firstDataCol="1" rowPageCount="1" colPageCount="1"/>
  <pivotFields count="4"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  <pivotField dataField="1" subtotalTop="0" showAll="0" defaultSubtotal="0"/>
  </pivotFields>
  <rowFields count="1">
    <field x="-2"/>
  </rowFields>
  <rowItems count="2">
    <i>
      <x/>
    </i>
    <i i="1">
      <x v="1"/>
    </i>
  </rowItems>
  <colItems count="1">
    <i/>
  </colItems>
  <pageFields count="1">
    <pageField fld="0" hier="10" name="[날짜tb].[월(월)].&amp;[11월]" cap="11월"/>
  </pageFields>
  <dataFields count="2">
    <dataField name="남자" fld="3" baseField="0" baseItem="0"/>
    <dataField name="여자" fld="1" baseField="0" baseItem="0"/>
  </dataFields>
  <chartFormats count="4">
    <chartFormat chart="7" format="6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날짜tb].[월].&amp;[2024-02-01T00:00:00]"/>
      </members>
    </pivotHierarchy>
    <pivotHierarchy dragToData="1"/>
    <pivotHierarchy multipleItemSelectionAllowed="1" dragToData="1">
      <members count="1" level="1">
        <member name="[날짜tb].[월(월)].&amp;[11월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남자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여자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자료실기준]"/>
        <x15:activeTabTopLevelEntity name="[날짜tb]"/>
        <x15:activeTabTopLevelEntity name="[행사기준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월_월" xr10:uid="{51BEF8F3-22E3-4AF7-BD7B-F7CE959C252D}" sourceName="[날짜tb].[월(월)]">
  <pivotTables>
    <pivotTable tabId="19" name="월별대출데이터"/>
    <pivotTable tabId="19" name="류별대출권수"/>
    <pivotTable tabId="19" name="대출자성비"/>
    <pivotTable tabId="19" name="대출자연령비"/>
    <pivotTable tabId="19" name="대출데이터_텍스트용"/>
    <pivotTable tabId="19" name="행사참여자수"/>
    <pivotTable tabId="19" name="행사분류별참여자수"/>
    <pivotTable tabId="19" name="행사참여자성비"/>
    <pivotTable tabId="19" name="행사참여자연령비"/>
    <pivotTable tabId="19" name="행사횟수"/>
  </pivotTables>
  <data>
    <olap pivotCacheId="1951676093">
      <levels count="2">
        <level uniqueName="[날짜tb].[월(월)].[(All)]" sourceCaption="(All)" count="0"/>
        <level uniqueName="[날짜tb].[월(월)].[월(월)]" sourceCaption="월(월)" count="11">
          <ranges>
            <range startItem="0">
              <i n="[날짜tb].[월(월)].&amp;[01월]" c="01월"/>
              <i n="[날짜tb].[월(월)].&amp;[02월]" c="02월"/>
              <i n="[날짜tb].[월(월)].&amp;[03월]" c="03월"/>
              <i n="[날짜tb].[월(월)].&amp;[04월]" c="04월"/>
              <i n="[날짜tb].[월(월)].&amp;[05월]" c="05월"/>
              <i n="[날짜tb].[월(월)].&amp;[06월]" c="06월"/>
              <i n="[날짜tb].[월(월)].&amp;[07월]" c="07월"/>
              <i n="[날짜tb].[월(월)].&amp;[08월]" c="08월"/>
              <i n="[날짜tb].[월(월)].&amp;[09월]" c="09월"/>
              <i n="[날짜tb].[월(월)].&amp;[10월]" c="10월"/>
              <i n="[날짜tb].[월(월)].&amp;[11월]" c="11월"/>
            </range>
          </ranges>
        </level>
      </levels>
      <selections count="1">
        <selection n="[날짜tb].[월(월)].&amp;[11월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자료실구분1" xr10:uid="{11AE2966-A548-4C84-AEDD-F06381B4C7FF}" sourceName="[자료실기준].[자료실구분]">
  <pivotTables>
    <pivotTable tabId="19" name="류별대출권수"/>
    <pivotTable tabId="19" name="대출데이터_텍스트용"/>
    <pivotTable tabId="19" name="대출자성비"/>
    <pivotTable tabId="19" name="대출자연령비"/>
    <pivotTable tabId="19" name="월별대출데이터"/>
  </pivotTables>
  <data>
    <olap pivotCacheId="1951676093">
      <levels count="2">
        <level uniqueName="[자료실기준].[자료실구분].[(All)]" sourceCaption="(All)" count="0"/>
        <level uniqueName="[자료실기준].[자료실구분].[자료실구분]" sourceCaption="자료실구분" count="3">
          <ranges>
            <range startItem="0">
              <i n="[자료실기준].[자료실구분].&amp;[디지털자료실]" c="디지털자료실"/>
              <i n="[자료실기준].[자료실구분].&amp;[어린이자료실]" c="어린이자료실"/>
              <i n="[자료실기준].[자료실구분].&amp;[종합자료실]" c="종합자료실"/>
            </range>
          </ranges>
        </level>
      </levels>
      <selections count="1">
        <selection n="[자료실기준].[자료실구분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행사분류1" xr10:uid="{B936B854-84C0-4DE9-A6E4-F85DA267E387}" sourceName="[행사기준].[행사분류]">
  <pivotTables>
    <pivotTable tabId="19" name="행사분류별참여자수"/>
    <pivotTable tabId="19" name="행사참여자성비"/>
    <pivotTable tabId="19" name="행사참여자수"/>
    <pivotTable tabId="19" name="행사참여자연령비"/>
    <pivotTable tabId="19" name="행사횟수"/>
  </pivotTables>
  <data>
    <olap pivotCacheId="1951676093">
      <levels count="2">
        <level uniqueName="[행사기준].[행사분류].[(All)]" sourceCaption="(All)" count="0"/>
        <level uniqueName="[행사기준].[행사분류].[행사분류]" sourceCaption="행사분류" count="7">
          <ranges>
            <range startItem="0">
              <i n="[행사기준].[행사분류].&amp;[SNS]" c="SNS"/>
              <i n="[행사기준].[행사분류].&amp;[견학]" c="견학"/>
              <i n="[행사기준].[행사분류].&amp;[독서동아리]" c="독서동아리"/>
              <i n="[행사기준].[행사분류].&amp;[독서문화]" c="독서문화"/>
              <i n="[행사기준].[행사분류].&amp;[전시]" c="전시"/>
              <i n="[행사기준].[행사분류].&amp;[평생학습]" c="평생학습"/>
              <i n="[행사기준].[행사분류].&amp;[학교도서관]" c="학교도서관"/>
            </range>
          </ranges>
        </level>
      </levels>
      <selections count="1">
        <selection n="[행사기준].[행사분류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월(월)" xr10:uid="{196278F4-63DF-4305-90CB-B6AE20841F32}" cache="슬라이서_월_월" caption="월(월)" startItem="6" columnCount="2" level="1" rowHeight="511175"/>
  <slicer name="자료실구분" xr10:uid="{ECABDC32-82FF-49C7-BF8E-552E1E69A9C7}" cache="슬라이서_자료실구분1" caption="자료실구분" level="1" rowHeight="511175"/>
  <slicer name="행사분류" xr10:uid="{CB380D25-2B60-4621-B030-985B332CC327}" cache="슬라이서_행사분류1" caption="행사분류" startItem="2" level="1" rowHeight="511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297A79F-D2B5-4868-8D0C-403E99028367}" name="날짜tb" displayName="날짜tb" ref="A1:B12" totalsRowShown="0">
  <autoFilter ref="A1:B12" xr:uid="{8960515D-D9D9-47B0-90D6-26ADC8C6CC01}"/>
  <tableColumns count="2">
    <tableColumn id="1" xr3:uid="{1BDA381D-7571-4352-8788-720302A29475}" name="월" dataDxfId="67"/>
    <tableColumn id="2" xr3:uid="{AC8552EC-D306-4F4A-8455-BDE27BCE3D28}" name="주">
      <calculatedColumnFormula>WEEKNUM(A2,2)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66C9455-5B68-4985-BED0-A33FB50B23E8}" name="년월기준" displayName="년월기준" ref="A1:K12" totalsRowShown="0">
  <tableColumns count="11">
    <tableColumn id="1" xr3:uid="{C16E86A6-6C8C-42BD-AC9E-332DF7059AA1}" name="년월" dataDxfId="66"/>
    <tableColumn id="5" xr3:uid="{7FA62D23-B8AA-4AEC-8ED5-44C371A56D06}" name="고유값" dataDxfId="65">
      <calculatedColumnFormula>TEXT(년월기준[[#This Row],[년월]],"yy년m월")&amp;"연월"</calculatedColumnFormula>
    </tableColumn>
    <tableColumn id="2" xr3:uid="{981C2AB1-B605-4E2A-A541-4676678AF0BF}" name="대출자수" dataDxfId="64">
      <calculatedColumnFormula>SUMIF(대출자[년월],년월기준[[#This Row],[년월]],대출자[총계])</calculatedColumnFormula>
    </tableColumn>
    <tableColumn id="6" xr3:uid="{9D3EA246-B577-476B-861A-256EFDCB235E}" name="대출자수(전년동월)"/>
    <tableColumn id="9" xr3:uid="{995DF426-5D7A-439E-ADA4-2D59155D1C71}" name="전년동월비(대출자수)" dataDxfId="63">
      <calculatedColumnFormula>년월기준[[#This Row],[대출자수]]/년월기준[[#This Row],[대출자수(전년동월)]]-1</calculatedColumnFormula>
    </tableColumn>
    <tableColumn id="3" xr3:uid="{A2158012-7124-4EFA-A245-120F586DEECD}" name="대출권수" dataDxfId="62">
      <calculatedColumnFormula>SUMIFS(대출권수[합계],대출권수[년월],년월기준[[#This Row],[년월]],대출권수[대출반납],"대출")</calculatedColumnFormula>
    </tableColumn>
    <tableColumn id="7" xr3:uid="{50507078-F257-4E4E-8A9C-5CE2EBFEEFD9}" name="대출권수(전년동월)"/>
    <tableColumn id="10" xr3:uid="{5BC2ED82-BB60-4FEC-B1BD-65B47B8D7467}" name="전년동월비(권수)" dataDxfId="61">
      <calculatedColumnFormula>년월기준[[#This Row],[대출권수]]/년월기준[[#This Row],[대출권수(전년동월)]]-1</calculatedColumnFormula>
    </tableColumn>
    <tableColumn id="4" xr3:uid="{C4DA5CA3-4724-4CAF-975C-A6DD100482F0}" name="행사참여자수" dataDxfId="60">
      <calculatedColumnFormula>SUMIF(행사기준[년월],년월기준[[#This Row],[년월]],행사기준[계])</calculatedColumnFormula>
    </tableColumn>
    <tableColumn id="8" xr3:uid="{FA163B65-6424-49B4-B90C-6574C463D5B3}" name="행사참여자수(전년동월)" dataDxfId="59"/>
    <tableColumn id="11" xr3:uid="{B3AD7DE6-B3FB-4F16-8FB1-6B5C525C7DF4}" name="전년동월비(행사참여자수)" dataDxfId="58">
      <calculatedColumnFormula>년월기준[[#This Row],[행사참여자수]]/년월기준[[#This Row],[행사참여자수(전년동월)]]-1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3B9726-A06C-4226-8112-7EB4B89B9217}" name="자료실기준" displayName="자료실기준" ref="A1:AA283" totalsRowCount="1">
  <sortState ref="A2:AA178">
    <sortCondition ref="A1:A178"/>
  </sortState>
  <tableColumns count="27">
    <tableColumn id="1" xr3:uid="{253D3ADA-8272-4D10-92FB-CDE22E31DFB5}" name="년월" dataDxfId="57" totalsRowDxfId="56"/>
    <tableColumn id="2" xr3:uid="{CACD01AD-F279-4E10-B9D8-3CA0702A7155}" name="소장처명"/>
    <tableColumn id="27" xr3:uid="{6537E805-7527-4054-A05B-EED33B0DDF82}" name="고유값" dataDxfId="55" totalsRowDxfId="54">
      <calculatedColumnFormula>TEXT(자료실기준[[#This Row],[년월]],"yy년m월")&amp;자료실기준[[#This Row],[소장처명]]</calculatedColumnFormula>
    </tableColumn>
    <tableColumn id="3" xr3:uid="{FA27CA8C-B1C5-4F49-9A53-7B2EFCA0A481}" name="자료실구분">
      <calculatedColumnFormula>IFERROR(INDEX(자료실범례[],MATCH($B2,자료실범례[소장처명],0),2),"종합자료실")</calculatedColumnFormula>
    </tableColumn>
    <tableColumn id="4" xr3:uid="{51145077-00B4-4A8B-8CD4-7C73373B8315}" name="어린이남자" dataDxfId="53" totalsRowDxfId="52">
      <calculatedColumnFormula array="1">IFERROR(INDEX(대출자[],MATCH(1,(자료실기준[[#This Row],[소장처명]]=대출자[소장처명])*(자료실기준[[#This Row],[년월]]=대출자[년월]),0),MATCH(E$1,대출자[#Headers],0)),0)</calculatedColumnFormula>
    </tableColumn>
    <tableColumn id="5" xr3:uid="{4E8A51A8-9425-48A6-8266-001B7C719ABD}" name="어린이여자" dataDxfId="51" totalsRowDxfId="50">
      <calculatedColumnFormula array="1">IFERROR(INDEX(대출자[],MATCH(1,(자료실기준[[#This Row],[소장처명]]=대출자[소장처명])*(자료실기준[[#This Row],[년월]]=대출자[년월]),0),MATCH(F$1,대출자[#Headers],0)),0)</calculatedColumnFormula>
    </tableColumn>
    <tableColumn id="6" xr3:uid="{A672E8E8-A6C3-4879-B3DA-7B64120918DE}" name="청소년남자" dataDxfId="49" totalsRowDxfId="48">
      <calculatedColumnFormula array="1">IFERROR(INDEX(대출자[],MATCH(1,(자료실기준[[#This Row],[소장처명]]=대출자[소장처명])*(자료실기준[[#This Row],[년월]]=대출자[년월]),0),MATCH(G$1,대출자[#Headers],0)),0)</calculatedColumnFormula>
    </tableColumn>
    <tableColumn id="7" xr3:uid="{12313BCB-26C0-4BC2-B305-D078437B57FA}" name="청소년여자" dataDxfId="47" totalsRowDxfId="46">
      <calculatedColumnFormula array="1">IFERROR(INDEX(대출자[],MATCH(1,(자료실기준[[#This Row],[소장처명]]=대출자[소장처명])*(자료실기준[[#This Row],[년월]]=대출자[년월]),0),MATCH(H$1,대출자[#Headers],0)),0)</calculatedColumnFormula>
    </tableColumn>
    <tableColumn id="8" xr3:uid="{0CE508CE-D817-4B14-8DA8-AADC95619FF0}" name="성인남자" dataDxfId="45" totalsRowDxfId="44">
      <calculatedColumnFormula array="1">IFERROR(INDEX(대출자[],MATCH(1,(자료실기준[[#This Row],[소장처명]]=대출자[소장처명])*(자료실기준[[#This Row],[년월]]=대출자[년월]),0),MATCH(I$1,대출자[#Headers],0)),0)</calculatedColumnFormula>
    </tableColumn>
    <tableColumn id="9" xr3:uid="{AFB72D2F-9D15-4468-A84D-FE5D24571E5B}" name="성인여자" dataDxfId="43" totalsRowDxfId="42">
      <calculatedColumnFormula array="1">IFERROR(INDEX(대출자[],MATCH(1,(자료실기준[[#This Row],[소장처명]]=대출자[소장처명])*(자료실기준[[#This Row],[년월]]=대출자[년월]),0),MATCH(J$1,대출자[#Headers],0)),0)</calculatedColumnFormula>
    </tableColumn>
    <tableColumn id="24" xr3:uid="{0A25D904-660B-4D52-94BD-3AA17C120F26}" name="어린이" totalsRowFunction="custom" dataDxfId="41" totalsRowDxfId="40">
      <calculatedColumnFormula array="1">IFERROR(INDEX(대출자[],MATCH(1,(자료실기준[[#This Row],[소장처명]]=대출자[소장처명])*(자료실기준[[#This Row],[년월]]=대출자[년월]),0),MATCH(K$1,대출자[#Headers],0)),0)</calculatedColumnFormula>
      <totalsRowFormula>SUM(자료실기준[어린이])</totalsRowFormula>
    </tableColumn>
    <tableColumn id="23" xr3:uid="{7CC9668D-D11E-4789-9B22-5BADB314BCEB}" name="청소년" totalsRowFunction="custom" dataDxfId="39" totalsRowDxfId="38">
      <calculatedColumnFormula array="1">IFERROR(INDEX(대출자[],MATCH(1,(자료실기준[[#This Row],[소장처명]]=대출자[소장처명])*(자료실기준[[#This Row],[년월]]=대출자[년월]),0),MATCH(L$1,대출자[#Headers],0)),0)</calculatedColumnFormula>
      <totalsRowFormula>SUM(자료실기준[청소년])</totalsRowFormula>
    </tableColumn>
    <tableColumn id="22" xr3:uid="{D7C2889F-A118-4A7C-B02E-8DA55332E6C4}" name="성인" totalsRowFunction="custom" dataDxfId="37" totalsRowDxfId="36">
      <calculatedColumnFormula array="1">IFERROR(INDEX(대출자[],MATCH(1,(자료실기준[[#This Row],[소장처명]]=대출자[소장처명])*(자료실기준[[#This Row],[년월]]=대출자[년월]),0),MATCH(M$1,대출자[#Headers],0)),0)</calculatedColumnFormula>
      <totalsRowFormula>SUM(자료실기준[성인])</totalsRowFormula>
    </tableColumn>
    <tableColumn id="10" xr3:uid="{3A6AF587-CBC2-40BC-B536-9F7B2944EC92}" name="남자" dataDxfId="35" totalsRowDxfId="34">
      <calculatedColumnFormula>IFERROR(자료실기준[[#This Row],[어린이남자]]+자료실기준[[#This Row],[청소년남자]]+자료실기준[[#This Row],[성인남자]],0)</calculatedColumnFormula>
    </tableColumn>
    <tableColumn id="11" xr3:uid="{FE065027-7922-4DCB-9709-3BC6BD768C7B}" name="여자" dataDxfId="33" totalsRowDxfId="32">
      <calculatedColumnFormula>IFERROR(자료실기준[[#This Row],[어린이여자]]+자료실기준[[#This Row],[청소년여자]]+자료실기준[[#This Row],[성인여자]],0)</calculatedColumnFormula>
    </tableColumn>
    <tableColumn id="28" xr3:uid="{F424AB35-A31A-4EBC-A891-8B6A2C74D53A}" name="대출자수합계" dataDxfId="31" totalsRowDxfId="30">
      <calculatedColumnFormula>IFERROR(자료실기준[[#This Row],[남자]]+자료실기준[[#This Row],[여자]],0)</calculatedColumnFormula>
    </tableColumn>
    <tableColumn id="12" xr3:uid="{4F6ACAA8-3CC0-4481-ABFA-C4343275D703}" name="총류" dataDxfId="29" totalsRowDxfId="28">
      <calculatedColumnFormula array="1">IFERROR(INDEX(대출권수[],MATCH(1,(자료실기준[[#This Row],[소장처명]]=대출권수[소장처명])*(대출권수[대출반납]="대출")*(자료실기준[[#This Row],[년월]]=대출권수[년월]),0),MATCH(Q$1,대출권수[#Headers],0)),0)</calculatedColumnFormula>
    </tableColumn>
    <tableColumn id="13" xr3:uid="{388833A7-118C-4575-B10C-A6DEFFFF2918}" name="철학" dataDxfId="27" totalsRowDxfId="26">
      <calculatedColumnFormula array="1">IFERROR(INDEX(대출권수[],MATCH(1,(자료실기준[[#This Row],[소장처명]]=대출권수[소장처명])*(대출권수[대출반납]="대출")*(자료실기준[[#This Row],[년월]]=대출권수[년월]),0),MATCH(R$1,대출권수[#Headers],0)),0)</calculatedColumnFormula>
    </tableColumn>
    <tableColumn id="14" xr3:uid="{095A0E7D-CD0D-4AB4-A6DA-C119A5F9A621}" name="종교" dataDxfId="25" totalsRowDxfId="24">
      <calculatedColumnFormula array="1">IFERROR(INDEX(대출권수[],MATCH(1,(자료실기준[[#This Row],[소장처명]]=대출권수[소장처명])*(대출권수[대출반납]="대출")*(자료실기준[[#This Row],[년월]]=대출권수[년월]),0),MATCH(S$1,대출권수[#Headers],0)),0)</calculatedColumnFormula>
    </tableColumn>
    <tableColumn id="15" xr3:uid="{8883DDA8-0A0C-49AF-972A-A04F2DA58E77}" name="사회과학" dataDxfId="23" totalsRowDxfId="22">
      <calculatedColumnFormula array="1">IFERROR(INDEX(대출권수[],MATCH(1,(자료실기준[[#This Row],[소장처명]]=대출권수[소장처명])*(대출권수[대출반납]="대출")*(자료실기준[[#This Row],[년월]]=대출권수[년월]),0),MATCH(T$1,대출권수[#Headers],0)),0)</calculatedColumnFormula>
    </tableColumn>
    <tableColumn id="16" xr3:uid="{E19CD543-CA66-497E-ABED-1EC6B7CE60FE}" name="자연과학" dataDxfId="21" totalsRowDxfId="20">
      <calculatedColumnFormula array="1">IFERROR(INDEX(대출권수[],MATCH(1,(자료실기준[[#This Row],[소장처명]]=대출권수[소장처명])*(대출권수[대출반납]="대출")*(자료실기준[[#This Row],[년월]]=대출권수[년월]),0),MATCH(U$1,대출권수[#Headers],0)),0)</calculatedColumnFormula>
    </tableColumn>
    <tableColumn id="17" xr3:uid="{9BB995C1-3CE9-4F0D-B2EA-6E4908AB4B59}" name="기술과학" dataDxfId="19" totalsRowDxfId="18">
      <calculatedColumnFormula array="1">IFERROR(INDEX(대출권수[],MATCH(1,(자료실기준[[#This Row],[소장처명]]=대출권수[소장처명])*(대출권수[대출반납]="대출")*(자료실기준[[#This Row],[년월]]=대출권수[년월]),0),MATCH(V$1,대출권수[#Headers],0)),0)</calculatedColumnFormula>
    </tableColumn>
    <tableColumn id="18" xr3:uid="{4D550D2F-DABC-43D0-B6DF-F12C8B94165A}" name="예술" dataDxfId="17" totalsRowDxfId="16">
      <calculatedColumnFormula array="1">IFERROR(INDEX(대출권수[],MATCH(1,(자료실기준[[#This Row],[소장처명]]=대출권수[소장처명])*(대출권수[대출반납]="대출")*(자료실기준[[#This Row],[년월]]=대출권수[년월]),0),MATCH(W$1,대출권수[#Headers],0)),0)</calculatedColumnFormula>
    </tableColumn>
    <tableColumn id="19" xr3:uid="{73743F23-252B-44C0-BC39-1345EBD49E52}" name="언어" dataDxfId="15" totalsRowDxfId="14">
      <calculatedColumnFormula array="1">IFERROR(INDEX(대출권수[],MATCH(1,(자료실기준[[#This Row],[소장처명]]=대출권수[소장처명])*(대출권수[대출반납]="대출")*(자료실기준[[#This Row],[년월]]=대출권수[년월]),0),MATCH(X$1,대출권수[#Headers],0)),0)</calculatedColumnFormula>
    </tableColumn>
    <tableColumn id="20" xr3:uid="{513C7761-8D8D-41DB-93F3-76CE93660607}" name="문학" dataDxfId="13" totalsRowDxfId="12">
      <calculatedColumnFormula array="1">IFERROR(INDEX(대출권수[],MATCH(1,(자료실기준[[#This Row],[소장처명]]=대출권수[소장처명])*(대출권수[대출반납]="대출")*(자료실기준[[#This Row],[년월]]=대출권수[년월]),0),MATCH(Y$1,대출권수[#Headers],0)),0)</calculatedColumnFormula>
    </tableColumn>
    <tableColumn id="21" xr3:uid="{59F29F18-A075-4761-B742-8670352CFAC4}" name="역사" dataDxfId="11" totalsRowDxfId="10">
      <calculatedColumnFormula array="1">IFERROR(INDEX(대출권수[],MATCH(1,(자료실기준[[#This Row],[소장처명]]=대출권수[소장처명])*(대출권수[대출반납]="대출")*(자료실기준[[#This Row],[년월]]=대출권수[년월]),0),MATCH(Z$1,대출권수[#Headers],0)),0)</calculatedColumnFormula>
    </tableColumn>
    <tableColumn id="25" xr3:uid="{7355EEF6-8860-4118-BFEE-945B7D41FAE9}" name="대출권수합계" dataDxfId="9" totalsRowDxfId="8">
      <calculatedColumnFormula>SUM(자료실기준[[#This Row],[총류]:[역사]])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F7FB26B-4836-45D5-9442-62BE8F57D592}" name="행사기준" displayName="행사기준" ref="A1:O408" totalsRowShown="0">
  <tableColumns count="15">
    <tableColumn id="1" xr3:uid="{7E1D3312-D380-45B0-8941-352C61674CA2}" name="년월" dataDxfId="7"/>
    <tableColumn id="2" xr3:uid="{6D0067EA-F8D9-4CBD-95FD-EE9123F8DB5E}" name="행사분류"/>
    <tableColumn id="3" xr3:uid="{76FD3A19-0C2A-4C50-967C-2ACD27EE838E}" name="행사분류2"/>
    <tableColumn id="4" xr3:uid="{DF94AFA5-F163-480A-8702-8B41F8D88FA1}" name="행사명"/>
    <tableColumn id="5" xr3:uid="{86ED1647-B8DA-4042-AD10-8D0D06C1B3AB}" name="대상1"/>
    <tableColumn id="14" xr3:uid="{66BAB76E-6833-410D-A4DD-250E225CAB46}" name="대상2"/>
    <tableColumn id="15" xr3:uid="{DFCE7CA7-FD98-4322-B911-DD35B18D0DC2}" name="대상(상세)"/>
    <tableColumn id="6" xr3:uid="{151E0DE5-5D0A-4866-8260-0603713E6AE6}" name="횟수"/>
    <tableColumn id="7" xr3:uid="{A8C454A2-C7B9-4658-A727-DF43451F751D}" name="남자"/>
    <tableColumn id="8" xr3:uid="{BA162EE7-3F21-423D-9201-C5435D6343DD}" name="여자"/>
    <tableColumn id="9" xr3:uid="{46060DB3-0F3B-4DC8-B5C3-4AC687EFAC4D}" name="계">
      <calculatedColumnFormula>I2+J2</calculatedColumnFormula>
    </tableColumn>
    <tableColumn id="13" xr3:uid="{6CA45DDF-5682-4BFE-AFBA-A65977C93C14}" name="강사명"/>
    <tableColumn id="10" xr3:uid="{C3F59BC8-B6EA-4E9C-82F8-5B4C5F4935FD}" name="담당자1"/>
    <tableColumn id="11" xr3:uid="{2A9475FF-D0AB-4EA7-9890-B41822CE9C77}" name="담당자2"/>
    <tableColumn id="16" xr3:uid="{C1CACC08-A86D-4C5E-8E0F-7FA9DC3F7FFD}" name="고유값">
      <calculatedColumnFormula>TEXT(행사기준[[#This Row],[년월]],"yy년m월")&amp;행사기준[[#This Row],[행사명]]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99311E-1A3A-4273-801F-34E4327C0541}" name="자료실범례" displayName="자료실범례" ref="A1:B27" totalsRowShown="0">
  <autoFilter ref="A1:B27" xr:uid="{B32A578C-5AD4-432E-9E70-7874A54D9A8C}"/>
  <tableColumns count="2">
    <tableColumn id="1" xr3:uid="{816BD705-6043-47AB-A8EE-2A503B4B514E}" name="소장처명"/>
    <tableColumn id="2" xr3:uid="{EC481EC6-9D6A-4DC6-B32F-A71D0BCB3706}" name="구분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17D5B8-2BF1-49C5-80B0-A0485F80C377}" name="류별범례" displayName="류별범례" ref="D1:E12" totalsRowShown="0">
  <autoFilter ref="D1:E12" xr:uid="{3401CAD5-E758-4CE1-A936-345DF35A7B20}"/>
  <tableColumns count="2">
    <tableColumn id="1" xr3:uid="{8A8D5971-D318-486B-8B4C-7B8DE3DD769B}" name="류별(숫자)"/>
    <tableColumn id="2" xr3:uid="{DFA28D09-810C-4856-B0A8-52FF497AE7EF}" name="류별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F88089A-822D-479E-B320-143773670A54}" name="행사분류범례" displayName="행사분류범례" ref="G1:H8" totalsRowShown="0">
  <autoFilter ref="G1:H8" xr:uid="{0B920176-06B0-49D0-86FD-7D8093976C22}"/>
  <tableColumns count="2">
    <tableColumn id="1" xr3:uid="{E5E6529F-3A46-46FE-B5F9-CAE07A4064F7}" name="행사분류"/>
    <tableColumn id="2" xr3:uid="{8FBB8DF2-AC72-43C5-9CFB-A525C463B05E}" name="대상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AC9EBA-EB0D-415D-A798-00178691E713}" name="개관일수범례" displayName="개관일수범례" ref="J1:Q12" totalsRowShown="0">
  <tableColumns count="8">
    <tableColumn id="1" xr3:uid="{46ED5847-B3ED-46D1-B886-E72C0709E0B3}" name="년월" dataDxfId="6"/>
    <tableColumn id="2" xr3:uid="{F63B8A22-73D8-42A4-B2E5-EA2A7B8E975A}" name="자료실개관일수" dataDxfId="5">
      <calculatedColumnFormula>개관일수범례[[#This Row],[일수]]-SUM(개관일수범례[[#This Row],[정기휴관일]],개관일수범례[[#This Row],[공휴일]])</calculatedColumnFormula>
    </tableColumn>
    <tableColumn id="3" xr3:uid="{96DB5B15-563E-44F9-9539-9C04DBD18838}" name="자유학습실개관일수" dataDxfId="4">
      <calculatedColumnFormula>개관일수범례[[#This Row],[일수]]-개관일수범례[[#This Row],[자유학습실휴관일]]-개관일수범례[[#This Row],[공휴일]]</calculatedColumnFormula>
    </tableColumn>
    <tableColumn id="4" xr3:uid="{51F13DBF-A38E-4384-99C5-6E4D20E3B8A3}" name="자유학습실" dataDxfId="3">
      <calculatedColumnFormula>IF(MONTH(개관일수범례[[#This Row],[년월]])&lt;6,개관일수범례[[#This Row],[자유학습실개관일수]]*40+개관일수범례[[#This Row],[자유학습실개관일수]]*50,개관일수범례[[#This Row],[자유학습실개관일수]]*30)</calculatedColumnFormula>
    </tableColumn>
    <tableColumn id="8" xr3:uid="{5E63DDED-E9D2-4A0B-9C87-A08473B2976B}" name="일수"/>
    <tableColumn id="5" xr3:uid="{001BBC52-6078-42B2-989B-F753A14A3626}" name="정기휴관일"/>
    <tableColumn id="6" xr3:uid="{96E5C021-510E-4BEB-AC4E-3CE89A120694}" name="공휴일"/>
    <tableColumn id="7" xr3:uid="{2576FE6E-753E-4C8B-BB31-83E08ACABC72}" name="자유학습실휴관일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AF3E60-2B24-4BAB-8519-6DDDE3076DAB}" name="대출자" displayName="대출자" ref="A1:M477" totalsRowShown="0">
  <tableColumns count="13">
    <tableColumn id="1" xr3:uid="{A3E3F861-87B3-44DE-81B4-400DCA4D1DB2}" name="년월" dataDxfId="2"/>
    <tableColumn id="2" xr3:uid="{1579F92E-95AF-449F-89B7-65B497523AC6}" name="소장처명"/>
    <tableColumn id="3" xr3:uid="{373143AB-A351-41BC-830C-42E23255497C}" name="자료실구분">
      <calculatedColumnFormula>IFERROR(INDEX(자료실범례[],MATCH($B2,자료실범례[소장처명],0),2),"종합자료실")</calculatedColumnFormula>
    </tableColumn>
    <tableColumn id="4" xr3:uid="{6DCA479B-2A48-48BA-8787-AAAB26000612}" name="어린이남자"/>
    <tableColumn id="5" xr3:uid="{7B425007-76F2-4942-8E6C-32C56B087803}" name="어린이여자"/>
    <tableColumn id="6" xr3:uid="{FE988B92-46D9-49E2-9846-D86D0C9A97DA}" name="어린이"/>
    <tableColumn id="7" xr3:uid="{1A8BB9CB-1B6F-496F-82D6-2E137EE6C61F}" name="청소년남자"/>
    <tableColumn id="8" xr3:uid="{99E96E10-AE06-4E02-902B-5CF255F122FB}" name="청소년여자"/>
    <tableColumn id="9" xr3:uid="{21EF8B5F-9A28-4B0F-B0B3-F1F87664B949}" name="청소년"/>
    <tableColumn id="10" xr3:uid="{3A507264-DB5C-4E5C-A6BD-5D09B7A47324}" name="성인남자"/>
    <tableColumn id="11" xr3:uid="{D3F47B5F-1CAD-4FC2-B1DB-8E9A73068D47}" name="성인여자"/>
    <tableColumn id="12" xr3:uid="{8D4AB8C9-B939-470C-BCCD-17C6662EA35D}" name="성인"/>
    <tableColumn id="13" xr3:uid="{C3E9B95E-3A07-4B18-A383-6DB356D8BFB1}" name="총계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8EFC67-5B8D-4DBA-A715-120BA74D2366}" name="대출권수" displayName="대출권수" ref="A1:P1280" totalsRowShown="0">
  <tableColumns count="16">
    <tableColumn id="1" xr3:uid="{652257C3-9052-4CBA-833A-D437E3B434C3}" name="년월" dataDxfId="1"/>
    <tableColumn id="2" xr3:uid="{00451B1C-5B84-4DCB-AC85-EB490A4BE12E}" name="소장처명"/>
    <tableColumn id="3" xr3:uid="{E15E1DBA-45DE-411E-AA2F-AA3DFD38C49E}" name="자료실구분" dataDxfId="0">
      <calculatedColumnFormula>IFERROR(INDEX(자료실범례[],MATCH($B2,자료실범례[소장처명],0),2),"종합자료실")</calculatedColumnFormula>
    </tableColumn>
    <tableColumn id="4" xr3:uid="{73AD742B-0191-4F37-AC87-0E20CF3A93B1}" name="대출반납"/>
    <tableColumn id="5" xr3:uid="{14613753-09FD-4748-A159-B4800E7C4C39}" name="총류"/>
    <tableColumn id="6" xr3:uid="{E7B059C5-BB2A-4D3E-ADAE-D9B7256CAD18}" name="철학"/>
    <tableColumn id="7" xr3:uid="{9411E39C-B46F-46DE-B7D1-9BDF73128C55}" name="종교"/>
    <tableColumn id="8" xr3:uid="{F7B12C00-216E-4B89-939C-141B8E27ED8B}" name="사회과학"/>
    <tableColumn id="9" xr3:uid="{CAE04D98-9845-442F-9590-7206D392C884}" name="자연과학"/>
    <tableColumn id="10" xr3:uid="{7C8569F9-CC99-4ED3-AD9C-BB3DDFBAD157}" name="기술과학"/>
    <tableColumn id="11" xr3:uid="{8E8F7C1C-B9F1-4F4A-AEC4-1AE6DF875D19}" name="예술"/>
    <tableColumn id="12" xr3:uid="{E2290BBC-F15D-40E9-BBE8-664DF084F913}" name="언어"/>
    <tableColumn id="13" xr3:uid="{9D83F212-0044-4E16-8E91-1B8C5B675F72}" name="문학"/>
    <tableColumn id="14" xr3:uid="{DD720D89-359A-40DA-99CB-63FCA6C74C70}" name="역사"/>
    <tableColumn id="15" xr3:uid="{95F7F8FE-140A-45D7-813F-CD74D532290F}" name="기타"/>
    <tableColumn id="16" xr3:uid="{9DD32ECA-839D-4E34-AE29-953C80C2DC57}" name="합계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1.vml"/><Relationship Id="rId6" Type="http://schemas.openxmlformats.org/officeDocument/2006/relationships/comments" Target="../comments1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6B625-6B74-4BCC-B3BE-101D8523F1CC}">
  <sheetPr codeName="Sheet1"/>
  <dimension ref="AA1:AU21"/>
  <sheetViews>
    <sheetView showGridLines="0" tabSelected="1" zoomScale="55" zoomScaleNormal="55" workbookViewId="0">
      <selection activeCell="AT9" sqref="AT9"/>
    </sheetView>
  </sheetViews>
  <sheetFormatPr defaultRowHeight="16.5" x14ac:dyDescent="0.3"/>
  <sheetData>
    <row r="1" spans="27:47" x14ac:dyDescent="0.3">
      <c r="AA1">
        <v>1</v>
      </c>
    </row>
    <row r="15" spans="27:47" x14ac:dyDescent="0.3">
      <c r="AU15" s="17"/>
    </row>
    <row r="21" spans="45:45" x14ac:dyDescent="0.3">
      <c r="AS21" t="s">
        <v>223</v>
      </c>
    </row>
  </sheetData>
  <phoneticPr fontId="18" type="noConversion"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38904-5D12-467B-BA4A-C44652EC617F}">
  <sheetPr codeName="Sheet2"/>
  <dimension ref="A1:AT46"/>
  <sheetViews>
    <sheetView topLeftCell="E1" workbookViewId="0">
      <selection activeCell="T7" sqref="T7"/>
    </sheetView>
  </sheetViews>
  <sheetFormatPr defaultRowHeight="16.5" x14ac:dyDescent="0.3"/>
  <cols>
    <col min="1" max="1" width="11.875" bestFit="1" customWidth="1"/>
    <col min="2" max="2" width="9.25" bestFit="1" customWidth="1"/>
    <col min="3" max="3" width="20.875" bestFit="1" customWidth="1"/>
    <col min="4" max="4" width="9.25" bestFit="1" customWidth="1"/>
    <col min="5" max="5" width="16.75" bestFit="1" customWidth="1"/>
    <col min="6" max="6" width="5" customWidth="1"/>
    <col min="7" max="7" width="4.625" customWidth="1"/>
    <col min="8" max="8" width="3.875" customWidth="1"/>
    <col min="9" max="9" width="9" bestFit="1" customWidth="1"/>
    <col min="10" max="10" width="7.375" bestFit="1" customWidth="1"/>
    <col min="11" max="11" width="10.375" bestFit="1" customWidth="1"/>
    <col min="12" max="12" width="6.5" bestFit="1" customWidth="1"/>
    <col min="13" max="13" width="7.375" bestFit="1" customWidth="1"/>
    <col min="15" max="15" width="7.125" bestFit="1" customWidth="1"/>
    <col min="16" max="16" width="7.375" bestFit="1" customWidth="1"/>
    <col min="18" max="18" width="13" bestFit="1" customWidth="1"/>
    <col min="19" max="19" width="7.375" bestFit="1" customWidth="1"/>
    <col min="20" max="20" width="16.5" bestFit="1" customWidth="1"/>
    <col min="21" max="21" width="38" bestFit="1" customWidth="1"/>
    <col min="22" max="22" width="8.5" bestFit="1" customWidth="1"/>
    <col min="24" max="24" width="11.875" bestFit="1" customWidth="1"/>
    <col min="25" max="25" width="8.5" bestFit="1" customWidth="1"/>
    <col min="27" max="27" width="6.5" bestFit="1" customWidth="1"/>
    <col min="28" max="28" width="7.375" bestFit="1" customWidth="1"/>
    <col min="30" max="30" width="11.875" bestFit="1" customWidth="1"/>
    <col min="31" max="31" width="8.5" bestFit="1" customWidth="1"/>
    <col min="33" max="33" width="38" bestFit="1" customWidth="1"/>
    <col min="34" max="34" width="10.375" bestFit="1" customWidth="1"/>
    <col min="40" max="40" width="11.125" bestFit="1" customWidth="1"/>
  </cols>
  <sheetData>
    <row r="1" spans="1:46" x14ac:dyDescent="0.3">
      <c r="A1" s="2" t="s">
        <v>156</v>
      </c>
      <c r="B1" s="17" t="s" vm="1">
        <v>681</v>
      </c>
      <c r="I1" s="2" t="s">
        <v>156</v>
      </c>
      <c r="J1" s="17" t="s" vm="1">
        <v>681</v>
      </c>
      <c r="K1" t="str">
        <f>"창녕도서관 "&amp;IF(J1="All","2024년","2024년 "&amp;J1)&amp;" 이용 실적"</f>
        <v>창녕도서관 2024년 11월 이용 실적</v>
      </c>
      <c r="L1" s="2" t="s">
        <v>156</v>
      </c>
      <c r="M1" s="17" t="s" vm="1">
        <v>681</v>
      </c>
      <c r="O1" s="2" t="s">
        <v>156</v>
      </c>
      <c r="P1" s="17" t="s" vm="1">
        <v>681</v>
      </c>
      <c r="R1" s="2" t="s">
        <v>156</v>
      </c>
      <c r="S1" s="17" t="s" vm="1">
        <v>681</v>
      </c>
      <c r="U1" s="2" t="s">
        <v>156</v>
      </c>
      <c r="V1" s="17" t="s" vm="1">
        <v>681</v>
      </c>
      <c r="X1" s="2" t="s">
        <v>156</v>
      </c>
      <c r="Y1" s="17" t="s" vm="1">
        <v>681</v>
      </c>
      <c r="AA1" s="2" t="s">
        <v>156</v>
      </c>
      <c r="AB1" s="17" t="s" vm="1">
        <v>681</v>
      </c>
      <c r="AD1" s="2" t="s">
        <v>156</v>
      </c>
      <c r="AE1" s="17" t="s" vm="1">
        <v>681</v>
      </c>
      <c r="AG1" s="2" t="s">
        <v>156</v>
      </c>
      <c r="AH1" s="17" t="s" vm="1">
        <v>681</v>
      </c>
      <c r="AN1" s="6">
        <v>45596</v>
      </c>
    </row>
    <row r="3" spans="1:46" x14ac:dyDescent="0.3">
      <c r="A3" s="2" t="s">
        <v>74</v>
      </c>
      <c r="B3" s="17" t="s">
        <v>166</v>
      </c>
      <c r="C3" s="17" t="s">
        <v>506</v>
      </c>
      <c r="D3" s="17" t="s">
        <v>167</v>
      </c>
      <c r="E3" s="17" t="s">
        <v>507</v>
      </c>
      <c r="H3" s="2"/>
      <c r="I3" s="2" t="s">
        <v>51</v>
      </c>
      <c r="K3" s="2"/>
      <c r="L3" s="2" t="s">
        <v>51</v>
      </c>
      <c r="O3" s="2" t="s">
        <v>51</v>
      </c>
      <c r="R3" s="2" t="s">
        <v>51</v>
      </c>
      <c r="U3" s="2" t="s">
        <v>74</v>
      </c>
      <c r="V3" t="s">
        <v>160</v>
      </c>
      <c r="X3" s="2" t="s">
        <v>74</v>
      </c>
      <c r="Y3" t="s">
        <v>160</v>
      </c>
      <c r="AA3" s="2" t="s">
        <v>51</v>
      </c>
      <c r="AD3" s="2" t="s">
        <v>74</v>
      </c>
      <c r="AE3" t="s">
        <v>160</v>
      </c>
      <c r="AG3" s="2" t="s">
        <v>74</v>
      </c>
      <c r="AH3" t="s">
        <v>310</v>
      </c>
      <c r="AN3" s="18" t="str">
        <f>"우리 도서관의 2024년"&amp;AH1&amp;" 이용 실적을 다음과 같이 보고합니다."&amp;CHAR(10)
&amp;"  1. 기간: "&amp;TEXT(날짜tb!A11,"yyyy. m. d.(aaa)")&amp;" ~ "&amp;TEXT(피벗테이블!AN1,"m. d.(aaa)")&amp;CHAR(10)
&amp;"  2. "&amp;피벗테이블!AH1&amp;" 이용실적 ※괄호 안은 전년 동월 대비 증감률"</f>
        <v>우리 도서관의 2024년11월 이용 실적을 다음과 같이 보고합니다.
  1. 기간: 2024. 10. 1.(화) ~ 10. 31.(목)
  2. 11월 이용실적 ※괄호 안은 전년 동월 대비 증감률</v>
      </c>
      <c r="AO3" s="18"/>
      <c r="AP3" s="18"/>
      <c r="AQ3" s="18"/>
      <c r="AR3" s="18"/>
      <c r="AS3" s="18"/>
      <c r="AT3" s="18"/>
    </row>
    <row r="4" spans="1:46" x14ac:dyDescent="0.3">
      <c r="A4" s="3" t="s">
        <v>681</v>
      </c>
      <c r="B4" s="9">
        <v>1185</v>
      </c>
      <c r="C4" s="4">
        <v>0.44336175395858701</v>
      </c>
      <c r="D4" s="9">
        <v>4674</v>
      </c>
      <c r="E4" s="4">
        <v>0.21750455847877048</v>
      </c>
      <c r="I4" s="3" t="s">
        <v>54</v>
      </c>
      <c r="J4" s="9">
        <v>111</v>
      </c>
      <c r="L4" s="3" t="s">
        <v>161</v>
      </c>
      <c r="M4" s="9">
        <v>441</v>
      </c>
      <c r="O4" s="3" t="s">
        <v>133</v>
      </c>
      <c r="P4" s="9">
        <v>292</v>
      </c>
      <c r="R4" s="3" t="s">
        <v>164</v>
      </c>
      <c r="S4" s="7">
        <v>1185</v>
      </c>
      <c r="T4" t="str">
        <f>"대출자수:"&amp;GETPIVOTDATA("[Measures].[합계: 대출자수합계]",$R$3)&amp;"명"</f>
        <v>대출자수:1185명</v>
      </c>
      <c r="U4" s="3" t="s">
        <v>120</v>
      </c>
      <c r="V4" s="9">
        <v>972</v>
      </c>
      <c r="X4" s="3" t="s">
        <v>105</v>
      </c>
      <c r="Y4" s="9">
        <v>2227</v>
      </c>
      <c r="AA4" s="3" t="s">
        <v>161</v>
      </c>
      <c r="AB4" s="9">
        <v>441</v>
      </c>
      <c r="AD4" s="3" t="s">
        <v>132</v>
      </c>
      <c r="AE4" s="9">
        <v>190</v>
      </c>
      <c r="AG4" s="3" t="s">
        <v>655</v>
      </c>
      <c r="AH4" s="9">
        <v>2</v>
      </c>
      <c r="AI4" t="str">
        <f>"행사개수:"&amp;COUNTA(AG:AG)-COUNTA(AG1:AG3)&amp;"개"</f>
        <v>행사개수:38개</v>
      </c>
      <c r="AN4" s="18"/>
      <c r="AO4" s="18"/>
      <c r="AP4" s="18"/>
      <c r="AQ4" s="18"/>
      <c r="AR4" s="18"/>
      <c r="AS4" s="18"/>
      <c r="AT4" s="18"/>
    </row>
    <row r="5" spans="1:46" x14ac:dyDescent="0.3">
      <c r="I5" s="3" t="s">
        <v>56</v>
      </c>
      <c r="J5" s="9">
        <v>260</v>
      </c>
      <c r="L5" s="3" t="s">
        <v>162</v>
      </c>
      <c r="M5" s="9">
        <v>744</v>
      </c>
      <c r="O5" s="3" t="s">
        <v>163</v>
      </c>
      <c r="P5" s="9">
        <v>83</v>
      </c>
      <c r="R5" s="3" t="s">
        <v>165</v>
      </c>
      <c r="S5" s="7">
        <v>4658</v>
      </c>
      <c r="T5" t="str">
        <f>"대출권수:"&amp;GETPIVOTDATA("[Measures].[합계: 대출권수합계]",$R$3)&amp;"권"</f>
        <v>대출권수:4658권</v>
      </c>
      <c r="U5" s="3" t="s">
        <v>123</v>
      </c>
      <c r="V5" s="9">
        <v>963</v>
      </c>
      <c r="X5" s="3" t="s">
        <v>227</v>
      </c>
      <c r="Y5" s="9">
        <v>1671</v>
      </c>
      <c r="AA5" s="3" t="s">
        <v>162</v>
      </c>
      <c r="AB5" s="9">
        <v>2452</v>
      </c>
      <c r="AD5" s="3" t="s">
        <v>133</v>
      </c>
      <c r="AE5" s="9">
        <v>1949</v>
      </c>
      <c r="AG5" s="3" t="s">
        <v>605</v>
      </c>
      <c r="AH5" s="9">
        <v>4</v>
      </c>
      <c r="AI5" t="str">
        <f>"행사횟수:"&amp;SUM(AH4:AH999)&amp;"회"</f>
        <v>행사횟수:99회</v>
      </c>
      <c r="AN5" s="18"/>
      <c r="AO5" s="18"/>
      <c r="AP5" s="18"/>
      <c r="AQ5" s="18"/>
      <c r="AR5" s="18"/>
      <c r="AS5" s="18"/>
      <c r="AT5" s="18"/>
    </row>
    <row r="6" spans="1:46" x14ac:dyDescent="0.3">
      <c r="I6" s="3" t="s">
        <v>58</v>
      </c>
      <c r="J6" s="9">
        <v>76</v>
      </c>
      <c r="O6" s="3" t="s">
        <v>132</v>
      </c>
      <c r="P6" s="9">
        <v>810</v>
      </c>
      <c r="R6" s="3" t="s">
        <v>489</v>
      </c>
      <c r="S6" s="7"/>
      <c r="T6" t="str">
        <f>"자유학습실:"&amp;GETPIVOTDATA("[Measures].[합계: 자유학습실]",$R$3)&amp;"870명"</f>
        <v>자유학습실:870명</v>
      </c>
      <c r="U6" s="3" t="s">
        <v>667</v>
      </c>
      <c r="V6" s="9">
        <v>528</v>
      </c>
      <c r="X6" s="3" t="s">
        <v>101</v>
      </c>
      <c r="Y6" s="9">
        <v>407</v>
      </c>
      <c r="AD6" s="3" t="s">
        <v>134</v>
      </c>
      <c r="AE6" s="9">
        <v>2348</v>
      </c>
      <c r="AG6" s="3" t="s">
        <v>671</v>
      </c>
      <c r="AH6" s="9">
        <v>1</v>
      </c>
      <c r="AI6" t="str">
        <f>"행사참여자수:"&amp;SUM(AE4:AE999)&amp;"명"</f>
        <v>행사참여자수:4548명</v>
      </c>
      <c r="AN6" s="18"/>
      <c r="AO6" s="18"/>
      <c r="AP6" s="18"/>
      <c r="AQ6" s="18"/>
      <c r="AR6" s="18"/>
      <c r="AS6" s="18"/>
      <c r="AT6" s="18"/>
    </row>
    <row r="7" spans="1:46" x14ac:dyDescent="0.3">
      <c r="I7" s="3" t="s">
        <v>60</v>
      </c>
      <c r="J7" s="9">
        <v>409</v>
      </c>
      <c r="U7" s="3" t="s">
        <v>118</v>
      </c>
      <c r="V7" s="9">
        <v>292</v>
      </c>
      <c r="X7" s="3" t="s">
        <v>99</v>
      </c>
      <c r="Y7" s="9">
        <v>191</v>
      </c>
      <c r="AD7" s="3" t="s">
        <v>163</v>
      </c>
      <c r="AE7" s="9">
        <v>61</v>
      </c>
      <c r="AG7" s="3" t="s">
        <v>257</v>
      </c>
      <c r="AH7" s="9">
        <v>1</v>
      </c>
      <c r="AN7" s="18"/>
      <c r="AO7" s="18"/>
      <c r="AP7" s="18"/>
      <c r="AQ7" s="18"/>
      <c r="AR7" s="18"/>
      <c r="AS7" s="18"/>
      <c r="AT7" s="18"/>
    </row>
    <row r="8" spans="1:46" x14ac:dyDescent="0.3">
      <c r="I8" s="3" t="s">
        <v>62</v>
      </c>
      <c r="J8" s="9">
        <v>649</v>
      </c>
      <c r="U8" s="3" t="s">
        <v>624</v>
      </c>
      <c r="V8" s="9">
        <v>284</v>
      </c>
      <c r="X8" s="3" t="s">
        <v>107</v>
      </c>
      <c r="Y8" s="9">
        <v>46</v>
      </c>
      <c r="AG8" s="3" t="s">
        <v>646</v>
      </c>
      <c r="AH8" s="9">
        <v>4</v>
      </c>
      <c r="AN8" s="18"/>
      <c r="AO8" s="18"/>
      <c r="AP8" s="18"/>
      <c r="AQ8" s="18"/>
      <c r="AR8" s="18"/>
      <c r="AS8" s="18"/>
      <c r="AT8" s="18"/>
    </row>
    <row r="9" spans="1:46" x14ac:dyDescent="0.3">
      <c r="I9" s="3" t="s">
        <v>64</v>
      </c>
      <c r="J9" s="9">
        <v>230</v>
      </c>
      <c r="S9" s="16"/>
      <c r="U9" s="3" t="s">
        <v>671</v>
      </c>
      <c r="V9" s="9">
        <v>188</v>
      </c>
      <c r="X9" s="3" t="s">
        <v>103</v>
      </c>
      <c r="Y9" s="9">
        <v>6</v>
      </c>
      <c r="AG9" s="3" t="s">
        <v>209</v>
      </c>
      <c r="AH9" s="9">
        <v>4</v>
      </c>
      <c r="AN9" s="18"/>
      <c r="AO9" s="18"/>
      <c r="AP9" s="18"/>
      <c r="AQ9" s="18"/>
      <c r="AR9" s="18"/>
      <c r="AS9" s="18"/>
      <c r="AT9" s="18"/>
    </row>
    <row r="10" spans="1:46" x14ac:dyDescent="0.3">
      <c r="I10" s="3" t="s">
        <v>66</v>
      </c>
      <c r="J10" s="9">
        <v>108</v>
      </c>
      <c r="U10" s="3" t="s">
        <v>669</v>
      </c>
      <c r="V10" s="9">
        <v>187</v>
      </c>
      <c r="X10" s="3" t="s">
        <v>225</v>
      </c>
      <c r="Y10" s="9">
        <v>0</v>
      </c>
      <c r="AG10" s="3" t="s">
        <v>117</v>
      </c>
      <c r="AH10" s="9">
        <v>1</v>
      </c>
      <c r="AN10" s="18"/>
      <c r="AO10" s="18"/>
      <c r="AP10" s="18"/>
      <c r="AQ10" s="18"/>
      <c r="AR10" s="18"/>
      <c r="AS10" s="18"/>
      <c r="AT10" s="18"/>
    </row>
    <row r="11" spans="1:46" x14ac:dyDescent="0.3">
      <c r="I11" s="3" t="s">
        <v>68</v>
      </c>
      <c r="J11" s="9">
        <v>233</v>
      </c>
      <c r="U11" s="3" t="s">
        <v>665</v>
      </c>
      <c r="V11" s="9">
        <v>110</v>
      </c>
      <c r="AG11" s="3" t="s">
        <v>590</v>
      </c>
      <c r="AH11" s="9">
        <v>1</v>
      </c>
      <c r="AN11" s="18"/>
      <c r="AO11" s="18"/>
      <c r="AP11" s="18"/>
      <c r="AQ11" s="18"/>
      <c r="AR11" s="18"/>
      <c r="AS11" s="18"/>
      <c r="AT11" s="18"/>
    </row>
    <row r="12" spans="1:46" x14ac:dyDescent="0.3">
      <c r="I12" s="3" t="s">
        <v>70</v>
      </c>
      <c r="J12" s="9">
        <v>2178</v>
      </c>
      <c r="U12" s="3" t="s">
        <v>573</v>
      </c>
      <c r="V12" s="9">
        <v>77</v>
      </c>
      <c r="AG12" s="3" t="s">
        <v>118</v>
      </c>
      <c r="AH12" s="9">
        <v>1</v>
      </c>
      <c r="AN12" s="18"/>
      <c r="AO12" s="18"/>
      <c r="AP12" s="18"/>
      <c r="AQ12" s="18"/>
      <c r="AR12" s="18"/>
      <c r="AS12" s="18"/>
      <c r="AT12" s="18"/>
    </row>
    <row r="13" spans="1:46" x14ac:dyDescent="0.3">
      <c r="I13" s="3" t="s">
        <v>72</v>
      </c>
      <c r="J13" s="9">
        <v>404</v>
      </c>
      <c r="U13" s="3" t="s">
        <v>572</v>
      </c>
      <c r="V13" s="9">
        <v>76</v>
      </c>
      <c r="AG13" s="3" t="s">
        <v>119</v>
      </c>
      <c r="AH13" s="9">
        <v>1</v>
      </c>
      <c r="AN13" s="18"/>
      <c r="AO13" s="18"/>
      <c r="AP13" s="18"/>
      <c r="AQ13" s="18"/>
      <c r="AR13" s="18"/>
      <c r="AS13" s="18"/>
      <c r="AT13" s="18"/>
    </row>
    <row r="14" spans="1:46" x14ac:dyDescent="0.3">
      <c r="U14" s="3" t="s">
        <v>646</v>
      </c>
      <c r="V14" s="9">
        <v>73</v>
      </c>
      <c r="AG14" s="3" t="s">
        <v>665</v>
      </c>
      <c r="AH14" s="9">
        <v>3</v>
      </c>
      <c r="AN14" s="18"/>
      <c r="AO14" s="18"/>
      <c r="AP14" s="18"/>
      <c r="AQ14" s="18"/>
      <c r="AR14" s="18"/>
      <c r="AS14" s="18"/>
      <c r="AT14" s="18"/>
    </row>
    <row r="15" spans="1:46" x14ac:dyDescent="0.3">
      <c r="U15" s="3" t="s">
        <v>209</v>
      </c>
      <c r="V15" s="9">
        <v>64</v>
      </c>
      <c r="AG15" s="3" t="s">
        <v>667</v>
      </c>
      <c r="AH15" s="9">
        <v>4</v>
      </c>
      <c r="AN15" s="18"/>
      <c r="AO15" s="18"/>
      <c r="AP15" s="18"/>
      <c r="AQ15" s="18"/>
      <c r="AR15" s="18"/>
      <c r="AS15" s="18"/>
      <c r="AT15" s="18"/>
    </row>
    <row r="16" spans="1:46" x14ac:dyDescent="0.3">
      <c r="U16" s="3" t="s">
        <v>655</v>
      </c>
      <c r="V16" s="9">
        <v>61</v>
      </c>
      <c r="AG16" s="3" t="s">
        <v>624</v>
      </c>
      <c r="AH16" s="9">
        <v>2</v>
      </c>
      <c r="AN16" s="18"/>
      <c r="AO16" s="18"/>
      <c r="AP16" s="18"/>
      <c r="AQ16" s="18"/>
      <c r="AR16" s="18"/>
      <c r="AS16" s="18"/>
      <c r="AT16" s="18"/>
    </row>
    <row r="17" spans="21:43" x14ac:dyDescent="0.3">
      <c r="U17" s="3" t="s">
        <v>652</v>
      </c>
      <c r="V17" s="9">
        <v>59</v>
      </c>
      <c r="AG17" s="3" t="s">
        <v>212</v>
      </c>
      <c r="AH17" s="9">
        <v>4</v>
      </c>
    </row>
    <row r="18" spans="21:43" x14ac:dyDescent="0.3">
      <c r="U18" s="3" t="s">
        <v>605</v>
      </c>
      <c r="V18" s="9">
        <v>52</v>
      </c>
      <c r="AG18" s="3" t="s">
        <v>652</v>
      </c>
      <c r="AH18" s="9">
        <v>1</v>
      </c>
      <c r="AN18" t="s">
        <v>633</v>
      </c>
      <c r="AP18" t="s">
        <v>635</v>
      </c>
    </row>
    <row r="19" spans="21:43" x14ac:dyDescent="0.3">
      <c r="U19" s="3" t="s">
        <v>647</v>
      </c>
      <c r="V19" s="9">
        <v>52</v>
      </c>
      <c r="AG19" s="3" t="s">
        <v>573</v>
      </c>
      <c r="AH19" s="9">
        <v>2</v>
      </c>
      <c r="AN19" t="s">
        <v>636</v>
      </c>
      <c r="AO19" t="e">
        <f>TEXT(GETPIVOTDATA("[Measures].[합계: 대출권수]",$A$3,"[년월기준].[년월(월)]","[년월기준].[년월(월)].&amp;[10월]"),"#,#")&amp;"권("&amp;TEXT(GETPIVOTDATA("[Measures].[합계: 전년동월비(권수)]",$A$3,"[년월기준].[년월(월)]","[년월기준].[년월(월)].&amp;[10월]"),"0%")&amp;")"</f>
        <v>#REF!</v>
      </c>
      <c r="AP19" t="s">
        <v>639</v>
      </c>
      <c r="AQ19" t="str">
        <f>COUNTA(AG4:AG9999)&amp;"개, "&amp;
SUM(AH4:AH9999)&amp;"회"</f>
        <v>38개, 99회</v>
      </c>
    </row>
    <row r="20" spans="21:43" x14ac:dyDescent="0.3">
      <c r="U20" s="3" t="s">
        <v>178</v>
      </c>
      <c r="V20" s="9">
        <v>51</v>
      </c>
      <c r="AG20" s="3" t="s">
        <v>120</v>
      </c>
      <c r="AH20" s="9">
        <v>1</v>
      </c>
      <c r="AN20" t="s">
        <v>637</v>
      </c>
      <c r="AO20" t="e">
        <f>TEXT(GETPIVOTDATA("[Measures].[합계: 대출자수]",$A$3,"[년월기준].[년월(월)]","[년월기준].[년월(월)].&amp;[10월]"),"#,#")&amp;"명("&amp;
TEXT(GETPIVOTDATA("[Measures].[합계: 전년동월비(대출자수)]",$A$3,"[년월기준].[년월(월)]","[년월기준].[년월(월)].&amp;[10월]"),"0%")&amp;")"</f>
        <v>#REF!</v>
      </c>
      <c r="AP20" t="s">
        <v>640</v>
      </c>
      <c r="AQ20" t="str">
        <f>SUM(AE4:AE9999)&amp;"명("&amp;TEXT(년월기준!K11,"0%")&amp;")"</f>
        <v>4548명(92%)</v>
      </c>
    </row>
    <row r="21" spans="21:43" x14ac:dyDescent="0.3">
      <c r="U21" s="3" t="s">
        <v>645</v>
      </c>
      <c r="V21" s="9">
        <v>50</v>
      </c>
      <c r="AG21" s="3" t="s">
        <v>121</v>
      </c>
      <c r="AH21" s="9">
        <v>1</v>
      </c>
    </row>
    <row r="22" spans="21:43" x14ac:dyDescent="0.3">
      <c r="U22" s="3" t="s">
        <v>660</v>
      </c>
      <c r="V22" s="9">
        <v>48</v>
      </c>
      <c r="AG22" s="3" t="s">
        <v>178</v>
      </c>
      <c r="AH22" s="9">
        <v>1</v>
      </c>
    </row>
    <row r="23" spans="21:43" x14ac:dyDescent="0.3">
      <c r="U23" s="3" t="s">
        <v>589</v>
      </c>
      <c r="V23" s="9">
        <v>46</v>
      </c>
      <c r="AG23" s="3" t="s">
        <v>657</v>
      </c>
      <c r="AH23" s="9">
        <v>2</v>
      </c>
    </row>
    <row r="24" spans="21:43" x14ac:dyDescent="0.3">
      <c r="U24" s="3" t="s">
        <v>590</v>
      </c>
      <c r="V24" s="9">
        <v>42</v>
      </c>
      <c r="AG24" s="3" t="s">
        <v>599</v>
      </c>
      <c r="AH24" s="9">
        <v>1</v>
      </c>
    </row>
    <row r="25" spans="21:43" x14ac:dyDescent="0.3">
      <c r="U25" s="3" t="s">
        <v>644</v>
      </c>
      <c r="V25" s="9">
        <v>40</v>
      </c>
      <c r="AG25" s="3" t="s">
        <v>557</v>
      </c>
      <c r="AH25" s="9">
        <v>2</v>
      </c>
    </row>
    <row r="26" spans="21:43" x14ac:dyDescent="0.3">
      <c r="U26" s="3" t="s">
        <v>212</v>
      </c>
      <c r="V26" s="9">
        <v>39</v>
      </c>
      <c r="AG26" s="3" t="s">
        <v>664</v>
      </c>
      <c r="AH26" s="9">
        <v>1</v>
      </c>
    </row>
    <row r="27" spans="21:43" x14ac:dyDescent="0.3">
      <c r="U27" s="3" t="s">
        <v>657</v>
      </c>
      <c r="V27" s="9">
        <v>34</v>
      </c>
      <c r="AG27" s="3" t="s">
        <v>589</v>
      </c>
      <c r="AH27" s="9">
        <v>2</v>
      </c>
    </row>
    <row r="28" spans="21:43" x14ac:dyDescent="0.3">
      <c r="U28" s="3" t="s">
        <v>659</v>
      </c>
      <c r="V28" s="9">
        <v>25</v>
      </c>
      <c r="AG28" s="3" t="s">
        <v>659</v>
      </c>
      <c r="AH28" s="9">
        <v>3</v>
      </c>
    </row>
    <row r="29" spans="21:43" x14ac:dyDescent="0.3">
      <c r="U29" s="3" t="s">
        <v>662</v>
      </c>
      <c r="V29" s="9">
        <v>25</v>
      </c>
      <c r="AG29" s="3" t="s">
        <v>654</v>
      </c>
      <c r="AH29" s="9">
        <v>1</v>
      </c>
    </row>
    <row r="30" spans="21:43" x14ac:dyDescent="0.3">
      <c r="U30" s="3" t="s">
        <v>654</v>
      </c>
      <c r="V30" s="9">
        <v>21</v>
      </c>
      <c r="AG30" s="3" t="s">
        <v>552</v>
      </c>
      <c r="AH30" s="9">
        <v>2</v>
      </c>
    </row>
    <row r="31" spans="21:43" x14ac:dyDescent="0.3">
      <c r="U31" s="3" t="s">
        <v>599</v>
      </c>
      <c r="V31" s="9">
        <v>20</v>
      </c>
      <c r="AG31" s="3" t="s">
        <v>123</v>
      </c>
      <c r="AH31" s="9">
        <v>1</v>
      </c>
    </row>
    <row r="32" spans="21:43" x14ac:dyDescent="0.3">
      <c r="U32" s="3" t="s">
        <v>117</v>
      </c>
      <c r="V32" s="9">
        <v>20</v>
      </c>
      <c r="AG32" s="3" t="s">
        <v>662</v>
      </c>
      <c r="AH32" s="9">
        <v>25</v>
      </c>
    </row>
    <row r="33" spans="21:34" x14ac:dyDescent="0.3">
      <c r="U33" s="3" t="s">
        <v>557</v>
      </c>
      <c r="V33" s="9">
        <v>17</v>
      </c>
      <c r="AG33" s="3" t="s">
        <v>572</v>
      </c>
      <c r="AH33" s="9">
        <v>2</v>
      </c>
    </row>
    <row r="34" spans="21:34" x14ac:dyDescent="0.3">
      <c r="U34" s="3" t="s">
        <v>552</v>
      </c>
      <c r="V34" s="9">
        <v>12</v>
      </c>
      <c r="AG34" s="3" t="s">
        <v>669</v>
      </c>
      <c r="AH34" s="9">
        <v>2</v>
      </c>
    </row>
    <row r="35" spans="21:34" x14ac:dyDescent="0.3">
      <c r="U35" s="3" t="s">
        <v>664</v>
      </c>
      <c r="V35" s="9">
        <v>7</v>
      </c>
      <c r="AG35" s="3" t="s">
        <v>645</v>
      </c>
      <c r="AH35" s="9">
        <v>1</v>
      </c>
    </row>
    <row r="36" spans="21:34" x14ac:dyDescent="0.3">
      <c r="U36" s="3" t="s">
        <v>554</v>
      </c>
      <c r="V36" s="9">
        <v>7</v>
      </c>
      <c r="AG36" s="3" t="s">
        <v>660</v>
      </c>
      <c r="AH36" s="9">
        <v>3</v>
      </c>
    </row>
    <row r="37" spans="21:34" x14ac:dyDescent="0.3">
      <c r="U37" s="3" t="s">
        <v>592</v>
      </c>
      <c r="V37" s="9">
        <v>4</v>
      </c>
      <c r="AG37" s="3" t="s">
        <v>647</v>
      </c>
      <c r="AH37" s="9">
        <v>4</v>
      </c>
    </row>
    <row r="38" spans="21:34" x14ac:dyDescent="0.3">
      <c r="U38" s="3" t="s">
        <v>119</v>
      </c>
      <c r="V38" s="9">
        <v>2</v>
      </c>
      <c r="AG38" s="3" t="s">
        <v>554</v>
      </c>
      <c r="AH38" s="9">
        <v>2</v>
      </c>
    </row>
    <row r="39" spans="21:34" x14ac:dyDescent="0.3">
      <c r="U39" s="3" t="s">
        <v>181</v>
      </c>
      <c r="V39" s="9">
        <v>0</v>
      </c>
      <c r="AG39" s="3" t="s">
        <v>644</v>
      </c>
      <c r="AH39" s="9">
        <v>4</v>
      </c>
    </row>
    <row r="40" spans="21:34" x14ac:dyDescent="0.3">
      <c r="U40" s="3" t="s">
        <v>257</v>
      </c>
      <c r="V40" s="9">
        <v>0</v>
      </c>
      <c r="AG40" s="3" t="s">
        <v>592</v>
      </c>
      <c r="AH40" s="9">
        <v>1</v>
      </c>
    </row>
    <row r="41" spans="21:34" x14ac:dyDescent="0.3">
      <c r="U41" s="3" t="s">
        <v>591</v>
      </c>
      <c r="V41" s="9">
        <v>0</v>
      </c>
      <c r="AG41" s="3" t="s">
        <v>593</v>
      </c>
      <c r="AH41" s="9">
        <v>1</v>
      </c>
    </row>
    <row r="42" spans="21:34" x14ac:dyDescent="0.3">
      <c r="U42" s="3" t="s">
        <v>593</v>
      </c>
      <c r="V42" s="9">
        <v>0</v>
      </c>
    </row>
    <row r="43" spans="21:34" x14ac:dyDescent="0.3">
      <c r="U43" s="3" t="s">
        <v>650</v>
      </c>
      <c r="V43" s="9">
        <v>0</v>
      </c>
    </row>
    <row r="44" spans="21:34" x14ac:dyDescent="0.3">
      <c r="U44" s="3" t="s">
        <v>648</v>
      </c>
      <c r="V44" s="9">
        <v>0</v>
      </c>
    </row>
    <row r="45" spans="21:34" x14ac:dyDescent="0.3">
      <c r="U45" s="3" t="s">
        <v>121</v>
      </c>
      <c r="V45" s="9">
        <v>0</v>
      </c>
    </row>
    <row r="46" spans="21:34" x14ac:dyDescent="0.3">
      <c r="U46" s="3" t="s">
        <v>649</v>
      </c>
      <c r="V46" s="9">
        <v>0</v>
      </c>
    </row>
  </sheetData>
  <mergeCells count="1">
    <mergeCell ref="AN3:AT16"/>
  </mergeCells>
  <phoneticPr fontId="18" type="noConversion"/>
  <pageMargins left="0.7" right="0.7" top="0.75" bottom="0.75" header="0.3" footer="0.3"/>
  <pageSetup paperSize="9" orientation="portrait" horizontalDpi="0" verticalDpi="0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121C9-9D56-43DF-A2FD-A5513679E820}">
  <sheetPr codeName="Sheet3"/>
  <dimension ref="A1:B23"/>
  <sheetViews>
    <sheetView workbookViewId="0">
      <selection activeCell="A12" sqref="A12"/>
    </sheetView>
  </sheetViews>
  <sheetFormatPr defaultRowHeight="16.5" x14ac:dyDescent="0.3"/>
  <cols>
    <col min="1" max="1" width="11.125" bestFit="1" customWidth="1"/>
  </cols>
  <sheetData>
    <row r="1" spans="1:2" x14ac:dyDescent="0.3">
      <c r="A1" t="s">
        <v>154</v>
      </c>
      <c r="B1" t="s">
        <v>155</v>
      </c>
    </row>
    <row r="2" spans="1:2" x14ac:dyDescent="0.3">
      <c r="A2" s="6">
        <v>45292</v>
      </c>
      <c r="B2">
        <f t="shared" ref="B2:B7" si="0">WEEKNUM(A2,2)</f>
        <v>1</v>
      </c>
    </row>
    <row r="3" spans="1:2" x14ac:dyDescent="0.3">
      <c r="A3" s="6">
        <v>45323</v>
      </c>
      <c r="B3">
        <f t="shared" si="0"/>
        <v>5</v>
      </c>
    </row>
    <row r="4" spans="1:2" x14ac:dyDescent="0.3">
      <c r="A4" s="6">
        <v>45352</v>
      </c>
      <c r="B4">
        <f t="shared" si="0"/>
        <v>9</v>
      </c>
    </row>
    <row r="5" spans="1:2" x14ac:dyDescent="0.3">
      <c r="A5" s="6">
        <v>45383</v>
      </c>
      <c r="B5">
        <f t="shared" si="0"/>
        <v>14</v>
      </c>
    </row>
    <row r="6" spans="1:2" x14ac:dyDescent="0.3">
      <c r="A6" s="6">
        <v>45413</v>
      </c>
      <c r="B6">
        <f t="shared" si="0"/>
        <v>18</v>
      </c>
    </row>
    <row r="7" spans="1:2" x14ac:dyDescent="0.3">
      <c r="A7" s="6">
        <v>45444</v>
      </c>
      <c r="B7">
        <f t="shared" si="0"/>
        <v>22</v>
      </c>
    </row>
    <row r="8" spans="1:2" x14ac:dyDescent="0.3">
      <c r="A8" s="6">
        <v>45474</v>
      </c>
      <c r="B8">
        <f>WEEKNUM(A8,2)</f>
        <v>27</v>
      </c>
    </row>
    <row r="9" spans="1:2" x14ac:dyDescent="0.3">
      <c r="A9" s="6">
        <v>45505</v>
      </c>
      <c r="B9">
        <f>WEEKNUM(A9,2)</f>
        <v>31</v>
      </c>
    </row>
    <row r="10" spans="1:2" x14ac:dyDescent="0.3">
      <c r="A10" s="6">
        <v>45536</v>
      </c>
      <c r="B10">
        <f>WEEKNUM(A10,2)</f>
        <v>35</v>
      </c>
    </row>
    <row r="11" spans="1:2" x14ac:dyDescent="0.3">
      <c r="A11" s="6">
        <v>45566</v>
      </c>
      <c r="B11">
        <f>WEEKNUM(A11,2)</f>
        <v>40</v>
      </c>
    </row>
    <row r="12" spans="1:2" x14ac:dyDescent="0.3">
      <c r="A12" s="6">
        <v>45597</v>
      </c>
      <c r="B12">
        <f>WEEKNUM(A12,2)</f>
        <v>44</v>
      </c>
    </row>
    <row r="13" spans="1:2" x14ac:dyDescent="0.3">
      <c r="A13" s="6"/>
    </row>
    <row r="14" spans="1:2" x14ac:dyDescent="0.3">
      <c r="A14" s="6"/>
    </row>
    <row r="15" spans="1:2" x14ac:dyDescent="0.3">
      <c r="A15" s="6"/>
    </row>
    <row r="16" spans="1:2" x14ac:dyDescent="0.3">
      <c r="A16" s="6"/>
    </row>
    <row r="17" spans="1:1" x14ac:dyDescent="0.3">
      <c r="A17" s="6"/>
    </row>
    <row r="18" spans="1:1" x14ac:dyDescent="0.3">
      <c r="A18" s="6"/>
    </row>
    <row r="19" spans="1:1" x14ac:dyDescent="0.3">
      <c r="A19" s="6"/>
    </row>
    <row r="20" spans="1:1" x14ac:dyDescent="0.3">
      <c r="A20" s="6"/>
    </row>
    <row r="21" spans="1:1" x14ac:dyDescent="0.3">
      <c r="A21" s="6"/>
    </row>
    <row r="22" spans="1:1" x14ac:dyDescent="0.3">
      <c r="A22" s="6"/>
    </row>
    <row r="23" spans="1:1" x14ac:dyDescent="0.3">
      <c r="A23" s="6"/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399B6-90E2-46F6-B023-05CA7D871AF3}">
  <sheetPr codeName="Sheet4"/>
  <dimension ref="A1:Q12"/>
  <sheetViews>
    <sheetView topLeftCell="I1" workbookViewId="0">
      <selection activeCell="Q4" sqref="P4:Q4"/>
    </sheetView>
  </sheetViews>
  <sheetFormatPr defaultRowHeight="16.5" x14ac:dyDescent="0.3"/>
  <cols>
    <col min="1" max="2" width="13.875" customWidth="1"/>
    <col min="3" max="3" width="10.25" customWidth="1"/>
    <col min="4" max="4" width="18.875" bestFit="1" customWidth="1"/>
    <col min="5" max="5" width="20.875" bestFit="1" customWidth="1"/>
    <col min="6" max="6" width="10.25" customWidth="1"/>
    <col min="7" max="7" width="18.875" bestFit="1" customWidth="1"/>
    <col min="8" max="8" width="10.25" customWidth="1"/>
    <col min="9" max="9" width="14" customWidth="1"/>
    <col min="10" max="10" width="23" bestFit="1" customWidth="1"/>
    <col min="11" max="11" width="27.125" bestFit="1" customWidth="1"/>
    <col min="14" max="14" width="11.125" bestFit="1" customWidth="1"/>
    <col min="15" max="15" width="14.125" customWidth="1"/>
  </cols>
  <sheetData>
    <row r="1" spans="1:17" x14ac:dyDescent="0.3">
      <c r="A1" t="s">
        <v>142</v>
      </c>
      <c r="B1" t="s">
        <v>159</v>
      </c>
      <c r="C1" t="s">
        <v>138</v>
      </c>
      <c r="D1" t="s">
        <v>143</v>
      </c>
      <c r="E1" t="s">
        <v>147</v>
      </c>
      <c r="F1" t="s">
        <v>139</v>
      </c>
      <c r="G1" t="s">
        <v>144</v>
      </c>
      <c r="H1" t="s">
        <v>146</v>
      </c>
      <c r="I1" t="s">
        <v>140</v>
      </c>
      <c r="J1" t="s">
        <v>145</v>
      </c>
      <c r="K1" t="s">
        <v>148</v>
      </c>
      <c r="N1" s="6">
        <v>45597</v>
      </c>
    </row>
    <row r="2" spans="1:17" x14ac:dyDescent="0.3">
      <c r="A2" s="1">
        <v>45292</v>
      </c>
      <c r="B2" s="1" t="str">
        <f>TEXT(년월기준[[#This Row],[년월]],"yy년m월")&amp;"연월"</f>
        <v>24년1월연월</v>
      </c>
      <c r="C2">
        <f>SUMIF(대출자[년월],년월기준[[#This Row],[년월]],대출자[총계])</f>
        <v>1388</v>
      </c>
      <c r="D2">
        <f>SUMIF(대출자[년월],년월기준[[#This Row],[년월]]-365,대출자[총계])</f>
        <v>949</v>
      </c>
      <c r="E2" s="4">
        <f>년월기준[[#This Row],[대출자수]]/년월기준[[#This Row],[대출자수(전년동월)]]-1</f>
        <v>0.46259220231822962</v>
      </c>
      <c r="F2">
        <f>SUMIFS(대출권수[합계],대출권수[년월],년월기준[[#This Row],[년월]],대출권수[대출반납],"대출")</f>
        <v>5658</v>
      </c>
      <c r="G2">
        <f>SUMIFS(대출권수[합계],대출권수[년월],년월기준[[#This Row],[년월]]-365,대출권수[대출반납],"대출")</f>
        <v>4214</v>
      </c>
      <c r="H2" s="4">
        <f>년월기준[[#This Row],[대출권수]]/년월기준[[#This Row],[대출권수(전년동월)]]-1</f>
        <v>0.34266729947793073</v>
      </c>
      <c r="I2" s="8">
        <f>SUMIF(행사기준[년월],년월기준[[#This Row],[년월]],행사기준[계])</f>
        <v>2375</v>
      </c>
      <c r="J2" s="8">
        <v>1056</v>
      </c>
      <c r="K2" s="4">
        <f>년월기준[[#This Row],[행사참여자수]]/년월기준[[#This Row],[행사참여자수(전년동월)]]-1</f>
        <v>1.2490530303030303</v>
      </c>
      <c r="N2" t="s">
        <v>632</v>
      </c>
      <c r="P2" t="s">
        <v>634</v>
      </c>
    </row>
    <row r="3" spans="1:17" x14ac:dyDescent="0.3">
      <c r="A3" s="1">
        <v>45323</v>
      </c>
      <c r="B3" s="1" t="str">
        <f>TEXT(년월기준[[#This Row],[년월]],"yy년m월")&amp;"연월"</f>
        <v>24년2월연월</v>
      </c>
      <c r="C3">
        <f>SUMIF(대출자[년월],년월기준[[#This Row],[년월]],대출자[총계])</f>
        <v>1110</v>
      </c>
      <c r="D3">
        <f>SUMIF(대출자[년월],년월기준[[#This Row],[년월]]-365,대출자[총계])</f>
        <v>897</v>
      </c>
      <c r="E3" s="4">
        <f>년월기준[[#This Row],[대출자수]]/년월기준[[#This Row],[대출자수(전년동월)]]-1</f>
        <v>0.23745819397993317</v>
      </c>
      <c r="F3">
        <f>SUMIFS(대출권수[합계],대출권수[년월],년월기준[[#This Row],[년월]],대출권수[대출반납],"대출")</f>
        <v>4250</v>
      </c>
      <c r="G3">
        <f>SUMIFS(대출권수[합계],대출권수[년월],년월기준[[#This Row],[년월]]-365,대출권수[대출반납],"대출")</f>
        <v>4219</v>
      </c>
      <c r="H3" s="4">
        <f>년월기준[[#This Row],[대출권수]]/년월기준[[#This Row],[대출권수(전년동월)]]-1</f>
        <v>7.3477127281347254E-3</v>
      </c>
      <c r="I3" s="8">
        <f>SUMIF(행사기준[년월],년월기준[[#This Row],[년월]],행사기준[계])</f>
        <v>2286</v>
      </c>
      <c r="J3" s="8">
        <v>984</v>
      </c>
      <c r="K3" s="4">
        <f>년월기준[[#This Row],[행사참여자수]]/년월기준[[#This Row],[행사참여자수(전년동월)]]-1</f>
        <v>1.3231707317073171</v>
      </c>
      <c r="N3" t="s">
        <v>167</v>
      </c>
      <c r="O3" t="str">
        <f>TEXT(INDEX(년월기준[],MATCH($N$1,년월기준[년월],0),MATCH(N3,년월기준[#Headers],0)),"#,#")&amp;"권("&amp;
TEXT(INDEX(년월기준[],MATCH($N$1,년월기준[년월],0),MATCH("전년동월비(권수)",년월기준[#Headers],0)),"0%"&amp;")")</f>
        <v>4,674권(22%)</v>
      </c>
      <c r="P3" t="s">
        <v>638</v>
      </c>
      <c r="Q3" s="17">
        <f>COUNTIF(행사기준[년월],$N$1)</f>
        <v>43</v>
      </c>
    </row>
    <row r="4" spans="1:17" x14ac:dyDescent="0.3">
      <c r="A4" s="1">
        <v>45352</v>
      </c>
      <c r="B4" s="1" t="str">
        <f>TEXT(년월기준[[#This Row],[년월]],"yy년m월")&amp;"연월"</f>
        <v>24년3월연월</v>
      </c>
      <c r="C4">
        <f>SUMIF(대출자[년월],년월기준[[#This Row],[년월]],대출자[총계])</f>
        <v>1155</v>
      </c>
      <c r="D4">
        <f>SUMIF(대출자[년월],년월기준[[#This Row],[년월]]-366,대출자[총계])</f>
        <v>919</v>
      </c>
      <c r="E4" s="4">
        <f>년월기준[[#This Row],[대출자수]]/년월기준[[#This Row],[대출자수(전년동월)]]-1</f>
        <v>0.25680087051142553</v>
      </c>
      <c r="F4">
        <f>SUMIFS(대출권수[합계],대출권수[년월],년월기준[[#This Row],[년월]],대출권수[대출반납],"대출")</f>
        <v>4411</v>
      </c>
      <c r="G4">
        <f>SUMIFS(대출권수[합계],대출권수[년월],년월기준[[#This Row],[년월]]-366,대출권수[대출반납],"대출")</f>
        <v>4082</v>
      </c>
      <c r="H4" s="4">
        <f>년월기준[[#This Row],[대출권수]]/년월기준[[#This Row],[대출권수(전년동월)]]-1</f>
        <v>8.0597746202841769E-2</v>
      </c>
      <c r="I4" s="8">
        <f>SUMIF(행사기준[년월],년월기준[[#This Row],[년월]],행사기준[계])</f>
        <v>3037</v>
      </c>
      <c r="J4" s="8">
        <v>1350</v>
      </c>
      <c r="K4" s="4">
        <f>년월기준[[#This Row],[행사참여자수]]/년월기준[[#This Row],[행사참여자수(전년동월)]]-1</f>
        <v>1.2496296296296294</v>
      </c>
      <c r="N4" t="s">
        <v>641</v>
      </c>
      <c r="O4" s="17" t="str">
        <f>TEXT(INDEX(년월기준[],MATCH($N$1,년월기준[년월],0),MATCH(N4,년월기준[#Headers],0)),"#,#")&amp;"권("&amp;
TEXT(INDEX(년월기준[],MATCH($N$1,년월기준[년월],0),MATCH("전년동월비(대출자수)",년월기준[#Headers],0)),"0%"&amp;")")</f>
        <v>1,185권(44%)</v>
      </c>
      <c r="P4" t="s">
        <v>642</v>
      </c>
      <c r="Q4" s="17" t="str">
        <f>TEXT(INDEX(년월기준[],MATCH($N$1,년월기준[년월],0),MATCH(P4,년월기준[#Headers],0)),"#,#")&amp;"권("&amp;
TEXT(INDEX(년월기준[],MATCH($N$1,년월기준[년월],0),MATCH("전년동월비(행사참여자수)",년월기준[#Headers],0)),"0%"&amp;")")</f>
        <v>6,201권(191%)</v>
      </c>
    </row>
    <row r="5" spans="1:17" x14ac:dyDescent="0.3">
      <c r="A5" s="1">
        <v>45383</v>
      </c>
      <c r="B5" s="1" t="str">
        <f>TEXT(년월기준[[#This Row],[년월]],"yy년m월")&amp;"연월"</f>
        <v>24년4월연월</v>
      </c>
      <c r="C5">
        <f>SUMIF(대출자[년월],년월기준[[#This Row],[년월]],대출자[총계])</f>
        <v>1056</v>
      </c>
      <c r="D5">
        <f>SUMIF(대출자[년월],년월기준[[#This Row],[년월]]-366,대출자[총계])</f>
        <v>837</v>
      </c>
      <c r="E5" s="4">
        <f>년월기준[[#This Row],[대출자수]]/년월기준[[#This Row],[대출자수(전년동월)]]-1</f>
        <v>0.26164874551971318</v>
      </c>
      <c r="F5">
        <f>SUMIFS(대출권수[합계],대출권수[년월],년월기준[[#This Row],[년월]],대출권수[대출반납],"대출")</f>
        <v>3866</v>
      </c>
      <c r="G5">
        <f>SUMIFS(대출권수[합계],대출권수[년월],년월기준[[#This Row],[년월]]-366,대출권수[대출반납],"대출")</f>
        <v>3658</v>
      </c>
      <c r="H5" s="4">
        <f>년월기준[[#This Row],[대출권수]]/년월기준[[#This Row],[대출권수(전년동월)]]-1</f>
        <v>5.6861673045379924E-2</v>
      </c>
      <c r="I5" s="8">
        <f>SUMIF(행사기준[년월],년월기준[[#This Row],[년월]],행사기준[계])</f>
        <v>10928</v>
      </c>
      <c r="J5" s="8">
        <v>2442</v>
      </c>
      <c r="K5" s="4">
        <f>년월기준[[#This Row],[행사참여자수]]/년월기준[[#This Row],[행사참여자수(전년동월)]]-1</f>
        <v>3.4750204750204752</v>
      </c>
    </row>
    <row r="6" spans="1:17" x14ac:dyDescent="0.3">
      <c r="A6" s="1">
        <v>45413</v>
      </c>
      <c r="B6" s="1" t="str">
        <f>TEXT(년월기준[[#This Row],[년월]],"yy년m월")&amp;"연월"</f>
        <v>24년5월연월</v>
      </c>
      <c r="C6">
        <f>SUMIF(대출자[년월],년월기준[[#This Row],[년월]],대출자[총계])</f>
        <v>1089</v>
      </c>
      <c r="D6">
        <f>SUMIF(대출자[년월],년월기준[[#This Row],[년월]]-366,대출자[총계])</f>
        <v>787</v>
      </c>
      <c r="E6" s="4">
        <f>년월기준[[#This Row],[대출자수]]/년월기준[[#This Row],[대출자수(전년동월)]]-1</f>
        <v>0.38373570520965683</v>
      </c>
      <c r="F6">
        <f>SUMIFS(대출권수[합계],대출권수[년월],년월기준[[#This Row],[년월]],대출권수[대출반납],"대출")</f>
        <v>3889</v>
      </c>
      <c r="G6">
        <f>SUMIFS(대출권수[합계],대출권수[년월],년월기준[[#This Row],[년월]]-366,대출권수[대출반납],"대출")</f>
        <v>3269</v>
      </c>
      <c r="H6" s="4">
        <f>년월기준[[#This Row],[대출권수]]/년월기준[[#This Row],[대출권수(전년동월)]]-1</f>
        <v>0.18966044661976134</v>
      </c>
      <c r="I6" s="8">
        <f>SUMIF(행사기준[년월],년월기준[[#This Row],[년월]],행사기준[계])</f>
        <v>6750</v>
      </c>
      <c r="J6" s="8">
        <v>2392</v>
      </c>
      <c r="K6" s="4">
        <f>년월기준[[#This Row],[행사참여자수]]/년월기준[[#This Row],[행사참여자수(전년동월)]]-1</f>
        <v>1.82190635451505</v>
      </c>
    </row>
    <row r="7" spans="1:17" x14ac:dyDescent="0.3">
      <c r="A7" s="1">
        <v>45444</v>
      </c>
      <c r="B7" s="1" t="str">
        <f>TEXT(년월기준[[#This Row],[년월]],"yy년m월")&amp;"연월"</f>
        <v>24년6월연월</v>
      </c>
      <c r="C7" s="9">
        <f>SUMIF(대출자[년월],년월기준[[#This Row],[년월]],대출자[총계])</f>
        <v>1195</v>
      </c>
      <c r="D7" s="11">
        <f>SUMIF(대출자[년월],년월기준[[#This Row],[년월]]-366,대출자[총계])</f>
        <v>832</v>
      </c>
      <c r="E7" s="4">
        <f>년월기준[[#This Row],[대출자수]]/년월기준[[#This Row],[대출자수(전년동월)]]-1</f>
        <v>0.43629807692307687</v>
      </c>
      <c r="F7" s="11">
        <f>SUMIFS(대출권수[합계],대출권수[년월],년월기준[[#This Row],[년월]],대출권수[대출반납],"대출")</f>
        <v>4438</v>
      </c>
      <c r="G7" s="11">
        <f>SUMIFS(대출권수[합계],대출권수[년월],년월기준[[#This Row],[년월]]-366,대출권수[대출반납],"대출")</f>
        <v>3789</v>
      </c>
      <c r="H7" s="4">
        <f>년월기준[[#This Row],[대출권수]]/년월기준[[#This Row],[대출권수(전년동월)]]-1</f>
        <v>0.17128529955133276</v>
      </c>
      <c r="I7" s="8">
        <f>SUMIF(행사기준[년월],년월기준[[#This Row],[년월]],행사기준[계])</f>
        <v>6666</v>
      </c>
      <c r="J7" s="8">
        <v>2602</v>
      </c>
      <c r="K7" s="4">
        <f>년월기준[[#This Row],[행사참여자수]]/년월기준[[#This Row],[행사참여자수(전년동월)]]-1</f>
        <v>1.5618754803996926</v>
      </c>
    </row>
    <row r="8" spans="1:17" x14ac:dyDescent="0.3">
      <c r="A8" s="1">
        <v>45474</v>
      </c>
      <c r="B8" s="1" t="str">
        <f>TEXT(년월기준[[#This Row],[년월]],"yy년m월")&amp;"연월"</f>
        <v>24년7월연월</v>
      </c>
      <c r="C8" s="9">
        <f>SUMIF(대출자[년월],년월기준[[#This Row],[년월]],대출자[총계])</f>
        <v>1311</v>
      </c>
      <c r="D8" s="13">
        <f>SUMIF(대출자[년월],년월기준[[#This Row],[년월]]-366,대출자[총계])</f>
        <v>943</v>
      </c>
      <c r="E8" s="4">
        <f>년월기준[[#This Row],[대출자수]]/년월기준[[#This Row],[대출자수(전년동월)]]-1</f>
        <v>0.39024390243902429</v>
      </c>
      <c r="F8" s="13">
        <f>SUMIFS(대출권수[합계],대출권수[년월],년월기준[[#This Row],[년월]],대출권수[대출반납],"대출")</f>
        <v>4950</v>
      </c>
      <c r="G8" s="13">
        <f>SUMIFS(대출권수[합계],대출권수[년월],년월기준[[#This Row],[년월]]-366,대출권수[대출반납],"대출")</f>
        <v>4133</v>
      </c>
      <c r="H8" s="4">
        <f>년월기준[[#This Row],[대출권수]]/년월기준[[#This Row],[대출권수(전년동월)]]-1</f>
        <v>0.19767723203484144</v>
      </c>
      <c r="I8" s="8">
        <f>SUMIF(행사기준[년월],년월기준[[#This Row],[년월]],행사기준[계])</f>
        <v>5599</v>
      </c>
      <c r="J8" s="8">
        <v>2948</v>
      </c>
      <c r="K8" s="4">
        <f>년월기준[[#This Row],[행사참여자수]]/년월기준[[#This Row],[행사참여자수(전년동월)]]-1</f>
        <v>0.89925373134328357</v>
      </c>
    </row>
    <row r="9" spans="1:17" x14ac:dyDescent="0.3">
      <c r="A9" s="1">
        <v>45505</v>
      </c>
      <c r="B9" s="1" t="str">
        <f>TEXT(년월기준[[#This Row],[년월]],"yy년m월")&amp;"연월"</f>
        <v>24년8월연월</v>
      </c>
      <c r="C9" s="9">
        <f>SUMIF(대출자[년월],년월기준[[#This Row],[년월]],대출자[총계])</f>
        <v>1374</v>
      </c>
      <c r="D9" s="17">
        <f>SUMIF(대출자[년월],년월기준[[#This Row],[년월]]-366,대출자[총계])</f>
        <v>1000</v>
      </c>
      <c r="E9" s="4">
        <f>년월기준[[#This Row],[대출자수]]/년월기준[[#This Row],[대출자수(전년동월)]]-1</f>
        <v>0.37400000000000011</v>
      </c>
      <c r="F9" s="9">
        <f>SUMIFS(대출권수[합계],대출권수[년월],년월기준[[#This Row],[년월]],대출권수[대출반납],"대출")</f>
        <v>5261</v>
      </c>
      <c r="G9" s="17">
        <f>SUMIFS(대출권수[합계],대출권수[년월],년월기준[[#This Row],[년월]]-366,대출권수[대출반납],"대출")</f>
        <v>4307</v>
      </c>
      <c r="H9" s="4">
        <f>년월기준[[#This Row],[대출권수]]/년월기준[[#This Row],[대출권수(전년동월)]]-1</f>
        <v>0.22149988390991404</v>
      </c>
      <c r="I9" s="8">
        <f>SUMIF(행사기준[년월],년월기준[[#This Row],[년월]],행사기준[계])</f>
        <v>3532</v>
      </c>
      <c r="J9" s="8">
        <v>2658</v>
      </c>
      <c r="K9" s="4">
        <f>년월기준[[#This Row],[행사참여자수]]/년월기준[[#This Row],[행사참여자수(전년동월)]]-1</f>
        <v>0.32881866064710308</v>
      </c>
    </row>
    <row r="10" spans="1:17" x14ac:dyDescent="0.3">
      <c r="A10" s="1">
        <v>45536</v>
      </c>
      <c r="B10" s="1" t="str">
        <f>TEXT(년월기준[[#This Row],[년월]],"yy년m월")&amp;"연월"</f>
        <v>24년9월연월</v>
      </c>
      <c r="C10" s="9">
        <f>SUMIF(대출자[년월],년월기준[[#This Row],[년월]],대출자[총계])</f>
        <v>1179</v>
      </c>
      <c r="D10" s="17">
        <f>SUMIF(대출자[년월],년월기준[[#This Row],[년월]]-366,대출자[총계])</f>
        <v>849</v>
      </c>
      <c r="E10" s="4">
        <f>년월기준[[#This Row],[대출자수]]/년월기준[[#This Row],[대출자수(전년동월)]]-1</f>
        <v>0.38869257950530045</v>
      </c>
      <c r="F10" s="9">
        <f>SUMIFS(대출권수[합계],대출권수[년월],년월기준[[#This Row],[년월]],대출권수[대출반납],"대출")</f>
        <v>4930</v>
      </c>
      <c r="G10" s="17">
        <f>SUMIFS(대출권수[합계],대출권수[년월],년월기준[[#This Row],[년월]]-366,대출권수[대출반납],"대출")</f>
        <v>3717</v>
      </c>
      <c r="H10" s="4">
        <f>년월기준[[#This Row],[대출권수]]/년월기준[[#This Row],[대출권수(전년동월)]]-1</f>
        <v>0.32633844498251285</v>
      </c>
      <c r="I10" s="8">
        <f>SUMIF(행사기준[년월],년월기준[[#This Row],[년월]],행사기준[계])</f>
        <v>5590</v>
      </c>
      <c r="J10" s="8">
        <v>2584</v>
      </c>
      <c r="K10" s="4">
        <f>년월기준[[#This Row],[행사참여자수]]/년월기준[[#This Row],[행사참여자수(전년동월)]]-1</f>
        <v>1.1633126934984519</v>
      </c>
    </row>
    <row r="11" spans="1:17" x14ac:dyDescent="0.3">
      <c r="A11" s="1">
        <v>45566</v>
      </c>
      <c r="B11" s="1" t="str">
        <f>TEXT(년월기준[[#This Row],[년월]],"yy년m월")&amp;"연월"</f>
        <v>24년10월연월</v>
      </c>
      <c r="C11" s="9">
        <f>SUMIF(대출자[년월],년월기준[[#This Row],[년월]],대출자[총계])</f>
        <v>1105</v>
      </c>
      <c r="D11" s="17">
        <f>SUMIF(대출자[년월],년월기준[[#This Row],[년월]]-366,대출자[총계])</f>
        <v>771</v>
      </c>
      <c r="E11" s="4">
        <f>년월기준[[#This Row],[대출자수]]/년월기준[[#This Row],[대출자수(전년동월)]]-1</f>
        <v>0.43320363164721143</v>
      </c>
      <c r="F11" s="9">
        <f>SUMIFS(대출권수[합계],대출권수[년월],년월기준[[#This Row],[년월]],대출권수[대출반납],"대출")</f>
        <v>4142</v>
      </c>
      <c r="G11" s="17">
        <f>SUMIFS(대출권수[합계],대출권수[년월],년월기준[[#This Row],[년월]]-366,대출권수[대출반납],"대출")</f>
        <v>3403</v>
      </c>
      <c r="H11" s="4">
        <f>년월기준[[#This Row],[대출권수]]/년월기준[[#This Row],[대출권수(전년동월)]]-1</f>
        <v>0.2171613282397884</v>
      </c>
      <c r="I11" s="8">
        <f>SUMIF(행사기준[년월],년월기준[[#This Row],[년월]],행사기준[계])</f>
        <v>5102</v>
      </c>
      <c r="J11" s="8">
        <v>2652</v>
      </c>
      <c r="K11" s="4">
        <f>년월기준[[#This Row],[행사참여자수]]/년월기준[[#This Row],[행사참여자수(전년동월)]]-1</f>
        <v>0.92383107088989447</v>
      </c>
    </row>
    <row r="12" spans="1:17" x14ac:dyDescent="0.3">
      <c r="A12" s="1">
        <v>45597</v>
      </c>
      <c r="B12" s="1" t="str">
        <f>TEXT(년월기준[[#This Row],[년월]],"yy년m월")&amp;"연월"</f>
        <v>24년11월연월</v>
      </c>
      <c r="C12" s="9">
        <f>SUMIF(대출자[년월],년월기준[[#This Row],[년월]],대출자[총계])</f>
        <v>1185</v>
      </c>
      <c r="D12" s="17">
        <f>SUMIF(대출자[년월],년월기준[[#This Row],[년월]]-366,대출자[총계])</f>
        <v>821</v>
      </c>
      <c r="E12" s="4">
        <f>년월기준[[#This Row],[대출자수]]/년월기준[[#This Row],[대출자수(전년동월)]]-1</f>
        <v>0.44336175395858701</v>
      </c>
      <c r="F12" s="9">
        <f>SUMIFS(대출권수[합계],대출권수[년월],년월기준[[#This Row],[년월]],대출권수[대출반납],"대출")</f>
        <v>4674</v>
      </c>
      <c r="G12" s="17">
        <f>SUMIFS(대출권수[합계],대출권수[년월],년월기준[[#This Row],[년월]]-366,대출권수[대출반납],"대출")</f>
        <v>3839</v>
      </c>
      <c r="H12" s="4">
        <f>년월기준[[#This Row],[대출권수]]/년월기준[[#This Row],[대출권수(전년동월)]]-1</f>
        <v>0.21750455847877048</v>
      </c>
      <c r="I12" s="8">
        <f>SUMIF(행사기준[년월],년월기준[[#This Row],[년월]],행사기준[계])</f>
        <v>6201</v>
      </c>
      <c r="J12" s="8">
        <v>2130</v>
      </c>
      <c r="K12" s="4">
        <f>년월기준[[#This Row],[행사참여자수]]/년월기준[[#This Row],[행사참여자수(전년동월)]]-1</f>
        <v>1.9112676056338027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AA283"/>
  <sheetViews>
    <sheetView workbookViewId="0">
      <pane xSplit="2" ySplit="1" topLeftCell="C260" activePane="bottomRight" state="frozen"/>
      <selection activeCell="AS38" sqref="AS38"/>
      <selection pane="topRight" activeCell="AS38" sqref="AS38"/>
      <selection pane="bottomLeft" activeCell="AS38" sqref="AS38"/>
      <selection pane="bottomRight" activeCell="K283" sqref="K283:L283"/>
    </sheetView>
  </sheetViews>
  <sheetFormatPr defaultRowHeight="16.5" x14ac:dyDescent="0.3"/>
  <cols>
    <col min="1" max="1" width="9.25" bestFit="1" customWidth="1"/>
    <col min="2" max="2" width="23.5" bestFit="1" customWidth="1"/>
    <col min="3" max="3" width="23.5" customWidth="1"/>
    <col min="4" max="8" width="12.125" customWidth="1"/>
    <col min="9" max="13" width="10.25" customWidth="1"/>
    <col min="20" max="22" width="10.25" customWidth="1"/>
    <col min="27" max="27" width="11.875" customWidth="1"/>
  </cols>
  <sheetData>
    <row r="1" spans="1:27" x14ac:dyDescent="0.3">
      <c r="A1" t="s">
        <v>52</v>
      </c>
      <c r="B1" t="s">
        <v>27</v>
      </c>
      <c r="C1" t="s">
        <v>153</v>
      </c>
      <c r="D1" t="s">
        <v>75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114</v>
      </c>
      <c r="L1" t="s">
        <v>115</v>
      </c>
      <c r="M1" t="s">
        <v>116</v>
      </c>
      <c r="N1" t="s">
        <v>76</v>
      </c>
      <c r="O1" t="s">
        <v>77</v>
      </c>
      <c r="P1" t="s">
        <v>158</v>
      </c>
      <c r="Q1" t="s">
        <v>54</v>
      </c>
      <c r="R1" t="s">
        <v>56</v>
      </c>
      <c r="S1" t="s">
        <v>58</v>
      </c>
      <c r="T1" t="s">
        <v>60</v>
      </c>
      <c r="U1" t="s">
        <v>62</v>
      </c>
      <c r="V1" t="s">
        <v>64</v>
      </c>
      <c r="W1" t="s">
        <v>66</v>
      </c>
      <c r="X1" t="s">
        <v>68</v>
      </c>
      <c r="Y1" t="s">
        <v>70</v>
      </c>
      <c r="Z1" t="s">
        <v>72</v>
      </c>
      <c r="AA1" t="s">
        <v>157</v>
      </c>
    </row>
    <row r="2" spans="1:27" x14ac:dyDescent="0.3">
      <c r="A2" s="5">
        <v>45292</v>
      </c>
      <c r="B2" t="s">
        <v>21</v>
      </c>
      <c r="C2" s="5" t="str">
        <f>TEXT(자료실기준[[#This Row],[년월]],"yy년m월")&amp;자료실기준[[#This Row],[소장처명]]</f>
        <v>24년1월종합자료실</v>
      </c>
      <c r="D2" t="str">
        <f>IFERROR(INDEX(자료실범례[],MATCH($B2,자료실범례[소장처명],0),2),"종합자료실")</f>
        <v>종합자료실</v>
      </c>
      <c r="E2" cm="1">
        <f t="array" ref="E2">IFERROR(INDEX(대출자[],MATCH(1,(자료실기준[[#This Row],[소장처명]]=대출자[소장처명])*(자료실기준[[#This Row],[년월]]=대출자[년월]),0),MATCH(E$1,대출자[#Headers],0)),0)</f>
        <v>12</v>
      </c>
      <c r="F2" cm="1">
        <f t="array" ref="F2">IFERROR(INDEX(대출자[],MATCH(1,(자료실기준[[#This Row],[소장처명]]=대출자[소장처명])*(자료실기준[[#This Row],[년월]]=대출자[년월]),0),MATCH(F$1,대출자[#Headers],0)),0)</f>
        <v>5</v>
      </c>
      <c r="G2" cm="1">
        <f t="array" ref="G2">IFERROR(INDEX(대출자[],MATCH(1,(자료실기준[[#This Row],[소장처명]]=대출자[소장처명])*(자료실기준[[#This Row],[년월]]=대출자[년월]),0),MATCH(G$1,대출자[#Headers],0)),0)</f>
        <v>22</v>
      </c>
      <c r="H2" cm="1">
        <f t="array" ref="H2">IFERROR(INDEX(대출자[],MATCH(1,(자료실기준[[#This Row],[소장처명]]=대출자[소장처명])*(자료실기준[[#This Row],[년월]]=대출자[년월]),0),MATCH(H$1,대출자[#Headers],0)),0)</f>
        <v>32</v>
      </c>
      <c r="I2" cm="1">
        <f t="array" ref="I2">IFERROR(INDEX(대출자[],MATCH(1,(자료실기준[[#This Row],[소장처명]]=대출자[소장처명])*(자료실기준[[#This Row],[년월]]=대출자[년월]),0),MATCH(I$1,대출자[#Headers],0)),0)</f>
        <v>136</v>
      </c>
      <c r="J2" cm="1">
        <f t="array" ref="J2">IFERROR(INDEX(대출자[],MATCH(1,(자료실기준[[#This Row],[소장처명]]=대출자[소장처명])*(자료실기준[[#This Row],[년월]]=대출자[년월]),0),MATCH(J$1,대출자[#Headers],0)),0)</f>
        <v>267</v>
      </c>
      <c r="K2" cm="1">
        <f t="array" ref="K2">IFERROR(INDEX(대출자[],MATCH(1,(자료실기준[[#This Row],[소장처명]]=대출자[소장처명])*(자료실기준[[#This Row],[년월]]=대출자[년월]),0),MATCH(K$1,대출자[#Headers],0)),0)</f>
        <v>17</v>
      </c>
      <c r="L2" cm="1">
        <f t="array" ref="L2">IFERROR(INDEX(대출자[],MATCH(1,(자료실기준[[#This Row],[소장처명]]=대출자[소장처명])*(자료실기준[[#This Row],[년월]]=대출자[년월]),0),MATCH(L$1,대출자[#Headers],0)),0)</f>
        <v>54</v>
      </c>
      <c r="M2" cm="1">
        <f t="array" ref="M2">IFERROR(INDEX(대출자[],MATCH(1,(자료실기준[[#This Row],[소장처명]]=대출자[소장처명])*(자료실기준[[#This Row],[년월]]=대출자[년월]),0),MATCH(M$1,대출자[#Headers],0)),0)</f>
        <v>403</v>
      </c>
      <c r="N2">
        <f>IFERROR(자료실기준[[#This Row],[어린이남자]]+자료실기준[[#This Row],[청소년남자]]+자료실기준[[#This Row],[성인남자]],0)</f>
        <v>170</v>
      </c>
      <c r="O2">
        <f>IFERROR(자료실기준[[#This Row],[어린이여자]]+자료실기준[[#This Row],[청소년여자]]+자료실기준[[#This Row],[성인여자]],0)</f>
        <v>304</v>
      </c>
      <c r="P2">
        <f>IFERROR(자료실기준[[#This Row],[남자]]+자료실기준[[#This Row],[여자]],0)</f>
        <v>474</v>
      </c>
      <c r="Q2" cm="1">
        <f t="array" ref="Q2">IFERROR(INDEX(대출권수[],MATCH(1,(자료실기준[[#This Row],[소장처명]]=대출권수[소장처명])*(대출권수[대출반납]="대출")*(자료실기준[[#This Row],[년월]]=대출권수[년월]),0),MATCH(Q$1,대출권수[#Headers],0)),0)</f>
        <v>54</v>
      </c>
      <c r="R2" cm="1">
        <f t="array" ref="R2">IFERROR(INDEX(대출권수[],MATCH(1,(자료실기준[[#This Row],[소장처명]]=대출권수[소장처명])*(대출권수[대출반납]="대출")*(자료실기준[[#This Row],[년월]]=대출권수[년월]),0),MATCH(R$1,대출권수[#Headers],0)),0)</f>
        <v>159</v>
      </c>
      <c r="S2" cm="1">
        <f t="array" ref="S2">IFERROR(INDEX(대출권수[],MATCH(1,(자료실기준[[#This Row],[소장처명]]=대출권수[소장처명])*(대출권수[대출반납]="대출")*(자료실기준[[#This Row],[년월]]=대출권수[년월]),0),MATCH(S$1,대출권수[#Headers],0)),0)</f>
        <v>31</v>
      </c>
      <c r="T2" cm="1">
        <f t="array" ref="T2">IFERROR(INDEX(대출권수[],MATCH(1,(자료실기준[[#This Row],[소장처명]]=대출권수[소장처명])*(대출권수[대출반납]="대출")*(자료실기준[[#This Row],[년월]]=대출권수[년월]),0),MATCH(T$1,대출권수[#Headers],0)),0)</f>
        <v>308</v>
      </c>
      <c r="U2" cm="1">
        <f t="array" ref="U2">IFERROR(INDEX(대출권수[],MATCH(1,(자료실기준[[#This Row],[소장처명]]=대출권수[소장처명])*(대출권수[대출반납]="대출")*(자료실기준[[#This Row],[년월]]=대출권수[년월]),0),MATCH(U$1,대출권수[#Headers],0)),0)</f>
        <v>49</v>
      </c>
      <c r="V2" cm="1">
        <f t="array" ref="V2">IFERROR(INDEX(대출권수[],MATCH(1,(자료실기준[[#This Row],[소장처명]]=대출권수[소장처명])*(대출권수[대출반납]="대출")*(자료실기준[[#This Row],[년월]]=대출권수[년월]),0),MATCH(V$1,대출권수[#Headers],0)),0)</f>
        <v>144</v>
      </c>
      <c r="W2" cm="1">
        <f t="array" ref="W2">IFERROR(INDEX(대출권수[],MATCH(1,(자료실기준[[#This Row],[소장처명]]=대출권수[소장처명])*(대출권수[대출반납]="대출")*(자료실기준[[#This Row],[년월]]=대출권수[년월]),0),MATCH(W$1,대출권수[#Headers],0)),0)</f>
        <v>63</v>
      </c>
      <c r="X2" cm="1">
        <f t="array" ref="X2">IFERROR(INDEX(대출권수[],MATCH(1,(자료실기준[[#This Row],[소장처명]]=대출권수[소장처명])*(대출권수[대출반납]="대출")*(자료실기준[[#This Row],[년월]]=대출권수[년월]),0),MATCH(X$1,대출권수[#Headers],0)),0)</f>
        <v>65</v>
      </c>
      <c r="Y2" cm="1">
        <f t="array" ref="Y2">IFERROR(INDEX(대출권수[],MATCH(1,(자료실기준[[#This Row],[소장처명]]=대출권수[소장처명])*(대출권수[대출반납]="대출")*(자료실기준[[#This Row],[년월]]=대출권수[년월]),0),MATCH(Y$1,대출권수[#Headers],0)),0)</f>
        <v>724</v>
      </c>
      <c r="Z2" cm="1">
        <f t="array" ref="Z2">IFERROR(INDEX(대출권수[],MATCH(1,(자료실기준[[#This Row],[소장처명]]=대출권수[소장처명])*(대출권수[대출반납]="대출")*(자료실기준[[#This Row],[년월]]=대출권수[년월]),0),MATCH(Z$1,대출권수[#Headers],0)),0)</f>
        <v>116</v>
      </c>
      <c r="AA2">
        <f>SUM(자료실기준[[#This Row],[총류]:[역사]])</f>
        <v>1713</v>
      </c>
    </row>
    <row r="3" spans="1:27" x14ac:dyDescent="0.3">
      <c r="A3" s="5">
        <v>45292</v>
      </c>
      <c r="B3" t="s">
        <v>16</v>
      </c>
      <c r="C3" s="5" t="str">
        <f>TEXT(자료실기준[[#This Row],[년월]],"yy년m월")&amp;자료실기준[[#This Row],[소장처명]]</f>
        <v>24년1월어린이자료실</v>
      </c>
      <c r="D3" t="str">
        <f>IFERROR(INDEX(자료실범례[],MATCH($B3,자료실범례[소장처명],0),2),"종합자료실")</f>
        <v>어린이자료실</v>
      </c>
      <c r="E3" cm="1">
        <f t="array" ref="E3">IFERROR(INDEX(대출자[],MATCH(1,(자료실기준[[#This Row],[소장처명]]=대출자[소장처명])*(자료실기준[[#This Row],[년월]]=대출자[년월]),0),MATCH(E$1,대출자[#Headers],0)),0)</f>
        <v>56</v>
      </c>
      <c r="F3" cm="1">
        <f t="array" ref="F3">IFERROR(INDEX(대출자[],MATCH(1,(자료실기준[[#This Row],[소장처명]]=대출자[소장처명])*(자료실기준[[#This Row],[년월]]=대출자[년월]),0),MATCH(F$1,대출자[#Headers],0)),0)</f>
        <v>58</v>
      </c>
      <c r="G3" cm="1">
        <f t="array" ref="G3">IFERROR(INDEX(대출자[],MATCH(1,(자료실기준[[#This Row],[소장처명]]=대출자[소장처명])*(자료실기준[[#This Row],[년월]]=대출자[년월]),0),MATCH(G$1,대출자[#Headers],0)),0)</f>
        <v>5</v>
      </c>
      <c r="H3" cm="1">
        <f t="array" ref="H3">IFERROR(INDEX(대출자[],MATCH(1,(자료실기준[[#This Row],[소장처명]]=대출자[소장처명])*(자료실기준[[#This Row],[년월]]=대출자[년월]),0),MATCH(H$1,대출자[#Headers],0)),0)</f>
        <v>8</v>
      </c>
      <c r="I3" cm="1">
        <f t="array" ref="I3">IFERROR(INDEX(대출자[],MATCH(1,(자료실기준[[#This Row],[소장처명]]=대출자[소장처명])*(자료실기준[[#This Row],[년월]]=대출자[년월]),0),MATCH(I$1,대출자[#Headers],0)),0)</f>
        <v>54</v>
      </c>
      <c r="J3" cm="1">
        <f t="array" ref="J3">IFERROR(INDEX(대출자[],MATCH(1,(자료실기준[[#This Row],[소장처명]]=대출자[소장처명])*(자료실기준[[#This Row],[년월]]=대출자[년월]),0),MATCH(J$1,대출자[#Headers],0)),0)</f>
        <v>115</v>
      </c>
      <c r="K3" cm="1">
        <f t="array" ref="K3">IFERROR(INDEX(대출자[],MATCH(1,(자료실기준[[#This Row],[소장처명]]=대출자[소장처명])*(자료실기준[[#This Row],[년월]]=대출자[년월]),0),MATCH(K$1,대출자[#Headers],0)),0)</f>
        <v>114</v>
      </c>
      <c r="L3" cm="1">
        <f t="array" ref="L3">IFERROR(INDEX(대출자[],MATCH(1,(자료실기준[[#This Row],[소장처명]]=대출자[소장처명])*(자료실기준[[#This Row],[년월]]=대출자[년월]),0),MATCH(L$1,대출자[#Headers],0)),0)</f>
        <v>13</v>
      </c>
      <c r="M3" cm="1">
        <f t="array" ref="M3">IFERROR(INDEX(대출자[],MATCH(1,(자료실기준[[#This Row],[소장처명]]=대출자[소장처명])*(자료실기준[[#This Row],[년월]]=대출자[년월]),0),MATCH(M$1,대출자[#Headers],0)),0)</f>
        <v>169</v>
      </c>
      <c r="N3">
        <f>IFERROR(자료실기준[[#This Row],[어린이남자]]+자료실기준[[#This Row],[청소년남자]]+자료실기준[[#This Row],[성인남자]],0)</f>
        <v>115</v>
      </c>
      <c r="O3">
        <f>IFERROR(자료실기준[[#This Row],[어린이여자]]+자료실기준[[#This Row],[청소년여자]]+자료실기준[[#This Row],[성인여자]],0)</f>
        <v>181</v>
      </c>
      <c r="P3">
        <f>IFERROR(자료실기준[[#This Row],[남자]]+자료실기준[[#This Row],[여자]],0)</f>
        <v>296</v>
      </c>
      <c r="Q3" cm="1">
        <f t="array" ref="Q3">IFERROR(INDEX(대출권수[],MATCH(1,(자료실기준[[#This Row],[소장처명]]=대출권수[소장처명])*(대출권수[대출반납]="대출")*(자료실기준[[#This Row],[년월]]=대출권수[년월]),0),MATCH(Q$1,대출권수[#Headers],0)),0)</f>
        <v>21</v>
      </c>
      <c r="R3" cm="1">
        <f t="array" ref="R3">IFERROR(INDEX(대출권수[],MATCH(1,(자료실기준[[#This Row],[소장처명]]=대출권수[소장처명])*(대출권수[대출반납]="대출")*(자료실기준[[#This Row],[년월]]=대출권수[년월]),0),MATCH(R$1,대출권수[#Headers],0)),0)</f>
        <v>36</v>
      </c>
      <c r="S3" cm="1">
        <f t="array" ref="S3">IFERROR(INDEX(대출권수[],MATCH(1,(자료실기준[[#This Row],[소장처명]]=대출권수[소장처명])*(대출권수[대출반납]="대출")*(자료실기준[[#This Row],[년월]]=대출권수[년월]),0),MATCH(S$1,대출권수[#Headers],0)),0)</f>
        <v>2</v>
      </c>
      <c r="T3" cm="1">
        <f t="array" ref="T3">IFERROR(INDEX(대출권수[],MATCH(1,(자료실기준[[#This Row],[소장처명]]=대출권수[소장처명])*(대출권수[대출반납]="대출")*(자료실기준[[#This Row],[년월]]=대출권수[년월]),0),MATCH(T$1,대출권수[#Headers],0)),0)</f>
        <v>226</v>
      </c>
      <c r="U3" cm="1">
        <f t="array" ref="U3">IFERROR(INDEX(대출권수[],MATCH(1,(자료실기준[[#This Row],[소장처명]]=대출권수[소장처명])*(대출권수[대출반납]="대출")*(자료실기준[[#This Row],[년월]]=대출권수[년월]),0),MATCH(U$1,대출권수[#Headers],0)),0)</f>
        <v>170</v>
      </c>
      <c r="V3" cm="1">
        <f t="array" ref="V3">IFERROR(INDEX(대출권수[],MATCH(1,(자료실기준[[#This Row],[소장처명]]=대출권수[소장처명])*(대출권수[대출반납]="대출")*(자료실기준[[#This Row],[년월]]=대출권수[년월]),0),MATCH(V$1,대출권수[#Headers],0)),0)</f>
        <v>75</v>
      </c>
      <c r="W3" cm="1">
        <f t="array" ref="W3">IFERROR(INDEX(대출권수[],MATCH(1,(자료실기준[[#This Row],[소장처명]]=대출권수[소장처명])*(대출권수[대출반납]="대출")*(자료실기준[[#This Row],[년월]]=대출권수[년월]),0),MATCH(W$1,대출권수[#Headers],0)),0)</f>
        <v>41</v>
      </c>
      <c r="X3" cm="1">
        <f t="array" ref="X3">IFERROR(INDEX(대출권수[],MATCH(1,(자료실기준[[#This Row],[소장처명]]=대출권수[소장처명])*(대출권수[대출반납]="대출")*(자료실기준[[#This Row],[년월]]=대출권수[년월]),0),MATCH(X$1,대출권수[#Headers],0)),0)</f>
        <v>36</v>
      </c>
      <c r="Y3" cm="1">
        <f t="array" ref="Y3">IFERROR(INDEX(대출권수[],MATCH(1,(자료실기준[[#This Row],[소장처명]]=대출권수[소장처명])*(대출권수[대출반납]="대출")*(자료실기준[[#This Row],[년월]]=대출권수[년월]),0),MATCH(Y$1,대출권수[#Headers],0)),0)</f>
        <v>1052</v>
      </c>
      <c r="Z3" cm="1">
        <f t="array" ref="Z3">IFERROR(INDEX(대출권수[],MATCH(1,(자료실기준[[#This Row],[소장처명]]=대출권수[소장처명])*(대출권수[대출반납]="대출")*(자료실기준[[#This Row],[년월]]=대출권수[년월]),0),MATCH(Z$1,대출권수[#Headers],0)),0)</f>
        <v>87</v>
      </c>
      <c r="AA3">
        <f>SUM(자료실기준[[#This Row],[총류]:[역사]])</f>
        <v>1746</v>
      </c>
    </row>
    <row r="4" spans="1:27" x14ac:dyDescent="0.3">
      <c r="A4" s="5">
        <v>45292</v>
      </c>
      <c r="B4" t="s">
        <v>2</v>
      </c>
      <c r="C4" s="5" t="str">
        <f>TEXT(자료실기준[[#This Row],[년월]],"yy년m월")&amp;자료실기준[[#This Row],[소장처명]]</f>
        <v>24년1월디지털자료실</v>
      </c>
      <c r="D4" t="str">
        <f>IFERROR(INDEX(자료실범례[],MATCH($B4,자료실범례[소장처명],0),2),"종합자료실")</f>
        <v>디지털자료실</v>
      </c>
      <c r="E4" cm="1">
        <f t="array" ref="E4">IFERROR(INDEX(대출자[],MATCH(1,(자료실기준[[#This Row],[소장처명]]=대출자[소장처명])*(자료실기준[[#This Row],[년월]]=대출자[년월]),0),MATCH(E$1,대출자[#Headers],0)),0)</f>
        <v>2</v>
      </c>
      <c r="F4" cm="1">
        <f t="array" ref="F4">IFERROR(INDEX(대출자[],MATCH(1,(자료실기준[[#This Row],[소장처명]]=대출자[소장처명])*(자료실기준[[#This Row],[년월]]=대출자[년월]),0),MATCH(F$1,대출자[#Headers],0)),0)</f>
        <v>3</v>
      </c>
      <c r="G4" cm="1">
        <f t="array" ref="G4">IFERROR(INDEX(대출자[],MATCH(1,(자료실기준[[#This Row],[소장처명]]=대출자[소장처명])*(자료실기준[[#This Row],[년월]]=대출자[년월]),0),MATCH(G$1,대출자[#Headers],0)),0)</f>
        <v>0</v>
      </c>
      <c r="H4" cm="1">
        <f t="array" ref="H4">IFERROR(INDEX(대출자[],MATCH(1,(자료실기준[[#This Row],[소장처명]]=대출자[소장처명])*(자료실기준[[#This Row],[년월]]=대출자[년월]),0),MATCH(H$1,대출자[#Headers],0)),0)</f>
        <v>1</v>
      </c>
      <c r="I4" cm="1">
        <f t="array" ref="I4">IFERROR(INDEX(대출자[],MATCH(1,(자료실기준[[#This Row],[소장처명]]=대출자[소장처명])*(자료실기준[[#This Row],[년월]]=대출자[년월]),0),MATCH(I$1,대출자[#Headers],0)),0)</f>
        <v>4</v>
      </c>
      <c r="J4" cm="1">
        <f t="array" ref="J4">IFERROR(INDEX(대출자[],MATCH(1,(자료실기준[[#This Row],[소장처명]]=대출자[소장처명])*(자료실기준[[#This Row],[년월]]=대출자[년월]),0),MATCH(J$1,대출자[#Headers],0)),0)</f>
        <v>6</v>
      </c>
      <c r="K4" cm="1">
        <f t="array" ref="K4">IFERROR(INDEX(대출자[],MATCH(1,(자료실기준[[#This Row],[소장처명]]=대출자[소장처명])*(자료실기준[[#This Row],[년월]]=대출자[년월]),0),MATCH(K$1,대출자[#Headers],0)),0)</f>
        <v>5</v>
      </c>
      <c r="L4" cm="1">
        <f t="array" ref="L4">IFERROR(INDEX(대출자[],MATCH(1,(자료실기준[[#This Row],[소장처명]]=대출자[소장처명])*(자료실기준[[#This Row],[년월]]=대출자[년월]),0),MATCH(L$1,대출자[#Headers],0)),0)</f>
        <v>1</v>
      </c>
      <c r="M4" cm="1">
        <f t="array" ref="M4">IFERROR(INDEX(대출자[],MATCH(1,(자료실기준[[#This Row],[소장처명]]=대출자[소장처명])*(자료실기준[[#This Row],[년월]]=대출자[년월]),0),MATCH(M$1,대출자[#Headers],0)),0)</f>
        <v>10</v>
      </c>
      <c r="N4">
        <f>IFERROR(자료실기준[[#This Row],[어린이남자]]+자료실기준[[#This Row],[청소년남자]]+자료실기준[[#This Row],[성인남자]],0)</f>
        <v>6</v>
      </c>
      <c r="O4">
        <f>IFERROR(자료실기준[[#This Row],[어린이여자]]+자료실기준[[#This Row],[청소년여자]]+자료실기준[[#This Row],[성인여자]],0)</f>
        <v>10</v>
      </c>
      <c r="P4">
        <f>IFERROR(자료실기준[[#This Row],[남자]]+자료실기준[[#This Row],[여자]],0)</f>
        <v>16</v>
      </c>
      <c r="Q4" cm="1">
        <f t="array" ref="Q4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4" cm="1">
        <f t="array" ref="R4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4" cm="1">
        <f t="array" ref="S4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4" cm="1">
        <f t="array" ref="T4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4" cm="1">
        <f t="array" ref="U4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4" cm="1">
        <f t="array" ref="V4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4" cm="1">
        <f t="array" ref="W4">IFERROR(INDEX(대출권수[],MATCH(1,(자료실기준[[#This Row],[소장처명]]=대출권수[소장처명])*(대출권수[대출반납]="대출")*(자료실기준[[#This Row],[년월]]=대출권수[년월]),0),MATCH(W$1,대출권수[#Headers],0)),0)</f>
        <v>37</v>
      </c>
      <c r="X4" cm="1">
        <f t="array" ref="X4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4" cm="1">
        <f t="array" ref="Y4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4" cm="1">
        <f t="array" ref="Z4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4">
        <f>SUM(자료실기준[[#This Row],[총류]:[역사]])</f>
        <v>37</v>
      </c>
    </row>
    <row r="5" spans="1:27" x14ac:dyDescent="0.3">
      <c r="A5" s="5">
        <v>45292</v>
      </c>
      <c r="B5" t="s">
        <v>19</v>
      </c>
      <c r="C5" s="5" t="str">
        <f>TEXT(자료실기준[[#This Row],[년월]],"yy년m월")&amp;자료실기준[[#This Row],[소장처명]]</f>
        <v>24년1월종합실(신간도서)</v>
      </c>
      <c r="D5" t="str">
        <f>IFERROR(INDEX(자료실범례[],MATCH($B5,자료실범례[소장처명],0),2),"종합자료실")</f>
        <v>종합자료실</v>
      </c>
      <c r="E5" cm="1">
        <f t="array" ref="E5">IFERROR(INDEX(대출자[],MATCH(1,(자료실기준[[#This Row],[소장처명]]=대출자[소장처명])*(자료실기준[[#This Row],[년월]]=대출자[년월]),0),MATCH(E$1,대출자[#Headers],0)),0)</f>
        <v>8</v>
      </c>
      <c r="F5" cm="1">
        <f t="array" ref="F5">IFERROR(INDEX(대출자[],MATCH(1,(자료실기준[[#This Row],[소장처명]]=대출자[소장처명])*(자료실기준[[#This Row],[년월]]=대출자[년월]),0),MATCH(F$1,대출자[#Headers],0)),0)</f>
        <v>6</v>
      </c>
      <c r="G5" cm="1">
        <f t="array" ref="G5">IFERROR(INDEX(대출자[],MATCH(1,(자료실기준[[#This Row],[소장처명]]=대출자[소장처명])*(자료실기준[[#This Row],[년월]]=대출자[년월]),0),MATCH(G$1,대출자[#Headers],0)),0)</f>
        <v>4</v>
      </c>
      <c r="H5" cm="1">
        <f t="array" ref="H5">IFERROR(INDEX(대출자[],MATCH(1,(자료실기준[[#This Row],[소장처명]]=대출자[소장처명])*(자료실기준[[#This Row],[년월]]=대출자[년월]),0),MATCH(H$1,대출자[#Headers],0)),0)</f>
        <v>3</v>
      </c>
      <c r="I5" cm="1">
        <f t="array" ref="I5">IFERROR(INDEX(대출자[],MATCH(1,(자료실기준[[#This Row],[소장처명]]=대출자[소장처명])*(자료실기준[[#This Row],[년월]]=대출자[년월]),0),MATCH(I$1,대출자[#Headers],0)),0)</f>
        <v>65</v>
      </c>
      <c r="J5" cm="1">
        <f t="array" ref="J5">IFERROR(INDEX(대출자[],MATCH(1,(자료실기준[[#This Row],[소장처명]]=대출자[소장처명])*(자료실기준[[#This Row],[년월]]=대출자[년월]),0),MATCH(J$1,대출자[#Headers],0)),0)</f>
        <v>109</v>
      </c>
      <c r="K5" cm="1">
        <f t="array" ref="K5">IFERROR(INDEX(대출자[],MATCH(1,(자료실기준[[#This Row],[소장처명]]=대출자[소장처명])*(자료실기준[[#This Row],[년월]]=대출자[년월]),0),MATCH(K$1,대출자[#Headers],0)),0)</f>
        <v>14</v>
      </c>
      <c r="L5" cm="1">
        <f t="array" ref="L5">IFERROR(INDEX(대출자[],MATCH(1,(자료실기준[[#This Row],[소장처명]]=대출자[소장처명])*(자료실기준[[#This Row],[년월]]=대출자[년월]),0),MATCH(L$1,대출자[#Headers],0)),0)</f>
        <v>7</v>
      </c>
      <c r="M5" cm="1">
        <f t="array" ref="M5">IFERROR(INDEX(대출자[],MATCH(1,(자료실기준[[#This Row],[소장처명]]=대출자[소장처명])*(자료실기준[[#This Row],[년월]]=대출자[년월]),0),MATCH(M$1,대출자[#Headers],0)),0)</f>
        <v>174</v>
      </c>
      <c r="N5">
        <f>IFERROR(자료실기준[[#This Row],[어린이남자]]+자료실기준[[#This Row],[청소년남자]]+자료실기준[[#This Row],[성인남자]],0)</f>
        <v>77</v>
      </c>
      <c r="O5">
        <f>IFERROR(자료실기준[[#This Row],[어린이여자]]+자료실기준[[#This Row],[청소년여자]]+자료실기준[[#This Row],[성인여자]],0)</f>
        <v>118</v>
      </c>
      <c r="P5">
        <f>IFERROR(자료실기준[[#This Row],[남자]]+자료실기준[[#This Row],[여자]],0)</f>
        <v>195</v>
      </c>
      <c r="Q5" cm="1">
        <f t="array" ref="Q5">IFERROR(INDEX(대출권수[],MATCH(1,(자료실기준[[#This Row],[소장처명]]=대출권수[소장처명])*(대출권수[대출반납]="대출")*(자료실기준[[#This Row],[년월]]=대출권수[년월]),0),MATCH(Q$1,대출권수[#Headers],0)),0)</f>
        <v>15</v>
      </c>
      <c r="R5" cm="1">
        <f t="array" ref="R5">IFERROR(INDEX(대출권수[],MATCH(1,(자료실기준[[#This Row],[소장처명]]=대출권수[소장처명])*(대출권수[대출반납]="대출")*(자료실기준[[#This Row],[년월]]=대출권수[년월]),0),MATCH(R$1,대출권수[#Headers],0)),0)</f>
        <v>63</v>
      </c>
      <c r="S5" cm="1">
        <f t="array" ref="S5">IFERROR(INDEX(대출권수[],MATCH(1,(자료실기준[[#This Row],[소장처명]]=대출권수[소장처명])*(대출권수[대출반납]="대출")*(자료실기준[[#This Row],[년월]]=대출권수[년월]),0),MATCH(S$1,대출권수[#Headers],0)),0)</f>
        <v>5</v>
      </c>
      <c r="T5" cm="1">
        <f t="array" ref="T5">IFERROR(INDEX(대출권수[],MATCH(1,(자료실기준[[#This Row],[소장처명]]=대출권수[소장처명])*(대출권수[대출반납]="대출")*(자료실기준[[#This Row],[년월]]=대출권수[년월]),0),MATCH(T$1,대출권수[#Headers],0)),0)</f>
        <v>74</v>
      </c>
      <c r="U5" cm="1">
        <f t="array" ref="U5">IFERROR(INDEX(대출권수[],MATCH(1,(자료실기준[[#This Row],[소장처명]]=대출권수[소장처명])*(대출권수[대출반납]="대출")*(자료실기준[[#This Row],[년월]]=대출권수[년월]),0),MATCH(U$1,대출권수[#Headers],0)),0)</f>
        <v>32</v>
      </c>
      <c r="V5" cm="1">
        <f t="array" ref="V5">IFERROR(INDEX(대출권수[],MATCH(1,(자료실기준[[#This Row],[소장처명]]=대출권수[소장처명])*(대출권수[대출반납]="대출")*(자료실기준[[#This Row],[년월]]=대출권수[년월]),0),MATCH(V$1,대출권수[#Headers],0)),0)</f>
        <v>45</v>
      </c>
      <c r="W5" cm="1">
        <f t="array" ref="W5">IFERROR(INDEX(대출권수[],MATCH(1,(자료실기준[[#This Row],[소장처명]]=대출권수[소장처명])*(대출권수[대출반납]="대출")*(자료실기준[[#This Row],[년월]]=대출권수[년월]),0),MATCH(W$1,대출권수[#Headers],0)),0)</f>
        <v>22</v>
      </c>
      <c r="X5" cm="1">
        <f t="array" ref="X5">IFERROR(INDEX(대출권수[],MATCH(1,(자료실기준[[#This Row],[소장처명]]=대출권수[소장처명])*(대출권수[대출반납]="대출")*(자료실기준[[#This Row],[년월]]=대출권수[년월]),0),MATCH(X$1,대출권수[#Headers],0)),0)</f>
        <v>10</v>
      </c>
      <c r="Y5" cm="1">
        <f t="array" ref="Y5">IFERROR(INDEX(대출권수[],MATCH(1,(자료실기준[[#This Row],[소장처명]]=대출권수[소장처명])*(대출권수[대출반납]="대출")*(자료실기준[[#This Row],[년월]]=대출권수[년월]),0),MATCH(Y$1,대출권수[#Headers],0)),0)</f>
        <v>232</v>
      </c>
      <c r="Z5" cm="1">
        <f t="array" ref="Z5">IFERROR(INDEX(대출권수[],MATCH(1,(자료실기준[[#This Row],[소장처명]]=대출권수[소장처명])*(대출권수[대출반납]="대출")*(자료실기준[[#This Row],[년월]]=대출권수[년월]),0),MATCH(Z$1,대출권수[#Headers],0)),0)</f>
        <v>16</v>
      </c>
      <c r="AA5">
        <f>SUM(자료실기준[[#This Row],[총류]:[역사]])</f>
        <v>514</v>
      </c>
    </row>
    <row r="6" spans="1:27" x14ac:dyDescent="0.3">
      <c r="A6" s="5">
        <v>45292</v>
      </c>
      <c r="B6" t="s">
        <v>14</v>
      </c>
      <c r="C6" s="5" t="str">
        <f>TEXT(자료실기준[[#This Row],[년월]],"yy년m월")&amp;자료실기준[[#This Row],[소장처명]]</f>
        <v>24년1월어린이실(신간도서)</v>
      </c>
      <c r="D6" t="str">
        <f>IFERROR(INDEX(자료실범례[],MATCH($B6,자료실범례[소장처명],0),2),"종합자료실")</f>
        <v>어린이자료실</v>
      </c>
      <c r="E6" cm="1">
        <f t="array" ref="E6">IFERROR(INDEX(대출자[],MATCH(1,(자료실기준[[#This Row],[소장처명]]=대출자[소장처명])*(자료실기준[[#This Row],[년월]]=대출자[년월]),0),MATCH(E$1,대출자[#Headers],0)),0)</f>
        <v>23</v>
      </c>
      <c r="F6" cm="1">
        <f t="array" ref="F6">IFERROR(INDEX(대출자[],MATCH(1,(자료실기준[[#This Row],[소장처명]]=대출자[소장처명])*(자료실기준[[#This Row],[년월]]=대출자[년월]),0),MATCH(F$1,대출자[#Headers],0)),0)</f>
        <v>26</v>
      </c>
      <c r="G6" cm="1">
        <f t="array" ref="G6">IFERROR(INDEX(대출자[],MATCH(1,(자료실기준[[#This Row],[소장처명]]=대출자[소장처명])*(자료실기준[[#This Row],[년월]]=대출자[년월]),0),MATCH(G$1,대출자[#Headers],0)),0)</f>
        <v>1</v>
      </c>
      <c r="H6" cm="1">
        <f t="array" ref="H6">IFERROR(INDEX(대출자[],MATCH(1,(자료실기준[[#This Row],[소장처명]]=대출자[소장처명])*(자료실기준[[#This Row],[년월]]=대출자[년월]),0),MATCH(H$1,대출자[#Headers],0)),0)</f>
        <v>4</v>
      </c>
      <c r="I6" cm="1">
        <f t="array" ref="I6">IFERROR(INDEX(대출자[],MATCH(1,(자료실기준[[#This Row],[소장처명]]=대출자[소장처명])*(자료실기준[[#This Row],[년월]]=대출자[년월]),0),MATCH(I$1,대출자[#Headers],0)),0)</f>
        <v>9</v>
      </c>
      <c r="J6" cm="1">
        <f t="array" ref="J6">IFERROR(INDEX(대출자[],MATCH(1,(자료실기준[[#This Row],[소장처명]]=대출자[소장처명])*(자료실기준[[#This Row],[년월]]=대출자[년월]),0),MATCH(J$1,대출자[#Headers],0)),0)</f>
        <v>36</v>
      </c>
      <c r="K6" cm="1">
        <f t="array" ref="K6">IFERROR(INDEX(대출자[],MATCH(1,(자료실기준[[#This Row],[소장처명]]=대출자[소장처명])*(자료실기준[[#This Row],[년월]]=대출자[년월]),0),MATCH(K$1,대출자[#Headers],0)),0)</f>
        <v>49</v>
      </c>
      <c r="L6" cm="1">
        <f t="array" ref="L6">IFERROR(INDEX(대출자[],MATCH(1,(자료실기준[[#This Row],[소장처명]]=대출자[소장처명])*(자료실기준[[#This Row],[년월]]=대출자[년월]),0),MATCH(L$1,대출자[#Headers],0)),0)</f>
        <v>5</v>
      </c>
      <c r="M6" cm="1">
        <f t="array" ref="M6">IFERROR(INDEX(대출자[],MATCH(1,(자료실기준[[#This Row],[소장처명]]=대출자[소장처명])*(자료실기준[[#This Row],[년월]]=대출자[년월]),0),MATCH(M$1,대출자[#Headers],0)),0)</f>
        <v>45</v>
      </c>
      <c r="N6">
        <f>IFERROR(자료실기준[[#This Row],[어린이남자]]+자료실기준[[#This Row],[청소년남자]]+자료실기준[[#This Row],[성인남자]],0)</f>
        <v>33</v>
      </c>
      <c r="O6">
        <f>IFERROR(자료실기준[[#This Row],[어린이여자]]+자료실기준[[#This Row],[청소년여자]]+자료실기준[[#This Row],[성인여자]],0)</f>
        <v>66</v>
      </c>
      <c r="P6">
        <f>IFERROR(자료실기준[[#This Row],[남자]]+자료실기준[[#This Row],[여자]],0)</f>
        <v>99</v>
      </c>
      <c r="Q6" cm="1">
        <f t="array" ref="Q6">IFERROR(INDEX(대출권수[],MATCH(1,(자료실기준[[#This Row],[소장처명]]=대출권수[소장처명])*(대출권수[대출반납]="대출")*(자료실기준[[#This Row],[년월]]=대출권수[년월]),0),MATCH(Q$1,대출권수[#Headers],0)),0)</f>
        <v>3</v>
      </c>
      <c r="R6" cm="1">
        <f t="array" ref="R6">IFERROR(INDEX(대출권수[],MATCH(1,(자료실기준[[#This Row],[소장처명]]=대출권수[소장처명])*(대출권수[대출반납]="대출")*(자료실기준[[#This Row],[년월]]=대출권수[년월]),0),MATCH(R$1,대출권수[#Headers],0)),0)</f>
        <v>15</v>
      </c>
      <c r="S6" cm="1">
        <f t="array" ref="S6">IFERROR(INDEX(대출권수[],MATCH(1,(자료실기준[[#This Row],[소장처명]]=대출권수[소장처명])*(대출권수[대출반납]="대출")*(자료실기준[[#This Row],[년월]]=대출권수[년월]),0),MATCH(S$1,대출권수[#Headers],0)),0)</f>
        <v>10</v>
      </c>
      <c r="T6" cm="1">
        <f t="array" ref="T6">IFERROR(INDEX(대출권수[],MATCH(1,(자료실기준[[#This Row],[소장처명]]=대출권수[소장처명])*(대출권수[대출반납]="대출")*(자료실기준[[#This Row],[년월]]=대출권수[년월]),0),MATCH(T$1,대출권수[#Headers],0)),0)</f>
        <v>17</v>
      </c>
      <c r="U6" cm="1">
        <f t="array" ref="U6">IFERROR(INDEX(대출권수[],MATCH(1,(자료실기준[[#This Row],[소장처명]]=대출권수[소장처명])*(대출권수[대출반납]="대출")*(자료실기준[[#This Row],[년월]]=대출권수[년월]),0),MATCH(U$1,대출권수[#Headers],0)),0)</f>
        <v>42</v>
      </c>
      <c r="V6" cm="1">
        <f t="array" ref="V6">IFERROR(INDEX(대출권수[],MATCH(1,(자료실기준[[#This Row],[소장처명]]=대출권수[소장처명])*(대출권수[대출반납]="대출")*(자료실기준[[#This Row],[년월]]=대출권수[년월]),0),MATCH(V$1,대출권수[#Headers],0)),0)</f>
        <v>9</v>
      </c>
      <c r="W6" cm="1">
        <f t="array" ref="W6">IFERROR(INDEX(대출권수[],MATCH(1,(자료실기준[[#This Row],[소장처명]]=대출권수[소장처명])*(대출권수[대출반납]="대출")*(자료실기준[[#This Row],[년월]]=대출권수[년월]),0),MATCH(W$1,대출권수[#Headers],0)),0)</f>
        <v>9</v>
      </c>
      <c r="X6" cm="1">
        <f t="array" ref="X6">IFERROR(INDEX(대출권수[],MATCH(1,(자료실기준[[#This Row],[소장처명]]=대출권수[소장처명])*(대출권수[대출반납]="대출")*(자료실기준[[#This Row],[년월]]=대출권수[년월]),0),MATCH(X$1,대출권수[#Headers],0)),0)</f>
        <v>6</v>
      </c>
      <c r="Y6" cm="1">
        <f t="array" ref="Y6">IFERROR(INDEX(대출권수[],MATCH(1,(자료실기준[[#This Row],[소장처명]]=대출권수[소장처명])*(대출권수[대출반납]="대출")*(자료실기준[[#This Row],[년월]]=대출권수[년월]),0),MATCH(Y$1,대출권수[#Headers],0)),0)</f>
        <v>326</v>
      </c>
      <c r="Z6" cm="1">
        <f t="array" ref="Z6">IFERROR(INDEX(대출권수[],MATCH(1,(자료실기준[[#This Row],[소장처명]]=대출권수[소장처명])*(대출권수[대출반납]="대출")*(자료실기준[[#This Row],[년월]]=대출권수[년월]),0),MATCH(Z$1,대출권수[#Headers],0)),0)</f>
        <v>32</v>
      </c>
      <c r="AA6">
        <f>SUM(자료실기준[[#This Row],[총류]:[역사]])</f>
        <v>469</v>
      </c>
    </row>
    <row r="7" spans="1:27" x14ac:dyDescent="0.3">
      <c r="A7" s="5">
        <v>45292</v>
      </c>
      <c r="B7" t="s">
        <v>13</v>
      </c>
      <c r="C7" s="5" t="str">
        <f>TEXT(자료실기준[[#This Row],[년월]],"yy년m월")&amp;자료실기준[[#This Row],[소장처명]]</f>
        <v>24년1월어린이실(수상작)</v>
      </c>
      <c r="D7" t="str">
        <f>IFERROR(INDEX(자료실범례[],MATCH($B7,자료실범례[소장처명],0),2),"종합자료실")</f>
        <v>어린이자료실</v>
      </c>
      <c r="E7" cm="1">
        <f t="array" ref="E7">IFERROR(INDEX(대출자[],MATCH(1,(자료실기준[[#This Row],[소장처명]]=대출자[소장처명])*(자료실기준[[#This Row],[년월]]=대출자[년월]),0),MATCH(E$1,대출자[#Headers],0)),0)</f>
        <v>0</v>
      </c>
      <c r="F7" cm="1">
        <f t="array" ref="F7">IFERROR(INDEX(대출자[],MATCH(1,(자료실기준[[#This Row],[소장처명]]=대출자[소장처명])*(자료실기준[[#This Row],[년월]]=대출자[년월]),0),MATCH(F$1,대출자[#Headers],0)),0)</f>
        <v>0</v>
      </c>
      <c r="G7" cm="1">
        <f t="array" ref="G7">IFERROR(INDEX(대출자[],MATCH(1,(자료실기준[[#This Row],[소장처명]]=대출자[소장처명])*(자료실기준[[#This Row],[년월]]=대출자[년월]),0),MATCH(G$1,대출자[#Headers],0)),0)</f>
        <v>0</v>
      </c>
      <c r="H7" cm="1">
        <f t="array" ref="H7">IFERROR(INDEX(대출자[],MATCH(1,(자료실기준[[#This Row],[소장처명]]=대출자[소장처명])*(자료실기준[[#This Row],[년월]]=대출자[년월]),0),MATCH(H$1,대출자[#Headers],0)),0)</f>
        <v>0</v>
      </c>
      <c r="I7" cm="1">
        <f t="array" ref="I7">IFERROR(INDEX(대출자[],MATCH(1,(자료실기준[[#This Row],[소장처명]]=대출자[소장처명])*(자료실기준[[#This Row],[년월]]=대출자[년월]),0),MATCH(I$1,대출자[#Headers],0)),0)</f>
        <v>0</v>
      </c>
      <c r="J7" cm="1">
        <f t="array" ref="J7">IFERROR(INDEX(대출자[],MATCH(1,(자료실기준[[#This Row],[소장처명]]=대출자[소장처명])*(자료실기준[[#This Row],[년월]]=대출자[년월]),0),MATCH(J$1,대출자[#Headers],0)),0)</f>
        <v>3</v>
      </c>
      <c r="K7" cm="1">
        <f t="array" ref="K7">IFERROR(INDEX(대출자[],MATCH(1,(자료실기준[[#This Row],[소장처명]]=대출자[소장처명])*(자료실기준[[#This Row],[년월]]=대출자[년월]),0),MATCH(K$1,대출자[#Headers],0)),0)</f>
        <v>0</v>
      </c>
      <c r="L7" cm="1">
        <f t="array" ref="L7">IFERROR(INDEX(대출자[],MATCH(1,(자료실기준[[#This Row],[소장처명]]=대출자[소장처명])*(자료실기준[[#This Row],[년월]]=대출자[년월]),0),MATCH(L$1,대출자[#Headers],0)),0)</f>
        <v>0</v>
      </c>
      <c r="M7" cm="1">
        <f t="array" ref="M7">IFERROR(INDEX(대출자[],MATCH(1,(자료실기준[[#This Row],[소장처명]]=대출자[소장처명])*(자료실기준[[#This Row],[년월]]=대출자[년월]),0),MATCH(M$1,대출자[#Headers],0)),0)</f>
        <v>3</v>
      </c>
      <c r="N7">
        <f>IFERROR(자료실기준[[#This Row],[어린이남자]]+자료실기준[[#This Row],[청소년남자]]+자료실기준[[#This Row],[성인남자]],0)</f>
        <v>0</v>
      </c>
      <c r="O7">
        <f>IFERROR(자료실기준[[#This Row],[어린이여자]]+자료실기준[[#This Row],[청소년여자]]+자료실기준[[#This Row],[성인여자]],0)</f>
        <v>3</v>
      </c>
      <c r="P7">
        <f>IFERROR(자료실기준[[#This Row],[남자]]+자료실기준[[#This Row],[여자]],0)</f>
        <v>3</v>
      </c>
      <c r="Q7" cm="1">
        <f t="array" ref="Q7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7" cm="1">
        <f t="array" ref="R7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7" cm="1">
        <f t="array" ref="S7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7" cm="1">
        <f t="array" ref="T7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7" cm="1">
        <f t="array" ref="U7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7" cm="1">
        <f t="array" ref="V7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7" cm="1">
        <f t="array" ref="W7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7" cm="1">
        <f t="array" ref="X7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7" cm="1">
        <f t="array" ref="Y7">IFERROR(INDEX(대출권수[],MATCH(1,(자료실기준[[#This Row],[소장처명]]=대출권수[소장처명])*(대출권수[대출반납]="대출")*(자료실기준[[#This Row],[년월]]=대출권수[년월]),0),MATCH(Y$1,대출권수[#Headers],0)),0)</f>
        <v>4</v>
      </c>
      <c r="Z7" cm="1">
        <f t="array" ref="Z7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7">
        <f>SUM(자료실기준[[#This Row],[총류]:[역사]])</f>
        <v>4</v>
      </c>
    </row>
    <row r="8" spans="1:27" x14ac:dyDescent="0.3">
      <c r="A8" s="5">
        <v>45292</v>
      </c>
      <c r="B8" t="s">
        <v>15</v>
      </c>
      <c r="C8" s="5" t="str">
        <f>TEXT(자료실기준[[#This Row],[년월]],"yy년m월")&amp;자료실기준[[#This Row],[소장처명]]</f>
        <v>24년1월어린이실(학습만화)</v>
      </c>
      <c r="D8" t="str">
        <f>IFERROR(INDEX(자료실범례[],MATCH($B8,자료실범례[소장처명],0),2),"종합자료실")</f>
        <v>어린이자료실</v>
      </c>
      <c r="E8" cm="1">
        <f t="array" ref="E8">IFERROR(INDEX(대출자[],MATCH(1,(자료실기준[[#This Row],[소장처명]]=대출자[소장처명])*(자료실기준[[#This Row],[년월]]=대출자[년월]),0),MATCH(E$1,대출자[#Headers],0)),0)</f>
        <v>28</v>
      </c>
      <c r="F8" cm="1">
        <f t="array" ref="F8">IFERROR(INDEX(대출자[],MATCH(1,(자료실기준[[#This Row],[소장처명]]=대출자[소장처명])*(자료실기준[[#This Row],[년월]]=대출자[년월]),0),MATCH(F$1,대출자[#Headers],0)),0)</f>
        <v>30</v>
      </c>
      <c r="G8" cm="1">
        <f t="array" ref="G8">IFERROR(INDEX(대출자[],MATCH(1,(자료실기준[[#This Row],[소장처명]]=대출자[소장처명])*(자료실기준[[#This Row],[년월]]=대출자[년월]),0),MATCH(G$1,대출자[#Headers],0)),0)</f>
        <v>3</v>
      </c>
      <c r="H8" cm="1">
        <f t="array" ref="H8">IFERROR(INDEX(대출자[],MATCH(1,(자료실기준[[#This Row],[소장처명]]=대출자[소장처명])*(자료실기준[[#This Row],[년월]]=대출자[년월]),0),MATCH(H$1,대출자[#Headers],0)),0)</f>
        <v>4</v>
      </c>
      <c r="I8" cm="1">
        <f t="array" ref="I8">IFERROR(INDEX(대출자[],MATCH(1,(자료실기준[[#This Row],[소장처명]]=대출자[소장처명])*(자료실기준[[#This Row],[년월]]=대출자[년월]),0),MATCH(I$1,대출자[#Headers],0)),0)</f>
        <v>18</v>
      </c>
      <c r="J8" cm="1">
        <f t="array" ref="J8">IFERROR(INDEX(대출자[],MATCH(1,(자료실기준[[#This Row],[소장처명]]=대출자[소장처명])*(자료실기준[[#This Row],[년월]]=대출자[년월]),0),MATCH(J$1,대출자[#Headers],0)),0)</f>
        <v>33</v>
      </c>
      <c r="K8" cm="1">
        <f t="array" ref="K8">IFERROR(INDEX(대출자[],MATCH(1,(자료실기준[[#This Row],[소장처명]]=대출자[소장처명])*(자료실기준[[#This Row],[년월]]=대출자[년월]),0),MATCH(K$1,대출자[#Headers],0)),0)</f>
        <v>58</v>
      </c>
      <c r="L8" cm="1">
        <f t="array" ref="L8">IFERROR(INDEX(대출자[],MATCH(1,(자료실기준[[#This Row],[소장처명]]=대출자[소장처명])*(자료실기준[[#This Row],[년월]]=대출자[년월]),0),MATCH(L$1,대출자[#Headers],0)),0)</f>
        <v>7</v>
      </c>
      <c r="M8" cm="1">
        <f t="array" ref="M8">IFERROR(INDEX(대출자[],MATCH(1,(자료실기준[[#This Row],[소장처명]]=대출자[소장처명])*(자료실기준[[#This Row],[년월]]=대출자[년월]),0),MATCH(M$1,대출자[#Headers],0)),0)</f>
        <v>51</v>
      </c>
      <c r="N8">
        <f>IFERROR(자료실기준[[#This Row],[어린이남자]]+자료실기준[[#This Row],[청소년남자]]+자료실기준[[#This Row],[성인남자]],0)</f>
        <v>49</v>
      </c>
      <c r="O8">
        <f>IFERROR(자료실기준[[#This Row],[어린이여자]]+자료실기준[[#This Row],[청소년여자]]+자료실기준[[#This Row],[성인여자]],0)</f>
        <v>67</v>
      </c>
      <c r="P8">
        <f>IFERROR(자료실기준[[#This Row],[남자]]+자료실기준[[#This Row],[여자]],0)</f>
        <v>116</v>
      </c>
      <c r="Q8" cm="1">
        <f t="array" ref="Q8">IFERROR(INDEX(대출권수[],MATCH(1,(자료실기준[[#This Row],[소장처명]]=대출권수[소장처명])*(대출권수[대출반납]="대출")*(자료실기준[[#This Row],[년월]]=대출권수[년월]),0),MATCH(Q$1,대출권수[#Headers],0)),0)</f>
        <v>14</v>
      </c>
      <c r="R8" cm="1">
        <f t="array" ref="R8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8" cm="1">
        <f t="array" ref="S8">IFERROR(INDEX(대출권수[],MATCH(1,(자료실기준[[#This Row],[소장처명]]=대출권수[소장처명])*(대출권수[대출반납]="대출")*(자료실기준[[#This Row],[년월]]=대출권수[년월]),0),MATCH(S$1,대출권수[#Headers],0)),0)</f>
        <v>18</v>
      </c>
      <c r="T8" cm="1">
        <f t="array" ref="T8">IFERROR(INDEX(대출권수[],MATCH(1,(자료실기준[[#This Row],[소장처명]]=대출권수[소장처명])*(대출권수[대출반납]="대출")*(자료실기준[[#This Row],[년월]]=대출권수[년월]),0),MATCH(T$1,대출권수[#Headers],0)),0)</f>
        <v>6</v>
      </c>
      <c r="U8" cm="1">
        <f t="array" ref="U8">IFERROR(INDEX(대출권수[],MATCH(1,(자료실기준[[#This Row],[소장처명]]=대출권수[소장처명])*(대출권수[대출반납]="대출")*(자료실기준[[#This Row],[년월]]=대출권수[년월]),0),MATCH(U$1,대출권수[#Headers],0)),0)</f>
        <v>249</v>
      </c>
      <c r="V8" cm="1">
        <f t="array" ref="V8">IFERROR(INDEX(대출권수[],MATCH(1,(자료실기준[[#This Row],[소장처명]]=대출권수[소장처명])*(대출권수[대출반납]="대출")*(자료실기준[[#This Row],[년월]]=대출권수[년월]),0),MATCH(V$1,대출권수[#Headers],0)),0)</f>
        <v>40</v>
      </c>
      <c r="W8" cm="1">
        <f t="array" ref="W8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8" cm="1">
        <f t="array" ref="X8">IFERROR(INDEX(대출권수[],MATCH(1,(자료실기준[[#This Row],[소장처명]]=대출권수[소장처명])*(대출권수[대출반납]="대출")*(자료실기준[[#This Row],[년월]]=대출권수[년월]),0),MATCH(X$1,대출권수[#Headers],0)),0)</f>
        <v>73</v>
      </c>
      <c r="Y8" cm="1">
        <f t="array" ref="Y8">IFERROR(INDEX(대출권수[],MATCH(1,(자료실기준[[#This Row],[소장처명]]=대출권수[소장처명])*(대출권수[대출반납]="대출")*(자료실기준[[#This Row],[년월]]=대출권수[년월]),0),MATCH(Y$1,대출권수[#Headers],0)),0)</f>
        <v>96</v>
      </c>
      <c r="Z8" cm="1">
        <f t="array" ref="Z8">IFERROR(INDEX(대출권수[],MATCH(1,(자료실기준[[#This Row],[소장처명]]=대출권수[소장처명])*(대출권수[대출반납]="대출")*(자료실기준[[#This Row],[년월]]=대출권수[년월]),0),MATCH(Z$1,대출권수[#Headers],0)),0)</f>
        <v>187</v>
      </c>
      <c r="AA8">
        <f>SUM(자료실기준[[#This Row],[총류]:[역사]])</f>
        <v>683</v>
      </c>
    </row>
    <row r="9" spans="1:27" x14ac:dyDescent="0.3">
      <c r="A9" s="5">
        <v>45292</v>
      </c>
      <c r="B9" t="s">
        <v>20</v>
      </c>
      <c r="C9" s="5" t="str">
        <f>TEXT(자료실기준[[#This Row],[년월]],"yy년m월")&amp;자료실기준[[#This Row],[소장처명]]</f>
        <v>24년1월종합실(청소년 진로)</v>
      </c>
      <c r="D9" t="str">
        <f>IFERROR(INDEX(자료실범례[],MATCH($B9,자료실범례[소장처명],0),2),"종합자료실")</f>
        <v>종합자료실</v>
      </c>
      <c r="E9" cm="1">
        <f t="array" ref="E9">IFERROR(INDEX(대출자[],MATCH(1,(자료실기준[[#This Row],[소장처명]]=대출자[소장처명])*(자료실기준[[#This Row],[년월]]=대출자[년월]),0),MATCH(E$1,대출자[#Headers],0)),0)</f>
        <v>0</v>
      </c>
      <c r="F9" cm="1">
        <f t="array" ref="F9">IFERROR(INDEX(대출자[],MATCH(1,(자료실기준[[#This Row],[소장처명]]=대출자[소장처명])*(자료실기준[[#This Row],[년월]]=대출자[년월]),0),MATCH(F$1,대출자[#Headers],0)),0)</f>
        <v>0</v>
      </c>
      <c r="G9" cm="1">
        <f t="array" ref="G9">IFERROR(INDEX(대출자[],MATCH(1,(자료실기준[[#This Row],[소장처명]]=대출자[소장처명])*(자료실기준[[#This Row],[년월]]=대출자[년월]),0),MATCH(G$1,대출자[#Headers],0)),0)</f>
        <v>0</v>
      </c>
      <c r="H9" cm="1">
        <f t="array" ref="H9">IFERROR(INDEX(대출자[],MATCH(1,(자료실기준[[#This Row],[소장처명]]=대출자[소장처명])*(자료실기준[[#This Row],[년월]]=대출자[년월]),0),MATCH(H$1,대출자[#Headers],0)),0)</f>
        <v>0</v>
      </c>
      <c r="I9" cm="1">
        <f t="array" ref="I9">IFERROR(INDEX(대출자[],MATCH(1,(자료실기준[[#This Row],[소장처명]]=대출자[소장처명])*(자료실기준[[#This Row],[년월]]=대출자[년월]),0),MATCH(I$1,대출자[#Headers],0)),0)</f>
        <v>0</v>
      </c>
      <c r="J9" cm="1">
        <f t="array" ref="J9">IFERROR(INDEX(대출자[],MATCH(1,(자료실기준[[#This Row],[소장처명]]=대출자[소장처명])*(자료실기준[[#This Row],[년월]]=대출자[년월]),0),MATCH(J$1,대출자[#Headers],0)),0)</f>
        <v>2</v>
      </c>
      <c r="K9" cm="1">
        <f t="array" ref="K9">IFERROR(INDEX(대출자[],MATCH(1,(자료실기준[[#This Row],[소장처명]]=대출자[소장처명])*(자료실기준[[#This Row],[년월]]=대출자[년월]),0),MATCH(K$1,대출자[#Headers],0)),0)</f>
        <v>0</v>
      </c>
      <c r="L9" cm="1">
        <f t="array" ref="L9">IFERROR(INDEX(대출자[],MATCH(1,(자료실기준[[#This Row],[소장처명]]=대출자[소장처명])*(자료실기준[[#This Row],[년월]]=대출자[년월]),0),MATCH(L$1,대출자[#Headers],0)),0)</f>
        <v>0</v>
      </c>
      <c r="M9" cm="1">
        <f t="array" ref="M9">IFERROR(INDEX(대출자[],MATCH(1,(자료실기준[[#This Row],[소장처명]]=대출자[소장처명])*(자료실기준[[#This Row],[년월]]=대출자[년월]),0),MATCH(M$1,대출자[#Headers],0)),0)</f>
        <v>2</v>
      </c>
      <c r="N9">
        <f>IFERROR(자료실기준[[#This Row],[어린이남자]]+자료실기준[[#This Row],[청소년남자]]+자료실기준[[#This Row],[성인남자]],0)</f>
        <v>0</v>
      </c>
      <c r="O9">
        <f>IFERROR(자료실기준[[#This Row],[어린이여자]]+자료실기준[[#This Row],[청소년여자]]+자료실기준[[#This Row],[성인여자]],0)</f>
        <v>2</v>
      </c>
      <c r="P9">
        <f>IFERROR(자료실기준[[#This Row],[남자]]+자료실기준[[#This Row],[여자]],0)</f>
        <v>2</v>
      </c>
      <c r="Q9" cm="1">
        <f t="array" ref="Q9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9" cm="1">
        <f t="array" ref="R9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9" cm="1">
        <f t="array" ref="S9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9" cm="1">
        <f t="array" ref="T9">IFERROR(INDEX(대출권수[],MATCH(1,(자료실기준[[#This Row],[소장처명]]=대출권수[소장처명])*(대출권수[대출반납]="대출")*(자료실기준[[#This Row],[년월]]=대출권수[년월]),0),MATCH(T$1,대출권수[#Headers],0)),0)</f>
        <v>2</v>
      </c>
      <c r="U9" cm="1">
        <f t="array" ref="U9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9" cm="1">
        <f t="array" ref="V9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9" cm="1">
        <f t="array" ref="W9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9" cm="1">
        <f t="array" ref="X9">IFERROR(INDEX(대출권수[],MATCH(1,(자료실기준[[#This Row],[소장처명]]=대출권수[소장처명])*(대출권수[대출반납]="대출")*(자료실기준[[#This Row],[년월]]=대출권수[년월]),0),MATCH(X$1,대출권수[#Headers],0)),0)</f>
        <v>1</v>
      </c>
      <c r="Y9" cm="1">
        <f t="array" ref="Y9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9" cm="1">
        <f t="array" ref="Z9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9">
        <f>SUM(자료실기준[[#This Row],[총류]:[역사]])</f>
        <v>3</v>
      </c>
    </row>
    <row r="10" spans="1:27" x14ac:dyDescent="0.3">
      <c r="A10" s="5">
        <v>45292</v>
      </c>
      <c r="B10" t="s">
        <v>3</v>
      </c>
      <c r="C10" s="5" t="str">
        <f>TEXT(자료실기준[[#This Row],[년월]],"yy년m월")&amp;자료실기준[[#This Row],[소장처명]]</f>
        <v>24년1월별관 서고(디지털자료실)</v>
      </c>
      <c r="D10" t="str">
        <f>IFERROR(INDEX(자료실범례[],MATCH($B10,자료실범례[소장처명],0),2),"종합자료실")</f>
        <v>디지털자료실</v>
      </c>
      <c r="E10" cm="1">
        <f t="array" ref="E10">IFERROR(INDEX(대출자[],MATCH(1,(자료실기준[[#This Row],[소장처명]]=대출자[소장처명])*(자료실기준[[#This Row],[년월]]=대출자[년월]),0),MATCH(E$1,대출자[#Headers],0)),0)</f>
        <v>0</v>
      </c>
      <c r="F10" cm="1">
        <f t="array" ref="F10">IFERROR(INDEX(대출자[],MATCH(1,(자료실기준[[#This Row],[소장처명]]=대출자[소장처명])*(자료실기준[[#This Row],[년월]]=대출자[년월]),0),MATCH(F$1,대출자[#Headers],0)),0)</f>
        <v>0</v>
      </c>
      <c r="G10" cm="1">
        <f t="array" ref="G10">IFERROR(INDEX(대출자[],MATCH(1,(자료실기준[[#This Row],[소장처명]]=대출자[소장처명])*(자료실기준[[#This Row],[년월]]=대출자[년월]),0),MATCH(G$1,대출자[#Headers],0)),0)</f>
        <v>0</v>
      </c>
      <c r="H10" cm="1">
        <f t="array" ref="H10">IFERROR(INDEX(대출자[],MATCH(1,(자료실기준[[#This Row],[소장처명]]=대출자[소장처명])*(자료실기준[[#This Row],[년월]]=대출자[년월]),0),MATCH(H$1,대출자[#Headers],0)),0)</f>
        <v>0</v>
      </c>
      <c r="I10" cm="1">
        <f t="array" ref="I10">IFERROR(INDEX(대출자[],MATCH(1,(자료실기준[[#This Row],[소장처명]]=대출자[소장처명])*(자료실기준[[#This Row],[년월]]=대출자[년월]),0),MATCH(I$1,대출자[#Headers],0)),0)</f>
        <v>1</v>
      </c>
      <c r="J10" cm="1">
        <f t="array" ref="J10">IFERROR(INDEX(대출자[],MATCH(1,(자료실기준[[#This Row],[소장처명]]=대출자[소장처명])*(자료실기준[[#This Row],[년월]]=대출자[년월]),0),MATCH(J$1,대출자[#Headers],0)),0)</f>
        <v>1</v>
      </c>
      <c r="K10" cm="1">
        <f t="array" ref="K10">IFERROR(INDEX(대출자[],MATCH(1,(자료실기준[[#This Row],[소장처명]]=대출자[소장처명])*(자료실기준[[#This Row],[년월]]=대출자[년월]),0),MATCH(K$1,대출자[#Headers],0)),0)</f>
        <v>0</v>
      </c>
      <c r="L10" cm="1">
        <f t="array" ref="L10">IFERROR(INDEX(대출자[],MATCH(1,(자료실기준[[#This Row],[소장처명]]=대출자[소장처명])*(자료실기준[[#This Row],[년월]]=대출자[년월]),0),MATCH(L$1,대출자[#Headers],0)),0)</f>
        <v>0</v>
      </c>
      <c r="M10" cm="1">
        <f t="array" ref="M10">IFERROR(INDEX(대출자[],MATCH(1,(자료실기준[[#This Row],[소장처명]]=대출자[소장처명])*(자료실기준[[#This Row],[년월]]=대출자[년월]),0),MATCH(M$1,대출자[#Headers],0)),0)</f>
        <v>2</v>
      </c>
      <c r="N10">
        <f>IFERROR(자료실기준[[#This Row],[어린이남자]]+자료실기준[[#This Row],[청소년남자]]+자료실기준[[#This Row],[성인남자]],0)</f>
        <v>1</v>
      </c>
      <c r="O10">
        <f>IFERROR(자료실기준[[#This Row],[어린이여자]]+자료실기준[[#This Row],[청소년여자]]+자료실기준[[#This Row],[성인여자]],0)</f>
        <v>1</v>
      </c>
      <c r="P10">
        <f>IFERROR(자료실기준[[#This Row],[남자]]+자료실기준[[#This Row],[여자]],0)</f>
        <v>2</v>
      </c>
      <c r="Q10" cm="1">
        <f t="array" ref="Q10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0" cm="1">
        <f t="array" ref="R10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0" cm="1">
        <f t="array" ref="S10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0" cm="1">
        <f t="array" ref="T10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0" cm="1">
        <f t="array" ref="U10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0" cm="1">
        <f t="array" ref="V10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0" cm="1">
        <f t="array" ref="W10">IFERROR(INDEX(대출권수[],MATCH(1,(자료실기준[[#This Row],[소장처명]]=대출권수[소장처명])*(대출권수[대출반납]="대출")*(자료실기준[[#This Row],[년월]]=대출권수[년월]),0),MATCH(W$1,대출권수[#Headers],0)),0)</f>
        <v>2</v>
      </c>
      <c r="X10" cm="1">
        <f t="array" ref="X10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0" cm="1">
        <f t="array" ref="Y10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10" cm="1">
        <f t="array" ref="Z10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0">
        <f>SUM(자료실기준[[#This Row],[총류]:[역사]])</f>
        <v>2</v>
      </c>
    </row>
    <row r="11" spans="1:27" x14ac:dyDescent="0.3">
      <c r="A11" s="5">
        <v>45292</v>
      </c>
      <c r="B11" t="s">
        <v>4</v>
      </c>
      <c r="C11" s="5" t="str">
        <f>TEXT(자료실기준[[#This Row],[년월]],"yy년m월")&amp;자료실기준[[#This Row],[소장처명]]</f>
        <v>24년1월별관 서고(어린이자료실)</v>
      </c>
      <c r="D11" t="str">
        <f>IFERROR(INDEX(자료실범례[],MATCH($B11,자료실범례[소장처명],0),2),"종합자료실")</f>
        <v>어린이자료실</v>
      </c>
      <c r="E11" cm="1">
        <f t="array" ref="E11">IFERROR(INDEX(대출자[],MATCH(1,(자료실기준[[#This Row],[소장처명]]=대출자[소장처명])*(자료실기준[[#This Row],[년월]]=대출자[년월]),0),MATCH(E$1,대출자[#Headers],0)),0)</f>
        <v>1</v>
      </c>
      <c r="F11" cm="1">
        <f t="array" ref="F11">IFERROR(INDEX(대출자[],MATCH(1,(자료실기준[[#This Row],[소장처명]]=대출자[소장처명])*(자료실기준[[#This Row],[년월]]=대출자[년월]),0),MATCH(F$1,대출자[#Headers],0)),0)</f>
        <v>4</v>
      </c>
      <c r="G11" cm="1">
        <f t="array" ref="G11">IFERROR(INDEX(대출자[],MATCH(1,(자료실기준[[#This Row],[소장처명]]=대출자[소장처명])*(자료실기준[[#This Row],[년월]]=대출자[년월]),0),MATCH(G$1,대출자[#Headers],0)),0)</f>
        <v>0</v>
      </c>
      <c r="H11" cm="1">
        <f t="array" ref="H11">IFERROR(INDEX(대출자[],MATCH(1,(자료실기준[[#This Row],[소장처명]]=대출자[소장처명])*(자료실기준[[#This Row],[년월]]=대출자[년월]),0),MATCH(H$1,대출자[#Headers],0)),0)</f>
        <v>0</v>
      </c>
      <c r="I11" cm="1">
        <f t="array" ref="I11">IFERROR(INDEX(대출자[],MATCH(1,(자료실기준[[#This Row],[소장처명]]=대출자[소장처명])*(자료실기준[[#This Row],[년월]]=대출자[년월]),0),MATCH(I$1,대출자[#Headers],0)),0)</f>
        <v>2</v>
      </c>
      <c r="J11" cm="1">
        <f t="array" ref="J11">IFERROR(INDEX(대출자[],MATCH(1,(자료실기준[[#This Row],[소장처명]]=대출자[소장처명])*(자료실기준[[#This Row],[년월]]=대출자[년월]),0),MATCH(J$1,대출자[#Headers],0)),0)</f>
        <v>2</v>
      </c>
      <c r="K11" cm="1">
        <f t="array" ref="K11">IFERROR(INDEX(대출자[],MATCH(1,(자료실기준[[#This Row],[소장처명]]=대출자[소장처명])*(자료실기준[[#This Row],[년월]]=대출자[년월]),0),MATCH(K$1,대출자[#Headers],0)),0)</f>
        <v>5</v>
      </c>
      <c r="L11" cm="1">
        <f t="array" ref="L11">IFERROR(INDEX(대출자[],MATCH(1,(자료실기준[[#This Row],[소장처명]]=대출자[소장처명])*(자료실기준[[#This Row],[년월]]=대출자[년월]),0),MATCH(L$1,대출자[#Headers],0)),0)</f>
        <v>0</v>
      </c>
      <c r="M11" cm="1">
        <f t="array" ref="M11">IFERROR(INDEX(대출자[],MATCH(1,(자료실기준[[#This Row],[소장처명]]=대출자[소장처명])*(자료실기준[[#This Row],[년월]]=대출자[년월]),0),MATCH(M$1,대출자[#Headers],0)),0)</f>
        <v>4</v>
      </c>
      <c r="N11">
        <f>IFERROR(자료실기준[[#This Row],[어린이남자]]+자료실기준[[#This Row],[청소년남자]]+자료실기준[[#This Row],[성인남자]],0)</f>
        <v>3</v>
      </c>
      <c r="O11">
        <f>IFERROR(자료실기준[[#This Row],[어린이여자]]+자료실기준[[#This Row],[청소년여자]]+자료실기준[[#This Row],[성인여자]],0)</f>
        <v>6</v>
      </c>
      <c r="P11">
        <f>IFERROR(자료실기준[[#This Row],[남자]]+자료실기준[[#This Row],[여자]],0)</f>
        <v>9</v>
      </c>
      <c r="Q11" cm="1">
        <f t="array" ref="Q11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1" cm="1">
        <f t="array" ref="R11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1" cm="1">
        <f t="array" ref="S11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1" cm="1">
        <f t="array" ref="T11">IFERROR(INDEX(대출권수[],MATCH(1,(자료실기준[[#This Row],[소장처명]]=대출권수[소장처명])*(대출권수[대출반납]="대출")*(자료실기준[[#This Row],[년월]]=대출권수[년월]),0),MATCH(T$1,대출권수[#Headers],0)),0)</f>
        <v>2</v>
      </c>
      <c r="U11" cm="1">
        <f t="array" ref="U11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1" cm="1">
        <f t="array" ref="V11">IFERROR(INDEX(대출권수[],MATCH(1,(자료실기준[[#This Row],[소장처명]]=대출권수[소장처명])*(대출권수[대출반납]="대출")*(자료실기준[[#This Row],[년월]]=대출권수[년월]),0),MATCH(V$1,대출권수[#Headers],0)),0)</f>
        <v>1</v>
      </c>
      <c r="W11" cm="1">
        <f t="array" ref="W11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1" cm="1">
        <f t="array" ref="X11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1" cm="1">
        <f t="array" ref="Y11">IFERROR(INDEX(대출권수[],MATCH(1,(자료실기준[[#This Row],[소장처명]]=대출권수[소장처명])*(대출권수[대출반납]="대출")*(자료실기준[[#This Row],[년월]]=대출권수[년월]),0),MATCH(Y$1,대출권수[#Headers],0)),0)</f>
        <v>3</v>
      </c>
      <c r="Z11" cm="1">
        <f t="array" ref="Z11">IFERROR(INDEX(대출권수[],MATCH(1,(자료실기준[[#This Row],[소장처명]]=대출권수[소장처명])*(대출권수[대출반납]="대출")*(자료실기준[[#This Row],[년월]]=대출권수[년월]),0),MATCH(Z$1,대출권수[#Headers],0)),0)</f>
        <v>3</v>
      </c>
      <c r="AA11">
        <f>SUM(자료실기준[[#This Row],[총류]:[역사]])</f>
        <v>9</v>
      </c>
    </row>
    <row r="12" spans="1:27" x14ac:dyDescent="0.3">
      <c r="A12" s="5">
        <v>45292</v>
      </c>
      <c r="B12" t="s">
        <v>5</v>
      </c>
      <c r="C12" s="5" t="str">
        <f>TEXT(자료실기준[[#This Row],[년월]],"yy년m월")&amp;자료실기준[[#This Row],[소장처명]]</f>
        <v>24년1월별관 서고(종합자료실)</v>
      </c>
      <c r="D12" t="str">
        <f>IFERROR(INDEX(자료실범례[],MATCH($B12,자료실범례[소장처명],0),2),"종합자료실")</f>
        <v>종합자료실</v>
      </c>
      <c r="E12" cm="1">
        <f t="array" ref="E12">IFERROR(INDEX(대출자[],MATCH(1,(자료실기준[[#This Row],[소장처명]]=대출자[소장처명])*(자료실기준[[#This Row],[년월]]=대출자[년월]),0),MATCH(E$1,대출자[#Headers],0)),0)</f>
        <v>1</v>
      </c>
      <c r="F12" cm="1">
        <f t="array" ref="F12">IFERROR(INDEX(대출자[],MATCH(1,(자료실기준[[#This Row],[소장처명]]=대출자[소장처명])*(자료실기준[[#This Row],[년월]]=대출자[년월]),0),MATCH(F$1,대출자[#Headers],0)),0)</f>
        <v>0</v>
      </c>
      <c r="G12" cm="1">
        <f t="array" ref="G12">IFERROR(INDEX(대출자[],MATCH(1,(자료실기준[[#This Row],[소장처명]]=대출자[소장처명])*(자료실기준[[#This Row],[년월]]=대출자[년월]),0),MATCH(G$1,대출자[#Headers],0)),0)</f>
        <v>0</v>
      </c>
      <c r="H12" cm="1">
        <f t="array" ref="H12">IFERROR(INDEX(대출자[],MATCH(1,(자료실기준[[#This Row],[소장처명]]=대출자[소장처명])*(자료실기준[[#This Row],[년월]]=대출자[년월]),0),MATCH(H$1,대출자[#Headers],0)),0)</f>
        <v>2</v>
      </c>
      <c r="I12" cm="1">
        <f t="array" ref="I12">IFERROR(INDEX(대출자[],MATCH(1,(자료실기준[[#This Row],[소장처명]]=대출자[소장처명])*(자료실기준[[#This Row],[년월]]=대출자[년월]),0),MATCH(I$1,대출자[#Headers],0)),0)</f>
        <v>9</v>
      </c>
      <c r="J12" cm="1">
        <f t="array" ref="J12">IFERROR(INDEX(대출자[],MATCH(1,(자료실기준[[#This Row],[소장처명]]=대출자[소장처명])*(자료실기준[[#This Row],[년월]]=대출자[년월]),0),MATCH(J$1,대출자[#Headers],0)),0)</f>
        <v>17</v>
      </c>
      <c r="K12" cm="1">
        <f t="array" ref="K12">IFERROR(INDEX(대출자[],MATCH(1,(자료실기준[[#This Row],[소장처명]]=대출자[소장처명])*(자료실기준[[#This Row],[년월]]=대출자[년월]),0),MATCH(K$1,대출자[#Headers],0)),0)</f>
        <v>1</v>
      </c>
      <c r="L12" cm="1">
        <f t="array" ref="L12">IFERROR(INDEX(대출자[],MATCH(1,(자료실기준[[#This Row],[소장처명]]=대출자[소장처명])*(자료실기준[[#This Row],[년월]]=대출자[년월]),0),MATCH(L$1,대출자[#Headers],0)),0)</f>
        <v>2</v>
      </c>
      <c r="M12" cm="1">
        <f t="array" ref="M12">IFERROR(INDEX(대출자[],MATCH(1,(자료실기준[[#This Row],[소장처명]]=대출자[소장처명])*(자료실기준[[#This Row],[년월]]=대출자[년월]),0),MATCH(M$1,대출자[#Headers],0)),0)</f>
        <v>26</v>
      </c>
      <c r="N12">
        <f>IFERROR(자료실기준[[#This Row],[어린이남자]]+자료실기준[[#This Row],[청소년남자]]+자료실기준[[#This Row],[성인남자]],0)</f>
        <v>10</v>
      </c>
      <c r="O12">
        <f>IFERROR(자료실기준[[#This Row],[어린이여자]]+자료실기준[[#This Row],[청소년여자]]+자료실기준[[#This Row],[성인여자]],0)</f>
        <v>19</v>
      </c>
      <c r="P12">
        <f>IFERROR(자료실기준[[#This Row],[남자]]+자료실기준[[#This Row],[여자]],0)</f>
        <v>29</v>
      </c>
      <c r="Q12" cm="1">
        <f t="array" ref="Q12">IFERROR(INDEX(대출권수[],MATCH(1,(자료실기준[[#This Row],[소장처명]]=대출권수[소장처명])*(대출권수[대출반납]="대출")*(자료실기준[[#This Row],[년월]]=대출권수[년월]),0),MATCH(Q$1,대출권수[#Headers],0)),0)</f>
        <v>5</v>
      </c>
      <c r="R12" cm="1">
        <f t="array" ref="R12">IFERROR(INDEX(대출권수[],MATCH(1,(자료실기준[[#This Row],[소장처명]]=대출권수[소장처명])*(대출권수[대출반납]="대출")*(자료실기준[[#This Row],[년월]]=대출권수[년월]),0),MATCH(R$1,대출권수[#Headers],0)),0)</f>
        <v>4</v>
      </c>
      <c r="S12" cm="1">
        <f t="array" ref="S12">IFERROR(INDEX(대출권수[],MATCH(1,(자료실기준[[#This Row],[소장처명]]=대출권수[소장처명])*(대출권수[대출반납]="대출")*(자료실기준[[#This Row],[년월]]=대출권수[년월]),0),MATCH(S$1,대출권수[#Headers],0)),0)</f>
        <v>3</v>
      </c>
      <c r="T12" cm="1">
        <f t="array" ref="T12">IFERROR(INDEX(대출권수[],MATCH(1,(자료실기준[[#This Row],[소장처명]]=대출권수[소장처명])*(대출권수[대출반납]="대출")*(자료실기준[[#This Row],[년월]]=대출권수[년월]),0),MATCH(T$1,대출권수[#Headers],0)),0)</f>
        <v>6</v>
      </c>
      <c r="U12" cm="1">
        <f t="array" ref="U12">IFERROR(INDEX(대출권수[],MATCH(1,(자료실기준[[#This Row],[소장처명]]=대출권수[소장처명])*(대출권수[대출반납]="대출")*(자료실기준[[#This Row],[년월]]=대출권수[년월]),0),MATCH(U$1,대출권수[#Headers],0)),0)</f>
        <v>3</v>
      </c>
      <c r="V12" cm="1">
        <f t="array" ref="V12">IFERROR(INDEX(대출권수[],MATCH(1,(자료실기준[[#This Row],[소장처명]]=대출권수[소장처명])*(대출권수[대출반납]="대출")*(자료실기준[[#This Row],[년월]]=대출권수[년월]),0),MATCH(V$1,대출권수[#Headers],0)),0)</f>
        <v>5</v>
      </c>
      <c r="W12" cm="1">
        <f t="array" ref="W12">IFERROR(INDEX(대출권수[],MATCH(1,(자료실기준[[#This Row],[소장처명]]=대출권수[소장처명])*(대출권수[대출반납]="대출")*(자료실기준[[#This Row],[년월]]=대출권수[년월]),0),MATCH(W$1,대출권수[#Headers],0)),0)</f>
        <v>2</v>
      </c>
      <c r="X12" cm="1">
        <f t="array" ref="X12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2" cm="1">
        <f t="array" ref="Y12">IFERROR(INDEX(대출권수[],MATCH(1,(자료실기준[[#This Row],[소장처명]]=대출권수[소장처명])*(대출권수[대출반납]="대출")*(자료실기준[[#This Row],[년월]]=대출권수[년월]),0),MATCH(Y$1,대출권수[#Headers],0)),0)</f>
        <v>10</v>
      </c>
      <c r="Z12" cm="1">
        <f t="array" ref="Z12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2">
        <f>SUM(자료실기준[[#This Row],[총류]:[역사]])</f>
        <v>38</v>
      </c>
    </row>
    <row r="13" spans="1:27" x14ac:dyDescent="0.3">
      <c r="A13" s="5">
        <v>45292</v>
      </c>
      <c r="B13" t="s">
        <v>7</v>
      </c>
      <c r="C13" s="5" t="str">
        <f>TEXT(자료실기준[[#This Row],[년월]],"yy년m월")&amp;자료실기준[[#This Row],[소장처명]]</f>
        <v>24년1월어린이실(교과1학년)</v>
      </c>
      <c r="D13" t="str">
        <f>IFERROR(INDEX(자료실범례[],MATCH($B13,자료실범례[소장처명],0),2),"종합자료실")</f>
        <v>어린이자료실</v>
      </c>
      <c r="E13" cm="1">
        <f t="array" ref="E13">IFERROR(INDEX(대출자[],MATCH(1,(자료실기준[[#This Row],[소장처명]]=대출자[소장처명])*(자료실기준[[#This Row],[년월]]=대출자[년월]),0),MATCH(E$1,대출자[#Headers],0)),0)</f>
        <v>3</v>
      </c>
      <c r="F13" cm="1">
        <f t="array" ref="F13">IFERROR(INDEX(대출자[],MATCH(1,(자료실기준[[#This Row],[소장처명]]=대출자[소장처명])*(자료실기준[[#This Row],[년월]]=대출자[년월]),0),MATCH(F$1,대출자[#Headers],0)),0)</f>
        <v>6</v>
      </c>
      <c r="G13" cm="1">
        <f t="array" ref="G13">IFERROR(INDEX(대출자[],MATCH(1,(자료실기준[[#This Row],[소장처명]]=대출자[소장처명])*(자료실기준[[#This Row],[년월]]=대출자[년월]),0),MATCH(G$1,대출자[#Headers],0)),0)</f>
        <v>0</v>
      </c>
      <c r="H13" cm="1">
        <f t="array" ref="H13">IFERROR(INDEX(대출자[],MATCH(1,(자료실기준[[#This Row],[소장처명]]=대출자[소장처명])*(자료실기준[[#This Row],[년월]]=대출자[년월]),0),MATCH(H$1,대출자[#Headers],0)),0)</f>
        <v>0</v>
      </c>
      <c r="I13" cm="1">
        <f t="array" ref="I13">IFERROR(INDEX(대출자[],MATCH(1,(자료실기준[[#This Row],[소장처명]]=대출자[소장처명])*(자료실기준[[#This Row],[년월]]=대출자[년월]),0),MATCH(I$1,대출자[#Headers],0)),0)</f>
        <v>1</v>
      </c>
      <c r="J13" cm="1">
        <f t="array" ref="J13">IFERROR(INDEX(대출자[],MATCH(1,(자료실기준[[#This Row],[소장처명]]=대출자[소장처명])*(자료실기준[[#This Row],[년월]]=대출자[년월]),0),MATCH(J$1,대출자[#Headers],0)),0)</f>
        <v>7</v>
      </c>
      <c r="K13" cm="1">
        <f t="array" ref="K13">IFERROR(INDEX(대출자[],MATCH(1,(자료실기준[[#This Row],[소장처명]]=대출자[소장처명])*(자료실기준[[#This Row],[년월]]=대출자[년월]),0),MATCH(K$1,대출자[#Headers],0)),0)</f>
        <v>9</v>
      </c>
      <c r="L13" cm="1">
        <f t="array" ref="L13">IFERROR(INDEX(대출자[],MATCH(1,(자료실기준[[#This Row],[소장처명]]=대출자[소장처명])*(자료실기준[[#This Row],[년월]]=대출자[년월]),0),MATCH(L$1,대출자[#Headers],0)),0)</f>
        <v>0</v>
      </c>
      <c r="M13" cm="1">
        <f t="array" ref="M13">IFERROR(INDEX(대출자[],MATCH(1,(자료실기준[[#This Row],[소장처명]]=대출자[소장처명])*(자료실기준[[#This Row],[년월]]=대출자[년월]),0),MATCH(M$1,대출자[#Headers],0)),0)</f>
        <v>8</v>
      </c>
      <c r="N13">
        <f>IFERROR(자료실기준[[#This Row],[어린이남자]]+자료실기준[[#This Row],[청소년남자]]+자료실기준[[#This Row],[성인남자]],0)</f>
        <v>4</v>
      </c>
      <c r="O13">
        <f>IFERROR(자료실기준[[#This Row],[어린이여자]]+자료실기준[[#This Row],[청소년여자]]+자료실기준[[#This Row],[성인여자]],0)</f>
        <v>13</v>
      </c>
      <c r="P13">
        <f>IFERROR(자료실기준[[#This Row],[남자]]+자료실기준[[#This Row],[여자]],0)</f>
        <v>17</v>
      </c>
      <c r="Q13" cm="1">
        <f t="array" ref="Q13">IFERROR(INDEX(대출권수[],MATCH(1,(자료실기준[[#This Row],[소장처명]]=대출권수[소장처명])*(대출권수[대출반납]="대출")*(자료실기준[[#This Row],[년월]]=대출권수[년월]),0),MATCH(Q$1,대출권수[#Headers],0)),0)</f>
        <v>1</v>
      </c>
      <c r="R13" cm="1">
        <f t="array" ref="R13">IFERROR(INDEX(대출권수[],MATCH(1,(자료실기준[[#This Row],[소장처명]]=대출권수[소장처명])*(대출권수[대출반납]="대출")*(자료실기준[[#This Row],[년월]]=대출권수[년월]),0),MATCH(R$1,대출권수[#Headers],0)),0)</f>
        <v>2</v>
      </c>
      <c r="S13" cm="1">
        <f t="array" ref="S13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3" cm="1">
        <f t="array" ref="T13">IFERROR(INDEX(대출권수[],MATCH(1,(자료실기준[[#This Row],[소장처명]]=대출권수[소장처명])*(대출권수[대출반납]="대출")*(자료실기준[[#This Row],[년월]]=대출권수[년월]),0),MATCH(T$1,대출권수[#Headers],0)),0)</f>
        <v>7</v>
      </c>
      <c r="U13" cm="1">
        <f t="array" ref="U13">IFERROR(INDEX(대출권수[],MATCH(1,(자료실기준[[#This Row],[소장처명]]=대출권수[소장처명])*(대출권수[대출반납]="대출")*(자료실기준[[#This Row],[년월]]=대출권수[년월]),0),MATCH(U$1,대출권수[#Headers],0)),0)</f>
        <v>1</v>
      </c>
      <c r="V13" cm="1">
        <f t="array" ref="V13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3" cm="1">
        <f t="array" ref="W13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3" cm="1">
        <f t="array" ref="X13">IFERROR(INDEX(대출권수[],MATCH(1,(자료실기준[[#This Row],[소장처명]]=대출권수[소장처명])*(대출권수[대출반납]="대출")*(자료실기준[[#This Row],[년월]]=대출권수[년월]),0),MATCH(X$1,대출권수[#Headers],0)),0)</f>
        <v>1</v>
      </c>
      <c r="Y13" cm="1">
        <f t="array" ref="Y13">IFERROR(INDEX(대출권수[],MATCH(1,(자료실기준[[#This Row],[소장처명]]=대출권수[소장처명])*(대출권수[대출반납]="대출")*(자료실기준[[#This Row],[년월]]=대출권수[년월]),0),MATCH(Y$1,대출권수[#Headers],0)),0)</f>
        <v>44</v>
      </c>
      <c r="Z13" cm="1">
        <f t="array" ref="Z13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3">
        <f>SUM(자료실기준[[#This Row],[총류]:[역사]])</f>
        <v>56</v>
      </c>
    </row>
    <row r="14" spans="1:27" x14ac:dyDescent="0.3">
      <c r="A14" s="5">
        <v>45292</v>
      </c>
      <c r="B14" t="s">
        <v>8</v>
      </c>
      <c r="C14" s="5" t="str">
        <f>TEXT(자료실기준[[#This Row],[년월]],"yy년m월")&amp;자료실기준[[#This Row],[소장처명]]</f>
        <v>24년1월어린이실(교과2학년)</v>
      </c>
      <c r="D14" t="str">
        <f>IFERROR(INDEX(자료실범례[],MATCH($B14,자료실범례[소장처명],0),2),"종합자료실")</f>
        <v>어린이자료실</v>
      </c>
      <c r="E14" cm="1">
        <f t="array" ref="E14">IFERROR(INDEX(대출자[],MATCH(1,(자료실기준[[#This Row],[소장처명]]=대출자[소장처명])*(자료실기준[[#This Row],[년월]]=대출자[년월]),0),MATCH(E$1,대출자[#Headers],0)),0)</f>
        <v>2</v>
      </c>
      <c r="F14" cm="1">
        <f t="array" ref="F14">IFERROR(INDEX(대출자[],MATCH(1,(자료실기준[[#This Row],[소장처명]]=대출자[소장처명])*(자료실기준[[#This Row],[년월]]=대출자[년월]),0),MATCH(F$1,대출자[#Headers],0)),0)</f>
        <v>5</v>
      </c>
      <c r="G14" cm="1">
        <f t="array" ref="G14">IFERROR(INDEX(대출자[],MATCH(1,(자료실기준[[#This Row],[소장처명]]=대출자[소장처명])*(자료실기준[[#This Row],[년월]]=대출자[년월]),0),MATCH(G$1,대출자[#Headers],0)),0)</f>
        <v>0</v>
      </c>
      <c r="H14" cm="1">
        <f t="array" ref="H14">IFERROR(INDEX(대출자[],MATCH(1,(자료실기준[[#This Row],[소장처명]]=대출자[소장처명])*(자료실기준[[#This Row],[년월]]=대출자[년월]),0),MATCH(H$1,대출자[#Headers],0)),0)</f>
        <v>0</v>
      </c>
      <c r="I14" cm="1">
        <f t="array" ref="I14">IFERROR(INDEX(대출자[],MATCH(1,(자료실기준[[#This Row],[소장처명]]=대출자[소장처명])*(자료실기준[[#This Row],[년월]]=대출자[년월]),0),MATCH(I$1,대출자[#Headers],0)),0)</f>
        <v>1</v>
      </c>
      <c r="J14" cm="1">
        <f t="array" ref="J14">IFERROR(INDEX(대출자[],MATCH(1,(자료실기준[[#This Row],[소장처명]]=대출자[소장처명])*(자료실기준[[#This Row],[년월]]=대출자[년월]),0),MATCH(J$1,대출자[#Headers],0)),0)</f>
        <v>10</v>
      </c>
      <c r="K14" cm="1">
        <f t="array" ref="K14">IFERROR(INDEX(대출자[],MATCH(1,(자료실기준[[#This Row],[소장처명]]=대출자[소장처명])*(자료실기준[[#This Row],[년월]]=대출자[년월]),0),MATCH(K$1,대출자[#Headers],0)),0)</f>
        <v>7</v>
      </c>
      <c r="L14" cm="1">
        <f t="array" ref="L14">IFERROR(INDEX(대출자[],MATCH(1,(자료실기준[[#This Row],[소장처명]]=대출자[소장처명])*(자료실기준[[#This Row],[년월]]=대출자[년월]),0),MATCH(L$1,대출자[#Headers],0)),0)</f>
        <v>0</v>
      </c>
      <c r="M14" cm="1">
        <f t="array" ref="M14">IFERROR(INDEX(대출자[],MATCH(1,(자료실기준[[#This Row],[소장처명]]=대출자[소장처명])*(자료실기준[[#This Row],[년월]]=대출자[년월]),0),MATCH(M$1,대출자[#Headers],0)),0)</f>
        <v>11</v>
      </c>
      <c r="N14">
        <f>IFERROR(자료실기준[[#This Row],[어린이남자]]+자료실기준[[#This Row],[청소년남자]]+자료실기준[[#This Row],[성인남자]],0)</f>
        <v>3</v>
      </c>
      <c r="O14">
        <f>IFERROR(자료실기준[[#This Row],[어린이여자]]+자료실기준[[#This Row],[청소년여자]]+자료실기준[[#This Row],[성인여자]],0)</f>
        <v>15</v>
      </c>
      <c r="P14">
        <f>IFERROR(자료실기준[[#This Row],[남자]]+자료실기준[[#This Row],[여자]],0)</f>
        <v>18</v>
      </c>
      <c r="Q14" cm="1">
        <f t="array" ref="Q14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4" cm="1">
        <f t="array" ref="R14">IFERROR(INDEX(대출권수[],MATCH(1,(자료실기준[[#This Row],[소장처명]]=대출권수[소장처명])*(대출권수[대출반납]="대출")*(자료실기준[[#This Row],[년월]]=대출권수[년월]),0),MATCH(R$1,대출권수[#Headers],0)),0)</f>
        <v>1</v>
      </c>
      <c r="S14" cm="1">
        <f t="array" ref="S14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4" cm="1">
        <f t="array" ref="T14">IFERROR(INDEX(대출권수[],MATCH(1,(자료실기준[[#This Row],[소장처명]]=대출권수[소장처명])*(대출권수[대출반납]="대출")*(자료실기준[[#This Row],[년월]]=대출권수[년월]),0),MATCH(T$1,대출권수[#Headers],0)),0)</f>
        <v>4</v>
      </c>
      <c r="U14" cm="1">
        <f t="array" ref="U14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4" cm="1">
        <f t="array" ref="V14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4" cm="1">
        <f t="array" ref="W14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4" cm="1">
        <f t="array" ref="X14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4" cm="1">
        <f t="array" ref="Y14">IFERROR(INDEX(대출권수[],MATCH(1,(자료실기준[[#This Row],[소장처명]]=대출권수[소장처명])*(대출권수[대출반납]="대출")*(자료실기준[[#This Row],[년월]]=대출권수[년월]),0),MATCH(Y$1,대출권수[#Headers],0)),0)</f>
        <v>23</v>
      </c>
      <c r="Z14" cm="1">
        <f t="array" ref="Z14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4">
        <f>SUM(자료실기준[[#This Row],[총류]:[역사]])</f>
        <v>28</v>
      </c>
    </row>
    <row r="15" spans="1:27" x14ac:dyDescent="0.3">
      <c r="A15" s="5">
        <v>45292</v>
      </c>
      <c r="B15" t="s">
        <v>9</v>
      </c>
      <c r="C15" s="5" t="str">
        <f>TEXT(자료실기준[[#This Row],[년월]],"yy년m월")&amp;자료실기준[[#This Row],[소장처명]]</f>
        <v>24년1월어린이실(교과3학년)</v>
      </c>
      <c r="D15" t="str">
        <f>IFERROR(INDEX(자료실범례[],MATCH($B15,자료실범례[소장처명],0),2),"종합자료실")</f>
        <v>어린이자료실</v>
      </c>
      <c r="E15" cm="1">
        <f t="array" ref="E15">IFERROR(INDEX(대출자[],MATCH(1,(자료실기준[[#This Row],[소장처명]]=대출자[소장처명])*(자료실기준[[#This Row],[년월]]=대출자[년월]),0),MATCH(E$1,대출자[#Headers],0)),0)</f>
        <v>1</v>
      </c>
      <c r="F15" cm="1">
        <f t="array" ref="F15">IFERROR(INDEX(대출자[],MATCH(1,(자료실기준[[#This Row],[소장처명]]=대출자[소장처명])*(자료실기준[[#This Row],[년월]]=대출자[년월]),0),MATCH(F$1,대출자[#Headers],0)),0)</f>
        <v>2</v>
      </c>
      <c r="G15" cm="1">
        <f t="array" ref="G15">IFERROR(INDEX(대출자[],MATCH(1,(자료실기준[[#This Row],[소장처명]]=대출자[소장처명])*(자료실기준[[#This Row],[년월]]=대출자[년월]),0),MATCH(G$1,대출자[#Headers],0)),0)</f>
        <v>0</v>
      </c>
      <c r="H15" cm="1">
        <f t="array" ref="H15">IFERROR(INDEX(대출자[],MATCH(1,(자료실기준[[#This Row],[소장처명]]=대출자[소장처명])*(자료실기준[[#This Row],[년월]]=대출자[년월]),0),MATCH(H$1,대출자[#Headers],0)),0)</f>
        <v>0</v>
      </c>
      <c r="I15" cm="1">
        <f t="array" ref="I15">IFERROR(INDEX(대출자[],MATCH(1,(자료실기준[[#This Row],[소장처명]]=대출자[소장처명])*(자료실기준[[#This Row],[년월]]=대출자[년월]),0),MATCH(I$1,대출자[#Headers],0)),0)</f>
        <v>3</v>
      </c>
      <c r="J15" cm="1">
        <f t="array" ref="J15">IFERROR(INDEX(대출자[],MATCH(1,(자료실기준[[#This Row],[소장처명]]=대출자[소장처명])*(자료실기준[[#This Row],[년월]]=대출자[년월]),0),MATCH(J$1,대출자[#Headers],0)),0)</f>
        <v>5</v>
      </c>
      <c r="K15" cm="1">
        <f t="array" ref="K15">IFERROR(INDEX(대출자[],MATCH(1,(자료실기준[[#This Row],[소장처명]]=대출자[소장처명])*(자료실기준[[#This Row],[년월]]=대출자[년월]),0),MATCH(K$1,대출자[#Headers],0)),0)</f>
        <v>3</v>
      </c>
      <c r="L15" cm="1">
        <f t="array" ref="L15">IFERROR(INDEX(대출자[],MATCH(1,(자료실기준[[#This Row],[소장처명]]=대출자[소장처명])*(자료실기준[[#This Row],[년월]]=대출자[년월]),0),MATCH(L$1,대출자[#Headers],0)),0)</f>
        <v>0</v>
      </c>
      <c r="M15" cm="1">
        <f t="array" ref="M15">IFERROR(INDEX(대출자[],MATCH(1,(자료실기준[[#This Row],[소장처명]]=대출자[소장처명])*(자료실기준[[#This Row],[년월]]=대출자[년월]),0),MATCH(M$1,대출자[#Headers],0)),0)</f>
        <v>8</v>
      </c>
      <c r="N15">
        <f>IFERROR(자료실기준[[#This Row],[어린이남자]]+자료실기준[[#This Row],[청소년남자]]+자료실기준[[#This Row],[성인남자]],0)</f>
        <v>4</v>
      </c>
      <c r="O15">
        <f>IFERROR(자료실기준[[#This Row],[어린이여자]]+자료실기준[[#This Row],[청소년여자]]+자료실기준[[#This Row],[성인여자]],0)</f>
        <v>7</v>
      </c>
      <c r="P15">
        <f>IFERROR(자료실기준[[#This Row],[남자]]+자료실기준[[#This Row],[여자]],0)</f>
        <v>11</v>
      </c>
      <c r="Q15" cm="1">
        <f t="array" ref="Q15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5" cm="1">
        <f t="array" ref="R15">IFERROR(INDEX(대출권수[],MATCH(1,(자료실기준[[#This Row],[소장처명]]=대출권수[소장처명])*(대출권수[대출반납]="대출")*(자료실기준[[#This Row],[년월]]=대출권수[년월]),0),MATCH(R$1,대출권수[#Headers],0)),0)</f>
        <v>1</v>
      </c>
      <c r="S15" cm="1">
        <f t="array" ref="S15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5" cm="1">
        <f t="array" ref="T15">IFERROR(INDEX(대출권수[],MATCH(1,(자료실기준[[#This Row],[소장처명]]=대출권수[소장처명])*(대출권수[대출반납]="대출")*(자료실기준[[#This Row],[년월]]=대출권수[년월]),0),MATCH(T$1,대출권수[#Headers],0)),0)</f>
        <v>8</v>
      </c>
      <c r="U15" cm="1">
        <f t="array" ref="U15">IFERROR(INDEX(대출권수[],MATCH(1,(자료실기준[[#This Row],[소장처명]]=대출권수[소장처명])*(대출권수[대출반납]="대출")*(자료실기준[[#This Row],[년월]]=대출권수[년월]),0),MATCH(U$1,대출권수[#Headers],0)),0)</f>
        <v>3</v>
      </c>
      <c r="V15" cm="1">
        <f t="array" ref="V15">IFERROR(INDEX(대출권수[],MATCH(1,(자료실기준[[#This Row],[소장처명]]=대출권수[소장처명])*(대출권수[대출반납]="대출")*(자료실기준[[#This Row],[년월]]=대출권수[년월]),0),MATCH(V$1,대출권수[#Headers],0)),0)</f>
        <v>2</v>
      </c>
      <c r="W15" cm="1">
        <f t="array" ref="W15">IFERROR(INDEX(대출권수[],MATCH(1,(자료실기준[[#This Row],[소장처명]]=대출권수[소장처명])*(대출권수[대출반납]="대출")*(자료실기준[[#This Row],[년월]]=대출권수[년월]),0),MATCH(W$1,대출권수[#Headers],0)),0)</f>
        <v>1</v>
      </c>
      <c r="X15" cm="1">
        <f t="array" ref="X15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5" cm="1">
        <f t="array" ref="Y15">IFERROR(INDEX(대출권수[],MATCH(1,(자료실기준[[#This Row],[소장처명]]=대출권수[소장처명])*(대출권수[대출반납]="대출")*(자료실기준[[#This Row],[년월]]=대출권수[년월]),0),MATCH(Y$1,대출권수[#Headers],0)),0)</f>
        <v>12</v>
      </c>
      <c r="Z15" cm="1">
        <f t="array" ref="Z15">IFERROR(INDEX(대출권수[],MATCH(1,(자료실기준[[#This Row],[소장처명]]=대출권수[소장처명])*(대출권수[대출반납]="대출")*(자료실기준[[#This Row],[년월]]=대출권수[년월]),0),MATCH(Z$1,대출권수[#Headers],0)),0)</f>
        <v>2</v>
      </c>
      <c r="AA15">
        <f>SUM(자료실기준[[#This Row],[총류]:[역사]])</f>
        <v>29</v>
      </c>
    </row>
    <row r="16" spans="1:27" x14ac:dyDescent="0.3">
      <c r="A16" s="5">
        <v>45292</v>
      </c>
      <c r="B16" t="s">
        <v>10</v>
      </c>
      <c r="C16" s="5" t="str">
        <f>TEXT(자료실기준[[#This Row],[년월]],"yy년m월")&amp;자료실기준[[#This Row],[소장처명]]</f>
        <v>24년1월어린이실(교과4학년)</v>
      </c>
      <c r="D16" t="str">
        <f>IFERROR(INDEX(자료실범례[],MATCH($B16,자료실범례[소장처명],0),2),"종합자료실")</f>
        <v>어린이자료실</v>
      </c>
      <c r="E16" cm="1">
        <f t="array" ref="E16">IFERROR(INDEX(대출자[],MATCH(1,(자료실기준[[#This Row],[소장처명]]=대출자[소장처명])*(자료실기준[[#This Row],[년월]]=대출자[년월]),0),MATCH(E$1,대출자[#Headers],0)),0)</f>
        <v>2</v>
      </c>
      <c r="F16" cm="1">
        <f t="array" ref="F16">IFERROR(INDEX(대출자[],MATCH(1,(자료실기준[[#This Row],[소장처명]]=대출자[소장처명])*(자료실기준[[#This Row],[년월]]=대출자[년월]),0),MATCH(F$1,대출자[#Headers],0)),0)</f>
        <v>1</v>
      </c>
      <c r="G16" cm="1">
        <f t="array" ref="G16">IFERROR(INDEX(대출자[],MATCH(1,(자료실기준[[#This Row],[소장처명]]=대출자[소장처명])*(자료실기준[[#This Row],[년월]]=대출자[년월]),0),MATCH(G$1,대출자[#Headers],0)),0)</f>
        <v>0</v>
      </c>
      <c r="H16" cm="1">
        <f t="array" ref="H16">IFERROR(INDEX(대출자[],MATCH(1,(자료실기준[[#This Row],[소장처명]]=대출자[소장처명])*(자료실기준[[#This Row],[년월]]=대출자[년월]),0),MATCH(H$1,대출자[#Headers],0)),0)</f>
        <v>0</v>
      </c>
      <c r="I16" cm="1">
        <f t="array" ref="I16">IFERROR(INDEX(대출자[],MATCH(1,(자료실기준[[#This Row],[소장처명]]=대출자[소장처명])*(자료실기준[[#This Row],[년월]]=대출자[년월]),0),MATCH(I$1,대출자[#Headers],0)),0)</f>
        <v>3</v>
      </c>
      <c r="J16" cm="1">
        <f t="array" ref="J16">IFERROR(INDEX(대출자[],MATCH(1,(자료실기준[[#This Row],[소장처명]]=대출자[소장처명])*(자료실기준[[#This Row],[년월]]=대출자[년월]),0),MATCH(J$1,대출자[#Headers],0)),0)</f>
        <v>3</v>
      </c>
      <c r="K16" cm="1">
        <f t="array" ref="K16">IFERROR(INDEX(대출자[],MATCH(1,(자료실기준[[#This Row],[소장처명]]=대출자[소장처명])*(자료실기준[[#This Row],[년월]]=대출자[년월]),0),MATCH(K$1,대출자[#Headers],0)),0)</f>
        <v>3</v>
      </c>
      <c r="L16" cm="1">
        <f t="array" ref="L16">IFERROR(INDEX(대출자[],MATCH(1,(자료실기준[[#This Row],[소장처명]]=대출자[소장처명])*(자료실기준[[#This Row],[년월]]=대출자[년월]),0),MATCH(L$1,대출자[#Headers],0)),0)</f>
        <v>0</v>
      </c>
      <c r="M16" cm="1">
        <f t="array" ref="M16">IFERROR(INDEX(대출자[],MATCH(1,(자료실기준[[#This Row],[소장처명]]=대출자[소장처명])*(자료실기준[[#This Row],[년월]]=대출자[년월]),0),MATCH(M$1,대출자[#Headers],0)),0)</f>
        <v>6</v>
      </c>
      <c r="N16">
        <f>IFERROR(자료실기준[[#This Row],[어린이남자]]+자료실기준[[#This Row],[청소년남자]]+자료실기준[[#This Row],[성인남자]],0)</f>
        <v>5</v>
      </c>
      <c r="O16">
        <f>IFERROR(자료실기준[[#This Row],[어린이여자]]+자료실기준[[#This Row],[청소년여자]]+자료실기준[[#This Row],[성인여자]],0)</f>
        <v>4</v>
      </c>
      <c r="P16">
        <f>IFERROR(자료실기준[[#This Row],[남자]]+자료실기준[[#This Row],[여자]],0)</f>
        <v>9</v>
      </c>
      <c r="Q16" cm="1">
        <f t="array" ref="Q16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6" cm="1">
        <f t="array" ref="R16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6" cm="1">
        <f t="array" ref="S16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6" cm="1">
        <f t="array" ref="T16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6" cm="1">
        <f t="array" ref="U16">IFERROR(INDEX(대출권수[],MATCH(1,(자료실기준[[#This Row],[소장처명]]=대출권수[소장처명])*(대출권수[대출반납]="대출")*(자료실기준[[#This Row],[년월]]=대출권수[년월]),0),MATCH(U$1,대출권수[#Headers],0)),0)</f>
        <v>6</v>
      </c>
      <c r="V16" cm="1">
        <f t="array" ref="V16">IFERROR(INDEX(대출권수[],MATCH(1,(자료실기준[[#This Row],[소장처명]]=대출권수[소장처명])*(대출권수[대출반납]="대출")*(자료실기준[[#This Row],[년월]]=대출권수[년월]),0),MATCH(V$1,대출권수[#Headers],0)),0)</f>
        <v>4</v>
      </c>
      <c r="W16" cm="1">
        <f t="array" ref="W16">IFERROR(INDEX(대출권수[],MATCH(1,(자료실기준[[#This Row],[소장처명]]=대출권수[소장처명])*(대출권수[대출반납]="대출")*(자료실기준[[#This Row],[년월]]=대출권수[년월]),0),MATCH(W$1,대출권수[#Headers],0)),0)</f>
        <v>1</v>
      </c>
      <c r="X16" cm="1">
        <f t="array" ref="X16">IFERROR(INDEX(대출권수[],MATCH(1,(자료실기준[[#This Row],[소장처명]]=대출권수[소장처명])*(대출권수[대출반납]="대출")*(자료실기준[[#This Row],[년월]]=대출권수[년월]),0),MATCH(X$1,대출권수[#Headers],0)),0)</f>
        <v>4</v>
      </c>
      <c r="Y16" cm="1">
        <f t="array" ref="Y16">IFERROR(INDEX(대출권수[],MATCH(1,(자료실기준[[#This Row],[소장처명]]=대출권수[소장처명])*(대출권수[대출반납]="대출")*(자료실기준[[#This Row],[년월]]=대출권수[년월]),0),MATCH(Y$1,대출권수[#Headers],0)),0)</f>
        <v>15</v>
      </c>
      <c r="Z16" cm="1">
        <f t="array" ref="Z16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6">
        <f>SUM(자료실기준[[#This Row],[총류]:[역사]])</f>
        <v>30</v>
      </c>
    </row>
    <row r="17" spans="1:27" x14ac:dyDescent="0.3">
      <c r="A17" s="5">
        <v>45292</v>
      </c>
      <c r="B17" t="s">
        <v>11</v>
      </c>
      <c r="C17" s="5" t="str">
        <f>TEXT(자료실기준[[#This Row],[년월]],"yy년m월")&amp;자료실기준[[#This Row],[소장처명]]</f>
        <v>24년1월어린이실(교과5학년)</v>
      </c>
      <c r="D17" t="str">
        <f>IFERROR(INDEX(자료실범례[],MATCH($B17,자료실범례[소장처명],0),2),"종합자료실")</f>
        <v>어린이자료실</v>
      </c>
      <c r="E17" cm="1">
        <f t="array" ref="E17">IFERROR(INDEX(대출자[],MATCH(1,(자료실기준[[#This Row],[소장처명]]=대출자[소장처명])*(자료실기준[[#This Row],[년월]]=대출자[년월]),0),MATCH(E$1,대출자[#Headers],0)),0)</f>
        <v>1</v>
      </c>
      <c r="F17" cm="1">
        <f t="array" ref="F17">IFERROR(INDEX(대출자[],MATCH(1,(자료실기준[[#This Row],[소장처명]]=대출자[소장처명])*(자료실기준[[#This Row],[년월]]=대출자[년월]),0),MATCH(F$1,대출자[#Headers],0)),0)</f>
        <v>0</v>
      </c>
      <c r="G17" cm="1">
        <f t="array" ref="G17">IFERROR(INDEX(대출자[],MATCH(1,(자료실기준[[#This Row],[소장처명]]=대출자[소장처명])*(자료실기준[[#This Row],[년월]]=대출자[년월]),0),MATCH(G$1,대출자[#Headers],0)),0)</f>
        <v>0</v>
      </c>
      <c r="H17" cm="1">
        <f t="array" ref="H17">IFERROR(INDEX(대출자[],MATCH(1,(자료실기준[[#This Row],[소장처명]]=대출자[소장처명])*(자료실기준[[#This Row],[년월]]=대출자[년월]),0),MATCH(H$1,대출자[#Headers],0)),0)</f>
        <v>2</v>
      </c>
      <c r="I17" cm="1">
        <f t="array" ref="I17">IFERROR(INDEX(대출자[],MATCH(1,(자료실기준[[#This Row],[소장처명]]=대출자[소장처명])*(자료실기준[[#This Row],[년월]]=대출자[년월]),0),MATCH(I$1,대출자[#Headers],0)),0)</f>
        <v>0</v>
      </c>
      <c r="J17" cm="1">
        <f t="array" ref="J17">IFERROR(INDEX(대출자[],MATCH(1,(자료실기준[[#This Row],[소장처명]]=대출자[소장처명])*(자료실기준[[#This Row],[년월]]=대출자[년월]),0),MATCH(J$1,대출자[#Headers],0)),0)</f>
        <v>6</v>
      </c>
      <c r="K17" cm="1">
        <f t="array" ref="K17">IFERROR(INDEX(대출자[],MATCH(1,(자료실기준[[#This Row],[소장처명]]=대출자[소장처명])*(자료실기준[[#This Row],[년월]]=대출자[년월]),0),MATCH(K$1,대출자[#Headers],0)),0)</f>
        <v>1</v>
      </c>
      <c r="L17" cm="1">
        <f t="array" ref="L17">IFERROR(INDEX(대출자[],MATCH(1,(자료실기준[[#This Row],[소장처명]]=대출자[소장처명])*(자료실기준[[#This Row],[년월]]=대출자[년월]),0),MATCH(L$1,대출자[#Headers],0)),0)</f>
        <v>2</v>
      </c>
      <c r="M17" cm="1">
        <f t="array" ref="M17">IFERROR(INDEX(대출자[],MATCH(1,(자료실기준[[#This Row],[소장처명]]=대출자[소장처명])*(자료실기준[[#This Row],[년월]]=대출자[년월]),0),MATCH(M$1,대출자[#Headers],0)),0)</f>
        <v>6</v>
      </c>
      <c r="N17">
        <f>IFERROR(자료실기준[[#This Row],[어린이남자]]+자료실기준[[#This Row],[청소년남자]]+자료실기준[[#This Row],[성인남자]],0)</f>
        <v>1</v>
      </c>
      <c r="O17">
        <f>IFERROR(자료실기준[[#This Row],[어린이여자]]+자료실기준[[#This Row],[청소년여자]]+자료실기준[[#This Row],[성인여자]],0)</f>
        <v>8</v>
      </c>
      <c r="P17">
        <f>IFERROR(자료실기준[[#This Row],[남자]]+자료실기준[[#This Row],[여자]],0)</f>
        <v>9</v>
      </c>
      <c r="Q17" cm="1">
        <f t="array" ref="Q17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7" cm="1">
        <f t="array" ref="R17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7" cm="1">
        <f t="array" ref="S17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7" cm="1">
        <f t="array" ref="T17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7" cm="1">
        <f t="array" ref="U17">IFERROR(INDEX(대출권수[],MATCH(1,(자료실기준[[#This Row],[소장처명]]=대출권수[소장처명])*(대출권수[대출반납]="대출")*(자료실기준[[#This Row],[년월]]=대출권수[년월]),0),MATCH(U$1,대출권수[#Headers],0)),0)</f>
        <v>1</v>
      </c>
      <c r="V17" cm="1">
        <f t="array" ref="V17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7" cm="1">
        <f t="array" ref="W17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7" cm="1">
        <f t="array" ref="X17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7" cm="1">
        <f t="array" ref="Y17">IFERROR(INDEX(대출권수[],MATCH(1,(자료실기준[[#This Row],[소장처명]]=대출권수[소장처명])*(대출권수[대출반납]="대출")*(자료실기준[[#This Row],[년월]]=대출권수[년월]),0),MATCH(Y$1,대출권수[#Headers],0)),0)</f>
        <v>16</v>
      </c>
      <c r="Z17" cm="1">
        <f t="array" ref="Z17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7">
        <f>SUM(자료실기준[[#This Row],[총류]:[역사]])</f>
        <v>17</v>
      </c>
    </row>
    <row r="18" spans="1:27" x14ac:dyDescent="0.3">
      <c r="A18" s="5">
        <v>45292</v>
      </c>
      <c r="B18" t="s">
        <v>12</v>
      </c>
      <c r="C18" s="5" t="str">
        <f>TEXT(자료실기준[[#This Row],[년월]],"yy년m월")&amp;자료실기준[[#This Row],[소장처명]]</f>
        <v>24년1월어린이실(교과6학년)</v>
      </c>
      <c r="D18" t="str">
        <f>IFERROR(INDEX(자료실범례[],MATCH($B18,자료실범례[소장처명],0),2),"종합자료실")</f>
        <v>어린이자료실</v>
      </c>
      <c r="E18" cm="1">
        <f t="array" ref="E18">IFERROR(INDEX(대출자[],MATCH(1,(자료실기준[[#This Row],[소장처명]]=대출자[소장처명])*(자료실기준[[#This Row],[년월]]=대출자[년월]),0),MATCH(E$1,대출자[#Headers],0)),0)</f>
        <v>3</v>
      </c>
      <c r="F18" cm="1">
        <f t="array" ref="F18">IFERROR(INDEX(대출자[],MATCH(1,(자료실기준[[#This Row],[소장처명]]=대출자[소장처명])*(자료실기준[[#This Row],[년월]]=대출자[년월]),0),MATCH(F$1,대출자[#Headers],0)),0)</f>
        <v>1</v>
      </c>
      <c r="G18" cm="1">
        <f t="array" ref="G18">IFERROR(INDEX(대출자[],MATCH(1,(자료실기준[[#This Row],[소장처명]]=대출자[소장처명])*(자료실기준[[#This Row],[년월]]=대출자[년월]),0),MATCH(G$1,대출자[#Headers],0)),0)</f>
        <v>1</v>
      </c>
      <c r="H18" cm="1">
        <f t="array" ref="H18">IFERROR(INDEX(대출자[],MATCH(1,(자료실기준[[#This Row],[소장처명]]=대출자[소장처명])*(자료실기준[[#This Row],[년월]]=대출자[년월]),0),MATCH(H$1,대출자[#Headers],0)),0)</f>
        <v>1</v>
      </c>
      <c r="I18" cm="1">
        <f t="array" ref="I18">IFERROR(INDEX(대출자[],MATCH(1,(자료실기준[[#This Row],[소장처명]]=대출자[소장처명])*(자료실기준[[#This Row],[년월]]=대출자[년월]),0),MATCH(I$1,대출자[#Headers],0)),0)</f>
        <v>1</v>
      </c>
      <c r="J18" cm="1">
        <f t="array" ref="J18">IFERROR(INDEX(대출자[],MATCH(1,(자료실기준[[#This Row],[소장처명]]=대출자[소장처명])*(자료실기준[[#This Row],[년월]]=대출자[년월]),0),MATCH(J$1,대출자[#Headers],0)),0)</f>
        <v>3</v>
      </c>
      <c r="K18" cm="1">
        <f t="array" ref="K18">IFERROR(INDEX(대출자[],MATCH(1,(자료실기준[[#This Row],[소장처명]]=대출자[소장처명])*(자료실기준[[#This Row],[년월]]=대출자[년월]),0),MATCH(K$1,대출자[#Headers],0)),0)</f>
        <v>4</v>
      </c>
      <c r="L18" cm="1">
        <f t="array" ref="L18">IFERROR(INDEX(대출자[],MATCH(1,(자료실기준[[#This Row],[소장처명]]=대출자[소장처명])*(자료실기준[[#This Row],[년월]]=대출자[년월]),0),MATCH(L$1,대출자[#Headers],0)),0)</f>
        <v>2</v>
      </c>
      <c r="M18" cm="1">
        <f t="array" ref="M18">IFERROR(INDEX(대출자[],MATCH(1,(자료실기준[[#This Row],[소장처명]]=대출자[소장처명])*(자료실기준[[#This Row],[년월]]=대출자[년월]),0),MATCH(M$1,대출자[#Headers],0)),0)</f>
        <v>4</v>
      </c>
      <c r="N18">
        <f>IFERROR(자료실기준[[#This Row],[어린이남자]]+자료실기준[[#This Row],[청소년남자]]+자료실기준[[#This Row],[성인남자]],0)</f>
        <v>5</v>
      </c>
      <c r="O18">
        <f>IFERROR(자료실기준[[#This Row],[어린이여자]]+자료실기준[[#This Row],[청소년여자]]+자료실기준[[#This Row],[성인여자]],0)</f>
        <v>5</v>
      </c>
      <c r="P18">
        <f>IFERROR(자료실기준[[#This Row],[남자]]+자료실기준[[#This Row],[여자]],0)</f>
        <v>10</v>
      </c>
      <c r="Q18" cm="1">
        <f t="array" ref="Q18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8" cm="1">
        <f t="array" ref="R18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8" cm="1">
        <f t="array" ref="S18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8" cm="1">
        <f t="array" ref="T18">IFERROR(INDEX(대출권수[],MATCH(1,(자료실기준[[#This Row],[소장처명]]=대출권수[소장처명])*(대출권수[대출반납]="대출")*(자료실기준[[#This Row],[년월]]=대출권수[년월]),0),MATCH(T$1,대출권수[#Headers],0)),0)</f>
        <v>3</v>
      </c>
      <c r="U18" cm="1">
        <f t="array" ref="U18">IFERROR(INDEX(대출권수[],MATCH(1,(자료실기준[[#This Row],[소장처명]]=대출권수[소장처명])*(대출권수[대출반납]="대출")*(자료실기준[[#This Row],[년월]]=대출권수[년월]),0),MATCH(U$1,대출권수[#Headers],0)),0)</f>
        <v>1</v>
      </c>
      <c r="V18" cm="1">
        <f t="array" ref="V18">IFERROR(INDEX(대출권수[],MATCH(1,(자료실기준[[#This Row],[소장처명]]=대출권수[소장처명])*(대출권수[대출반납]="대출")*(자료실기준[[#This Row],[년월]]=대출권수[년월]),0),MATCH(V$1,대출권수[#Headers],0)),0)</f>
        <v>3</v>
      </c>
      <c r="W18" cm="1">
        <f t="array" ref="W18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8" cm="1">
        <f t="array" ref="X18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8" cm="1">
        <f t="array" ref="Y18">IFERROR(INDEX(대출권수[],MATCH(1,(자료실기준[[#This Row],[소장처명]]=대출권수[소장처명])*(대출권수[대출반납]="대출")*(자료실기준[[#This Row],[년월]]=대출권수[년월]),0),MATCH(Y$1,대출권수[#Headers],0)),0)</f>
        <v>7</v>
      </c>
      <c r="Z18" cm="1">
        <f t="array" ref="Z18">IFERROR(INDEX(대출권수[],MATCH(1,(자료실기준[[#This Row],[소장처명]]=대출권수[소장처명])*(대출권수[대출반납]="대출")*(자료실기준[[#This Row],[년월]]=대출권수[년월]),0),MATCH(Z$1,대출권수[#Headers],0)),0)</f>
        <v>2</v>
      </c>
      <c r="AA18">
        <f>SUM(자료실기준[[#This Row],[총류]:[역사]])</f>
        <v>16</v>
      </c>
    </row>
    <row r="19" spans="1:27" x14ac:dyDescent="0.3">
      <c r="A19" s="5">
        <v>45292</v>
      </c>
      <c r="B19" t="s">
        <v>0</v>
      </c>
      <c r="C19" s="5" t="str">
        <f>TEXT(자료실기준[[#This Row],[년월]],"yy년m월")&amp;자료실기준[[#This Row],[소장처명]]</f>
        <v>24년1월다문화자료실</v>
      </c>
      <c r="D19" t="str">
        <f>IFERROR(INDEX(자료실범례[],MATCH($B19,자료실범례[소장처명],0),2),"종합자료실")</f>
        <v>어린이자료실</v>
      </c>
      <c r="E19" cm="1">
        <f t="array" ref="E19">IFERROR(INDEX(대출자[],MATCH(1,(자료실기준[[#This Row],[소장처명]]=대출자[소장처명])*(자료실기준[[#This Row],[년월]]=대출자[년월]),0),MATCH(E$1,대출자[#Headers],0)),0)</f>
        <v>1</v>
      </c>
      <c r="F19" cm="1">
        <f t="array" ref="F19">IFERROR(INDEX(대출자[],MATCH(1,(자료실기준[[#This Row],[소장처명]]=대출자[소장처명])*(자료실기준[[#This Row],[년월]]=대출자[년월]),0),MATCH(F$1,대출자[#Headers],0)),0)</f>
        <v>3</v>
      </c>
      <c r="G19" cm="1">
        <f t="array" ref="G19">IFERROR(INDEX(대출자[],MATCH(1,(자료실기준[[#This Row],[소장처명]]=대출자[소장처명])*(자료실기준[[#This Row],[년월]]=대출자[년월]),0),MATCH(G$1,대출자[#Headers],0)),0)</f>
        <v>0</v>
      </c>
      <c r="H19" cm="1">
        <f t="array" ref="H19">IFERROR(INDEX(대출자[],MATCH(1,(자료실기준[[#This Row],[소장처명]]=대출자[소장처명])*(자료실기준[[#This Row],[년월]]=대출자[년월]),0),MATCH(H$1,대출자[#Headers],0)),0)</f>
        <v>1</v>
      </c>
      <c r="I19" cm="1">
        <f t="array" ref="I19">IFERROR(INDEX(대출자[],MATCH(1,(자료실기준[[#This Row],[소장처명]]=대출자[소장처명])*(자료실기준[[#This Row],[년월]]=대출자[년월]),0),MATCH(I$1,대출자[#Headers],0)),0)</f>
        <v>4</v>
      </c>
      <c r="J19" cm="1">
        <f t="array" ref="J19">IFERROR(INDEX(대출자[],MATCH(1,(자료실기준[[#This Row],[소장처명]]=대출자[소장처명])*(자료실기준[[#This Row],[년월]]=대출자[년월]),0),MATCH(J$1,대출자[#Headers],0)),0)</f>
        <v>8</v>
      </c>
      <c r="K19" cm="1">
        <f t="array" ref="K19">IFERROR(INDEX(대출자[],MATCH(1,(자료실기준[[#This Row],[소장처명]]=대출자[소장처명])*(자료실기준[[#This Row],[년월]]=대출자[년월]),0),MATCH(K$1,대출자[#Headers],0)),0)</f>
        <v>4</v>
      </c>
      <c r="L19" cm="1">
        <f t="array" ref="L19">IFERROR(INDEX(대출자[],MATCH(1,(자료실기준[[#This Row],[소장처명]]=대출자[소장처명])*(자료실기준[[#This Row],[년월]]=대출자[년월]),0),MATCH(L$1,대출자[#Headers],0)),0)</f>
        <v>1</v>
      </c>
      <c r="M19" cm="1">
        <f t="array" ref="M19">IFERROR(INDEX(대출자[],MATCH(1,(자료실기준[[#This Row],[소장처명]]=대출자[소장처명])*(자료실기준[[#This Row],[년월]]=대출자[년월]),0),MATCH(M$1,대출자[#Headers],0)),0)</f>
        <v>12</v>
      </c>
      <c r="N19">
        <f>IFERROR(자료실기준[[#This Row],[어린이남자]]+자료실기준[[#This Row],[청소년남자]]+자료실기준[[#This Row],[성인남자]],0)</f>
        <v>5</v>
      </c>
      <c r="O19">
        <f>IFERROR(자료실기준[[#This Row],[어린이여자]]+자료실기준[[#This Row],[청소년여자]]+자료실기준[[#This Row],[성인여자]],0)</f>
        <v>12</v>
      </c>
      <c r="P19">
        <f>IFERROR(자료실기준[[#This Row],[남자]]+자료실기준[[#This Row],[여자]],0)</f>
        <v>17</v>
      </c>
      <c r="Q19" cm="1">
        <f t="array" ref="Q19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9" cm="1">
        <f t="array" ref="R19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9" cm="1">
        <f t="array" ref="S19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9" cm="1">
        <f t="array" ref="T19">IFERROR(INDEX(대출권수[],MATCH(1,(자료실기준[[#This Row],[소장처명]]=대출권수[소장처명])*(대출권수[대출반납]="대출")*(자료실기준[[#This Row],[년월]]=대출권수[년월]),0),MATCH(T$1,대출권수[#Headers],0)),0)</f>
        <v>3</v>
      </c>
      <c r="U19" cm="1">
        <f t="array" ref="U19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9" cm="1">
        <f t="array" ref="V19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9" cm="1">
        <f t="array" ref="W19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9" cm="1">
        <f t="array" ref="X19">IFERROR(INDEX(대출권수[],MATCH(1,(자료실기준[[#This Row],[소장처명]]=대출권수[소장처명])*(대출권수[대출반납]="대출")*(자료실기준[[#This Row],[년월]]=대출권수[년월]),0),MATCH(X$1,대출권수[#Headers],0)),0)</f>
        <v>14</v>
      </c>
      <c r="Y19" cm="1">
        <f t="array" ref="Y19">IFERROR(INDEX(대출권수[],MATCH(1,(자료실기준[[#This Row],[소장처명]]=대출권수[소장처명])*(대출권수[대출반납]="대출")*(자료실기준[[#This Row],[년월]]=대출권수[년월]),0),MATCH(Y$1,대출권수[#Headers],0)),0)</f>
        <v>30</v>
      </c>
      <c r="Z19" cm="1">
        <f t="array" ref="Z19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9">
        <f>SUM(자료실기준[[#This Row],[총류]:[역사]])</f>
        <v>47</v>
      </c>
    </row>
    <row r="20" spans="1:27" x14ac:dyDescent="0.3">
      <c r="A20" s="5">
        <v>45292</v>
      </c>
      <c r="B20" t="s">
        <v>1</v>
      </c>
      <c r="C20" s="5" t="str">
        <f>TEXT(자료실기준[[#This Row],[년월]],"yy년m월")&amp;자료실기준[[#This Row],[소장처명]]</f>
        <v>24년1월다문화자료실(영어유아)</v>
      </c>
      <c r="D20" t="str">
        <f>IFERROR(INDEX(자료실범례[],MATCH($B20,자료실범례[소장처명],0),2),"종합자료실")</f>
        <v>어린이자료실</v>
      </c>
      <c r="E20" cm="1">
        <f t="array" ref="E20">IFERROR(INDEX(대출자[],MATCH(1,(자료실기준[[#This Row],[소장처명]]=대출자[소장처명])*(자료실기준[[#This Row],[년월]]=대출자[년월]),0),MATCH(E$1,대출자[#Headers],0)),0)</f>
        <v>6</v>
      </c>
      <c r="F20" cm="1">
        <f t="array" ref="F20">IFERROR(INDEX(대출자[],MATCH(1,(자료실기준[[#This Row],[소장처명]]=대출자[소장처명])*(자료실기준[[#This Row],[년월]]=대출자[년월]),0),MATCH(F$1,대출자[#Headers],0)),0)</f>
        <v>1</v>
      </c>
      <c r="G20" cm="1">
        <f t="array" ref="G20">IFERROR(INDEX(대출자[],MATCH(1,(자료실기준[[#This Row],[소장처명]]=대출자[소장처명])*(자료실기준[[#This Row],[년월]]=대출자[년월]),0),MATCH(G$1,대출자[#Headers],0)),0)</f>
        <v>0</v>
      </c>
      <c r="H20" cm="1">
        <f t="array" ref="H20">IFERROR(INDEX(대출자[],MATCH(1,(자료실기준[[#This Row],[소장처명]]=대출자[소장처명])*(자료실기준[[#This Row],[년월]]=대출자[년월]),0),MATCH(H$1,대출자[#Headers],0)),0)</f>
        <v>1</v>
      </c>
      <c r="I20" cm="1">
        <f t="array" ref="I20">IFERROR(INDEX(대출자[],MATCH(1,(자료실기준[[#This Row],[소장처명]]=대출자[소장처명])*(자료실기준[[#This Row],[년월]]=대출자[년월]),0),MATCH(I$1,대출자[#Headers],0)),0)</f>
        <v>8</v>
      </c>
      <c r="J20" cm="1">
        <f t="array" ref="J20">IFERROR(INDEX(대출자[],MATCH(1,(자료실기준[[#This Row],[소장처명]]=대출자[소장처명])*(자료실기준[[#This Row],[년월]]=대출자[년월]),0),MATCH(J$1,대출자[#Headers],0)),0)</f>
        <v>7</v>
      </c>
      <c r="K20" cm="1">
        <f t="array" ref="K20">IFERROR(INDEX(대출자[],MATCH(1,(자료실기준[[#This Row],[소장처명]]=대출자[소장처명])*(자료실기준[[#This Row],[년월]]=대출자[년월]),0),MATCH(K$1,대출자[#Headers],0)),0)</f>
        <v>7</v>
      </c>
      <c r="L20" cm="1">
        <f t="array" ref="L20">IFERROR(INDEX(대출자[],MATCH(1,(자료실기준[[#This Row],[소장처명]]=대출자[소장처명])*(자료실기준[[#This Row],[년월]]=대출자[년월]),0),MATCH(L$1,대출자[#Headers],0)),0)</f>
        <v>1</v>
      </c>
      <c r="M20" cm="1">
        <f t="array" ref="M20">IFERROR(INDEX(대출자[],MATCH(1,(자료실기준[[#This Row],[소장처명]]=대출자[소장처명])*(자료실기준[[#This Row],[년월]]=대출자[년월]),0),MATCH(M$1,대출자[#Headers],0)),0)</f>
        <v>15</v>
      </c>
      <c r="N20">
        <f>IFERROR(자료실기준[[#This Row],[어린이남자]]+자료실기준[[#This Row],[청소년남자]]+자료실기준[[#This Row],[성인남자]],0)</f>
        <v>14</v>
      </c>
      <c r="O20">
        <f>IFERROR(자료실기준[[#This Row],[어린이여자]]+자료실기준[[#This Row],[청소년여자]]+자료실기준[[#This Row],[성인여자]],0)</f>
        <v>9</v>
      </c>
      <c r="P20">
        <f>IFERROR(자료실기준[[#This Row],[남자]]+자료실기준[[#This Row],[여자]],0)</f>
        <v>23</v>
      </c>
      <c r="Q20" cm="1">
        <f t="array" ref="Q20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0" cm="1">
        <f t="array" ref="R20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0" cm="1">
        <f t="array" ref="S20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0" cm="1">
        <f t="array" ref="T20">IFERROR(INDEX(대출권수[],MATCH(1,(자료실기준[[#This Row],[소장처명]]=대출권수[소장처명])*(대출권수[대출반납]="대출")*(자료실기준[[#This Row],[년월]]=대출권수[년월]),0),MATCH(T$1,대출권수[#Headers],0)),0)</f>
        <v>4</v>
      </c>
      <c r="U20" cm="1">
        <f t="array" ref="U20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0" cm="1">
        <f t="array" ref="V20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0" cm="1">
        <f t="array" ref="W20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0" cm="1">
        <f t="array" ref="X20">IFERROR(INDEX(대출권수[],MATCH(1,(자료실기준[[#This Row],[소장처명]]=대출권수[소장처명])*(대출권수[대출반납]="대출")*(자료실기준[[#This Row],[년월]]=대출권수[년월]),0),MATCH(X$1,대출권수[#Headers],0)),0)</f>
        <v>134</v>
      </c>
      <c r="Y20" cm="1">
        <f t="array" ref="Y20">IFERROR(INDEX(대출권수[],MATCH(1,(자료실기준[[#This Row],[소장처명]]=대출권수[소장처명])*(대출권수[대출반납]="대출")*(자료실기준[[#This Row],[년월]]=대출권수[년월]),0),MATCH(Y$1,대출권수[#Headers],0)),0)</f>
        <v>3</v>
      </c>
      <c r="Z20" cm="1">
        <f t="array" ref="Z20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0">
        <f>SUM(자료실기준[[#This Row],[총류]:[역사]])</f>
        <v>141</v>
      </c>
    </row>
    <row r="21" spans="1:27" x14ac:dyDescent="0.3">
      <c r="A21" s="5">
        <v>45292</v>
      </c>
      <c r="B21" t="s">
        <v>6</v>
      </c>
      <c r="C21" s="5" t="str">
        <f>TEXT(자료실기준[[#This Row],[년월]],"yy년m월")&amp;자료실기준[[#This Row],[소장처명]]</f>
        <v>24년1월스마트도서관</v>
      </c>
      <c r="D21" t="str">
        <f>IFERROR(INDEX(자료실범례[],MATCH($B21,자료실범례[소장처명],0),2),"종합자료실")</f>
        <v>종합자료실</v>
      </c>
      <c r="E21" cm="1">
        <f t="array" ref="E21">IFERROR(INDEX(대출자[],MATCH(1,(자료실기준[[#This Row],[소장처명]]=대출자[소장처명])*(자료실기준[[#This Row],[년월]]=대출자[년월]),0),MATCH(E$1,대출자[#Headers],0)),0)</f>
        <v>2</v>
      </c>
      <c r="F21" cm="1">
        <f t="array" ref="F21">IFERROR(INDEX(대출자[],MATCH(1,(자료실기준[[#This Row],[소장처명]]=대출자[소장처명])*(자료실기준[[#This Row],[년월]]=대출자[년월]),0),MATCH(F$1,대출자[#Headers],0)),0)</f>
        <v>0</v>
      </c>
      <c r="G21" cm="1">
        <f t="array" ref="G21">IFERROR(INDEX(대출자[],MATCH(1,(자료실기준[[#This Row],[소장처명]]=대출자[소장처명])*(자료실기준[[#This Row],[년월]]=대출자[년월]),0),MATCH(G$1,대출자[#Headers],0)),0)</f>
        <v>1</v>
      </c>
      <c r="H21" cm="1">
        <f t="array" ref="H21">IFERROR(INDEX(대출자[],MATCH(1,(자료실기준[[#This Row],[소장처명]]=대출자[소장처명])*(자료실기준[[#This Row],[년월]]=대출자[년월]),0),MATCH(H$1,대출자[#Headers],0)),0)</f>
        <v>2</v>
      </c>
      <c r="I21" cm="1">
        <f t="array" ref="I21">IFERROR(INDEX(대출자[],MATCH(1,(자료실기준[[#This Row],[소장처명]]=대출자[소장처명])*(자료실기준[[#This Row],[년월]]=대출자[년월]),0),MATCH(I$1,대출자[#Headers],0)),0)</f>
        <v>9</v>
      </c>
      <c r="J21" cm="1">
        <f t="array" ref="J21">IFERROR(INDEX(대출자[],MATCH(1,(자료실기준[[#This Row],[소장처명]]=대출자[소장처명])*(자료실기준[[#This Row],[년월]]=대출자[년월]),0),MATCH(J$1,대출자[#Headers],0)),0)</f>
        <v>9</v>
      </c>
      <c r="K21" cm="1">
        <f t="array" ref="K21">IFERROR(INDEX(대출자[],MATCH(1,(자료실기준[[#This Row],[소장처명]]=대출자[소장처명])*(자료실기준[[#This Row],[년월]]=대출자[년월]),0),MATCH(K$1,대출자[#Headers],0)),0)</f>
        <v>2</v>
      </c>
      <c r="L21" cm="1">
        <f t="array" ref="L21">IFERROR(INDEX(대출자[],MATCH(1,(자료실기준[[#This Row],[소장처명]]=대출자[소장처명])*(자료실기준[[#This Row],[년월]]=대출자[년월]),0),MATCH(L$1,대출자[#Headers],0)),0)</f>
        <v>3</v>
      </c>
      <c r="M21" cm="1">
        <f t="array" ref="M21">IFERROR(INDEX(대출자[],MATCH(1,(자료실기준[[#This Row],[소장처명]]=대출자[소장처명])*(자료실기준[[#This Row],[년월]]=대출자[년월]),0),MATCH(M$1,대출자[#Headers],0)),0)</f>
        <v>18</v>
      </c>
      <c r="N21">
        <f>IFERROR(자료실기준[[#This Row],[어린이남자]]+자료실기준[[#This Row],[청소년남자]]+자료실기준[[#This Row],[성인남자]],0)</f>
        <v>12</v>
      </c>
      <c r="O21">
        <f>IFERROR(자료실기준[[#This Row],[어린이여자]]+자료실기준[[#This Row],[청소년여자]]+자료실기준[[#This Row],[성인여자]],0)</f>
        <v>11</v>
      </c>
      <c r="P21">
        <f>IFERROR(자료실기준[[#This Row],[남자]]+자료실기준[[#This Row],[여자]],0)</f>
        <v>23</v>
      </c>
      <c r="Q21" cm="1">
        <f t="array" ref="Q21">IFERROR(INDEX(대출권수[],MATCH(1,(자료실기준[[#This Row],[소장처명]]=대출권수[소장처명])*(대출권수[대출반납]="대출")*(자료실기준[[#This Row],[년월]]=대출권수[년월]),0),MATCH(Q$1,대출권수[#Headers],0)),0)</f>
        <v>3</v>
      </c>
      <c r="R21" cm="1">
        <f t="array" ref="R21">IFERROR(INDEX(대출권수[],MATCH(1,(자료실기준[[#This Row],[소장처명]]=대출권수[소장처명])*(대출권수[대출반납]="대출")*(자료실기준[[#This Row],[년월]]=대출권수[년월]),0),MATCH(R$1,대출권수[#Headers],0)),0)</f>
        <v>3</v>
      </c>
      <c r="S21" cm="1">
        <f t="array" ref="S21">IFERROR(INDEX(대출권수[],MATCH(1,(자료실기준[[#This Row],[소장처명]]=대출권수[소장처명])*(대출권수[대출반납]="대출")*(자료실기준[[#This Row],[년월]]=대출권수[년월]),0),MATCH(S$1,대출권수[#Headers],0)),0)</f>
        <v>1</v>
      </c>
      <c r="T21" cm="1">
        <f t="array" ref="T21">IFERROR(INDEX(대출권수[],MATCH(1,(자료실기준[[#This Row],[소장처명]]=대출권수[소장처명])*(대출권수[대출반납]="대출")*(자료실기준[[#This Row],[년월]]=대출권수[년월]),0),MATCH(T$1,대출권수[#Headers],0)),0)</f>
        <v>3</v>
      </c>
      <c r="U21" cm="1">
        <f t="array" ref="U21">IFERROR(INDEX(대출권수[],MATCH(1,(자료실기준[[#This Row],[소장처명]]=대출권수[소장처명])*(대출권수[대출반납]="대출")*(자료실기준[[#This Row],[년월]]=대출권수[년월]),0),MATCH(U$1,대출권수[#Headers],0)),0)</f>
        <v>4</v>
      </c>
      <c r="V21" cm="1">
        <f t="array" ref="V21">IFERROR(INDEX(대출권수[],MATCH(1,(자료실기준[[#This Row],[소장처명]]=대출권수[소장처명])*(대출권수[대출반납]="대출")*(자료실기준[[#This Row],[년월]]=대출권수[년월]),0),MATCH(V$1,대출권수[#Headers],0)),0)</f>
        <v>4</v>
      </c>
      <c r="W21" cm="1">
        <f t="array" ref="W21">IFERROR(INDEX(대출권수[],MATCH(1,(자료실기준[[#This Row],[소장처명]]=대출권수[소장처명])*(대출권수[대출반납]="대출")*(자료실기준[[#This Row],[년월]]=대출권수[년월]),0),MATCH(W$1,대출권수[#Headers],0)),0)</f>
        <v>2</v>
      </c>
      <c r="X21" cm="1">
        <f t="array" ref="X21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1" cm="1">
        <f t="array" ref="Y21">IFERROR(INDEX(대출권수[],MATCH(1,(자료실기준[[#This Row],[소장처명]]=대출권수[소장처명])*(대출권수[대출반납]="대출")*(자료실기준[[#This Row],[년월]]=대출권수[년월]),0),MATCH(Y$1,대출권수[#Headers],0)),0)</f>
        <v>21</v>
      </c>
      <c r="Z21" cm="1">
        <f t="array" ref="Z21">IFERROR(INDEX(대출권수[],MATCH(1,(자료실기준[[#This Row],[소장처명]]=대출권수[소장처명])*(대출권수[대출반납]="대출")*(자료실기준[[#This Row],[년월]]=대출권수[년월]),0),MATCH(Z$1,대출권수[#Headers],0)),0)</f>
        <v>12</v>
      </c>
      <c r="AA21">
        <f>SUM(자료실기준[[#This Row],[총류]:[역사]])</f>
        <v>53</v>
      </c>
    </row>
    <row r="22" spans="1:27" x14ac:dyDescent="0.3">
      <c r="A22" s="5">
        <v>45292</v>
      </c>
      <c r="B22" t="s">
        <v>18</v>
      </c>
      <c r="C22" s="5" t="str">
        <f>TEXT(자료실기준[[#This Row],[년월]],"yy년m월")&amp;자료실기준[[#This Row],[소장처명]]</f>
        <v>24년1월정기간행물(종합)</v>
      </c>
      <c r="D22" t="str">
        <f>IFERROR(INDEX(자료실범례[],MATCH($B22,자료실범례[소장처명],0),2),"종합자료실")</f>
        <v>종합자료실</v>
      </c>
      <c r="E22" cm="1">
        <f t="array" ref="E22">IFERROR(INDEX(대출자[],MATCH(1,(자료실기준[[#This Row],[소장처명]]=대출자[소장처명])*(자료실기준[[#This Row],[년월]]=대출자[년월]),0),MATCH(E$1,대출자[#Headers],0)),0)</f>
        <v>0</v>
      </c>
      <c r="F22" cm="1">
        <f t="array" ref="F22">IFERROR(INDEX(대출자[],MATCH(1,(자료실기준[[#This Row],[소장처명]]=대출자[소장처명])*(자료실기준[[#This Row],[년월]]=대출자[년월]),0),MATCH(F$1,대출자[#Headers],0)),0)</f>
        <v>1</v>
      </c>
      <c r="G22" cm="1">
        <f t="array" ref="G22">IFERROR(INDEX(대출자[],MATCH(1,(자료실기준[[#This Row],[소장처명]]=대출자[소장처명])*(자료실기준[[#This Row],[년월]]=대출자[년월]),0),MATCH(G$1,대출자[#Headers],0)),0)</f>
        <v>0</v>
      </c>
      <c r="H22" cm="1">
        <f t="array" ref="H22">IFERROR(INDEX(대출자[],MATCH(1,(자료실기준[[#This Row],[소장처명]]=대출자[소장처명])*(자료실기준[[#This Row],[년월]]=대출자[년월]),0),MATCH(H$1,대출자[#Headers],0)),0)</f>
        <v>0</v>
      </c>
      <c r="I22" cm="1">
        <f t="array" ref="I22">IFERROR(INDEX(대출자[],MATCH(1,(자료실기준[[#This Row],[소장처명]]=대출자[소장처명])*(자료실기준[[#This Row],[년월]]=대출자[년월]),0),MATCH(I$1,대출자[#Headers],0)),0)</f>
        <v>4</v>
      </c>
      <c r="J22" cm="1">
        <f t="array" ref="J22">IFERROR(INDEX(대출자[],MATCH(1,(자료실기준[[#This Row],[소장처명]]=대출자[소장처명])*(자료실기준[[#This Row],[년월]]=대출자[년월]),0),MATCH(J$1,대출자[#Headers],0)),0)</f>
        <v>0</v>
      </c>
      <c r="K22" cm="1">
        <f t="array" ref="K22">IFERROR(INDEX(대출자[],MATCH(1,(자료실기준[[#This Row],[소장처명]]=대출자[소장처명])*(자료실기준[[#This Row],[년월]]=대출자[년월]),0),MATCH(K$1,대출자[#Headers],0)),0)</f>
        <v>1</v>
      </c>
      <c r="L22" cm="1">
        <f t="array" ref="L22">IFERROR(INDEX(대출자[],MATCH(1,(자료실기준[[#This Row],[소장처명]]=대출자[소장처명])*(자료실기준[[#This Row],[년월]]=대출자[년월]),0),MATCH(L$1,대출자[#Headers],0)),0)</f>
        <v>0</v>
      </c>
      <c r="M22" cm="1">
        <f t="array" ref="M22">IFERROR(INDEX(대출자[],MATCH(1,(자료실기준[[#This Row],[소장처명]]=대출자[소장처명])*(자료실기준[[#This Row],[년월]]=대출자[년월]),0),MATCH(M$1,대출자[#Headers],0)),0)</f>
        <v>4</v>
      </c>
      <c r="N22">
        <f>IFERROR(자료실기준[[#This Row],[어린이남자]]+자료실기준[[#This Row],[청소년남자]]+자료실기준[[#This Row],[성인남자]],0)</f>
        <v>4</v>
      </c>
      <c r="O22">
        <f>IFERROR(자료실기준[[#This Row],[어린이여자]]+자료실기준[[#This Row],[청소년여자]]+자료실기준[[#This Row],[성인여자]],0)</f>
        <v>1</v>
      </c>
      <c r="P22">
        <f>IFERROR(자료실기준[[#This Row],[남자]]+자료실기준[[#This Row],[여자]],0)</f>
        <v>5</v>
      </c>
      <c r="Q22" cm="1">
        <f t="array" ref="Q22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2" cm="1">
        <f t="array" ref="R22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2" cm="1">
        <f t="array" ref="S22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2" cm="1">
        <f t="array" ref="T22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2" cm="1">
        <f t="array" ref="U22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2" cm="1">
        <f t="array" ref="V22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2" cm="1">
        <f t="array" ref="W22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2" cm="1">
        <f t="array" ref="X22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2" cm="1">
        <f t="array" ref="Y22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22" cm="1">
        <f t="array" ref="Z22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2">
        <f>SUM(자료실기준[[#This Row],[총류]:[역사]])</f>
        <v>0</v>
      </c>
    </row>
    <row r="23" spans="1:27" x14ac:dyDescent="0.3">
      <c r="A23" s="5">
        <v>45292</v>
      </c>
      <c r="B23" t="s">
        <v>17</v>
      </c>
      <c r="C23" s="5" t="str">
        <f>TEXT(자료실기준[[#This Row],[년월]],"yy년m월")&amp;자료실기준[[#This Row],[소장처명]]</f>
        <v>24년1월정기간행물(어린이)</v>
      </c>
      <c r="D23" t="str">
        <f>IFERROR(INDEX(자료실범례[],MATCH($B23,자료실범례[소장처명],0),2),"종합자료실")</f>
        <v>어린이자료실</v>
      </c>
      <c r="E23" cm="1">
        <f t="array" ref="E23">IFERROR(INDEX(대출자[],MATCH(1,(자료실기준[[#This Row],[소장처명]]=대출자[소장처명])*(자료실기준[[#This Row],[년월]]=대출자[년월]),0),MATCH(E$1,대출자[#Headers],0)),0)</f>
        <v>1</v>
      </c>
      <c r="F23" cm="1">
        <f t="array" ref="F23">IFERROR(INDEX(대출자[],MATCH(1,(자료실기준[[#This Row],[소장처명]]=대출자[소장처명])*(자료실기준[[#This Row],[년월]]=대출자[년월]),0),MATCH(F$1,대출자[#Headers],0)),0)</f>
        <v>1</v>
      </c>
      <c r="G23" cm="1">
        <f t="array" ref="G23">IFERROR(INDEX(대출자[],MATCH(1,(자료실기준[[#This Row],[소장처명]]=대출자[소장처명])*(자료실기준[[#This Row],[년월]]=대출자[년월]),0),MATCH(G$1,대출자[#Headers],0)),0)</f>
        <v>0</v>
      </c>
      <c r="H23" cm="1">
        <f t="array" ref="H23">IFERROR(INDEX(대출자[],MATCH(1,(자료실기준[[#This Row],[소장처명]]=대출자[소장처명])*(자료실기준[[#This Row],[년월]]=대출자[년월]),0),MATCH(H$1,대출자[#Headers],0)),0)</f>
        <v>0</v>
      </c>
      <c r="I23" cm="1">
        <f t="array" ref="I23">IFERROR(INDEX(대출자[],MATCH(1,(자료실기준[[#This Row],[소장처명]]=대출자[소장처명])*(자료실기준[[#This Row],[년월]]=대출자[년월]),0),MATCH(I$1,대출자[#Headers],0)),0)</f>
        <v>1</v>
      </c>
      <c r="J23" cm="1">
        <f t="array" ref="J23">IFERROR(INDEX(대출자[],MATCH(1,(자료실기준[[#This Row],[소장처명]]=대출자[소장처명])*(자료실기준[[#This Row],[년월]]=대출자[년월]),0),MATCH(J$1,대출자[#Headers],0)),0)</f>
        <v>2</v>
      </c>
      <c r="K23" cm="1">
        <f t="array" ref="K23">IFERROR(INDEX(대출자[],MATCH(1,(자료실기준[[#This Row],[소장처명]]=대출자[소장처명])*(자료실기준[[#This Row],[년월]]=대출자[년월]),0),MATCH(K$1,대출자[#Headers],0)),0)</f>
        <v>2</v>
      </c>
      <c r="L23" cm="1">
        <f t="array" ref="L23">IFERROR(INDEX(대출자[],MATCH(1,(자료실기준[[#This Row],[소장처명]]=대출자[소장처명])*(자료실기준[[#This Row],[년월]]=대출자[년월]),0),MATCH(L$1,대출자[#Headers],0)),0)</f>
        <v>0</v>
      </c>
      <c r="M23" cm="1">
        <f t="array" ref="M23">IFERROR(INDEX(대출자[],MATCH(1,(자료실기준[[#This Row],[소장처명]]=대출자[소장처명])*(자료실기준[[#This Row],[년월]]=대출자[년월]),0),MATCH(M$1,대출자[#Headers],0)),0)</f>
        <v>3</v>
      </c>
      <c r="N23">
        <f>IFERROR(자료실기준[[#This Row],[어린이남자]]+자료실기준[[#This Row],[청소년남자]]+자료실기준[[#This Row],[성인남자]],0)</f>
        <v>2</v>
      </c>
      <c r="O23">
        <f>IFERROR(자료실기준[[#This Row],[어린이여자]]+자료실기준[[#This Row],[청소년여자]]+자료실기준[[#This Row],[성인여자]],0)</f>
        <v>3</v>
      </c>
      <c r="P23">
        <f>IFERROR(자료실기준[[#This Row],[남자]]+자료실기준[[#This Row],[여자]],0)</f>
        <v>5</v>
      </c>
      <c r="Q23" cm="1">
        <f t="array" ref="Q23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3" cm="1">
        <f t="array" ref="R23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3" cm="1">
        <f t="array" ref="S23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3" cm="1">
        <f t="array" ref="T23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3" cm="1">
        <f t="array" ref="U23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3" cm="1">
        <f t="array" ref="V23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3" cm="1">
        <f t="array" ref="W23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3" cm="1">
        <f t="array" ref="X23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3" cm="1">
        <f t="array" ref="Y23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23" cm="1">
        <f t="array" ref="Z23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3">
        <f>SUM(자료실기준[[#This Row],[총류]:[역사]])</f>
        <v>0</v>
      </c>
    </row>
    <row r="24" spans="1:27" x14ac:dyDescent="0.3">
      <c r="A24" s="5">
        <v>45292</v>
      </c>
      <c r="B24" t="s">
        <v>454</v>
      </c>
      <c r="C24" s="5" t="str">
        <f>TEXT(자료실기준[[#This Row],[년월]],"yy년m월")&amp;자료실기준[[#This Row],[소장처명]]</f>
        <v>24년1월기타</v>
      </c>
      <c r="D24" t="str">
        <f>IFERROR(INDEX(자료실범례[],MATCH($B24,자료실범례[소장처명],0),2),"종합자료실")</f>
        <v>종합자료실</v>
      </c>
      <c r="E24" s="9">
        <f t="array" ref="E24">IFERROR(INDEX(대출자[],MATCH(1,(자료실기준[[#This Row],[소장처명]]=대출자[소장처명])*(자료실기준[[#This Row],[년월]]=대출자[년월]),0),MATCH(E$1,대출자[#Headers],0)),0)</f>
        <v>0</v>
      </c>
      <c r="F24" s="9">
        <f t="array" ref="F24">IFERROR(INDEX(대출자[],MATCH(1,(자료실기준[[#This Row],[소장처명]]=대출자[소장처명])*(자료실기준[[#This Row],[년월]]=대출자[년월]),0),MATCH(F$1,대출자[#Headers],0)),0)</f>
        <v>0</v>
      </c>
      <c r="G24" s="9">
        <f t="array" ref="G24">IFERROR(INDEX(대출자[],MATCH(1,(자료실기준[[#This Row],[소장처명]]=대출자[소장처명])*(자료실기준[[#This Row],[년월]]=대출자[년월]),0),MATCH(G$1,대출자[#Headers],0)),0)</f>
        <v>0</v>
      </c>
      <c r="H24" s="9">
        <f t="array" ref="H24">IFERROR(INDEX(대출자[],MATCH(1,(자료실기준[[#This Row],[소장처명]]=대출자[소장처명])*(자료실기준[[#This Row],[년월]]=대출자[년월]),0),MATCH(H$1,대출자[#Headers],0)),0)</f>
        <v>0</v>
      </c>
      <c r="I24" s="9">
        <f t="array" ref="I24">IFERROR(INDEX(대출자[],MATCH(1,(자료실기준[[#This Row],[소장처명]]=대출자[소장처명])*(자료실기준[[#This Row],[년월]]=대출자[년월]),0),MATCH(I$1,대출자[#Headers],0)),0)</f>
        <v>0</v>
      </c>
      <c r="J24" s="9">
        <f t="array" ref="J24">IFERROR(INDEX(대출자[],MATCH(1,(자료실기준[[#This Row],[소장처명]]=대출자[소장처명])*(자료실기준[[#This Row],[년월]]=대출자[년월]),0),MATCH(J$1,대출자[#Headers],0)),0)</f>
        <v>0</v>
      </c>
      <c r="K24" s="9">
        <f t="array" ref="K24">IFERROR(INDEX(대출자[],MATCH(1,(자료실기준[[#This Row],[소장처명]]=대출자[소장처명])*(자료실기준[[#This Row],[년월]]=대출자[년월]),0),MATCH(K$1,대출자[#Headers],0)),0)</f>
        <v>0</v>
      </c>
      <c r="L24" s="9">
        <f t="array" ref="L24">IFERROR(INDEX(대출자[],MATCH(1,(자료실기준[[#This Row],[소장처명]]=대출자[소장처명])*(자료실기준[[#This Row],[년월]]=대출자[년월]),0),MATCH(L$1,대출자[#Headers],0)),0)</f>
        <v>0</v>
      </c>
      <c r="M24" s="9">
        <f t="array" ref="M24">IFERROR(INDEX(대출자[],MATCH(1,(자료실기준[[#This Row],[소장처명]]=대출자[소장처명])*(자료실기준[[#This Row],[년월]]=대출자[년월]),0),MATCH(M$1,대출자[#Headers],0)),0)</f>
        <v>0</v>
      </c>
      <c r="N24" s="9">
        <f>IFERROR(자료실기준[[#This Row],[어린이남자]]+자료실기준[[#This Row],[청소년남자]]+자료실기준[[#This Row],[성인남자]],0)</f>
        <v>0</v>
      </c>
      <c r="O24" s="9">
        <f>IFERROR(자료실기준[[#This Row],[어린이여자]]+자료실기준[[#This Row],[청소년여자]]+자료실기준[[#This Row],[성인여자]],0)</f>
        <v>0</v>
      </c>
      <c r="P24" s="9">
        <f>IFERROR(자료실기준[[#This Row],[남자]]+자료실기준[[#This Row],[여자]],0)</f>
        <v>0</v>
      </c>
      <c r="Q24" s="9">
        <f t="array" ref="Q24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4" s="9">
        <f t="array" ref="R24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4" s="9">
        <f t="array" ref="S24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4" s="9">
        <f t="array" ref="T24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4" s="9">
        <f t="array" ref="U24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4" s="9">
        <f t="array" ref="V24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4" s="9">
        <f t="array" ref="W24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4" s="9">
        <f t="array" ref="X24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4" s="9">
        <f t="array" ref="Y24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24" s="9">
        <f t="array" ref="Z24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4" s="9">
        <f>SUM(자료실기준[[#This Row],[총류]:[역사]])</f>
        <v>0</v>
      </c>
    </row>
    <row r="25" spans="1:27" x14ac:dyDescent="0.3">
      <c r="A25" s="5">
        <v>45292</v>
      </c>
      <c r="C25" s="5" t="str">
        <f>TEXT(자료실기준[[#This Row],[년월]],"yy년m월")&amp;자료실기준[[#This Row],[소장처명]]</f>
        <v>24년1월</v>
      </c>
      <c r="D25" t="str">
        <f>IFERROR(INDEX(자료실범례[],MATCH($B25,자료실범례[소장처명],0),2),"종합자료실")</f>
        <v>종합자료실</v>
      </c>
      <c r="E25" s="9">
        <f t="array" ref="E25">IFERROR(INDEX(대출자[],MATCH(1,(자료실기준[[#This Row],[소장처명]]=대출자[소장처명])*(자료실기준[[#This Row],[년월]]=대출자[년월]),0),MATCH(E$1,대출자[#Headers],0)),0)</f>
        <v>0</v>
      </c>
      <c r="F25" s="9">
        <f t="array" ref="F25">IFERROR(INDEX(대출자[],MATCH(1,(자료실기준[[#This Row],[소장처명]]=대출자[소장처명])*(자료실기준[[#This Row],[년월]]=대출자[년월]),0),MATCH(F$1,대출자[#Headers],0)),0)</f>
        <v>0</v>
      </c>
      <c r="G25" s="9">
        <f t="array" ref="G25">IFERROR(INDEX(대출자[],MATCH(1,(자료실기준[[#This Row],[소장처명]]=대출자[소장처명])*(자료실기준[[#This Row],[년월]]=대출자[년월]),0),MATCH(G$1,대출자[#Headers],0)),0)</f>
        <v>0</v>
      </c>
      <c r="H25" s="9">
        <f t="array" ref="H25">IFERROR(INDEX(대출자[],MATCH(1,(자료실기준[[#This Row],[소장처명]]=대출자[소장처명])*(자료실기준[[#This Row],[년월]]=대출자[년월]),0),MATCH(H$1,대출자[#Headers],0)),0)</f>
        <v>0</v>
      </c>
      <c r="I25" s="9">
        <f t="array" ref="I25">IFERROR(INDEX(대출자[],MATCH(1,(자료실기준[[#This Row],[소장처명]]=대출자[소장처명])*(자료실기준[[#This Row],[년월]]=대출자[년월]),0),MATCH(I$1,대출자[#Headers],0)),0)</f>
        <v>0</v>
      </c>
      <c r="J25" s="9">
        <f t="array" ref="J25">IFERROR(INDEX(대출자[],MATCH(1,(자료실기준[[#This Row],[소장처명]]=대출자[소장처명])*(자료실기준[[#This Row],[년월]]=대출자[년월]),0),MATCH(J$1,대출자[#Headers],0)),0)</f>
        <v>0</v>
      </c>
      <c r="K25" s="9">
        <f t="array" ref="K25">IFERROR(INDEX(대출자[],MATCH(1,(자료실기준[[#This Row],[소장처명]]=대출자[소장처명])*(자료실기준[[#This Row],[년월]]=대출자[년월]),0),MATCH(K$1,대출자[#Headers],0)),0)</f>
        <v>0</v>
      </c>
      <c r="L25" s="9">
        <f t="array" ref="L25">IFERROR(INDEX(대출자[],MATCH(1,(자료실기준[[#This Row],[소장처명]]=대출자[소장처명])*(자료실기준[[#This Row],[년월]]=대출자[년월]),0),MATCH(L$1,대출자[#Headers],0)),0)</f>
        <v>0</v>
      </c>
      <c r="M25" s="9">
        <f t="array" ref="M25">IFERROR(INDEX(대출자[],MATCH(1,(자료실기준[[#This Row],[소장처명]]=대출자[소장처명])*(자료실기준[[#This Row],[년월]]=대출자[년월]),0),MATCH(M$1,대출자[#Headers],0)),0)</f>
        <v>0</v>
      </c>
      <c r="N25" s="9">
        <f>IFERROR(자료실기준[[#This Row],[어린이남자]]+자료실기준[[#This Row],[청소년남자]]+자료실기준[[#This Row],[성인남자]],0)</f>
        <v>0</v>
      </c>
      <c r="O25" s="9">
        <f>IFERROR(자료실기준[[#This Row],[어린이여자]]+자료실기준[[#This Row],[청소년여자]]+자료실기준[[#This Row],[성인여자]],0)</f>
        <v>0</v>
      </c>
      <c r="P25" s="9">
        <f>IFERROR(자료실기준[[#This Row],[남자]]+자료실기준[[#This Row],[여자]],0)</f>
        <v>0</v>
      </c>
      <c r="Q25" s="9">
        <f t="array" ref="Q25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5" s="9">
        <f t="array" ref="R25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5" s="9">
        <f t="array" ref="S25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5" s="9">
        <f t="array" ref="T25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5" s="9">
        <f t="array" ref="U25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5" s="9">
        <f t="array" ref="V25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5" s="9">
        <f t="array" ref="W25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5" s="9">
        <f t="array" ref="X25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5" s="9">
        <f t="array" ref="Y25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25" s="9">
        <f t="array" ref="Z25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5" s="9">
        <f>SUM(자료실기준[[#This Row],[총류]:[역사]])</f>
        <v>0</v>
      </c>
    </row>
    <row r="26" spans="1:27" x14ac:dyDescent="0.3">
      <c r="A26" s="5">
        <v>45323</v>
      </c>
      <c r="B26" t="s">
        <v>0</v>
      </c>
      <c r="C26" s="5" t="str">
        <f>TEXT(자료실기준[[#This Row],[년월]],"yy년m월")&amp;자료실기준[[#This Row],[소장처명]]</f>
        <v>24년2월다문화자료실</v>
      </c>
      <c r="D26" t="str">
        <f>IFERROR(INDEX(자료실범례[],MATCH($B26,자료실범례[소장처명],0),2),"종합자료실")</f>
        <v>어린이자료실</v>
      </c>
      <c r="E26" cm="1">
        <f t="array" ref="E26">IFERROR(INDEX(대출자[],MATCH(1,(자료실기준[[#This Row],[소장처명]]=대출자[소장처명])*(자료실기준[[#This Row],[년월]]=대출자[년월]),0),MATCH(E$1,대출자[#Headers],0)),0)</f>
        <v>1</v>
      </c>
      <c r="F26" cm="1">
        <f t="array" ref="F26">IFERROR(INDEX(대출자[],MATCH(1,(자료실기준[[#This Row],[소장처명]]=대출자[소장처명])*(자료실기준[[#This Row],[년월]]=대출자[년월]),0),MATCH(F$1,대출자[#Headers],0)),0)</f>
        <v>5</v>
      </c>
      <c r="G26" cm="1">
        <f t="array" ref="G26">IFERROR(INDEX(대출자[],MATCH(1,(자료실기준[[#This Row],[소장처명]]=대출자[소장처명])*(자료실기준[[#This Row],[년월]]=대출자[년월]),0),MATCH(G$1,대출자[#Headers],0)),0)</f>
        <v>0</v>
      </c>
      <c r="H26" cm="1">
        <f t="array" ref="H26">IFERROR(INDEX(대출자[],MATCH(1,(자료실기준[[#This Row],[소장처명]]=대출자[소장처명])*(자료실기준[[#This Row],[년월]]=대출자[년월]),0),MATCH(H$1,대출자[#Headers],0)),0)</f>
        <v>0</v>
      </c>
      <c r="I26" cm="1">
        <f t="array" ref="I26">IFERROR(INDEX(대출자[],MATCH(1,(자료실기준[[#This Row],[소장처명]]=대출자[소장처명])*(자료실기준[[#This Row],[년월]]=대출자[년월]),0),MATCH(I$1,대출자[#Headers],0)),0)</f>
        <v>3</v>
      </c>
      <c r="J26" cm="1">
        <f t="array" ref="J26">IFERROR(INDEX(대출자[],MATCH(1,(자료실기준[[#This Row],[소장처명]]=대출자[소장처명])*(자료실기준[[#This Row],[년월]]=대출자[년월]),0),MATCH(J$1,대출자[#Headers],0)),0)</f>
        <v>4</v>
      </c>
      <c r="K26" cm="1">
        <f t="array" ref="K26">IFERROR(INDEX(대출자[],MATCH(1,(자료실기준[[#This Row],[소장처명]]=대출자[소장처명])*(자료실기준[[#This Row],[년월]]=대출자[년월]),0),MATCH(K$1,대출자[#Headers],0)),0)</f>
        <v>6</v>
      </c>
      <c r="L26" cm="1">
        <f t="array" ref="L26">IFERROR(INDEX(대출자[],MATCH(1,(자료실기준[[#This Row],[소장처명]]=대출자[소장처명])*(자료실기준[[#This Row],[년월]]=대출자[년월]),0),MATCH(L$1,대출자[#Headers],0)),0)</f>
        <v>0</v>
      </c>
      <c r="M26" cm="1">
        <f t="array" ref="M26">IFERROR(INDEX(대출자[],MATCH(1,(자료실기준[[#This Row],[소장처명]]=대출자[소장처명])*(자료실기준[[#This Row],[년월]]=대출자[년월]),0),MATCH(M$1,대출자[#Headers],0)),0)</f>
        <v>7</v>
      </c>
      <c r="N26">
        <f>IFERROR(자료실기준[[#This Row],[어린이남자]]+자료실기준[[#This Row],[청소년남자]]+자료실기준[[#This Row],[성인남자]],0)</f>
        <v>4</v>
      </c>
      <c r="O26">
        <f>IFERROR(자료실기준[[#This Row],[어린이여자]]+자료실기준[[#This Row],[청소년여자]]+자료실기준[[#This Row],[성인여자]],0)</f>
        <v>9</v>
      </c>
      <c r="P26">
        <f>IFERROR(자료실기준[[#This Row],[남자]]+자료실기준[[#This Row],[여자]],0)</f>
        <v>13</v>
      </c>
      <c r="Q26" cm="1">
        <f t="array" ref="Q26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6" cm="1">
        <f t="array" ref="R26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6" cm="1">
        <f t="array" ref="S26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6" cm="1">
        <f t="array" ref="T26">IFERROR(INDEX(대출권수[],MATCH(1,(자료실기준[[#This Row],[소장처명]]=대출권수[소장처명])*(대출권수[대출반납]="대출")*(자료실기준[[#This Row],[년월]]=대출권수[년월]),0),MATCH(T$1,대출권수[#Headers],0)),0)</f>
        <v>2</v>
      </c>
      <c r="U26" cm="1">
        <f t="array" ref="U26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6" cm="1">
        <f t="array" ref="V26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6" cm="1">
        <f t="array" ref="W26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6" cm="1">
        <f t="array" ref="X26">IFERROR(INDEX(대출권수[],MATCH(1,(자료실기준[[#This Row],[소장처명]]=대출권수[소장처명])*(대출권수[대출반납]="대출")*(자료실기준[[#This Row],[년월]]=대출권수[년월]),0),MATCH(X$1,대출권수[#Headers],0)),0)</f>
        <v>1</v>
      </c>
      <c r="Y26" cm="1">
        <f t="array" ref="Y26">IFERROR(INDEX(대출권수[],MATCH(1,(자료실기준[[#This Row],[소장처명]]=대출권수[소장처명])*(대출권수[대출반납]="대출")*(자료실기준[[#This Row],[년월]]=대출권수[년월]),0),MATCH(Y$1,대출권수[#Headers],0)),0)</f>
        <v>23</v>
      </c>
      <c r="Z26" cm="1">
        <f t="array" ref="Z26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6">
        <f>SUM(자료실기준[[#This Row],[총류]:[역사]])</f>
        <v>26</v>
      </c>
    </row>
    <row r="27" spans="1:27" x14ac:dyDescent="0.3">
      <c r="A27" s="5">
        <v>45323</v>
      </c>
      <c r="B27" t="s">
        <v>1</v>
      </c>
      <c r="C27" s="5" t="str">
        <f>TEXT(자료실기준[[#This Row],[년월]],"yy년m월")&amp;자료실기준[[#This Row],[소장처명]]</f>
        <v>24년2월다문화자료실(영어유아)</v>
      </c>
      <c r="D27" t="str">
        <f>IFERROR(INDEX(자료실범례[],MATCH($B27,자료실범례[소장처명],0),2),"종합자료실")</f>
        <v>어린이자료실</v>
      </c>
      <c r="E27" cm="1">
        <f t="array" ref="E27">IFERROR(INDEX(대출자[],MATCH(1,(자료실기준[[#This Row],[소장처명]]=대출자[소장처명])*(자료실기준[[#This Row],[년월]]=대출자[년월]),0),MATCH(E$1,대출자[#Headers],0)),0)</f>
        <v>4</v>
      </c>
      <c r="F27" cm="1">
        <f t="array" ref="F27">IFERROR(INDEX(대출자[],MATCH(1,(자료실기준[[#This Row],[소장처명]]=대출자[소장처명])*(자료실기준[[#This Row],[년월]]=대출자[년월]),0),MATCH(F$1,대출자[#Headers],0)),0)</f>
        <v>2</v>
      </c>
      <c r="G27" cm="1">
        <f t="array" ref="G27">IFERROR(INDEX(대출자[],MATCH(1,(자료실기준[[#This Row],[소장처명]]=대출자[소장처명])*(자료실기준[[#This Row],[년월]]=대출자[년월]),0),MATCH(G$1,대출자[#Headers],0)),0)</f>
        <v>0</v>
      </c>
      <c r="H27" cm="1">
        <f t="array" ref="H27">IFERROR(INDEX(대출자[],MATCH(1,(자료실기준[[#This Row],[소장처명]]=대출자[소장처명])*(자료실기준[[#This Row],[년월]]=대출자[년월]),0),MATCH(H$1,대출자[#Headers],0)),0)</f>
        <v>1</v>
      </c>
      <c r="I27" cm="1">
        <f t="array" ref="I27">IFERROR(INDEX(대출자[],MATCH(1,(자료실기준[[#This Row],[소장처명]]=대출자[소장처명])*(자료실기준[[#This Row],[년월]]=대출자[년월]),0),MATCH(I$1,대출자[#Headers],0)),0)</f>
        <v>1</v>
      </c>
      <c r="J27" cm="1">
        <f t="array" ref="J27">IFERROR(INDEX(대출자[],MATCH(1,(자료실기준[[#This Row],[소장처명]]=대출자[소장처명])*(자료실기준[[#This Row],[년월]]=대출자[년월]),0),MATCH(J$1,대출자[#Headers],0)),0)</f>
        <v>2</v>
      </c>
      <c r="K27" cm="1">
        <f t="array" ref="K27">IFERROR(INDEX(대출자[],MATCH(1,(자료실기준[[#This Row],[소장처명]]=대출자[소장처명])*(자료실기준[[#This Row],[년월]]=대출자[년월]),0),MATCH(K$1,대출자[#Headers],0)),0)</f>
        <v>6</v>
      </c>
      <c r="L27" cm="1">
        <f t="array" ref="L27">IFERROR(INDEX(대출자[],MATCH(1,(자료실기준[[#This Row],[소장처명]]=대출자[소장처명])*(자료실기준[[#This Row],[년월]]=대출자[년월]),0),MATCH(L$1,대출자[#Headers],0)),0)</f>
        <v>1</v>
      </c>
      <c r="M27" cm="1">
        <f t="array" ref="M27">IFERROR(INDEX(대출자[],MATCH(1,(자료실기준[[#This Row],[소장처명]]=대출자[소장처명])*(자료실기준[[#This Row],[년월]]=대출자[년월]),0),MATCH(M$1,대출자[#Headers],0)),0)</f>
        <v>3</v>
      </c>
      <c r="N27">
        <f>IFERROR(자료실기준[[#This Row],[어린이남자]]+자료실기준[[#This Row],[청소년남자]]+자료실기준[[#This Row],[성인남자]],0)</f>
        <v>5</v>
      </c>
      <c r="O27">
        <f>IFERROR(자료실기준[[#This Row],[어린이여자]]+자료실기준[[#This Row],[청소년여자]]+자료실기준[[#This Row],[성인여자]],0)</f>
        <v>5</v>
      </c>
      <c r="P27">
        <f>IFERROR(자료실기준[[#This Row],[남자]]+자료실기준[[#This Row],[여자]],0)</f>
        <v>10</v>
      </c>
      <c r="Q27" cm="1">
        <f t="array" ref="Q27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7" cm="1">
        <f t="array" ref="R27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7" cm="1">
        <f t="array" ref="S27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7" cm="1">
        <f t="array" ref="T27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7" cm="1">
        <f t="array" ref="U27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7" cm="1">
        <f t="array" ref="V27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7" cm="1">
        <f t="array" ref="W27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7" cm="1">
        <f t="array" ref="X27">IFERROR(INDEX(대출권수[],MATCH(1,(자료실기준[[#This Row],[소장처명]]=대출권수[소장처명])*(대출권수[대출반납]="대출")*(자료실기준[[#This Row],[년월]]=대출권수[년월]),0),MATCH(X$1,대출권수[#Headers],0)),0)</f>
        <v>92</v>
      </c>
      <c r="Y27" cm="1">
        <f t="array" ref="Y27">IFERROR(INDEX(대출권수[],MATCH(1,(자료실기준[[#This Row],[소장처명]]=대출권수[소장처명])*(대출권수[대출반납]="대출")*(자료실기준[[#This Row],[년월]]=대출권수[년월]),0),MATCH(Y$1,대출권수[#Headers],0)),0)</f>
        <v>5</v>
      </c>
      <c r="Z27" cm="1">
        <f t="array" ref="Z27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7">
        <f>SUM(자료실기준[[#This Row],[총류]:[역사]])</f>
        <v>97</v>
      </c>
    </row>
    <row r="28" spans="1:27" x14ac:dyDescent="0.3">
      <c r="A28" s="5">
        <v>45323</v>
      </c>
      <c r="B28" t="s">
        <v>2</v>
      </c>
      <c r="C28" s="5" t="str">
        <f>TEXT(자료실기준[[#This Row],[년월]],"yy년m월")&amp;자료실기준[[#This Row],[소장처명]]</f>
        <v>24년2월디지털자료실</v>
      </c>
      <c r="D28" t="str">
        <f>IFERROR(INDEX(자료실범례[],MATCH($B28,자료실범례[소장처명],0),2),"종합자료실")</f>
        <v>디지털자료실</v>
      </c>
      <c r="E28" cm="1">
        <f t="array" ref="E28">IFERROR(INDEX(대출자[],MATCH(1,(자료실기준[[#This Row],[소장처명]]=대출자[소장처명])*(자료실기준[[#This Row],[년월]]=대출자[년월]),0),MATCH(E$1,대출자[#Headers],0)),0)</f>
        <v>1</v>
      </c>
      <c r="F28" cm="1">
        <f t="array" ref="F28">IFERROR(INDEX(대출자[],MATCH(1,(자료실기준[[#This Row],[소장처명]]=대출자[소장처명])*(자료실기준[[#This Row],[년월]]=대출자[년월]),0),MATCH(F$1,대출자[#Headers],0)),0)</f>
        <v>0</v>
      </c>
      <c r="G28" cm="1">
        <f t="array" ref="G28">IFERROR(INDEX(대출자[],MATCH(1,(자료실기준[[#This Row],[소장처명]]=대출자[소장처명])*(자료실기준[[#This Row],[년월]]=대출자[년월]),0),MATCH(G$1,대출자[#Headers],0)),0)</f>
        <v>0</v>
      </c>
      <c r="H28" cm="1">
        <f t="array" ref="H28">IFERROR(INDEX(대출자[],MATCH(1,(자료실기준[[#This Row],[소장처명]]=대출자[소장처명])*(자료실기준[[#This Row],[년월]]=대출자[년월]),0),MATCH(H$1,대출자[#Headers],0)),0)</f>
        <v>0</v>
      </c>
      <c r="I28" cm="1">
        <f t="array" ref="I28">IFERROR(INDEX(대출자[],MATCH(1,(자료실기준[[#This Row],[소장처명]]=대출자[소장처명])*(자료실기준[[#This Row],[년월]]=대출자[년월]),0),MATCH(I$1,대출자[#Headers],0)),0)</f>
        <v>2</v>
      </c>
      <c r="J28" cm="1">
        <f t="array" ref="J28">IFERROR(INDEX(대출자[],MATCH(1,(자료실기준[[#This Row],[소장처명]]=대출자[소장처명])*(자료실기준[[#This Row],[년월]]=대출자[년월]),0),MATCH(J$1,대출자[#Headers],0)),0)</f>
        <v>7</v>
      </c>
      <c r="K28" cm="1">
        <f t="array" ref="K28">IFERROR(INDEX(대출자[],MATCH(1,(자료실기준[[#This Row],[소장처명]]=대출자[소장처명])*(자료실기준[[#This Row],[년월]]=대출자[년월]),0),MATCH(K$1,대출자[#Headers],0)),0)</f>
        <v>1</v>
      </c>
      <c r="L28" cm="1">
        <f t="array" ref="L28">IFERROR(INDEX(대출자[],MATCH(1,(자료실기준[[#This Row],[소장처명]]=대출자[소장처명])*(자료실기준[[#This Row],[년월]]=대출자[년월]),0),MATCH(L$1,대출자[#Headers],0)),0)</f>
        <v>0</v>
      </c>
      <c r="M28" cm="1">
        <f t="array" ref="M28">IFERROR(INDEX(대출자[],MATCH(1,(자료실기준[[#This Row],[소장처명]]=대출자[소장처명])*(자료실기준[[#This Row],[년월]]=대출자[년월]),0),MATCH(M$1,대출자[#Headers],0)),0)</f>
        <v>9</v>
      </c>
      <c r="N28">
        <f>IFERROR(자료실기준[[#This Row],[어린이남자]]+자료실기준[[#This Row],[청소년남자]]+자료실기준[[#This Row],[성인남자]],0)</f>
        <v>3</v>
      </c>
      <c r="O28">
        <f>IFERROR(자료실기준[[#This Row],[어린이여자]]+자료실기준[[#This Row],[청소년여자]]+자료실기준[[#This Row],[성인여자]],0)</f>
        <v>7</v>
      </c>
      <c r="P28">
        <f>IFERROR(자료실기준[[#This Row],[남자]]+자료실기준[[#This Row],[여자]],0)</f>
        <v>10</v>
      </c>
      <c r="Q28" cm="1">
        <f t="array" ref="Q28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8" cm="1">
        <f t="array" ref="R28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8" cm="1">
        <f t="array" ref="S28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8" cm="1">
        <f t="array" ref="T28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8" cm="1">
        <f t="array" ref="U28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8" cm="1">
        <f t="array" ref="V28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8" cm="1">
        <f t="array" ref="W28">IFERROR(INDEX(대출권수[],MATCH(1,(자료실기준[[#This Row],[소장처명]]=대출권수[소장처명])*(대출권수[대출반납]="대출")*(자료실기준[[#This Row],[년월]]=대출권수[년월]),0),MATCH(W$1,대출권수[#Headers],0)),0)</f>
        <v>18</v>
      </c>
      <c r="X28" cm="1">
        <f t="array" ref="X28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8" cm="1">
        <f t="array" ref="Y28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28" cm="1">
        <f t="array" ref="Z28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8">
        <f>SUM(자료실기준[[#This Row],[총류]:[역사]])</f>
        <v>18</v>
      </c>
    </row>
    <row r="29" spans="1:27" x14ac:dyDescent="0.3">
      <c r="A29" s="5">
        <v>45323</v>
      </c>
      <c r="B29" t="s">
        <v>4</v>
      </c>
      <c r="C29" s="5" t="str">
        <f>TEXT(자료실기준[[#This Row],[년월]],"yy년m월")&amp;자료실기준[[#This Row],[소장처명]]</f>
        <v>24년2월별관 서고(어린이자료실)</v>
      </c>
      <c r="D29" t="str">
        <f>IFERROR(INDEX(자료실범례[],MATCH($B29,자료실범례[소장처명],0),2),"종합자료실")</f>
        <v>어린이자료실</v>
      </c>
      <c r="E29" cm="1">
        <f t="array" ref="E29">IFERROR(INDEX(대출자[],MATCH(1,(자료실기준[[#This Row],[소장처명]]=대출자[소장처명])*(자료실기준[[#This Row],[년월]]=대출자[년월]),0),MATCH(E$1,대출자[#Headers],0)),0)</f>
        <v>0</v>
      </c>
      <c r="F29" cm="1">
        <f t="array" ref="F29">IFERROR(INDEX(대출자[],MATCH(1,(자료실기준[[#This Row],[소장처명]]=대출자[소장처명])*(자료실기준[[#This Row],[년월]]=대출자[년월]),0),MATCH(F$1,대출자[#Headers],0)),0)</f>
        <v>0</v>
      </c>
      <c r="G29" cm="1">
        <f t="array" ref="G29">IFERROR(INDEX(대출자[],MATCH(1,(자료실기준[[#This Row],[소장처명]]=대출자[소장처명])*(자료실기준[[#This Row],[년월]]=대출자[년월]),0),MATCH(G$1,대출자[#Headers],0)),0)</f>
        <v>0</v>
      </c>
      <c r="H29" cm="1">
        <f t="array" ref="H29">IFERROR(INDEX(대출자[],MATCH(1,(자료실기준[[#This Row],[소장처명]]=대출자[소장처명])*(자료실기준[[#This Row],[년월]]=대출자[년월]),0),MATCH(H$1,대출자[#Headers],0)),0)</f>
        <v>0</v>
      </c>
      <c r="I29" cm="1">
        <f t="array" ref="I29">IFERROR(INDEX(대출자[],MATCH(1,(자료실기준[[#This Row],[소장처명]]=대출자[소장처명])*(자료실기준[[#This Row],[년월]]=대출자[년월]),0),MATCH(I$1,대출자[#Headers],0)),0)</f>
        <v>0</v>
      </c>
      <c r="J29" cm="1">
        <f t="array" ref="J29">IFERROR(INDEX(대출자[],MATCH(1,(자료실기준[[#This Row],[소장처명]]=대출자[소장처명])*(자료실기준[[#This Row],[년월]]=대출자[년월]),0),MATCH(J$1,대출자[#Headers],0)),0)</f>
        <v>3</v>
      </c>
      <c r="K29" cm="1">
        <f t="array" ref="K29">IFERROR(INDEX(대출자[],MATCH(1,(자료실기준[[#This Row],[소장처명]]=대출자[소장처명])*(자료실기준[[#This Row],[년월]]=대출자[년월]),0),MATCH(K$1,대출자[#Headers],0)),0)</f>
        <v>0</v>
      </c>
      <c r="L29" cm="1">
        <f t="array" ref="L29">IFERROR(INDEX(대출자[],MATCH(1,(자료실기준[[#This Row],[소장처명]]=대출자[소장처명])*(자료실기준[[#This Row],[년월]]=대출자[년월]),0),MATCH(L$1,대출자[#Headers],0)),0)</f>
        <v>0</v>
      </c>
      <c r="M29" cm="1">
        <f t="array" ref="M29">IFERROR(INDEX(대출자[],MATCH(1,(자료실기준[[#This Row],[소장처명]]=대출자[소장처명])*(자료실기준[[#This Row],[년월]]=대출자[년월]),0),MATCH(M$1,대출자[#Headers],0)),0)</f>
        <v>3</v>
      </c>
      <c r="N29">
        <f>IFERROR(자료실기준[[#This Row],[어린이남자]]+자료실기준[[#This Row],[청소년남자]]+자료실기준[[#This Row],[성인남자]],0)</f>
        <v>0</v>
      </c>
      <c r="O29">
        <f>IFERROR(자료실기준[[#This Row],[어린이여자]]+자료실기준[[#This Row],[청소년여자]]+자료실기준[[#This Row],[성인여자]],0)</f>
        <v>3</v>
      </c>
      <c r="P29">
        <f>IFERROR(자료실기준[[#This Row],[남자]]+자료실기준[[#This Row],[여자]],0)</f>
        <v>3</v>
      </c>
      <c r="Q29" cm="1">
        <f t="array" ref="Q29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9" cm="1">
        <f t="array" ref="R29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9" cm="1">
        <f t="array" ref="S29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9" cm="1">
        <f t="array" ref="T29">IFERROR(INDEX(대출권수[],MATCH(1,(자료실기준[[#This Row],[소장처명]]=대출권수[소장처명])*(대출권수[대출반납]="대출")*(자료실기준[[#This Row],[년월]]=대출권수[년월]),0),MATCH(T$1,대출권수[#Headers],0)),0)</f>
        <v>1</v>
      </c>
      <c r="U29" cm="1">
        <f t="array" ref="U29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9" cm="1">
        <f t="array" ref="V29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9" cm="1">
        <f t="array" ref="W29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9" cm="1">
        <f t="array" ref="X29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9" cm="1">
        <f t="array" ref="Y29">IFERROR(INDEX(대출권수[],MATCH(1,(자료실기준[[#This Row],[소장처명]]=대출권수[소장처명])*(대출권수[대출반납]="대출")*(자료실기준[[#This Row],[년월]]=대출권수[년월]),0),MATCH(Y$1,대출권수[#Headers],0)),0)</f>
        <v>3</v>
      </c>
      <c r="Z29" cm="1">
        <f t="array" ref="Z29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9">
        <f>SUM(자료실기준[[#This Row],[총류]:[역사]])</f>
        <v>4</v>
      </c>
    </row>
    <row r="30" spans="1:27" x14ac:dyDescent="0.3">
      <c r="A30" s="5">
        <v>45323</v>
      </c>
      <c r="B30" t="s">
        <v>5</v>
      </c>
      <c r="C30" s="5" t="str">
        <f>TEXT(자료실기준[[#This Row],[년월]],"yy년m월")&amp;자료실기준[[#This Row],[소장처명]]</f>
        <v>24년2월별관 서고(종합자료실)</v>
      </c>
      <c r="D30" t="str">
        <f>IFERROR(INDEX(자료실범례[],MATCH($B30,자료실범례[소장처명],0),2),"종합자료실")</f>
        <v>종합자료실</v>
      </c>
      <c r="E30" cm="1">
        <f t="array" ref="E30">IFERROR(INDEX(대출자[],MATCH(1,(자료실기준[[#This Row],[소장처명]]=대출자[소장처명])*(자료실기준[[#This Row],[년월]]=대출자[년월]),0),MATCH(E$1,대출자[#Headers],0)),0)</f>
        <v>0</v>
      </c>
      <c r="F30" cm="1">
        <f t="array" ref="F30">IFERROR(INDEX(대출자[],MATCH(1,(자료실기준[[#This Row],[소장처명]]=대출자[소장처명])*(자료실기준[[#This Row],[년월]]=대출자[년월]),0),MATCH(F$1,대출자[#Headers],0)),0)</f>
        <v>1</v>
      </c>
      <c r="G30" cm="1">
        <f t="array" ref="G30">IFERROR(INDEX(대출자[],MATCH(1,(자료실기준[[#This Row],[소장처명]]=대출자[소장처명])*(자료실기준[[#This Row],[년월]]=대출자[년월]),0),MATCH(G$1,대출자[#Headers],0)),0)</f>
        <v>1</v>
      </c>
      <c r="H30" cm="1">
        <f t="array" ref="H30">IFERROR(INDEX(대출자[],MATCH(1,(자료실기준[[#This Row],[소장처명]]=대출자[소장처명])*(자료실기준[[#This Row],[년월]]=대출자[년월]),0),MATCH(H$1,대출자[#Headers],0)),0)</f>
        <v>0</v>
      </c>
      <c r="I30" cm="1">
        <f t="array" ref="I30">IFERROR(INDEX(대출자[],MATCH(1,(자료실기준[[#This Row],[소장처명]]=대출자[소장처명])*(자료실기준[[#This Row],[년월]]=대출자[년월]),0),MATCH(I$1,대출자[#Headers],0)),0)</f>
        <v>6</v>
      </c>
      <c r="J30" cm="1">
        <f t="array" ref="J30">IFERROR(INDEX(대출자[],MATCH(1,(자료실기준[[#This Row],[소장처명]]=대출자[소장처명])*(자료실기준[[#This Row],[년월]]=대출자[년월]),0),MATCH(J$1,대출자[#Headers],0)),0)</f>
        <v>13</v>
      </c>
      <c r="K30" cm="1">
        <f t="array" ref="K30">IFERROR(INDEX(대출자[],MATCH(1,(자료실기준[[#This Row],[소장처명]]=대출자[소장처명])*(자료실기준[[#This Row],[년월]]=대출자[년월]),0),MATCH(K$1,대출자[#Headers],0)),0)</f>
        <v>1</v>
      </c>
      <c r="L30" cm="1">
        <f t="array" ref="L30">IFERROR(INDEX(대출자[],MATCH(1,(자료실기준[[#This Row],[소장처명]]=대출자[소장처명])*(자료실기준[[#This Row],[년월]]=대출자[년월]),0),MATCH(L$1,대출자[#Headers],0)),0)</f>
        <v>1</v>
      </c>
      <c r="M30" cm="1">
        <f t="array" ref="M30">IFERROR(INDEX(대출자[],MATCH(1,(자료실기준[[#This Row],[소장처명]]=대출자[소장처명])*(자료실기준[[#This Row],[년월]]=대출자[년월]),0),MATCH(M$1,대출자[#Headers],0)),0)</f>
        <v>19</v>
      </c>
      <c r="N30">
        <f>IFERROR(자료실기준[[#This Row],[어린이남자]]+자료실기준[[#This Row],[청소년남자]]+자료실기준[[#This Row],[성인남자]],0)</f>
        <v>7</v>
      </c>
      <c r="O30">
        <f>IFERROR(자료실기준[[#This Row],[어린이여자]]+자료실기준[[#This Row],[청소년여자]]+자료실기준[[#This Row],[성인여자]],0)</f>
        <v>14</v>
      </c>
      <c r="P30">
        <f>IFERROR(자료실기준[[#This Row],[남자]]+자료실기준[[#This Row],[여자]],0)</f>
        <v>21</v>
      </c>
      <c r="Q30" cm="1">
        <f t="array" ref="Q30">IFERROR(INDEX(대출권수[],MATCH(1,(자료실기준[[#This Row],[소장처명]]=대출권수[소장처명])*(대출권수[대출반납]="대출")*(자료실기준[[#This Row],[년월]]=대출권수[년월]),0),MATCH(Q$1,대출권수[#Headers],0)),0)</f>
        <v>2</v>
      </c>
      <c r="R30" cm="1">
        <f t="array" ref="R30">IFERROR(INDEX(대출권수[],MATCH(1,(자료실기준[[#This Row],[소장처명]]=대출권수[소장처명])*(대출권수[대출반납]="대출")*(자료실기준[[#This Row],[년월]]=대출권수[년월]),0),MATCH(R$1,대출권수[#Headers],0)),0)</f>
        <v>3</v>
      </c>
      <c r="S30" cm="1">
        <f t="array" ref="S30">IFERROR(INDEX(대출권수[],MATCH(1,(자료실기준[[#This Row],[소장처명]]=대출권수[소장처명])*(대출권수[대출반납]="대출")*(자료실기준[[#This Row],[년월]]=대출권수[년월]),0),MATCH(S$1,대출권수[#Headers],0)),0)</f>
        <v>2</v>
      </c>
      <c r="T30" cm="1">
        <f t="array" ref="T30">IFERROR(INDEX(대출권수[],MATCH(1,(자료실기준[[#This Row],[소장처명]]=대출권수[소장처명])*(대출권수[대출반납]="대출")*(자료실기준[[#This Row],[년월]]=대출권수[년월]),0),MATCH(T$1,대출권수[#Headers],0)),0)</f>
        <v>7</v>
      </c>
      <c r="U30" cm="1">
        <f t="array" ref="U30">IFERROR(INDEX(대출권수[],MATCH(1,(자료실기준[[#This Row],[소장처명]]=대출권수[소장처명])*(대출권수[대출반납]="대출")*(자료실기준[[#This Row],[년월]]=대출권수[년월]),0),MATCH(U$1,대출권수[#Headers],0)),0)</f>
        <v>1</v>
      </c>
      <c r="V30" cm="1">
        <f t="array" ref="V30">IFERROR(INDEX(대출권수[],MATCH(1,(자료실기준[[#This Row],[소장처명]]=대출권수[소장처명])*(대출권수[대출반납]="대출")*(자료실기준[[#This Row],[년월]]=대출권수[년월]),0),MATCH(V$1,대출권수[#Headers],0)),0)</f>
        <v>1</v>
      </c>
      <c r="W30" cm="1">
        <f t="array" ref="W30">IFERROR(INDEX(대출권수[],MATCH(1,(자료실기준[[#This Row],[소장처명]]=대출권수[소장처명])*(대출권수[대출반납]="대출")*(자료실기준[[#This Row],[년월]]=대출권수[년월]),0),MATCH(W$1,대출권수[#Headers],0)),0)</f>
        <v>1</v>
      </c>
      <c r="X30" cm="1">
        <f t="array" ref="X30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30" cm="1">
        <f t="array" ref="Y30">IFERROR(INDEX(대출권수[],MATCH(1,(자료실기준[[#This Row],[소장처명]]=대출권수[소장처명])*(대출권수[대출반납]="대출")*(자료실기준[[#This Row],[년월]]=대출권수[년월]),0),MATCH(Y$1,대출권수[#Headers],0)),0)</f>
        <v>12</v>
      </c>
      <c r="Z30" cm="1">
        <f t="array" ref="Z30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30">
        <f>SUM(자료실기준[[#This Row],[총류]:[역사]])</f>
        <v>29</v>
      </c>
    </row>
    <row r="31" spans="1:27" x14ac:dyDescent="0.3">
      <c r="A31" s="5">
        <v>45323</v>
      </c>
      <c r="B31" t="s">
        <v>6</v>
      </c>
      <c r="C31" s="5" t="str">
        <f>TEXT(자료실기준[[#This Row],[년월]],"yy년m월")&amp;자료실기준[[#This Row],[소장처명]]</f>
        <v>24년2월스마트도서관</v>
      </c>
      <c r="D31" t="str">
        <f>IFERROR(INDEX(자료실범례[],MATCH($B31,자료실범례[소장처명],0),2),"종합자료실")</f>
        <v>종합자료실</v>
      </c>
      <c r="E31" cm="1">
        <f t="array" ref="E31">IFERROR(INDEX(대출자[],MATCH(1,(자료실기준[[#This Row],[소장처명]]=대출자[소장처명])*(자료실기준[[#This Row],[년월]]=대출자[년월]),0),MATCH(E$1,대출자[#Headers],0)),0)</f>
        <v>0</v>
      </c>
      <c r="F31" cm="1">
        <f t="array" ref="F31">IFERROR(INDEX(대출자[],MATCH(1,(자료실기준[[#This Row],[소장처명]]=대출자[소장처명])*(자료실기준[[#This Row],[년월]]=대출자[년월]),0),MATCH(F$1,대출자[#Headers],0)),0)</f>
        <v>1</v>
      </c>
      <c r="G31" cm="1">
        <f t="array" ref="G31">IFERROR(INDEX(대출자[],MATCH(1,(자료실기준[[#This Row],[소장처명]]=대출자[소장처명])*(자료실기준[[#This Row],[년월]]=대출자[년월]),0),MATCH(G$1,대출자[#Headers],0)),0)</f>
        <v>0</v>
      </c>
      <c r="H31" cm="1">
        <f t="array" ref="H31">IFERROR(INDEX(대출자[],MATCH(1,(자료실기준[[#This Row],[소장처명]]=대출자[소장처명])*(자료실기준[[#This Row],[년월]]=대출자[년월]),0),MATCH(H$1,대출자[#Headers],0)),0)</f>
        <v>0</v>
      </c>
      <c r="I31" cm="1">
        <f t="array" ref="I31">IFERROR(INDEX(대출자[],MATCH(1,(자료실기준[[#This Row],[소장처명]]=대출자[소장처명])*(자료실기준[[#This Row],[년월]]=대출자[년월]),0),MATCH(I$1,대출자[#Headers],0)),0)</f>
        <v>5</v>
      </c>
      <c r="J31" cm="1">
        <f t="array" ref="J31">IFERROR(INDEX(대출자[],MATCH(1,(자료실기준[[#This Row],[소장처명]]=대출자[소장처명])*(자료실기준[[#This Row],[년월]]=대출자[년월]),0),MATCH(J$1,대출자[#Headers],0)),0)</f>
        <v>5</v>
      </c>
      <c r="K31" cm="1">
        <f t="array" ref="K31">IFERROR(INDEX(대출자[],MATCH(1,(자료실기준[[#This Row],[소장처명]]=대출자[소장처명])*(자료실기준[[#This Row],[년월]]=대출자[년월]),0),MATCH(K$1,대출자[#Headers],0)),0)</f>
        <v>1</v>
      </c>
      <c r="L31" cm="1">
        <f t="array" ref="L31">IFERROR(INDEX(대출자[],MATCH(1,(자료실기준[[#This Row],[소장처명]]=대출자[소장처명])*(자료실기준[[#This Row],[년월]]=대출자[년월]),0),MATCH(L$1,대출자[#Headers],0)),0)</f>
        <v>0</v>
      </c>
      <c r="M31" cm="1">
        <f t="array" ref="M31">IFERROR(INDEX(대출자[],MATCH(1,(자료실기준[[#This Row],[소장처명]]=대출자[소장처명])*(자료실기준[[#This Row],[년월]]=대출자[년월]),0),MATCH(M$1,대출자[#Headers],0)),0)</f>
        <v>10</v>
      </c>
      <c r="N31">
        <f>IFERROR(자료실기준[[#This Row],[어린이남자]]+자료실기준[[#This Row],[청소년남자]]+자료실기준[[#This Row],[성인남자]],0)</f>
        <v>5</v>
      </c>
      <c r="O31">
        <f>IFERROR(자료실기준[[#This Row],[어린이여자]]+자료실기준[[#This Row],[청소년여자]]+자료실기준[[#This Row],[성인여자]],0)</f>
        <v>6</v>
      </c>
      <c r="P31">
        <f>IFERROR(자료실기준[[#This Row],[남자]]+자료실기준[[#This Row],[여자]],0)</f>
        <v>11</v>
      </c>
      <c r="Q31" cm="1">
        <f t="array" ref="Q31">IFERROR(INDEX(대출권수[],MATCH(1,(자료실기준[[#This Row],[소장처명]]=대출권수[소장처명])*(대출권수[대출반납]="대출")*(자료실기준[[#This Row],[년월]]=대출권수[년월]),0),MATCH(Q$1,대출권수[#Headers],0)),0)</f>
        <v>2</v>
      </c>
      <c r="R31" cm="1">
        <f t="array" ref="R31">IFERROR(INDEX(대출권수[],MATCH(1,(자료실기준[[#This Row],[소장처명]]=대출권수[소장처명])*(대출권수[대출반납]="대출")*(자료실기준[[#This Row],[년월]]=대출권수[년월]),0),MATCH(R$1,대출권수[#Headers],0)),0)</f>
        <v>1</v>
      </c>
      <c r="S31" cm="1">
        <f t="array" ref="S31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31" cm="1">
        <f t="array" ref="T31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31" cm="1">
        <f t="array" ref="U31">IFERROR(INDEX(대출권수[],MATCH(1,(자료실기준[[#This Row],[소장처명]]=대출권수[소장처명])*(대출권수[대출반납]="대출")*(자료실기준[[#This Row],[년월]]=대출권수[년월]),0),MATCH(U$1,대출권수[#Headers],0)),0)</f>
        <v>1</v>
      </c>
      <c r="V31" cm="1">
        <f t="array" ref="V31">IFERROR(INDEX(대출권수[],MATCH(1,(자료실기준[[#This Row],[소장처명]]=대출권수[소장처명])*(대출권수[대출반납]="대출")*(자료실기준[[#This Row],[년월]]=대출권수[년월]),0),MATCH(V$1,대출권수[#Headers],0)),0)</f>
        <v>3</v>
      </c>
      <c r="W31" cm="1">
        <f t="array" ref="W31">IFERROR(INDEX(대출권수[],MATCH(1,(자료실기준[[#This Row],[소장처명]]=대출권수[소장처명])*(대출권수[대출반납]="대출")*(자료실기준[[#This Row],[년월]]=대출권수[년월]),0),MATCH(W$1,대출권수[#Headers],0)),0)</f>
        <v>1</v>
      </c>
      <c r="X31" cm="1">
        <f t="array" ref="X31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31" cm="1">
        <f t="array" ref="Y31">IFERROR(INDEX(대출권수[],MATCH(1,(자료실기준[[#This Row],[소장처명]]=대출권수[소장처명])*(대출권수[대출반납]="대출")*(자료실기준[[#This Row],[년월]]=대출권수[년월]),0),MATCH(Y$1,대출권수[#Headers],0)),0)</f>
        <v>5</v>
      </c>
      <c r="Z31" cm="1">
        <f t="array" ref="Z31">IFERROR(INDEX(대출권수[],MATCH(1,(자료실기준[[#This Row],[소장처명]]=대출권수[소장처명])*(대출권수[대출반납]="대출")*(자료실기준[[#This Row],[년월]]=대출권수[년월]),0),MATCH(Z$1,대출권수[#Headers],0)),0)</f>
        <v>8</v>
      </c>
      <c r="AA31">
        <f>SUM(자료실기준[[#This Row],[총류]:[역사]])</f>
        <v>21</v>
      </c>
    </row>
    <row r="32" spans="1:27" x14ac:dyDescent="0.3">
      <c r="A32" s="5">
        <v>45323</v>
      </c>
      <c r="B32" t="s">
        <v>7</v>
      </c>
      <c r="C32" s="5" t="str">
        <f>TEXT(자료실기준[[#This Row],[년월]],"yy년m월")&amp;자료실기준[[#This Row],[소장처명]]</f>
        <v>24년2월어린이실(교과1학년)</v>
      </c>
      <c r="D32" t="str">
        <f>IFERROR(INDEX(자료실범례[],MATCH($B32,자료실범례[소장처명],0),2),"종합자료실")</f>
        <v>어린이자료실</v>
      </c>
      <c r="E32" cm="1">
        <f t="array" ref="E32">IFERROR(INDEX(대출자[],MATCH(1,(자료실기준[[#This Row],[소장처명]]=대출자[소장처명])*(자료실기준[[#This Row],[년월]]=대출자[년월]),0),MATCH(E$1,대출자[#Headers],0)),0)</f>
        <v>3</v>
      </c>
      <c r="F32" cm="1">
        <f t="array" ref="F32">IFERROR(INDEX(대출자[],MATCH(1,(자료실기준[[#This Row],[소장처명]]=대출자[소장처명])*(자료실기준[[#This Row],[년월]]=대출자[년월]),0),MATCH(F$1,대출자[#Headers],0)),0)</f>
        <v>6</v>
      </c>
      <c r="G32" cm="1">
        <f t="array" ref="G32">IFERROR(INDEX(대출자[],MATCH(1,(자료실기준[[#This Row],[소장처명]]=대출자[소장처명])*(자료실기준[[#This Row],[년월]]=대출자[년월]),0),MATCH(G$1,대출자[#Headers],0)),0)</f>
        <v>0</v>
      </c>
      <c r="H32" cm="1">
        <f t="array" ref="H32">IFERROR(INDEX(대출자[],MATCH(1,(자료실기준[[#This Row],[소장처명]]=대출자[소장처명])*(자료실기준[[#This Row],[년월]]=대출자[년월]),0),MATCH(H$1,대출자[#Headers],0)),0)</f>
        <v>0</v>
      </c>
      <c r="I32" cm="1">
        <f t="array" ref="I32">IFERROR(INDEX(대출자[],MATCH(1,(자료실기준[[#This Row],[소장처명]]=대출자[소장처명])*(자료실기준[[#This Row],[년월]]=대출자[년월]),0),MATCH(I$1,대출자[#Headers],0)),0)</f>
        <v>2</v>
      </c>
      <c r="J32" cm="1">
        <f t="array" ref="J32">IFERROR(INDEX(대출자[],MATCH(1,(자료실기준[[#This Row],[소장처명]]=대출자[소장처명])*(자료실기준[[#This Row],[년월]]=대출자[년월]),0),MATCH(J$1,대출자[#Headers],0)),0)</f>
        <v>10</v>
      </c>
      <c r="K32" cm="1">
        <f t="array" ref="K32">IFERROR(INDEX(대출자[],MATCH(1,(자료실기준[[#This Row],[소장처명]]=대출자[소장처명])*(자료실기준[[#This Row],[년월]]=대출자[년월]),0),MATCH(K$1,대출자[#Headers],0)),0)</f>
        <v>9</v>
      </c>
      <c r="L32" cm="1">
        <f t="array" ref="L32">IFERROR(INDEX(대출자[],MATCH(1,(자료실기준[[#This Row],[소장처명]]=대출자[소장처명])*(자료실기준[[#This Row],[년월]]=대출자[년월]),0),MATCH(L$1,대출자[#Headers],0)),0)</f>
        <v>0</v>
      </c>
      <c r="M32" cm="1">
        <f t="array" ref="M32">IFERROR(INDEX(대출자[],MATCH(1,(자료실기준[[#This Row],[소장처명]]=대출자[소장처명])*(자료실기준[[#This Row],[년월]]=대출자[년월]),0),MATCH(M$1,대출자[#Headers],0)),0)</f>
        <v>12</v>
      </c>
      <c r="N32">
        <f>IFERROR(자료실기준[[#This Row],[어린이남자]]+자료실기준[[#This Row],[청소년남자]]+자료실기준[[#This Row],[성인남자]],0)</f>
        <v>5</v>
      </c>
      <c r="O32">
        <f>IFERROR(자료실기준[[#This Row],[어린이여자]]+자료실기준[[#This Row],[청소년여자]]+자료실기준[[#This Row],[성인여자]],0)</f>
        <v>16</v>
      </c>
      <c r="P32">
        <f>IFERROR(자료실기준[[#This Row],[남자]]+자료실기준[[#This Row],[여자]],0)</f>
        <v>21</v>
      </c>
      <c r="Q32" cm="1">
        <f t="array" ref="Q32">IFERROR(INDEX(대출권수[],MATCH(1,(자료실기준[[#This Row],[소장처명]]=대출권수[소장처명])*(대출권수[대출반납]="대출")*(자료실기준[[#This Row],[년월]]=대출권수[년월]),0),MATCH(Q$1,대출권수[#Headers],0)),0)</f>
        <v>1</v>
      </c>
      <c r="R32" cm="1">
        <f t="array" ref="R32">IFERROR(INDEX(대출권수[],MATCH(1,(자료실기준[[#This Row],[소장처명]]=대출권수[소장처명])*(대출권수[대출반납]="대출")*(자료실기준[[#This Row],[년월]]=대출권수[년월]),0),MATCH(R$1,대출권수[#Headers],0)),0)</f>
        <v>1</v>
      </c>
      <c r="S32" cm="1">
        <f t="array" ref="S32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32" cm="1">
        <f t="array" ref="T32">IFERROR(INDEX(대출권수[],MATCH(1,(자료실기준[[#This Row],[소장처명]]=대출권수[소장처명])*(대출권수[대출반납]="대출")*(자료실기준[[#This Row],[년월]]=대출권수[년월]),0),MATCH(T$1,대출권수[#Headers],0)),0)</f>
        <v>13</v>
      </c>
      <c r="U32" cm="1">
        <f t="array" ref="U32">IFERROR(INDEX(대출권수[],MATCH(1,(자료실기준[[#This Row],[소장처명]]=대출권수[소장처명])*(대출권수[대출반납]="대출")*(자료실기준[[#This Row],[년월]]=대출권수[년월]),0),MATCH(U$1,대출권수[#Headers],0)),0)</f>
        <v>2</v>
      </c>
      <c r="V32" cm="1">
        <f t="array" ref="V32">IFERROR(INDEX(대출권수[],MATCH(1,(자료실기준[[#This Row],[소장처명]]=대출권수[소장처명])*(대출권수[대출반납]="대출")*(자료실기준[[#This Row],[년월]]=대출권수[년월]),0),MATCH(V$1,대출권수[#Headers],0)),0)</f>
        <v>1</v>
      </c>
      <c r="W32" cm="1">
        <f t="array" ref="W32">IFERROR(INDEX(대출권수[],MATCH(1,(자료실기준[[#This Row],[소장처명]]=대출권수[소장처명])*(대출권수[대출반납]="대출")*(자료실기준[[#This Row],[년월]]=대출권수[년월]),0),MATCH(W$1,대출권수[#Headers],0)),0)</f>
        <v>1</v>
      </c>
      <c r="X32" cm="1">
        <f t="array" ref="X32">IFERROR(INDEX(대출권수[],MATCH(1,(자료실기준[[#This Row],[소장처명]]=대출권수[소장처명])*(대출권수[대출반납]="대출")*(자료실기준[[#This Row],[년월]]=대출권수[년월]),0),MATCH(X$1,대출권수[#Headers],0)),0)</f>
        <v>3</v>
      </c>
      <c r="Y32" cm="1">
        <f t="array" ref="Y32">IFERROR(INDEX(대출권수[],MATCH(1,(자료실기준[[#This Row],[소장처명]]=대출권수[소장처명])*(대출권수[대출반납]="대출")*(자료실기준[[#This Row],[년월]]=대출권수[년월]),0),MATCH(Y$1,대출권수[#Headers],0)),0)</f>
        <v>61</v>
      </c>
      <c r="Z32" cm="1">
        <f t="array" ref="Z32">IFERROR(INDEX(대출권수[],MATCH(1,(자료실기준[[#This Row],[소장처명]]=대출권수[소장처명])*(대출권수[대출반납]="대출")*(자료실기준[[#This Row],[년월]]=대출권수[년월]),0),MATCH(Z$1,대출권수[#Headers],0)),0)</f>
        <v>1</v>
      </c>
      <c r="AA32">
        <f>SUM(자료실기준[[#This Row],[총류]:[역사]])</f>
        <v>84</v>
      </c>
    </row>
    <row r="33" spans="1:27" x14ac:dyDescent="0.3">
      <c r="A33" s="5">
        <v>45323</v>
      </c>
      <c r="B33" t="s">
        <v>8</v>
      </c>
      <c r="C33" s="5" t="str">
        <f>TEXT(자료실기준[[#This Row],[년월]],"yy년m월")&amp;자료실기준[[#This Row],[소장처명]]</f>
        <v>24년2월어린이실(교과2학년)</v>
      </c>
      <c r="D33" t="str">
        <f>IFERROR(INDEX(자료실범례[],MATCH($B33,자료실범례[소장처명],0),2),"종합자료실")</f>
        <v>어린이자료실</v>
      </c>
      <c r="E33" cm="1">
        <f t="array" ref="E33">IFERROR(INDEX(대출자[],MATCH(1,(자료실기준[[#This Row],[소장처명]]=대출자[소장처명])*(자료실기준[[#This Row],[년월]]=대출자[년월]),0),MATCH(E$1,대출자[#Headers],0)),0)</f>
        <v>3</v>
      </c>
      <c r="F33" cm="1">
        <f t="array" ref="F33">IFERROR(INDEX(대출자[],MATCH(1,(자료실기준[[#This Row],[소장처명]]=대출자[소장처명])*(자료실기준[[#This Row],[년월]]=대출자[년월]),0),MATCH(F$1,대출자[#Headers],0)),0)</f>
        <v>4</v>
      </c>
      <c r="G33" cm="1">
        <f t="array" ref="G33">IFERROR(INDEX(대출자[],MATCH(1,(자료실기준[[#This Row],[소장처명]]=대출자[소장처명])*(자료실기준[[#This Row],[년월]]=대출자[년월]),0),MATCH(G$1,대출자[#Headers],0)),0)</f>
        <v>0</v>
      </c>
      <c r="H33" cm="1">
        <f t="array" ref="H33">IFERROR(INDEX(대출자[],MATCH(1,(자료실기준[[#This Row],[소장처명]]=대출자[소장처명])*(자료실기준[[#This Row],[년월]]=대출자[년월]),0),MATCH(H$1,대출자[#Headers],0)),0)</f>
        <v>0</v>
      </c>
      <c r="I33" cm="1">
        <f t="array" ref="I33">IFERROR(INDEX(대출자[],MATCH(1,(자료실기준[[#This Row],[소장처명]]=대출자[소장처명])*(자료실기준[[#This Row],[년월]]=대출자[년월]),0),MATCH(I$1,대출자[#Headers],0)),0)</f>
        <v>1</v>
      </c>
      <c r="J33" cm="1">
        <f t="array" ref="J33">IFERROR(INDEX(대출자[],MATCH(1,(자료실기준[[#This Row],[소장처명]]=대출자[소장처명])*(자료실기준[[#This Row],[년월]]=대출자[년월]),0),MATCH(J$1,대출자[#Headers],0)),0)</f>
        <v>6</v>
      </c>
      <c r="K33" cm="1">
        <f t="array" ref="K33">IFERROR(INDEX(대출자[],MATCH(1,(자료실기준[[#This Row],[소장처명]]=대출자[소장처명])*(자료실기준[[#This Row],[년월]]=대출자[년월]),0),MATCH(K$1,대출자[#Headers],0)),0)</f>
        <v>7</v>
      </c>
      <c r="L33" cm="1">
        <f t="array" ref="L33">IFERROR(INDEX(대출자[],MATCH(1,(자료실기준[[#This Row],[소장처명]]=대출자[소장처명])*(자료실기준[[#This Row],[년월]]=대출자[년월]),0),MATCH(L$1,대출자[#Headers],0)),0)</f>
        <v>0</v>
      </c>
      <c r="M33" cm="1">
        <f t="array" ref="M33">IFERROR(INDEX(대출자[],MATCH(1,(자료실기준[[#This Row],[소장처명]]=대출자[소장처명])*(자료실기준[[#This Row],[년월]]=대출자[년월]),0),MATCH(M$1,대출자[#Headers],0)),0)</f>
        <v>7</v>
      </c>
      <c r="N33">
        <f>IFERROR(자료실기준[[#This Row],[어린이남자]]+자료실기준[[#This Row],[청소년남자]]+자료실기준[[#This Row],[성인남자]],0)</f>
        <v>4</v>
      </c>
      <c r="O33">
        <f>IFERROR(자료실기준[[#This Row],[어린이여자]]+자료실기준[[#This Row],[청소년여자]]+자료실기준[[#This Row],[성인여자]],0)</f>
        <v>10</v>
      </c>
      <c r="P33">
        <f>IFERROR(자료실기준[[#This Row],[남자]]+자료실기준[[#This Row],[여자]],0)</f>
        <v>14</v>
      </c>
      <c r="Q33" cm="1">
        <f t="array" ref="Q33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33" cm="1">
        <f t="array" ref="R33">IFERROR(INDEX(대출권수[],MATCH(1,(자료실기준[[#This Row],[소장처명]]=대출권수[소장처명])*(대출권수[대출반납]="대출")*(자료실기준[[#This Row],[년월]]=대출권수[년월]),0),MATCH(R$1,대출권수[#Headers],0)),0)</f>
        <v>1</v>
      </c>
      <c r="S33" cm="1">
        <f t="array" ref="S33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33" cm="1">
        <f t="array" ref="T33">IFERROR(INDEX(대출권수[],MATCH(1,(자료실기준[[#This Row],[소장처명]]=대출권수[소장처명])*(대출권수[대출반납]="대출")*(자료실기준[[#This Row],[년월]]=대출권수[년월]),0),MATCH(T$1,대출권수[#Headers],0)),0)</f>
        <v>1</v>
      </c>
      <c r="U33" cm="1">
        <f t="array" ref="U33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33" cm="1">
        <f t="array" ref="V33">IFERROR(INDEX(대출권수[],MATCH(1,(자료실기준[[#This Row],[소장처명]]=대출권수[소장처명])*(대출권수[대출반납]="대출")*(자료실기준[[#This Row],[년월]]=대출권수[년월]),0),MATCH(V$1,대출권수[#Headers],0)),0)</f>
        <v>1</v>
      </c>
      <c r="W33" cm="1">
        <f t="array" ref="W33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33" cm="1">
        <f t="array" ref="X33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33" cm="1">
        <f t="array" ref="Y33">IFERROR(INDEX(대출권수[],MATCH(1,(자료실기준[[#This Row],[소장처명]]=대출권수[소장처명])*(대출권수[대출반납]="대출")*(자료실기준[[#This Row],[년월]]=대출권수[년월]),0),MATCH(Y$1,대출권수[#Headers],0)),0)</f>
        <v>22</v>
      </c>
      <c r="Z33" cm="1">
        <f t="array" ref="Z33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33">
        <f>SUM(자료실기준[[#This Row],[총류]:[역사]])</f>
        <v>25</v>
      </c>
    </row>
    <row r="34" spans="1:27" x14ac:dyDescent="0.3">
      <c r="A34" s="5">
        <v>45323</v>
      </c>
      <c r="B34" t="s">
        <v>9</v>
      </c>
      <c r="C34" s="5" t="str">
        <f>TEXT(자료실기준[[#This Row],[년월]],"yy년m월")&amp;자료실기준[[#This Row],[소장처명]]</f>
        <v>24년2월어린이실(교과3학년)</v>
      </c>
      <c r="D34" t="str">
        <f>IFERROR(INDEX(자료실범례[],MATCH($B34,자료실범례[소장처명],0),2),"종합자료실")</f>
        <v>어린이자료실</v>
      </c>
      <c r="E34" cm="1">
        <f t="array" ref="E34">IFERROR(INDEX(대출자[],MATCH(1,(자료실기준[[#This Row],[소장처명]]=대출자[소장처명])*(자료실기준[[#This Row],[년월]]=대출자[년월]),0),MATCH(E$1,대출자[#Headers],0)),0)</f>
        <v>2</v>
      </c>
      <c r="F34" cm="1">
        <f t="array" ref="F34">IFERROR(INDEX(대출자[],MATCH(1,(자료실기준[[#This Row],[소장처명]]=대출자[소장처명])*(자료실기준[[#This Row],[년월]]=대출자[년월]),0),MATCH(F$1,대출자[#Headers],0)),0)</f>
        <v>4</v>
      </c>
      <c r="G34" cm="1">
        <f t="array" ref="G34">IFERROR(INDEX(대출자[],MATCH(1,(자료실기준[[#This Row],[소장처명]]=대출자[소장처명])*(자료실기준[[#This Row],[년월]]=대출자[년월]),0),MATCH(G$1,대출자[#Headers],0)),0)</f>
        <v>1</v>
      </c>
      <c r="H34" cm="1">
        <f t="array" ref="H34">IFERROR(INDEX(대출자[],MATCH(1,(자료실기준[[#This Row],[소장처명]]=대출자[소장처명])*(자료실기준[[#This Row],[년월]]=대출자[년월]),0),MATCH(H$1,대출자[#Headers],0)),0)</f>
        <v>0</v>
      </c>
      <c r="I34" cm="1">
        <f t="array" ref="I34">IFERROR(INDEX(대출자[],MATCH(1,(자료실기준[[#This Row],[소장처명]]=대출자[소장처명])*(자료실기준[[#This Row],[년월]]=대출자[년월]),0),MATCH(I$1,대출자[#Headers],0)),0)</f>
        <v>0</v>
      </c>
      <c r="J34" cm="1">
        <f t="array" ref="J34">IFERROR(INDEX(대출자[],MATCH(1,(자료실기준[[#This Row],[소장처명]]=대출자[소장처명])*(자료실기준[[#This Row],[년월]]=대출자[년월]),0),MATCH(J$1,대출자[#Headers],0)),0)</f>
        <v>4</v>
      </c>
      <c r="K34" cm="1">
        <f t="array" ref="K34">IFERROR(INDEX(대출자[],MATCH(1,(자료실기준[[#This Row],[소장처명]]=대출자[소장처명])*(자료실기준[[#This Row],[년월]]=대출자[년월]),0),MATCH(K$1,대출자[#Headers],0)),0)</f>
        <v>6</v>
      </c>
      <c r="L34" cm="1">
        <f t="array" ref="L34">IFERROR(INDEX(대출자[],MATCH(1,(자료실기준[[#This Row],[소장처명]]=대출자[소장처명])*(자료실기준[[#This Row],[년월]]=대출자[년월]),0),MATCH(L$1,대출자[#Headers],0)),0)</f>
        <v>1</v>
      </c>
      <c r="M34" cm="1">
        <f t="array" ref="M34">IFERROR(INDEX(대출자[],MATCH(1,(자료실기준[[#This Row],[소장처명]]=대출자[소장처명])*(자료실기준[[#This Row],[년월]]=대출자[년월]),0),MATCH(M$1,대출자[#Headers],0)),0)</f>
        <v>4</v>
      </c>
      <c r="N34">
        <f>IFERROR(자료실기준[[#This Row],[어린이남자]]+자료실기준[[#This Row],[청소년남자]]+자료실기준[[#This Row],[성인남자]],0)</f>
        <v>3</v>
      </c>
      <c r="O34">
        <f>IFERROR(자료실기준[[#This Row],[어린이여자]]+자료실기준[[#This Row],[청소년여자]]+자료실기준[[#This Row],[성인여자]],0)</f>
        <v>8</v>
      </c>
      <c r="P34">
        <f>IFERROR(자료실기준[[#This Row],[남자]]+자료실기준[[#This Row],[여자]],0)</f>
        <v>11</v>
      </c>
      <c r="Q34" cm="1">
        <f t="array" ref="Q34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34" cm="1">
        <f t="array" ref="R34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34" cm="1">
        <f t="array" ref="S34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34" cm="1">
        <f t="array" ref="T34">IFERROR(INDEX(대출권수[],MATCH(1,(자료실기준[[#This Row],[소장처명]]=대출권수[소장처명])*(대출권수[대출반납]="대출")*(자료실기준[[#This Row],[년월]]=대출권수[년월]),0),MATCH(T$1,대출권수[#Headers],0)),0)</f>
        <v>3</v>
      </c>
      <c r="U34" cm="1">
        <f t="array" ref="U34">IFERROR(INDEX(대출권수[],MATCH(1,(자료실기준[[#This Row],[소장처명]]=대출권수[소장처명])*(대출권수[대출반납]="대출")*(자료실기준[[#This Row],[년월]]=대출권수[년월]),0),MATCH(U$1,대출권수[#Headers],0)),0)</f>
        <v>7</v>
      </c>
      <c r="V34" cm="1">
        <f t="array" ref="V34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34" cm="1">
        <f t="array" ref="W34">IFERROR(INDEX(대출권수[],MATCH(1,(자료실기준[[#This Row],[소장처명]]=대출권수[소장처명])*(대출권수[대출반납]="대출")*(자료실기준[[#This Row],[년월]]=대출권수[년월]),0),MATCH(W$1,대출권수[#Headers],0)),0)</f>
        <v>1</v>
      </c>
      <c r="X34" cm="1">
        <f t="array" ref="X34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34" cm="1">
        <f t="array" ref="Y34">IFERROR(INDEX(대출권수[],MATCH(1,(자료실기준[[#This Row],[소장처명]]=대출권수[소장처명])*(대출권수[대출반납]="대출")*(자료실기준[[#This Row],[년월]]=대출권수[년월]),0),MATCH(Y$1,대출권수[#Headers],0)),0)</f>
        <v>9</v>
      </c>
      <c r="Z34" cm="1">
        <f t="array" ref="Z34">IFERROR(INDEX(대출권수[],MATCH(1,(자료실기준[[#This Row],[소장처명]]=대출권수[소장처명])*(대출권수[대출반납]="대출")*(자료실기준[[#This Row],[년월]]=대출권수[년월]),0),MATCH(Z$1,대출권수[#Headers],0)),0)</f>
        <v>1</v>
      </c>
      <c r="AA34">
        <f>SUM(자료실기준[[#This Row],[총류]:[역사]])</f>
        <v>21</v>
      </c>
    </row>
    <row r="35" spans="1:27" x14ac:dyDescent="0.3">
      <c r="A35" s="5">
        <v>45323</v>
      </c>
      <c r="B35" t="s">
        <v>10</v>
      </c>
      <c r="C35" s="5" t="str">
        <f>TEXT(자료실기준[[#This Row],[년월]],"yy년m월")&amp;자료실기준[[#This Row],[소장처명]]</f>
        <v>24년2월어린이실(교과4학년)</v>
      </c>
      <c r="D35" t="str">
        <f>IFERROR(INDEX(자료실범례[],MATCH($B35,자료실범례[소장처명],0),2),"종합자료실")</f>
        <v>어린이자료실</v>
      </c>
      <c r="E35" cm="1">
        <f t="array" ref="E35">IFERROR(INDEX(대출자[],MATCH(1,(자료실기준[[#This Row],[소장처명]]=대출자[소장처명])*(자료실기준[[#This Row],[년월]]=대출자[년월]),0),MATCH(E$1,대출자[#Headers],0)),0)</f>
        <v>0</v>
      </c>
      <c r="F35" cm="1">
        <f t="array" ref="F35">IFERROR(INDEX(대출자[],MATCH(1,(자료실기준[[#This Row],[소장처명]]=대출자[소장처명])*(자료실기준[[#This Row],[년월]]=대출자[년월]),0),MATCH(F$1,대출자[#Headers],0)),0)</f>
        <v>3</v>
      </c>
      <c r="G35" cm="1">
        <f t="array" ref="G35">IFERROR(INDEX(대출자[],MATCH(1,(자료실기준[[#This Row],[소장처명]]=대출자[소장처명])*(자료실기준[[#This Row],[년월]]=대출자[년월]),0),MATCH(G$1,대출자[#Headers],0)),0)</f>
        <v>0</v>
      </c>
      <c r="H35" cm="1">
        <f t="array" ref="H35">IFERROR(INDEX(대출자[],MATCH(1,(자료실기준[[#This Row],[소장처명]]=대출자[소장처명])*(자료실기준[[#This Row],[년월]]=대출자[년월]),0),MATCH(H$1,대출자[#Headers],0)),0)</f>
        <v>0</v>
      </c>
      <c r="I35" cm="1">
        <f t="array" ref="I35">IFERROR(INDEX(대출자[],MATCH(1,(자료실기준[[#This Row],[소장처명]]=대출자[소장처명])*(자료실기준[[#This Row],[년월]]=대출자[년월]),0),MATCH(I$1,대출자[#Headers],0)),0)</f>
        <v>0</v>
      </c>
      <c r="J35" cm="1">
        <f t="array" ref="J35">IFERROR(INDEX(대출자[],MATCH(1,(자료실기준[[#This Row],[소장처명]]=대출자[소장처명])*(자료실기준[[#This Row],[년월]]=대출자[년월]),0),MATCH(J$1,대출자[#Headers],0)),0)</f>
        <v>4</v>
      </c>
      <c r="K35" cm="1">
        <f t="array" ref="K35">IFERROR(INDEX(대출자[],MATCH(1,(자료실기준[[#This Row],[소장처명]]=대출자[소장처명])*(자료실기준[[#This Row],[년월]]=대출자[년월]),0),MATCH(K$1,대출자[#Headers],0)),0)</f>
        <v>3</v>
      </c>
      <c r="L35" cm="1">
        <f t="array" ref="L35">IFERROR(INDEX(대출자[],MATCH(1,(자료실기준[[#This Row],[소장처명]]=대출자[소장처명])*(자료실기준[[#This Row],[년월]]=대출자[년월]),0),MATCH(L$1,대출자[#Headers],0)),0)</f>
        <v>0</v>
      </c>
      <c r="M35" cm="1">
        <f t="array" ref="M35">IFERROR(INDEX(대출자[],MATCH(1,(자료실기준[[#This Row],[소장처명]]=대출자[소장처명])*(자료실기준[[#This Row],[년월]]=대출자[년월]),0),MATCH(M$1,대출자[#Headers],0)),0)</f>
        <v>4</v>
      </c>
      <c r="N35">
        <f>IFERROR(자료실기준[[#This Row],[어린이남자]]+자료실기준[[#This Row],[청소년남자]]+자료실기준[[#This Row],[성인남자]],0)</f>
        <v>0</v>
      </c>
      <c r="O35">
        <f>IFERROR(자료실기준[[#This Row],[어린이여자]]+자료실기준[[#This Row],[청소년여자]]+자료실기준[[#This Row],[성인여자]],0)</f>
        <v>7</v>
      </c>
      <c r="P35">
        <f>IFERROR(자료실기준[[#This Row],[남자]]+자료실기준[[#This Row],[여자]],0)</f>
        <v>7</v>
      </c>
      <c r="Q35" cm="1">
        <f t="array" ref="Q35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35" cm="1">
        <f t="array" ref="R35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35" cm="1">
        <f t="array" ref="S35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35" cm="1">
        <f t="array" ref="T35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35" cm="1">
        <f t="array" ref="U35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35" cm="1">
        <f t="array" ref="V35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35" cm="1">
        <f t="array" ref="W35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35" cm="1">
        <f t="array" ref="X35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35" cm="1">
        <f t="array" ref="Y35">IFERROR(INDEX(대출권수[],MATCH(1,(자료실기준[[#This Row],[소장처명]]=대출권수[소장처명])*(대출권수[대출반납]="대출")*(자료실기준[[#This Row],[년월]]=대출권수[년월]),0),MATCH(Y$1,대출권수[#Headers],0)),0)</f>
        <v>11</v>
      </c>
      <c r="Z35" cm="1">
        <f t="array" ref="Z35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35">
        <f>SUM(자료실기준[[#This Row],[총류]:[역사]])</f>
        <v>11</v>
      </c>
    </row>
    <row r="36" spans="1:27" x14ac:dyDescent="0.3">
      <c r="A36" s="5">
        <v>45323</v>
      </c>
      <c r="B36" t="s">
        <v>11</v>
      </c>
      <c r="C36" s="5" t="str">
        <f>TEXT(자료실기준[[#This Row],[년월]],"yy년m월")&amp;자료실기준[[#This Row],[소장처명]]</f>
        <v>24년2월어린이실(교과5학년)</v>
      </c>
      <c r="D36" t="str">
        <f>IFERROR(INDEX(자료실범례[],MATCH($B36,자료실범례[소장처명],0),2),"종합자료실")</f>
        <v>어린이자료실</v>
      </c>
      <c r="E36" cm="1">
        <f t="array" ref="E36">IFERROR(INDEX(대출자[],MATCH(1,(자료실기준[[#This Row],[소장처명]]=대출자[소장처명])*(자료실기준[[#This Row],[년월]]=대출자[년월]),0),MATCH(E$1,대출자[#Headers],0)),0)</f>
        <v>2</v>
      </c>
      <c r="F36" cm="1">
        <f t="array" ref="F36">IFERROR(INDEX(대출자[],MATCH(1,(자료실기준[[#This Row],[소장처명]]=대출자[소장처명])*(자료실기준[[#This Row],[년월]]=대출자[년월]),0),MATCH(F$1,대출자[#Headers],0)),0)</f>
        <v>1</v>
      </c>
      <c r="G36" cm="1">
        <f t="array" ref="G36">IFERROR(INDEX(대출자[],MATCH(1,(자료실기준[[#This Row],[소장처명]]=대출자[소장처명])*(자료실기준[[#This Row],[년월]]=대출자[년월]),0),MATCH(G$1,대출자[#Headers],0)),0)</f>
        <v>0</v>
      </c>
      <c r="H36" cm="1">
        <f t="array" ref="H36">IFERROR(INDEX(대출자[],MATCH(1,(자료실기준[[#This Row],[소장처명]]=대출자[소장처명])*(자료실기준[[#This Row],[년월]]=대출자[년월]),0),MATCH(H$1,대출자[#Headers],0)),0)</f>
        <v>0</v>
      </c>
      <c r="I36" cm="1">
        <f t="array" ref="I36">IFERROR(INDEX(대출자[],MATCH(1,(자료실기준[[#This Row],[소장처명]]=대출자[소장처명])*(자료실기준[[#This Row],[년월]]=대출자[년월]),0),MATCH(I$1,대출자[#Headers],0)),0)</f>
        <v>0</v>
      </c>
      <c r="J36" cm="1">
        <f t="array" ref="J36">IFERROR(INDEX(대출자[],MATCH(1,(자료실기준[[#This Row],[소장처명]]=대출자[소장처명])*(자료실기준[[#This Row],[년월]]=대출자[년월]),0),MATCH(J$1,대출자[#Headers],0)),0)</f>
        <v>0</v>
      </c>
      <c r="K36" cm="1">
        <f t="array" ref="K36">IFERROR(INDEX(대출자[],MATCH(1,(자료실기준[[#This Row],[소장처명]]=대출자[소장처명])*(자료실기준[[#This Row],[년월]]=대출자[년월]),0),MATCH(K$1,대출자[#Headers],0)),0)</f>
        <v>3</v>
      </c>
      <c r="L36" cm="1">
        <f t="array" ref="L36">IFERROR(INDEX(대출자[],MATCH(1,(자료실기준[[#This Row],[소장처명]]=대출자[소장처명])*(자료실기준[[#This Row],[년월]]=대출자[년월]),0),MATCH(L$1,대출자[#Headers],0)),0)</f>
        <v>0</v>
      </c>
      <c r="M36" cm="1">
        <f t="array" ref="M36">IFERROR(INDEX(대출자[],MATCH(1,(자료실기준[[#This Row],[소장처명]]=대출자[소장처명])*(자료실기준[[#This Row],[년월]]=대출자[년월]),0),MATCH(M$1,대출자[#Headers],0)),0)</f>
        <v>0</v>
      </c>
      <c r="N36">
        <f>IFERROR(자료실기준[[#This Row],[어린이남자]]+자료실기준[[#This Row],[청소년남자]]+자료실기준[[#This Row],[성인남자]],0)</f>
        <v>2</v>
      </c>
      <c r="O36">
        <f>IFERROR(자료실기준[[#This Row],[어린이여자]]+자료실기준[[#This Row],[청소년여자]]+자료실기준[[#This Row],[성인여자]],0)</f>
        <v>1</v>
      </c>
      <c r="P36">
        <f>IFERROR(자료실기준[[#This Row],[남자]]+자료실기준[[#This Row],[여자]],0)</f>
        <v>3</v>
      </c>
      <c r="Q36" cm="1">
        <f t="array" ref="Q36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36" cm="1">
        <f t="array" ref="R36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36" cm="1">
        <f t="array" ref="S36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36" cm="1">
        <f t="array" ref="T36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36" cm="1">
        <f t="array" ref="U36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36" cm="1">
        <f t="array" ref="V36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36" cm="1">
        <f t="array" ref="W36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36" cm="1">
        <f t="array" ref="X36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36" cm="1">
        <f t="array" ref="Y36">IFERROR(INDEX(대출권수[],MATCH(1,(자료실기준[[#This Row],[소장처명]]=대출권수[소장처명])*(대출권수[대출반납]="대출")*(자료실기준[[#This Row],[년월]]=대출권수[년월]),0),MATCH(Y$1,대출권수[#Headers],0)),0)</f>
        <v>3</v>
      </c>
      <c r="Z36" cm="1">
        <f t="array" ref="Z36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36">
        <f>SUM(자료실기준[[#This Row],[총류]:[역사]])</f>
        <v>3</v>
      </c>
    </row>
    <row r="37" spans="1:27" x14ac:dyDescent="0.3">
      <c r="A37" s="5">
        <v>45323</v>
      </c>
      <c r="B37" t="s">
        <v>12</v>
      </c>
      <c r="C37" s="5" t="str">
        <f>TEXT(자료실기준[[#This Row],[년월]],"yy년m월")&amp;자료실기준[[#This Row],[소장처명]]</f>
        <v>24년2월어린이실(교과6학년)</v>
      </c>
      <c r="D37" t="str">
        <f>IFERROR(INDEX(자료실범례[],MATCH($B37,자료실범례[소장처명],0),2),"종합자료실")</f>
        <v>어린이자료실</v>
      </c>
      <c r="E37" cm="1">
        <f t="array" ref="E37">IFERROR(INDEX(대출자[],MATCH(1,(자료실기준[[#This Row],[소장처명]]=대출자[소장처명])*(자료실기준[[#This Row],[년월]]=대출자[년월]),0),MATCH(E$1,대출자[#Headers],0)),0)</f>
        <v>2</v>
      </c>
      <c r="F37" cm="1">
        <f t="array" ref="F37">IFERROR(INDEX(대출자[],MATCH(1,(자료실기준[[#This Row],[소장처명]]=대출자[소장처명])*(자료실기준[[#This Row],[년월]]=대출자[년월]),0),MATCH(F$1,대출자[#Headers],0)),0)</f>
        <v>1</v>
      </c>
      <c r="G37" cm="1">
        <f t="array" ref="G37">IFERROR(INDEX(대출자[],MATCH(1,(자료실기준[[#This Row],[소장처명]]=대출자[소장처명])*(자료실기준[[#This Row],[년월]]=대출자[년월]),0),MATCH(G$1,대출자[#Headers],0)),0)</f>
        <v>0</v>
      </c>
      <c r="H37" cm="1">
        <f t="array" ref="H37">IFERROR(INDEX(대출자[],MATCH(1,(자료실기준[[#This Row],[소장처명]]=대출자[소장처명])*(자료실기준[[#This Row],[년월]]=대출자[년월]),0),MATCH(H$1,대출자[#Headers],0)),0)</f>
        <v>0</v>
      </c>
      <c r="I37" cm="1">
        <f t="array" ref="I37">IFERROR(INDEX(대출자[],MATCH(1,(자료실기준[[#This Row],[소장처명]]=대출자[소장처명])*(자료실기준[[#This Row],[년월]]=대출자[년월]),0),MATCH(I$1,대출자[#Headers],0)),0)</f>
        <v>0</v>
      </c>
      <c r="J37" cm="1">
        <f t="array" ref="J37">IFERROR(INDEX(대출자[],MATCH(1,(자료실기준[[#This Row],[소장처명]]=대출자[소장처명])*(자료실기준[[#This Row],[년월]]=대출자[년월]),0),MATCH(J$1,대출자[#Headers],0)),0)</f>
        <v>3</v>
      </c>
      <c r="K37" cm="1">
        <f t="array" ref="K37">IFERROR(INDEX(대출자[],MATCH(1,(자료실기준[[#This Row],[소장처명]]=대출자[소장처명])*(자료실기준[[#This Row],[년월]]=대출자[년월]),0),MATCH(K$1,대출자[#Headers],0)),0)</f>
        <v>3</v>
      </c>
      <c r="L37" cm="1">
        <f t="array" ref="L37">IFERROR(INDEX(대출자[],MATCH(1,(자료실기준[[#This Row],[소장처명]]=대출자[소장처명])*(자료실기준[[#This Row],[년월]]=대출자[년월]),0),MATCH(L$1,대출자[#Headers],0)),0)</f>
        <v>0</v>
      </c>
      <c r="M37" cm="1">
        <f t="array" ref="M37">IFERROR(INDEX(대출자[],MATCH(1,(자료실기준[[#This Row],[소장처명]]=대출자[소장처명])*(자료실기준[[#This Row],[년월]]=대출자[년월]),0),MATCH(M$1,대출자[#Headers],0)),0)</f>
        <v>3</v>
      </c>
      <c r="N37">
        <f>IFERROR(자료실기준[[#This Row],[어린이남자]]+자료실기준[[#This Row],[청소년남자]]+자료실기준[[#This Row],[성인남자]],0)</f>
        <v>2</v>
      </c>
      <c r="O37">
        <f>IFERROR(자료실기준[[#This Row],[어린이여자]]+자료실기준[[#This Row],[청소년여자]]+자료실기준[[#This Row],[성인여자]],0)</f>
        <v>4</v>
      </c>
      <c r="P37">
        <f>IFERROR(자료실기준[[#This Row],[남자]]+자료실기준[[#This Row],[여자]],0)</f>
        <v>6</v>
      </c>
      <c r="Q37" cm="1">
        <f t="array" ref="Q37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37" cm="1">
        <f t="array" ref="R37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37" cm="1">
        <f t="array" ref="S37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37" cm="1">
        <f t="array" ref="T37">IFERROR(INDEX(대출권수[],MATCH(1,(자료실기준[[#This Row],[소장처명]]=대출권수[소장처명])*(대출권수[대출반납]="대출")*(자료실기준[[#This Row],[년월]]=대출권수[년월]),0),MATCH(T$1,대출권수[#Headers],0)),0)</f>
        <v>1</v>
      </c>
      <c r="U37" cm="1">
        <f t="array" ref="U37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37" cm="1">
        <f t="array" ref="V37">IFERROR(INDEX(대출권수[],MATCH(1,(자료실기준[[#This Row],[소장처명]]=대출권수[소장처명])*(대출권수[대출반납]="대출")*(자료실기준[[#This Row],[년월]]=대출권수[년월]),0),MATCH(V$1,대출권수[#Headers],0)),0)</f>
        <v>4</v>
      </c>
      <c r="W37" cm="1">
        <f t="array" ref="W37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37" cm="1">
        <f t="array" ref="X37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37" cm="1">
        <f t="array" ref="Y37">IFERROR(INDEX(대출권수[],MATCH(1,(자료실기준[[#This Row],[소장처명]]=대출권수[소장처명])*(대출권수[대출반납]="대출")*(자료실기준[[#This Row],[년월]]=대출권수[년월]),0),MATCH(Y$1,대출권수[#Headers],0)),0)</f>
        <v>4</v>
      </c>
      <c r="Z37" cm="1">
        <f t="array" ref="Z37">IFERROR(INDEX(대출권수[],MATCH(1,(자료실기준[[#This Row],[소장처명]]=대출권수[소장처명])*(대출권수[대출반납]="대출")*(자료실기준[[#This Row],[년월]]=대출권수[년월]),0),MATCH(Z$1,대출권수[#Headers],0)),0)</f>
        <v>2</v>
      </c>
      <c r="AA37">
        <f>SUM(자료실기준[[#This Row],[총류]:[역사]])</f>
        <v>11</v>
      </c>
    </row>
    <row r="38" spans="1:27" x14ac:dyDescent="0.3">
      <c r="A38" s="5">
        <v>45323</v>
      </c>
      <c r="B38" t="s">
        <v>13</v>
      </c>
      <c r="C38" s="5" t="str">
        <f>TEXT(자료실기준[[#This Row],[년월]],"yy년m월")&amp;자료실기준[[#This Row],[소장처명]]</f>
        <v>24년2월어린이실(수상작)</v>
      </c>
      <c r="D38" t="str">
        <f>IFERROR(INDEX(자료실범례[],MATCH($B38,자료실범례[소장처명],0),2),"종합자료실")</f>
        <v>어린이자료실</v>
      </c>
      <c r="E38" cm="1">
        <f t="array" ref="E38">IFERROR(INDEX(대출자[],MATCH(1,(자료실기준[[#This Row],[소장처명]]=대출자[소장처명])*(자료실기준[[#This Row],[년월]]=대출자[년월]),0),MATCH(E$1,대출자[#Headers],0)),0)</f>
        <v>0</v>
      </c>
      <c r="F38" cm="1">
        <f t="array" ref="F38">IFERROR(INDEX(대출자[],MATCH(1,(자료실기준[[#This Row],[소장처명]]=대출자[소장처명])*(자료실기준[[#This Row],[년월]]=대출자[년월]),0),MATCH(F$1,대출자[#Headers],0)),0)</f>
        <v>1</v>
      </c>
      <c r="G38" cm="1">
        <f t="array" ref="G38">IFERROR(INDEX(대출자[],MATCH(1,(자료실기준[[#This Row],[소장처명]]=대출자[소장처명])*(자료실기준[[#This Row],[년월]]=대출자[년월]),0),MATCH(G$1,대출자[#Headers],0)),0)</f>
        <v>0</v>
      </c>
      <c r="H38" cm="1">
        <f t="array" ref="H38">IFERROR(INDEX(대출자[],MATCH(1,(자료실기준[[#This Row],[소장처명]]=대출자[소장처명])*(자료실기준[[#This Row],[년월]]=대출자[년월]),0),MATCH(H$1,대출자[#Headers],0)),0)</f>
        <v>0</v>
      </c>
      <c r="I38" cm="1">
        <f t="array" ref="I38">IFERROR(INDEX(대출자[],MATCH(1,(자료실기준[[#This Row],[소장처명]]=대출자[소장처명])*(자료실기준[[#This Row],[년월]]=대출자[년월]),0),MATCH(I$1,대출자[#Headers],0)),0)</f>
        <v>0</v>
      </c>
      <c r="J38" cm="1">
        <f t="array" ref="J38">IFERROR(INDEX(대출자[],MATCH(1,(자료실기준[[#This Row],[소장처명]]=대출자[소장처명])*(자료실기준[[#This Row],[년월]]=대출자[년월]),0),MATCH(J$1,대출자[#Headers],0)),0)</f>
        <v>3</v>
      </c>
      <c r="K38" cm="1">
        <f t="array" ref="K38">IFERROR(INDEX(대출자[],MATCH(1,(자료실기준[[#This Row],[소장처명]]=대출자[소장처명])*(자료실기준[[#This Row],[년월]]=대출자[년월]),0),MATCH(K$1,대출자[#Headers],0)),0)</f>
        <v>1</v>
      </c>
      <c r="L38" cm="1">
        <f t="array" ref="L38">IFERROR(INDEX(대출자[],MATCH(1,(자료실기준[[#This Row],[소장처명]]=대출자[소장처명])*(자료실기준[[#This Row],[년월]]=대출자[년월]),0),MATCH(L$1,대출자[#Headers],0)),0)</f>
        <v>0</v>
      </c>
      <c r="M38" cm="1">
        <f t="array" ref="M38">IFERROR(INDEX(대출자[],MATCH(1,(자료실기준[[#This Row],[소장처명]]=대출자[소장처명])*(자료실기준[[#This Row],[년월]]=대출자[년월]),0),MATCH(M$1,대출자[#Headers],0)),0)</f>
        <v>3</v>
      </c>
      <c r="N38">
        <f>IFERROR(자료실기준[[#This Row],[어린이남자]]+자료실기준[[#This Row],[청소년남자]]+자료실기준[[#This Row],[성인남자]],0)</f>
        <v>0</v>
      </c>
      <c r="O38">
        <f>IFERROR(자료실기준[[#This Row],[어린이여자]]+자료실기준[[#This Row],[청소년여자]]+자료실기준[[#This Row],[성인여자]],0)</f>
        <v>4</v>
      </c>
      <c r="P38">
        <f>IFERROR(자료실기준[[#This Row],[남자]]+자료실기준[[#This Row],[여자]],0)</f>
        <v>4</v>
      </c>
      <c r="Q38" cm="1">
        <f t="array" ref="Q38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38" cm="1">
        <f t="array" ref="R38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38" cm="1">
        <f t="array" ref="S38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38" cm="1">
        <f t="array" ref="T38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38" cm="1">
        <f t="array" ref="U38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38" cm="1">
        <f t="array" ref="V38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38" cm="1">
        <f t="array" ref="W38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38" cm="1">
        <f t="array" ref="X38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38" cm="1">
        <f t="array" ref="Y38">IFERROR(INDEX(대출권수[],MATCH(1,(자료실기준[[#This Row],[소장처명]]=대출권수[소장처명])*(대출권수[대출반납]="대출")*(자료실기준[[#This Row],[년월]]=대출권수[년월]),0),MATCH(Y$1,대출권수[#Headers],0)),0)</f>
        <v>4</v>
      </c>
      <c r="Z38" cm="1">
        <f t="array" ref="Z38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38">
        <f>SUM(자료실기준[[#This Row],[총류]:[역사]])</f>
        <v>4</v>
      </c>
    </row>
    <row r="39" spans="1:27" x14ac:dyDescent="0.3">
      <c r="A39" s="5">
        <v>45323</v>
      </c>
      <c r="B39" t="s">
        <v>14</v>
      </c>
      <c r="C39" s="5" t="str">
        <f>TEXT(자료실기준[[#This Row],[년월]],"yy년m월")&amp;자료실기준[[#This Row],[소장처명]]</f>
        <v>24년2월어린이실(신간도서)</v>
      </c>
      <c r="D39" t="str">
        <f>IFERROR(INDEX(자료실범례[],MATCH($B39,자료실범례[소장처명],0),2),"종합자료실")</f>
        <v>어린이자료실</v>
      </c>
      <c r="E39" cm="1">
        <f t="array" ref="E39">IFERROR(INDEX(대출자[],MATCH(1,(자료실기준[[#This Row],[소장처명]]=대출자[소장처명])*(자료실기준[[#This Row],[년월]]=대출자[년월]),0),MATCH(E$1,대출자[#Headers],0)),0)</f>
        <v>14</v>
      </c>
      <c r="F39" cm="1">
        <f t="array" ref="F39">IFERROR(INDEX(대출자[],MATCH(1,(자료실기준[[#This Row],[소장처명]]=대출자[소장처명])*(자료실기준[[#This Row],[년월]]=대출자[년월]),0),MATCH(F$1,대출자[#Headers],0)),0)</f>
        <v>23</v>
      </c>
      <c r="G39" cm="1">
        <f t="array" ref="G39">IFERROR(INDEX(대출자[],MATCH(1,(자료실기준[[#This Row],[소장처명]]=대출자[소장처명])*(자료실기준[[#This Row],[년월]]=대출자[년월]),0),MATCH(G$1,대출자[#Headers],0)),0)</f>
        <v>3</v>
      </c>
      <c r="H39" cm="1">
        <f t="array" ref="H39">IFERROR(INDEX(대출자[],MATCH(1,(자료실기준[[#This Row],[소장처명]]=대출자[소장처명])*(자료실기준[[#This Row],[년월]]=대출자[년월]),0),MATCH(H$1,대출자[#Headers],0)),0)</f>
        <v>3</v>
      </c>
      <c r="I39" cm="1">
        <f t="array" ref="I39">IFERROR(INDEX(대출자[],MATCH(1,(자료실기준[[#This Row],[소장처명]]=대출자[소장처명])*(자료실기준[[#This Row],[년월]]=대출자[년월]),0),MATCH(I$1,대출자[#Headers],0)),0)</f>
        <v>11</v>
      </c>
      <c r="J39" cm="1">
        <f t="array" ref="J39">IFERROR(INDEX(대출자[],MATCH(1,(자료실기준[[#This Row],[소장처명]]=대출자[소장처명])*(자료실기준[[#This Row],[년월]]=대출자[년월]),0),MATCH(J$1,대출자[#Headers],0)),0)</f>
        <v>37</v>
      </c>
      <c r="K39" cm="1">
        <f t="array" ref="K39">IFERROR(INDEX(대출자[],MATCH(1,(자료실기준[[#This Row],[소장처명]]=대출자[소장처명])*(자료실기준[[#This Row],[년월]]=대출자[년월]),0),MATCH(K$1,대출자[#Headers],0)),0)</f>
        <v>37</v>
      </c>
      <c r="L39" cm="1">
        <f t="array" ref="L39">IFERROR(INDEX(대출자[],MATCH(1,(자료실기준[[#This Row],[소장처명]]=대출자[소장처명])*(자료실기준[[#This Row],[년월]]=대출자[년월]),0),MATCH(L$1,대출자[#Headers],0)),0)</f>
        <v>6</v>
      </c>
      <c r="M39" cm="1">
        <f t="array" ref="M39">IFERROR(INDEX(대출자[],MATCH(1,(자료실기준[[#This Row],[소장처명]]=대출자[소장처명])*(자료실기준[[#This Row],[년월]]=대출자[년월]),0),MATCH(M$1,대출자[#Headers],0)),0)</f>
        <v>48</v>
      </c>
      <c r="N39">
        <f>IFERROR(자료실기준[[#This Row],[어린이남자]]+자료실기준[[#This Row],[청소년남자]]+자료실기준[[#This Row],[성인남자]],0)</f>
        <v>28</v>
      </c>
      <c r="O39">
        <f>IFERROR(자료실기준[[#This Row],[어린이여자]]+자료실기준[[#This Row],[청소년여자]]+자료실기준[[#This Row],[성인여자]],0)</f>
        <v>63</v>
      </c>
      <c r="P39">
        <f>IFERROR(자료실기준[[#This Row],[남자]]+자료실기준[[#This Row],[여자]],0)</f>
        <v>91</v>
      </c>
      <c r="Q39" cm="1">
        <f t="array" ref="Q39">IFERROR(INDEX(대출권수[],MATCH(1,(자료실기준[[#This Row],[소장처명]]=대출권수[소장처명])*(대출권수[대출반납]="대출")*(자료실기준[[#This Row],[년월]]=대출권수[년월]),0),MATCH(Q$1,대출권수[#Headers],0)),0)</f>
        <v>3</v>
      </c>
      <c r="R39" cm="1">
        <f t="array" ref="R39">IFERROR(INDEX(대출권수[],MATCH(1,(자료실기준[[#This Row],[소장처명]]=대출권수[소장처명])*(대출권수[대출반납]="대출")*(자료실기준[[#This Row],[년월]]=대출권수[년월]),0),MATCH(R$1,대출권수[#Headers],0)),0)</f>
        <v>15</v>
      </c>
      <c r="S39" cm="1">
        <f t="array" ref="S39">IFERROR(INDEX(대출권수[],MATCH(1,(자료실기준[[#This Row],[소장처명]]=대출권수[소장처명])*(대출권수[대출반납]="대출")*(자료실기준[[#This Row],[년월]]=대출권수[년월]),0),MATCH(S$1,대출권수[#Headers],0)),0)</f>
        <v>3</v>
      </c>
      <c r="T39" cm="1">
        <f t="array" ref="T39">IFERROR(INDEX(대출권수[],MATCH(1,(자료실기준[[#This Row],[소장처명]]=대출권수[소장처명])*(대출권수[대출반납]="대출")*(자료실기준[[#This Row],[년월]]=대출권수[년월]),0),MATCH(T$1,대출권수[#Headers],0)),0)</f>
        <v>10</v>
      </c>
      <c r="U39" cm="1">
        <f t="array" ref="U39">IFERROR(INDEX(대출권수[],MATCH(1,(자료실기준[[#This Row],[소장처명]]=대출권수[소장처명])*(대출권수[대출반납]="대출")*(자료실기준[[#This Row],[년월]]=대출권수[년월]),0),MATCH(U$1,대출권수[#Headers],0)),0)</f>
        <v>27</v>
      </c>
      <c r="V39" cm="1">
        <f t="array" ref="V39">IFERROR(INDEX(대출권수[],MATCH(1,(자료실기준[[#This Row],[소장처명]]=대출권수[소장처명])*(대출권수[대출반납]="대출")*(자료실기준[[#This Row],[년월]]=대출권수[년월]),0),MATCH(V$1,대출권수[#Headers],0)),0)</f>
        <v>11</v>
      </c>
      <c r="W39" cm="1">
        <f t="array" ref="W39">IFERROR(INDEX(대출권수[],MATCH(1,(자료실기준[[#This Row],[소장처명]]=대출권수[소장처명])*(대출권수[대출반납]="대출")*(자료실기준[[#This Row],[년월]]=대출권수[년월]),0),MATCH(W$1,대출권수[#Headers],0)),0)</f>
        <v>2</v>
      </c>
      <c r="X39" cm="1">
        <f t="array" ref="X39">IFERROR(INDEX(대출권수[],MATCH(1,(자료실기준[[#This Row],[소장처명]]=대출권수[소장처명])*(대출권수[대출반납]="대출")*(자료실기준[[#This Row],[년월]]=대출권수[년월]),0),MATCH(X$1,대출권수[#Headers],0)),0)</f>
        <v>7</v>
      </c>
      <c r="Y39" cm="1">
        <f t="array" ref="Y39">IFERROR(INDEX(대출권수[],MATCH(1,(자료실기준[[#This Row],[소장처명]]=대출권수[소장처명])*(대출권수[대출반납]="대출")*(자료실기준[[#This Row],[년월]]=대출권수[년월]),0),MATCH(Y$1,대출권수[#Headers],0)),0)</f>
        <v>200</v>
      </c>
      <c r="Z39" cm="1">
        <f t="array" ref="Z39">IFERROR(INDEX(대출권수[],MATCH(1,(자료실기준[[#This Row],[소장처명]]=대출권수[소장처명])*(대출권수[대출반납]="대출")*(자료실기준[[#This Row],[년월]]=대출권수[년월]),0),MATCH(Z$1,대출권수[#Headers],0)),0)</f>
        <v>26</v>
      </c>
      <c r="AA39">
        <f>SUM(자료실기준[[#This Row],[총류]:[역사]])</f>
        <v>304</v>
      </c>
    </row>
    <row r="40" spans="1:27" x14ac:dyDescent="0.3">
      <c r="A40" s="5">
        <v>45323</v>
      </c>
      <c r="B40" t="s">
        <v>15</v>
      </c>
      <c r="C40" s="5" t="str">
        <f>TEXT(자료실기준[[#This Row],[년월]],"yy년m월")&amp;자료실기준[[#This Row],[소장처명]]</f>
        <v>24년2월어린이실(학습만화)</v>
      </c>
      <c r="D40" t="str">
        <f>IFERROR(INDEX(자료실범례[],MATCH($B40,자료실범례[소장처명],0),2),"종합자료실")</f>
        <v>어린이자료실</v>
      </c>
      <c r="E40" cm="1">
        <f t="array" ref="E40">IFERROR(INDEX(대출자[],MATCH(1,(자료실기준[[#This Row],[소장처명]]=대출자[소장처명])*(자료실기준[[#This Row],[년월]]=대출자[년월]),0),MATCH(E$1,대출자[#Headers],0)),0)</f>
        <v>22</v>
      </c>
      <c r="F40" cm="1">
        <f t="array" ref="F40">IFERROR(INDEX(대출자[],MATCH(1,(자료실기준[[#This Row],[소장처명]]=대출자[소장처명])*(자료실기준[[#This Row],[년월]]=대출자[년월]),0),MATCH(F$1,대출자[#Headers],0)),0)</f>
        <v>24</v>
      </c>
      <c r="G40" cm="1">
        <f t="array" ref="G40">IFERROR(INDEX(대출자[],MATCH(1,(자료실기준[[#This Row],[소장처명]]=대출자[소장처명])*(자료실기준[[#This Row],[년월]]=대출자[년월]),0),MATCH(G$1,대출자[#Headers],0)),0)</f>
        <v>4</v>
      </c>
      <c r="H40" cm="1">
        <f t="array" ref="H40">IFERROR(INDEX(대출자[],MATCH(1,(자료실기준[[#This Row],[소장처명]]=대출자[소장처명])*(자료실기준[[#This Row],[년월]]=대출자[년월]),0),MATCH(H$1,대출자[#Headers],0)),0)</f>
        <v>2</v>
      </c>
      <c r="I40" cm="1">
        <f t="array" ref="I40">IFERROR(INDEX(대출자[],MATCH(1,(자료실기준[[#This Row],[소장처명]]=대출자[소장처명])*(자료실기준[[#This Row],[년월]]=대출자[년월]),0),MATCH(I$1,대출자[#Headers],0)),0)</f>
        <v>11</v>
      </c>
      <c r="J40" cm="1">
        <f t="array" ref="J40">IFERROR(INDEX(대출자[],MATCH(1,(자료실기준[[#This Row],[소장처명]]=대출자[소장처명])*(자료실기준[[#This Row],[년월]]=대출자[년월]),0),MATCH(J$1,대출자[#Headers],0)),0)</f>
        <v>32</v>
      </c>
      <c r="K40" cm="1">
        <f t="array" ref="K40">IFERROR(INDEX(대출자[],MATCH(1,(자료실기준[[#This Row],[소장처명]]=대출자[소장처명])*(자료실기준[[#This Row],[년월]]=대출자[년월]),0),MATCH(K$1,대출자[#Headers],0)),0)</f>
        <v>46</v>
      </c>
      <c r="L40" cm="1">
        <f t="array" ref="L40">IFERROR(INDEX(대출자[],MATCH(1,(자료실기준[[#This Row],[소장처명]]=대출자[소장처명])*(자료실기준[[#This Row],[년월]]=대출자[년월]),0),MATCH(L$1,대출자[#Headers],0)),0)</f>
        <v>6</v>
      </c>
      <c r="M40" cm="1">
        <f t="array" ref="M40">IFERROR(INDEX(대출자[],MATCH(1,(자료실기준[[#This Row],[소장처명]]=대출자[소장처명])*(자료실기준[[#This Row],[년월]]=대출자[년월]),0),MATCH(M$1,대출자[#Headers],0)),0)</f>
        <v>43</v>
      </c>
      <c r="N40">
        <f>IFERROR(자료실기준[[#This Row],[어린이남자]]+자료실기준[[#This Row],[청소년남자]]+자료실기준[[#This Row],[성인남자]],0)</f>
        <v>37</v>
      </c>
      <c r="O40">
        <f>IFERROR(자료실기준[[#This Row],[어린이여자]]+자료실기준[[#This Row],[청소년여자]]+자료실기준[[#This Row],[성인여자]],0)</f>
        <v>58</v>
      </c>
      <c r="P40">
        <f>IFERROR(자료실기준[[#This Row],[남자]]+자료실기준[[#This Row],[여자]],0)</f>
        <v>95</v>
      </c>
      <c r="Q40" cm="1">
        <f t="array" ref="Q40">IFERROR(INDEX(대출권수[],MATCH(1,(자료실기준[[#This Row],[소장처명]]=대출권수[소장처명])*(대출권수[대출반납]="대출")*(자료실기준[[#This Row],[년월]]=대출권수[년월]),0),MATCH(Q$1,대출권수[#Headers],0)),0)</f>
        <v>1</v>
      </c>
      <c r="R40" cm="1">
        <f t="array" ref="R40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40" cm="1">
        <f t="array" ref="S40">IFERROR(INDEX(대출권수[],MATCH(1,(자료실기준[[#This Row],[소장처명]]=대출권수[소장처명])*(대출권수[대출반납]="대출")*(자료실기준[[#This Row],[년월]]=대출권수[년월]),0),MATCH(S$1,대출권수[#Headers],0)),0)</f>
        <v>27</v>
      </c>
      <c r="T40" cm="1">
        <f t="array" ref="T40">IFERROR(INDEX(대출권수[],MATCH(1,(자료실기준[[#This Row],[소장처명]]=대출권수[소장처명])*(대출권수[대출반납]="대출")*(자료실기준[[#This Row],[년월]]=대출권수[년월]),0),MATCH(T$1,대출권수[#Headers],0)),0)</f>
        <v>9</v>
      </c>
      <c r="U40" cm="1">
        <f t="array" ref="U40">IFERROR(INDEX(대출권수[],MATCH(1,(자료실기준[[#This Row],[소장처명]]=대출권수[소장처명])*(대출권수[대출반납]="대출")*(자료실기준[[#This Row],[년월]]=대출권수[년월]),0),MATCH(U$1,대출권수[#Headers],0)),0)</f>
        <v>184</v>
      </c>
      <c r="V40" cm="1">
        <f t="array" ref="V40">IFERROR(INDEX(대출권수[],MATCH(1,(자료실기준[[#This Row],[소장처명]]=대출권수[소장처명])*(대출권수[대출반납]="대출")*(자료실기준[[#This Row],[년월]]=대출권수[년월]),0),MATCH(V$1,대출권수[#Headers],0)),0)</f>
        <v>25</v>
      </c>
      <c r="W40" cm="1">
        <f t="array" ref="W40">IFERROR(INDEX(대출권수[],MATCH(1,(자료실기준[[#This Row],[소장처명]]=대출권수[소장처명])*(대출권수[대출반납]="대출")*(자료실기준[[#This Row],[년월]]=대출권수[년월]),0),MATCH(W$1,대출권수[#Headers],0)),0)</f>
        <v>2</v>
      </c>
      <c r="X40" cm="1">
        <f t="array" ref="X40">IFERROR(INDEX(대출권수[],MATCH(1,(자료실기준[[#This Row],[소장처명]]=대출권수[소장처명])*(대출권수[대출반납]="대출")*(자료실기준[[#This Row],[년월]]=대출권수[년월]),0),MATCH(X$1,대출권수[#Headers],0)),0)</f>
        <v>77</v>
      </c>
      <c r="Y40" cm="1">
        <f t="array" ref="Y40">IFERROR(INDEX(대출권수[],MATCH(1,(자료실기준[[#This Row],[소장처명]]=대출권수[소장처명])*(대출권수[대출반납]="대출")*(자료실기준[[#This Row],[년월]]=대출권수[년월]),0),MATCH(Y$1,대출권수[#Headers],0)),0)</f>
        <v>32</v>
      </c>
      <c r="Z40" cm="1">
        <f t="array" ref="Z40">IFERROR(INDEX(대출권수[],MATCH(1,(자료실기준[[#This Row],[소장처명]]=대출권수[소장처명])*(대출권수[대출반납]="대출")*(자료실기준[[#This Row],[년월]]=대출권수[년월]),0),MATCH(Z$1,대출권수[#Headers],0)),0)</f>
        <v>158</v>
      </c>
      <c r="AA40">
        <f>SUM(자료실기준[[#This Row],[총류]:[역사]])</f>
        <v>515</v>
      </c>
    </row>
    <row r="41" spans="1:27" x14ac:dyDescent="0.3">
      <c r="A41" s="5">
        <v>45323</v>
      </c>
      <c r="B41" t="s">
        <v>16</v>
      </c>
      <c r="C41" s="5" t="str">
        <f>TEXT(자료실기준[[#This Row],[년월]],"yy년m월")&amp;자료실기준[[#This Row],[소장처명]]</f>
        <v>24년2월어린이자료실</v>
      </c>
      <c r="D41" t="str">
        <f>IFERROR(INDEX(자료실범례[],MATCH($B41,자료실범례[소장처명],0),2),"종합자료실")</f>
        <v>어린이자료실</v>
      </c>
      <c r="E41" cm="1">
        <f t="array" ref="E41">IFERROR(INDEX(대출자[],MATCH(1,(자료실기준[[#This Row],[소장처명]]=대출자[소장처명])*(자료실기준[[#This Row],[년월]]=대출자[년월]),0),MATCH(E$1,대출자[#Headers],0)),0)</f>
        <v>41</v>
      </c>
      <c r="F41" cm="1">
        <f t="array" ref="F41">IFERROR(INDEX(대출자[],MATCH(1,(자료실기준[[#This Row],[소장처명]]=대출자[소장처명])*(자료실기준[[#This Row],[년월]]=대출자[년월]),0),MATCH(F$1,대출자[#Headers],0)),0)</f>
        <v>52</v>
      </c>
      <c r="G41" cm="1">
        <f t="array" ref="G41">IFERROR(INDEX(대출자[],MATCH(1,(자료실기준[[#This Row],[소장처명]]=대출자[소장처명])*(자료실기준[[#This Row],[년월]]=대출자[년월]),0),MATCH(G$1,대출자[#Headers],0)),0)</f>
        <v>5</v>
      </c>
      <c r="H41" cm="1">
        <f t="array" ref="H41">IFERROR(INDEX(대출자[],MATCH(1,(자료실기준[[#This Row],[소장처명]]=대출자[소장처명])*(자료실기준[[#This Row],[년월]]=대출자[년월]),0),MATCH(H$1,대출자[#Headers],0)),0)</f>
        <v>7</v>
      </c>
      <c r="I41" cm="1">
        <f t="array" ref="I41">IFERROR(INDEX(대출자[],MATCH(1,(자료실기준[[#This Row],[소장처명]]=대출자[소장처명])*(자료실기준[[#This Row],[년월]]=대출자[년월]),0),MATCH(I$1,대출자[#Headers],0)),0)</f>
        <v>31</v>
      </c>
      <c r="J41" cm="1">
        <f t="array" ref="J41">IFERROR(INDEX(대출자[],MATCH(1,(자료실기준[[#This Row],[소장처명]]=대출자[소장처명])*(자료실기준[[#This Row],[년월]]=대출자[년월]),0),MATCH(J$1,대출자[#Headers],0)),0)</f>
        <v>83</v>
      </c>
      <c r="K41" cm="1">
        <f t="array" ref="K41">IFERROR(INDEX(대출자[],MATCH(1,(자료실기준[[#This Row],[소장처명]]=대출자[소장처명])*(자료실기준[[#This Row],[년월]]=대출자[년월]),0),MATCH(K$1,대출자[#Headers],0)),0)</f>
        <v>93</v>
      </c>
      <c r="L41" cm="1">
        <f t="array" ref="L41">IFERROR(INDEX(대출자[],MATCH(1,(자료실기준[[#This Row],[소장처명]]=대출자[소장처명])*(자료실기준[[#This Row],[년월]]=대출자[년월]),0),MATCH(L$1,대출자[#Headers],0)),0)</f>
        <v>12</v>
      </c>
      <c r="M41" cm="1">
        <f t="array" ref="M41">IFERROR(INDEX(대출자[],MATCH(1,(자료실기준[[#This Row],[소장처명]]=대출자[소장처명])*(자료실기준[[#This Row],[년월]]=대출자[년월]),0),MATCH(M$1,대출자[#Headers],0)),0)</f>
        <v>114</v>
      </c>
      <c r="N41">
        <f>IFERROR(자료실기준[[#This Row],[어린이남자]]+자료실기준[[#This Row],[청소년남자]]+자료실기준[[#This Row],[성인남자]],0)</f>
        <v>77</v>
      </c>
      <c r="O41">
        <f>IFERROR(자료실기준[[#This Row],[어린이여자]]+자료실기준[[#This Row],[청소년여자]]+자료실기준[[#This Row],[성인여자]],0)</f>
        <v>142</v>
      </c>
      <c r="P41">
        <f>IFERROR(자료실기준[[#This Row],[남자]]+자료실기준[[#This Row],[여자]],0)</f>
        <v>219</v>
      </c>
      <c r="Q41" cm="1">
        <f t="array" ref="Q41">IFERROR(INDEX(대출권수[],MATCH(1,(자료실기준[[#This Row],[소장처명]]=대출권수[소장처명])*(대출권수[대출반납]="대출")*(자료실기준[[#This Row],[년월]]=대출권수[년월]),0),MATCH(Q$1,대출권수[#Headers],0)),0)</f>
        <v>38</v>
      </c>
      <c r="R41" cm="1">
        <f t="array" ref="R41">IFERROR(INDEX(대출권수[],MATCH(1,(자료실기준[[#This Row],[소장처명]]=대출권수[소장처명])*(대출권수[대출반납]="대출")*(자료실기준[[#This Row],[년월]]=대출권수[년월]),0),MATCH(R$1,대출권수[#Headers],0)),0)</f>
        <v>12</v>
      </c>
      <c r="S41" cm="1">
        <f t="array" ref="S41">IFERROR(INDEX(대출권수[],MATCH(1,(자료실기준[[#This Row],[소장처명]]=대출권수[소장처명])*(대출권수[대출반납]="대출")*(자료실기준[[#This Row],[년월]]=대출권수[년월]),0),MATCH(S$1,대출권수[#Headers],0)),0)</f>
        <v>2</v>
      </c>
      <c r="T41" cm="1">
        <f t="array" ref="T41">IFERROR(INDEX(대출권수[],MATCH(1,(자료실기준[[#This Row],[소장처명]]=대출권수[소장처명])*(대출권수[대출반납]="대출")*(자료실기준[[#This Row],[년월]]=대출권수[년월]),0),MATCH(T$1,대출권수[#Headers],0)),0)</f>
        <v>205</v>
      </c>
      <c r="U41" cm="1">
        <f t="array" ref="U41">IFERROR(INDEX(대출권수[],MATCH(1,(자료실기준[[#This Row],[소장처명]]=대출권수[소장처명])*(대출권수[대출반납]="대출")*(자료실기준[[#This Row],[년월]]=대출권수[년월]),0),MATCH(U$1,대출권수[#Headers],0)),0)</f>
        <v>155</v>
      </c>
      <c r="V41" cm="1">
        <f t="array" ref="V41">IFERROR(INDEX(대출권수[],MATCH(1,(자료실기준[[#This Row],[소장처명]]=대출권수[소장처명])*(대출권수[대출반납]="대출")*(자료실기준[[#This Row],[년월]]=대출권수[년월]),0),MATCH(V$1,대출권수[#Headers],0)),0)</f>
        <v>22</v>
      </c>
      <c r="W41" cm="1">
        <f t="array" ref="W41">IFERROR(INDEX(대출권수[],MATCH(1,(자료실기준[[#This Row],[소장처명]]=대출권수[소장처명])*(대출권수[대출반납]="대출")*(자료실기준[[#This Row],[년월]]=대출권수[년월]),0),MATCH(W$1,대출권수[#Headers],0)),0)</f>
        <v>62</v>
      </c>
      <c r="X41" cm="1">
        <f t="array" ref="X41">IFERROR(INDEX(대출권수[],MATCH(1,(자료실기준[[#This Row],[소장처명]]=대출권수[소장처명])*(대출권수[대출반납]="대출")*(자료실기준[[#This Row],[년월]]=대출권수[년월]),0),MATCH(X$1,대출권수[#Headers],0)),0)</f>
        <v>22</v>
      </c>
      <c r="Y41" cm="1">
        <f t="array" ref="Y41">IFERROR(INDEX(대출권수[],MATCH(1,(자료실기준[[#This Row],[소장처명]]=대출권수[소장처명])*(대출권수[대출반납]="대출")*(자료실기준[[#This Row],[년월]]=대출권수[년월]),0),MATCH(Y$1,대출권수[#Headers],0)),0)</f>
        <v>705</v>
      </c>
      <c r="Z41" cm="1">
        <f t="array" ref="Z41">IFERROR(INDEX(대출권수[],MATCH(1,(자료실기준[[#This Row],[소장처명]]=대출권수[소장처명])*(대출권수[대출반납]="대출")*(자료실기준[[#This Row],[년월]]=대출권수[년월]),0),MATCH(Z$1,대출권수[#Headers],0)),0)</f>
        <v>44</v>
      </c>
      <c r="AA41">
        <f>SUM(자료실기준[[#This Row],[총류]:[역사]])</f>
        <v>1267</v>
      </c>
    </row>
    <row r="42" spans="1:27" x14ac:dyDescent="0.3">
      <c r="A42" s="5">
        <v>45323</v>
      </c>
      <c r="B42" t="s">
        <v>17</v>
      </c>
      <c r="C42" s="5" t="str">
        <f>TEXT(자료실기준[[#This Row],[년월]],"yy년m월")&amp;자료실기준[[#This Row],[소장처명]]</f>
        <v>24년2월정기간행물(어린이)</v>
      </c>
      <c r="D42" t="str">
        <f>IFERROR(INDEX(자료실범례[],MATCH($B42,자료실범례[소장처명],0),2),"종합자료실")</f>
        <v>어린이자료실</v>
      </c>
      <c r="E42" cm="1">
        <f t="array" ref="E42">IFERROR(INDEX(대출자[],MATCH(1,(자료실기준[[#This Row],[소장처명]]=대출자[소장처명])*(자료실기준[[#This Row],[년월]]=대출자[년월]),0),MATCH(E$1,대출자[#Headers],0)),0)</f>
        <v>0</v>
      </c>
      <c r="F42" cm="1">
        <f t="array" ref="F42">IFERROR(INDEX(대출자[],MATCH(1,(자료실기준[[#This Row],[소장처명]]=대출자[소장처명])*(자료실기준[[#This Row],[년월]]=대출자[년월]),0),MATCH(F$1,대출자[#Headers],0)),0)</f>
        <v>4</v>
      </c>
      <c r="G42" cm="1">
        <f t="array" ref="G42">IFERROR(INDEX(대출자[],MATCH(1,(자료실기준[[#This Row],[소장처명]]=대출자[소장처명])*(자료실기준[[#This Row],[년월]]=대출자[년월]),0),MATCH(G$1,대출자[#Headers],0)),0)</f>
        <v>0</v>
      </c>
      <c r="H42" cm="1">
        <f t="array" ref="H42">IFERROR(INDEX(대출자[],MATCH(1,(자료실기준[[#This Row],[소장처명]]=대출자[소장처명])*(자료실기준[[#This Row],[년월]]=대출자[년월]),0),MATCH(H$1,대출자[#Headers],0)),0)</f>
        <v>0</v>
      </c>
      <c r="I42" cm="1">
        <f t="array" ref="I42">IFERROR(INDEX(대출자[],MATCH(1,(자료실기준[[#This Row],[소장처명]]=대출자[소장처명])*(자료실기준[[#This Row],[년월]]=대출자[년월]),0),MATCH(I$1,대출자[#Headers],0)),0)</f>
        <v>2</v>
      </c>
      <c r="J42" cm="1">
        <f t="array" ref="J42">IFERROR(INDEX(대출자[],MATCH(1,(자료실기준[[#This Row],[소장처명]]=대출자[소장처명])*(자료실기준[[#This Row],[년월]]=대출자[년월]),0),MATCH(J$1,대출자[#Headers],0)),0)</f>
        <v>0</v>
      </c>
      <c r="K42" cm="1">
        <f t="array" ref="K42">IFERROR(INDEX(대출자[],MATCH(1,(자료실기준[[#This Row],[소장처명]]=대출자[소장처명])*(자료실기준[[#This Row],[년월]]=대출자[년월]),0),MATCH(K$1,대출자[#Headers],0)),0)</f>
        <v>4</v>
      </c>
      <c r="L42" cm="1">
        <f t="array" ref="L42">IFERROR(INDEX(대출자[],MATCH(1,(자료실기준[[#This Row],[소장처명]]=대출자[소장처명])*(자료실기준[[#This Row],[년월]]=대출자[년월]),0),MATCH(L$1,대출자[#Headers],0)),0)</f>
        <v>0</v>
      </c>
      <c r="M42" cm="1">
        <f t="array" ref="M42">IFERROR(INDEX(대출자[],MATCH(1,(자료실기준[[#This Row],[소장처명]]=대출자[소장처명])*(자료실기준[[#This Row],[년월]]=대출자[년월]),0),MATCH(M$1,대출자[#Headers],0)),0)</f>
        <v>2</v>
      </c>
      <c r="N42">
        <f>IFERROR(자료실기준[[#This Row],[어린이남자]]+자료실기준[[#This Row],[청소년남자]]+자료실기준[[#This Row],[성인남자]],0)</f>
        <v>2</v>
      </c>
      <c r="O42">
        <f>IFERROR(자료실기준[[#This Row],[어린이여자]]+자료실기준[[#This Row],[청소년여자]]+자료실기준[[#This Row],[성인여자]],0)</f>
        <v>4</v>
      </c>
      <c r="P42">
        <f>IFERROR(자료실기준[[#This Row],[남자]]+자료실기준[[#This Row],[여자]],0)</f>
        <v>6</v>
      </c>
      <c r="Q42" cm="1">
        <f t="array" ref="Q42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42" cm="1">
        <f t="array" ref="R42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42" cm="1">
        <f t="array" ref="S42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42" cm="1">
        <f t="array" ref="T42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42" cm="1">
        <f t="array" ref="U42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42" cm="1">
        <f t="array" ref="V42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42" cm="1">
        <f t="array" ref="W42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42" cm="1">
        <f t="array" ref="X42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42" cm="1">
        <f t="array" ref="Y42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42" cm="1">
        <f t="array" ref="Z42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42">
        <f>SUM(자료실기준[[#This Row],[총류]:[역사]])</f>
        <v>0</v>
      </c>
    </row>
    <row r="43" spans="1:27" x14ac:dyDescent="0.3">
      <c r="A43" s="5">
        <v>45323</v>
      </c>
      <c r="B43" t="s">
        <v>18</v>
      </c>
      <c r="C43" s="5" t="str">
        <f>TEXT(자료실기준[[#This Row],[년월]],"yy년m월")&amp;자료실기준[[#This Row],[소장처명]]</f>
        <v>24년2월정기간행물(종합)</v>
      </c>
      <c r="D43" t="str">
        <f>IFERROR(INDEX(자료실범례[],MATCH($B43,자료실범례[소장처명],0),2),"종합자료실")</f>
        <v>종합자료실</v>
      </c>
      <c r="E43" cm="1">
        <f t="array" ref="E43">IFERROR(INDEX(대출자[],MATCH(1,(자료실기준[[#This Row],[소장처명]]=대출자[소장처명])*(자료실기준[[#This Row],[년월]]=대출자[년월]),0),MATCH(E$1,대출자[#Headers],0)),0)</f>
        <v>0</v>
      </c>
      <c r="F43" cm="1">
        <f t="array" ref="F43">IFERROR(INDEX(대출자[],MATCH(1,(자료실기준[[#This Row],[소장처명]]=대출자[소장처명])*(자료실기준[[#This Row],[년월]]=대출자[년월]),0),MATCH(F$1,대출자[#Headers],0)),0)</f>
        <v>0</v>
      </c>
      <c r="G43" cm="1">
        <f t="array" ref="G43">IFERROR(INDEX(대출자[],MATCH(1,(자료실기준[[#This Row],[소장처명]]=대출자[소장처명])*(자료실기준[[#This Row],[년월]]=대출자[년월]),0),MATCH(G$1,대출자[#Headers],0)),0)</f>
        <v>0</v>
      </c>
      <c r="H43" cm="1">
        <f t="array" ref="H43">IFERROR(INDEX(대출자[],MATCH(1,(자료실기준[[#This Row],[소장처명]]=대출자[소장처명])*(자료실기준[[#This Row],[년월]]=대출자[년월]),0),MATCH(H$1,대출자[#Headers],0)),0)</f>
        <v>0</v>
      </c>
      <c r="I43" cm="1">
        <f t="array" ref="I43">IFERROR(INDEX(대출자[],MATCH(1,(자료실기준[[#This Row],[소장처명]]=대출자[소장처명])*(자료실기준[[#This Row],[년월]]=대출자[년월]),0),MATCH(I$1,대출자[#Headers],0)),0)</f>
        <v>2</v>
      </c>
      <c r="J43" cm="1">
        <f t="array" ref="J43">IFERROR(INDEX(대출자[],MATCH(1,(자료실기준[[#This Row],[소장처명]]=대출자[소장처명])*(자료실기준[[#This Row],[년월]]=대출자[년월]),0),MATCH(J$1,대출자[#Headers],0)),0)</f>
        <v>1</v>
      </c>
      <c r="K43" cm="1">
        <f t="array" ref="K43">IFERROR(INDEX(대출자[],MATCH(1,(자료실기준[[#This Row],[소장처명]]=대출자[소장처명])*(자료실기준[[#This Row],[년월]]=대출자[년월]),0),MATCH(K$1,대출자[#Headers],0)),0)</f>
        <v>0</v>
      </c>
      <c r="L43" cm="1">
        <f t="array" ref="L43">IFERROR(INDEX(대출자[],MATCH(1,(자료실기준[[#This Row],[소장처명]]=대출자[소장처명])*(자료실기준[[#This Row],[년월]]=대출자[년월]),0),MATCH(L$1,대출자[#Headers],0)),0)</f>
        <v>0</v>
      </c>
      <c r="M43" cm="1">
        <f t="array" ref="M43">IFERROR(INDEX(대출자[],MATCH(1,(자료실기준[[#This Row],[소장처명]]=대출자[소장처명])*(자료실기준[[#This Row],[년월]]=대출자[년월]),0),MATCH(M$1,대출자[#Headers],0)),0)</f>
        <v>3</v>
      </c>
      <c r="N43">
        <f>IFERROR(자료실기준[[#This Row],[어린이남자]]+자료실기준[[#This Row],[청소년남자]]+자료실기준[[#This Row],[성인남자]],0)</f>
        <v>2</v>
      </c>
      <c r="O43">
        <f>IFERROR(자료실기준[[#This Row],[어린이여자]]+자료실기준[[#This Row],[청소년여자]]+자료실기준[[#This Row],[성인여자]],0)</f>
        <v>1</v>
      </c>
      <c r="P43">
        <f>IFERROR(자료실기준[[#This Row],[남자]]+자료실기준[[#This Row],[여자]],0)</f>
        <v>3</v>
      </c>
      <c r="Q43" cm="1">
        <f t="array" ref="Q43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43" cm="1">
        <f t="array" ref="R43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43" cm="1">
        <f t="array" ref="S43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43" cm="1">
        <f t="array" ref="T43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43" cm="1">
        <f t="array" ref="U43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43" cm="1">
        <f t="array" ref="V43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43" cm="1">
        <f t="array" ref="W43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43" cm="1">
        <f t="array" ref="X43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43" cm="1">
        <f t="array" ref="Y43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43" cm="1">
        <f t="array" ref="Z43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43">
        <f>SUM(자료실기준[[#This Row],[총류]:[역사]])</f>
        <v>0</v>
      </c>
    </row>
    <row r="44" spans="1:27" x14ac:dyDescent="0.3">
      <c r="A44" s="5">
        <v>45323</v>
      </c>
      <c r="B44" t="s">
        <v>19</v>
      </c>
      <c r="C44" s="5" t="str">
        <f>TEXT(자료실기준[[#This Row],[년월]],"yy년m월")&amp;자료실기준[[#This Row],[소장처명]]</f>
        <v>24년2월종합실(신간도서)</v>
      </c>
      <c r="D44" t="str">
        <f>IFERROR(INDEX(자료실범례[],MATCH($B44,자료실범례[소장처명],0),2),"종합자료실")</f>
        <v>종합자료실</v>
      </c>
      <c r="E44" cm="1">
        <f t="array" ref="E44">IFERROR(INDEX(대출자[],MATCH(1,(자료실기준[[#This Row],[소장처명]]=대출자[소장처명])*(자료실기준[[#This Row],[년월]]=대출자[년월]),0),MATCH(E$1,대출자[#Headers],0)),0)</f>
        <v>4</v>
      </c>
      <c r="F44" cm="1">
        <f t="array" ref="F44">IFERROR(INDEX(대출자[],MATCH(1,(자료실기준[[#This Row],[소장처명]]=대출자[소장처명])*(자료실기준[[#This Row],[년월]]=대출자[년월]),0),MATCH(F$1,대출자[#Headers],0)),0)</f>
        <v>4</v>
      </c>
      <c r="G44" cm="1">
        <f t="array" ref="G44">IFERROR(INDEX(대출자[],MATCH(1,(자료실기준[[#This Row],[소장처명]]=대출자[소장처명])*(자료실기준[[#This Row],[년월]]=대출자[년월]),0),MATCH(G$1,대출자[#Headers],0)),0)</f>
        <v>6</v>
      </c>
      <c r="H44" cm="1">
        <f t="array" ref="H44">IFERROR(INDEX(대출자[],MATCH(1,(자료실기준[[#This Row],[소장처명]]=대출자[소장처명])*(자료실기준[[#This Row],[년월]]=대출자[년월]),0),MATCH(H$1,대출자[#Headers],0)),0)</f>
        <v>6</v>
      </c>
      <c r="I44" cm="1">
        <f t="array" ref="I44">IFERROR(INDEX(대출자[],MATCH(1,(자료실기준[[#This Row],[소장처명]]=대출자[소장처명])*(자료실기준[[#This Row],[년월]]=대출자[년월]),0),MATCH(I$1,대출자[#Headers],0)),0)</f>
        <v>60</v>
      </c>
      <c r="J44" cm="1">
        <f t="array" ref="J44">IFERROR(INDEX(대출자[],MATCH(1,(자료실기준[[#This Row],[소장처명]]=대출자[소장처명])*(자료실기준[[#This Row],[년월]]=대출자[년월]),0),MATCH(J$1,대출자[#Headers],0)),0)</f>
        <v>116</v>
      </c>
      <c r="K44" cm="1">
        <f t="array" ref="K44">IFERROR(INDEX(대출자[],MATCH(1,(자료실기준[[#This Row],[소장처명]]=대출자[소장처명])*(자료실기준[[#This Row],[년월]]=대출자[년월]),0),MATCH(K$1,대출자[#Headers],0)),0)</f>
        <v>8</v>
      </c>
      <c r="L44" cm="1">
        <f t="array" ref="L44">IFERROR(INDEX(대출자[],MATCH(1,(자료실기준[[#This Row],[소장처명]]=대출자[소장처명])*(자료실기준[[#This Row],[년월]]=대출자[년월]),0),MATCH(L$1,대출자[#Headers],0)),0)</f>
        <v>12</v>
      </c>
      <c r="M44" cm="1">
        <f t="array" ref="M44">IFERROR(INDEX(대출자[],MATCH(1,(자료실기준[[#This Row],[소장처명]]=대출자[소장처명])*(자료실기준[[#This Row],[년월]]=대출자[년월]),0),MATCH(M$1,대출자[#Headers],0)),0)</f>
        <v>176</v>
      </c>
      <c r="N44">
        <f>IFERROR(자료실기준[[#This Row],[어린이남자]]+자료실기준[[#This Row],[청소년남자]]+자료실기준[[#This Row],[성인남자]],0)</f>
        <v>70</v>
      </c>
      <c r="O44">
        <f>IFERROR(자료실기준[[#This Row],[어린이여자]]+자료실기준[[#This Row],[청소년여자]]+자료실기준[[#This Row],[성인여자]],0)</f>
        <v>126</v>
      </c>
      <c r="P44">
        <f>IFERROR(자료실기준[[#This Row],[남자]]+자료실기준[[#This Row],[여자]],0)</f>
        <v>196</v>
      </c>
      <c r="Q44" cm="1">
        <f t="array" ref="Q44">IFERROR(INDEX(대출권수[],MATCH(1,(자료실기준[[#This Row],[소장처명]]=대출권수[소장처명])*(대출권수[대출반납]="대출")*(자료실기준[[#This Row],[년월]]=대출권수[년월]),0),MATCH(Q$1,대출권수[#Headers],0)),0)</f>
        <v>10</v>
      </c>
      <c r="R44" cm="1">
        <f t="array" ref="R44">IFERROR(INDEX(대출권수[],MATCH(1,(자료실기준[[#This Row],[소장처명]]=대출권수[소장처명])*(대출권수[대출반납]="대출")*(자료실기준[[#This Row],[년월]]=대출권수[년월]),0),MATCH(R$1,대출권수[#Headers],0)),0)</f>
        <v>48</v>
      </c>
      <c r="S44" cm="1">
        <f t="array" ref="S44">IFERROR(INDEX(대출권수[],MATCH(1,(자료실기준[[#This Row],[소장처명]]=대출권수[소장처명])*(대출권수[대출반납]="대출")*(자료실기준[[#This Row],[년월]]=대출권수[년월]),0),MATCH(S$1,대출권수[#Headers],0)),0)</f>
        <v>8</v>
      </c>
      <c r="T44" cm="1">
        <f t="array" ref="T44">IFERROR(INDEX(대출권수[],MATCH(1,(자료실기준[[#This Row],[소장처명]]=대출권수[소장처명])*(대출권수[대출반납]="대출")*(자료실기준[[#This Row],[년월]]=대출권수[년월]),0),MATCH(T$1,대출권수[#Headers],0)),0)</f>
        <v>76</v>
      </c>
      <c r="U44" cm="1">
        <f t="array" ref="U44">IFERROR(INDEX(대출권수[],MATCH(1,(자료실기준[[#This Row],[소장처명]]=대출권수[소장처명])*(대출권수[대출반납]="대출")*(자료실기준[[#This Row],[년월]]=대출권수[년월]),0),MATCH(U$1,대출권수[#Headers],0)),0)</f>
        <v>25</v>
      </c>
      <c r="V44" cm="1">
        <f t="array" ref="V44">IFERROR(INDEX(대출권수[],MATCH(1,(자료실기준[[#This Row],[소장처명]]=대출권수[소장처명])*(대출권수[대출반납]="대출")*(자료실기준[[#This Row],[년월]]=대출권수[년월]),0),MATCH(V$1,대출권수[#Headers],0)),0)</f>
        <v>45</v>
      </c>
      <c r="W44" cm="1">
        <f t="array" ref="W44">IFERROR(INDEX(대출권수[],MATCH(1,(자료실기준[[#This Row],[소장처명]]=대출권수[소장처명])*(대출권수[대출반납]="대출")*(자료실기준[[#This Row],[년월]]=대출권수[년월]),0),MATCH(W$1,대출권수[#Headers],0)),0)</f>
        <v>15</v>
      </c>
      <c r="X44" cm="1">
        <f t="array" ref="X44">IFERROR(INDEX(대출권수[],MATCH(1,(자료실기준[[#This Row],[소장처명]]=대출권수[소장처명])*(대출권수[대출반납]="대출")*(자료실기준[[#This Row],[년월]]=대출권수[년월]),0),MATCH(X$1,대출권수[#Headers],0)),0)</f>
        <v>3</v>
      </c>
      <c r="Y44" cm="1">
        <f t="array" ref="Y44">IFERROR(INDEX(대출권수[],MATCH(1,(자료실기준[[#This Row],[소장처명]]=대출권수[소장처명])*(대출권수[대출반납]="대출")*(자료실기준[[#This Row],[년월]]=대출권수[년월]),0),MATCH(Y$1,대출권수[#Headers],0)),0)</f>
        <v>230</v>
      </c>
      <c r="Z44" cm="1">
        <f t="array" ref="Z44">IFERROR(INDEX(대출권수[],MATCH(1,(자료실기준[[#This Row],[소장처명]]=대출권수[소장처명])*(대출권수[대출반납]="대출")*(자료실기준[[#This Row],[년월]]=대출권수[년월]),0),MATCH(Z$1,대출권수[#Headers],0)),0)</f>
        <v>24</v>
      </c>
      <c r="AA44">
        <f>SUM(자료실기준[[#This Row],[총류]:[역사]])</f>
        <v>484</v>
      </c>
    </row>
    <row r="45" spans="1:27" x14ac:dyDescent="0.3">
      <c r="A45" s="5">
        <v>45323</v>
      </c>
      <c r="B45" t="s">
        <v>20</v>
      </c>
      <c r="C45" s="5" t="str">
        <f>TEXT(자료실기준[[#This Row],[년월]],"yy년m월")&amp;자료실기준[[#This Row],[소장처명]]</f>
        <v>24년2월종합실(청소년 진로)</v>
      </c>
      <c r="D45" t="str">
        <f>IFERROR(INDEX(자료실범례[],MATCH($B45,자료실범례[소장처명],0),2),"종합자료실")</f>
        <v>종합자료실</v>
      </c>
      <c r="E45" cm="1">
        <f t="array" ref="E45">IFERROR(INDEX(대출자[],MATCH(1,(자료실기준[[#This Row],[소장처명]]=대출자[소장처명])*(자료실기준[[#This Row],[년월]]=대출자[년월]),0),MATCH(E$1,대출자[#Headers],0)),0)</f>
        <v>0</v>
      </c>
      <c r="F45" cm="1">
        <f t="array" ref="F45">IFERROR(INDEX(대출자[],MATCH(1,(자료실기준[[#This Row],[소장처명]]=대출자[소장처명])*(자료실기준[[#This Row],[년월]]=대출자[년월]),0),MATCH(F$1,대출자[#Headers],0)),0)</f>
        <v>0</v>
      </c>
      <c r="G45" cm="1">
        <f t="array" ref="G45">IFERROR(INDEX(대출자[],MATCH(1,(자료실기준[[#This Row],[소장처명]]=대출자[소장처명])*(자료실기준[[#This Row],[년월]]=대출자[년월]),0),MATCH(G$1,대출자[#Headers],0)),0)</f>
        <v>0</v>
      </c>
      <c r="H45" cm="1">
        <f t="array" ref="H45">IFERROR(INDEX(대출자[],MATCH(1,(자료실기준[[#This Row],[소장처명]]=대출자[소장처명])*(자료실기준[[#This Row],[년월]]=대출자[년월]),0),MATCH(H$1,대출자[#Headers],0)),0)</f>
        <v>0</v>
      </c>
      <c r="I45" cm="1">
        <f t="array" ref="I45">IFERROR(INDEX(대출자[],MATCH(1,(자료실기준[[#This Row],[소장처명]]=대출자[소장처명])*(자료실기준[[#This Row],[년월]]=대출자[년월]),0),MATCH(I$1,대출자[#Headers],0)),0)</f>
        <v>1</v>
      </c>
      <c r="J45" cm="1">
        <f t="array" ref="J45">IFERROR(INDEX(대출자[],MATCH(1,(자료실기준[[#This Row],[소장처명]]=대출자[소장처명])*(자료실기준[[#This Row],[년월]]=대출자[년월]),0),MATCH(J$1,대출자[#Headers],0)),0)</f>
        <v>1</v>
      </c>
      <c r="K45" cm="1">
        <f t="array" ref="K45">IFERROR(INDEX(대출자[],MATCH(1,(자료실기준[[#This Row],[소장처명]]=대출자[소장처명])*(자료실기준[[#This Row],[년월]]=대출자[년월]),0),MATCH(K$1,대출자[#Headers],0)),0)</f>
        <v>0</v>
      </c>
      <c r="L45" cm="1">
        <f t="array" ref="L45">IFERROR(INDEX(대출자[],MATCH(1,(자료실기준[[#This Row],[소장처명]]=대출자[소장처명])*(자료실기준[[#This Row],[년월]]=대출자[년월]),0),MATCH(L$1,대출자[#Headers],0)),0)</f>
        <v>0</v>
      </c>
      <c r="M45" cm="1">
        <f t="array" ref="M45">IFERROR(INDEX(대출자[],MATCH(1,(자료실기준[[#This Row],[소장처명]]=대출자[소장처명])*(자료실기준[[#This Row],[년월]]=대출자[년월]),0),MATCH(M$1,대출자[#Headers],0)),0)</f>
        <v>2</v>
      </c>
      <c r="N45">
        <f>IFERROR(자료실기준[[#This Row],[어린이남자]]+자료실기준[[#This Row],[청소년남자]]+자료실기준[[#This Row],[성인남자]],0)</f>
        <v>1</v>
      </c>
      <c r="O45">
        <f>IFERROR(자료실기준[[#This Row],[어린이여자]]+자료실기준[[#This Row],[청소년여자]]+자료실기준[[#This Row],[성인여자]],0)</f>
        <v>1</v>
      </c>
      <c r="P45">
        <f>IFERROR(자료실기준[[#This Row],[남자]]+자료실기준[[#This Row],[여자]],0)</f>
        <v>2</v>
      </c>
      <c r="Q45" cm="1">
        <f t="array" ref="Q45">IFERROR(INDEX(대출권수[],MATCH(1,(자료실기준[[#This Row],[소장처명]]=대출권수[소장처명])*(대출권수[대출반납]="대출")*(자료실기준[[#This Row],[년월]]=대출권수[년월]),0),MATCH(Q$1,대출권수[#Headers],0)),0)</f>
        <v>1</v>
      </c>
      <c r="R45" cm="1">
        <f t="array" ref="R45">IFERROR(INDEX(대출권수[],MATCH(1,(자료실기준[[#This Row],[소장처명]]=대출권수[소장처명])*(대출권수[대출반납]="대출")*(자료실기준[[#This Row],[년월]]=대출권수[년월]),0),MATCH(R$1,대출권수[#Headers],0)),0)</f>
        <v>1</v>
      </c>
      <c r="S45" cm="1">
        <f t="array" ref="S45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45" cm="1">
        <f t="array" ref="T45">IFERROR(INDEX(대출권수[],MATCH(1,(자료실기준[[#This Row],[소장처명]]=대출권수[소장처명])*(대출권수[대출반납]="대출")*(자료실기준[[#This Row],[년월]]=대출권수[년월]),0),MATCH(T$1,대출권수[#Headers],0)),0)</f>
        <v>2</v>
      </c>
      <c r="U45" cm="1">
        <f t="array" ref="U45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45" cm="1">
        <f t="array" ref="V45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45" cm="1">
        <f t="array" ref="W45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45" cm="1">
        <f t="array" ref="X45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45" cm="1">
        <f t="array" ref="Y45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45" cm="1">
        <f t="array" ref="Z45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45">
        <f>SUM(자료실기준[[#This Row],[총류]:[역사]])</f>
        <v>4</v>
      </c>
    </row>
    <row r="46" spans="1:27" x14ac:dyDescent="0.3">
      <c r="A46" s="5">
        <v>45323</v>
      </c>
      <c r="B46" t="s">
        <v>21</v>
      </c>
      <c r="C46" s="5" t="str">
        <f>TEXT(자료실기준[[#This Row],[년월]],"yy년m월")&amp;자료실기준[[#This Row],[소장처명]]</f>
        <v>24년2월종합자료실</v>
      </c>
      <c r="D46" t="str">
        <f>IFERROR(INDEX(자료실범례[],MATCH($B46,자료실범례[소장처명],0),2),"종합자료실")</f>
        <v>종합자료실</v>
      </c>
      <c r="E46" cm="1">
        <f t="array" ref="E46">IFERROR(INDEX(대출자[],MATCH(1,(자료실기준[[#This Row],[소장처명]]=대출자[소장처명])*(자료실기준[[#This Row],[년월]]=대출자[년월]),0),MATCH(E$1,대출자[#Headers],0)),0)</f>
        <v>9</v>
      </c>
      <c r="F46" cm="1">
        <f t="array" ref="F46">IFERROR(INDEX(대출자[],MATCH(1,(자료실기준[[#This Row],[소장처명]]=대출자[소장처명])*(자료실기준[[#This Row],[년월]]=대출자[년월]),0),MATCH(F$1,대출자[#Headers],0)),0)</f>
        <v>3</v>
      </c>
      <c r="G46" cm="1">
        <f t="array" ref="G46">IFERROR(INDEX(대출자[],MATCH(1,(자료실기준[[#This Row],[소장처명]]=대출자[소장처명])*(자료실기준[[#This Row],[년월]]=대출자[년월]),0),MATCH(G$1,대출자[#Headers],0)),0)</f>
        <v>12</v>
      </c>
      <c r="H46" cm="1">
        <f t="array" ref="H46">IFERROR(INDEX(대출자[],MATCH(1,(자료실기준[[#This Row],[소장처명]]=대출자[소장처명])*(자료실기준[[#This Row],[년월]]=대출자[년월]),0),MATCH(H$1,대출자[#Headers],0)),0)</f>
        <v>26</v>
      </c>
      <c r="I46" cm="1">
        <f t="array" ref="I46">IFERROR(INDEX(대출자[],MATCH(1,(자료실기준[[#This Row],[소장처명]]=대출자[소장처명])*(자료실기준[[#This Row],[년월]]=대출자[년월]),0),MATCH(I$1,대출자[#Headers],0)),0)</f>
        <v>114</v>
      </c>
      <c r="J46" cm="1">
        <f t="array" ref="J46">IFERROR(INDEX(대출자[],MATCH(1,(자료실기준[[#This Row],[소장처명]]=대출자[소장처명])*(자료실기준[[#This Row],[년월]]=대출자[년월]),0),MATCH(J$1,대출자[#Headers],0)),0)</f>
        <v>199</v>
      </c>
      <c r="K46" cm="1">
        <f t="array" ref="K46">IFERROR(INDEX(대출자[],MATCH(1,(자료실기준[[#This Row],[소장처명]]=대출자[소장처명])*(자료실기준[[#This Row],[년월]]=대출자[년월]),0),MATCH(K$1,대출자[#Headers],0)),0)</f>
        <v>12</v>
      </c>
      <c r="L46" cm="1">
        <f t="array" ref="L46">IFERROR(INDEX(대출자[],MATCH(1,(자료실기준[[#This Row],[소장처명]]=대출자[소장처명])*(자료실기준[[#This Row],[년월]]=대출자[년월]),0),MATCH(L$1,대출자[#Headers],0)),0)</f>
        <v>38</v>
      </c>
      <c r="M46" cm="1">
        <f t="array" ref="M46">IFERROR(INDEX(대출자[],MATCH(1,(자료실기준[[#This Row],[소장처명]]=대출자[소장처명])*(자료실기준[[#This Row],[년월]]=대출자[년월]),0),MATCH(M$1,대출자[#Headers],0)),0)</f>
        <v>313</v>
      </c>
      <c r="N46">
        <f>IFERROR(자료실기준[[#This Row],[어린이남자]]+자료실기준[[#This Row],[청소년남자]]+자료실기준[[#This Row],[성인남자]],0)</f>
        <v>135</v>
      </c>
      <c r="O46">
        <f>IFERROR(자료실기준[[#This Row],[어린이여자]]+자료실기준[[#This Row],[청소년여자]]+자료실기준[[#This Row],[성인여자]],0)</f>
        <v>228</v>
      </c>
      <c r="P46">
        <f>IFERROR(자료실기준[[#This Row],[남자]]+자료실기준[[#This Row],[여자]],0)</f>
        <v>363</v>
      </c>
      <c r="Q46" cm="1">
        <f t="array" ref="Q46">IFERROR(INDEX(대출권수[],MATCH(1,(자료실기준[[#This Row],[소장처명]]=대출권수[소장처명])*(대출권수[대출반납]="대출")*(자료실기준[[#This Row],[년월]]=대출권수[년월]),0),MATCH(Q$1,대출권수[#Headers],0)),0)</f>
        <v>40</v>
      </c>
      <c r="R46" cm="1">
        <f t="array" ref="R46">IFERROR(INDEX(대출권수[],MATCH(1,(자료실기준[[#This Row],[소장처명]]=대출권수[소장처명])*(대출권수[대출반납]="대출")*(자료실기준[[#This Row],[년월]]=대출권수[년월]),0),MATCH(R$1,대출권수[#Headers],0)),0)</f>
        <v>102</v>
      </c>
      <c r="S46" cm="1">
        <f t="array" ref="S46">IFERROR(INDEX(대출권수[],MATCH(1,(자료실기준[[#This Row],[소장처명]]=대출권수[소장처명])*(대출권수[대출반납]="대출")*(자료실기준[[#This Row],[년월]]=대출권수[년월]),0),MATCH(S$1,대출권수[#Headers],0)),0)</f>
        <v>34</v>
      </c>
      <c r="T46" cm="1">
        <f t="array" ref="T46">IFERROR(INDEX(대출권수[],MATCH(1,(자료실기준[[#This Row],[소장처명]]=대출권수[소장처명])*(대출권수[대출반납]="대출")*(자료실기준[[#This Row],[년월]]=대출권수[년월]),0),MATCH(T$1,대출권수[#Headers],0)),0)</f>
        <v>259</v>
      </c>
      <c r="U46" cm="1">
        <f t="array" ref="U46">IFERROR(INDEX(대출권수[],MATCH(1,(자료실기준[[#This Row],[소장처명]]=대출권수[소장처명])*(대출권수[대출반납]="대출")*(자료실기준[[#This Row],[년월]]=대출권수[년월]),0),MATCH(U$1,대출권수[#Headers],0)),0)</f>
        <v>51</v>
      </c>
      <c r="V46" cm="1">
        <f t="array" ref="V46">IFERROR(INDEX(대출권수[],MATCH(1,(자료실기준[[#This Row],[소장처명]]=대출권수[소장처명])*(대출권수[대출반납]="대출")*(자료실기준[[#This Row],[년월]]=대출권수[년월]),0),MATCH(V$1,대출권수[#Headers],0)),0)</f>
        <v>97</v>
      </c>
      <c r="W46" cm="1">
        <f t="array" ref="W46">IFERROR(INDEX(대출권수[],MATCH(1,(자료실기준[[#This Row],[소장처명]]=대출권수[소장처명])*(대출권수[대출반납]="대출")*(자료실기준[[#This Row],[년월]]=대출권수[년월]),0),MATCH(W$1,대출권수[#Headers],0)),0)</f>
        <v>44</v>
      </c>
      <c r="X46" cm="1">
        <f t="array" ref="X46">IFERROR(INDEX(대출권수[],MATCH(1,(자료실기준[[#This Row],[소장처명]]=대출권수[소장처명])*(대출권수[대출반납]="대출")*(자료실기준[[#This Row],[년월]]=대출권수[년월]),0),MATCH(X$1,대출권수[#Headers],0)),0)</f>
        <v>30</v>
      </c>
      <c r="Y46" cm="1">
        <f t="array" ref="Y46">IFERROR(INDEX(대출권수[],MATCH(1,(자료실기준[[#This Row],[소장처명]]=대출권수[소장처명])*(대출권수[대출반납]="대출")*(자료실기준[[#This Row],[년월]]=대출권수[년월]),0),MATCH(Y$1,대출권수[#Headers],0)),0)</f>
        <v>547</v>
      </c>
      <c r="Z46" cm="1">
        <f t="array" ref="Z46">IFERROR(INDEX(대출권수[],MATCH(1,(자료실기준[[#This Row],[소장처명]]=대출권수[소장처명])*(대출권수[대출반납]="대출")*(자료실기준[[#This Row],[년월]]=대출권수[년월]),0),MATCH(Z$1,대출권수[#Headers],0)),0)</f>
        <v>86</v>
      </c>
      <c r="AA46">
        <f>SUM(자료실기준[[#This Row],[총류]:[역사]])</f>
        <v>1290</v>
      </c>
    </row>
    <row r="47" spans="1:27" x14ac:dyDescent="0.3">
      <c r="A47" s="5">
        <v>45323</v>
      </c>
      <c r="B47" t="s">
        <v>454</v>
      </c>
      <c r="C47" s="5" t="str">
        <f>TEXT(자료실기준[[#This Row],[년월]],"yy년m월")&amp;자료실기준[[#This Row],[소장처명]]</f>
        <v>24년2월기타</v>
      </c>
      <c r="D47" t="str">
        <f>IFERROR(INDEX(자료실범례[],MATCH($B47,자료실범례[소장처명],0),2),"종합자료실")</f>
        <v>종합자료실</v>
      </c>
      <c r="E47" s="9">
        <f t="array" ref="E47">IFERROR(INDEX(대출자[],MATCH(1,(자료실기준[[#This Row],[소장처명]]=대출자[소장처명])*(자료실기준[[#This Row],[년월]]=대출자[년월]),0),MATCH(E$1,대출자[#Headers],0)),0)</f>
        <v>0</v>
      </c>
      <c r="F47" s="9">
        <f t="array" ref="F47">IFERROR(INDEX(대출자[],MATCH(1,(자료실기준[[#This Row],[소장처명]]=대출자[소장처명])*(자료실기준[[#This Row],[년월]]=대출자[년월]),0),MATCH(F$1,대출자[#Headers],0)),0)</f>
        <v>0</v>
      </c>
      <c r="G47" s="9">
        <f t="array" ref="G47">IFERROR(INDEX(대출자[],MATCH(1,(자료실기준[[#This Row],[소장처명]]=대출자[소장처명])*(자료실기준[[#This Row],[년월]]=대출자[년월]),0),MATCH(G$1,대출자[#Headers],0)),0)</f>
        <v>0</v>
      </c>
      <c r="H47" s="9">
        <f t="array" ref="H47">IFERROR(INDEX(대출자[],MATCH(1,(자료실기준[[#This Row],[소장처명]]=대출자[소장처명])*(자료실기준[[#This Row],[년월]]=대출자[년월]),0),MATCH(H$1,대출자[#Headers],0)),0)</f>
        <v>0</v>
      </c>
      <c r="I47" s="9">
        <f t="array" ref="I47">IFERROR(INDEX(대출자[],MATCH(1,(자료실기준[[#This Row],[소장처명]]=대출자[소장처명])*(자료실기준[[#This Row],[년월]]=대출자[년월]),0),MATCH(I$1,대출자[#Headers],0)),0)</f>
        <v>1</v>
      </c>
      <c r="J47" s="9">
        <f t="array" ref="J47">IFERROR(INDEX(대출자[],MATCH(1,(자료실기준[[#This Row],[소장처명]]=대출자[소장처명])*(자료실기준[[#This Row],[년월]]=대출자[년월]),0),MATCH(J$1,대출자[#Headers],0)),0)</f>
        <v>0</v>
      </c>
      <c r="K47" s="9">
        <f t="array" ref="K47">IFERROR(INDEX(대출자[],MATCH(1,(자료실기준[[#This Row],[소장처명]]=대출자[소장처명])*(자료실기준[[#This Row],[년월]]=대출자[년월]),0),MATCH(K$1,대출자[#Headers],0)),0)</f>
        <v>0</v>
      </c>
      <c r="L47" s="9">
        <f t="array" ref="L47">IFERROR(INDEX(대출자[],MATCH(1,(자료실기준[[#This Row],[소장처명]]=대출자[소장처명])*(자료실기준[[#This Row],[년월]]=대출자[년월]),0),MATCH(L$1,대출자[#Headers],0)),0)</f>
        <v>0</v>
      </c>
      <c r="M47" s="9">
        <f t="array" ref="M47">IFERROR(INDEX(대출자[],MATCH(1,(자료실기준[[#This Row],[소장처명]]=대출자[소장처명])*(자료실기준[[#This Row],[년월]]=대출자[년월]),0),MATCH(M$1,대출자[#Headers],0)),0)</f>
        <v>1</v>
      </c>
      <c r="N47" s="9">
        <f>IFERROR(자료실기준[[#This Row],[어린이남자]]+자료실기준[[#This Row],[청소년남자]]+자료실기준[[#This Row],[성인남자]],0)</f>
        <v>1</v>
      </c>
      <c r="O47" s="9">
        <f>IFERROR(자료실기준[[#This Row],[어린이여자]]+자료실기준[[#This Row],[청소년여자]]+자료실기준[[#This Row],[성인여자]],0)</f>
        <v>0</v>
      </c>
      <c r="P47" s="9">
        <f>IFERROR(자료실기준[[#This Row],[남자]]+자료실기준[[#This Row],[여자]],0)</f>
        <v>1</v>
      </c>
      <c r="Q47" s="9">
        <f t="array" ref="Q47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47" s="9">
        <f t="array" ref="R47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47" s="9">
        <f t="array" ref="S47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47" s="9">
        <f t="array" ref="T47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47" s="9">
        <f t="array" ref="U47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47" s="9">
        <f t="array" ref="V47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47" s="9">
        <f t="array" ref="W47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47" s="9">
        <f t="array" ref="X47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47" s="9">
        <f t="array" ref="Y47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47" s="9">
        <f t="array" ref="Z47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47" s="9">
        <f>SUM(자료실기준[[#This Row],[총류]:[역사]])</f>
        <v>0</v>
      </c>
    </row>
    <row r="48" spans="1:27" x14ac:dyDescent="0.3">
      <c r="A48" s="5">
        <v>45323</v>
      </c>
      <c r="C48" s="5" t="str">
        <f>TEXT(자료실기준[[#This Row],[년월]],"yy년m월")&amp;자료실기준[[#This Row],[소장처명]]</f>
        <v>24년2월</v>
      </c>
      <c r="D48" t="str">
        <f>IFERROR(INDEX(자료실범례[],MATCH($B48,자료실범례[소장처명],0),2),"종합자료실")</f>
        <v>종합자료실</v>
      </c>
      <c r="E48" s="9">
        <f t="array" ref="E48">IFERROR(INDEX(대출자[],MATCH(1,(자료실기준[[#This Row],[소장처명]]=대출자[소장처명])*(자료실기준[[#This Row],[년월]]=대출자[년월]),0),MATCH(E$1,대출자[#Headers],0)),0)</f>
        <v>0</v>
      </c>
      <c r="F48" s="9">
        <f t="array" ref="F48">IFERROR(INDEX(대출자[],MATCH(1,(자료실기준[[#This Row],[소장처명]]=대출자[소장처명])*(자료실기준[[#This Row],[년월]]=대출자[년월]),0),MATCH(F$1,대출자[#Headers],0)),0)</f>
        <v>0</v>
      </c>
      <c r="G48" s="9">
        <f t="array" ref="G48">IFERROR(INDEX(대출자[],MATCH(1,(자료실기준[[#This Row],[소장처명]]=대출자[소장처명])*(자료실기준[[#This Row],[년월]]=대출자[년월]),0),MATCH(G$1,대출자[#Headers],0)),0)</f>
        <v>0</v>
      </c>
      <c r="H48" s="9">
        <f t="array" ref="H48">IFERROR(INDEX(대출자[],MATCH(1,(자료실기준[[#This Row],[소장처명]]=대출자[소장처명])*(자료실기준[[#This Row],[년월]]=대출자[년월]),0),MATCH(H$1,대출자[#Headers],0)),0)</f>
        <v>0</v>
      </c>
      <c r="I48" s="9">
        <f t="array" ref="I48">IFERROR(INDEX(대출자[],MATCH(1,(자료실기준[[#This Row],[소장처명]]=대출자[소장처명])*(자료실기준[[#This Row],[년월]]=대출자[년월]),0),MATCH(I$1,대출자[#Headers],0)),0)</f>
        <v>0</v>
      </c>
      <c r="J48" s="9">
        <f t="array" ref="J48">IFERROR(INDEX(대출자[],MATCH(1,(자료실기준[[#This Row],[소장처명]]=대출자[소장처명])*(자료실기준[[#This Row],[년월]]=대출자[년월]),0),MATCH(J$1,대출자[#Headers],0)),0)</f>
        <v>0</v>
      </c>
      <c r="K48" s="9">
        <f t="array" ref="K48">IFERROR(INDEX(대출자[],MATCH(1,(자료실기준[[#This Row],[소장처명]]=대출자[소장처명])*(자료실기준[[#This Row],[년월]]=대출자[년월]),0),MATCH(K$1,대출자[#Headers],0)),0)</f>
        <v>0</v>
      </c>
      <c r="L48" s="9">
        <f t="array" ref="L48">IFERROR(INDEX(대출자[],MATCH(1,(자료실기준[[#This Row],[소장처명]]=대출자[소장처명])*(자료실기준[[#This Row],[년월]]=대출자[년월]),0),MATCH(L$1,대출자[#Headers],0)),0)</f>
        <v>0</v>
      </c>
      <c r="M48" s="9">
        <f t="array" ref="M48">IFERROR(INDEX(대출자[],MATCH(1,(자료실기준[[#This Row],[소장처명]]=대출자[소장처명])*(자료실기준[[#This Row],[년월]]=대출자[년월]),0),MATCH(M$1,대출자[#Headers],0)),0)</f>
        <v>0</v>
      </c>
      <c r="N48" s="9">
        <f>IFERROR(자료실기준[[#This Row],[어린이남자]]+자료실기준[[#This Row],[청소년남자]]+자료실기준[[#This Row],[성인남자]],0)</f>
        <v>0</v>
      </c>
      <c r="O48" s="9">
        <f>IFERROR(자료실기준[[#This Row],[어린이여자]]+자료실기준[[#This Row],[청소년여자]]+자료실기준[[#This Row],[성인여자]],0)</f>
        <v>0</v>
      </c>
      <c r="P48" s="9">
        <f>IFERROR(자료실기준[[#This Row],[남자]]+자료실기준[[#This Row],[여자]],0)</f>
        <v>0</v>
      </c>
      <c r="Q48" s="9">
        <f t="array" ref="Q48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48" s="9">
        <f t="array" ref="R48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48" s="9">
        <f t="array" ref="S48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48" s="9">
        <f t="array" ref="T48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48" s="9">
        <f t="array" ref="U48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48" s="9">
        <f t="array" ref="V48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48" s="9">
        <f t="array" ref="W48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48" s="9">
        <f t="array" ref="X48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48" s="9">
        <f t="array" ref="Y48">IFERROR(INDEX(대출권수[],MATCH(1,(자료실기준[[#This Row],[소장처명]]=대출권수[소장처명])*(대출권수[대출반납]="대출")*(자료실기준[[#This Row],[년월]]=대출권수[년월]),0),MATCH(Y$1,대출권수[#Headers],0)),0)</f>
        <v>1</v>
      </c>
      <c r="Z48" s="9">
        <f t="array" ref="Z48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48" s="9">
        <f>SUM(자료실기준[[#This Row],[총류]:[역사]])</f>
        <v>1</v>
      </c>
    </row>
    <row r="49" spans="1:27" x14ac:dyDescent="0.3">
      <c r="A49" s="5">
        <v>45352</v>
      </c>
      <c r="B49" t="s">
        <v>21</v>
      </c>
      <c r="C49" s="5" t="str">
        <f>TEXT(자료실기준[[#This Row],[년월]],"yy년m월")&amp;자료실기준[[#This Row],[소장처명]]</f>
        <v>24년3월종합자료실</v>
      </c>
      <c r="D49" t="str">
        <f>IFERROR(INDEX(자료실범례[],MATCH($B49,자료실범례[소장처명],0),2),"종합자료실")</f>
        <v>종합자료실</v>
      </c>
      <c r="E49" cm="1">
        <f t="array" ref="E49">IFERROR(INDEX(대출자[],MATCH(1,(자료실기준[[#This Row],[소장처명]]=대출자[소장처명])*(자료실기준[[#This Row],[년월]]=대출자[년월]),0),MATCH(E$1,대출자[#Headers],0)),0)</f>
        <v>10</v>
      </c>
      <c r="F49" cm="1">
        <f t="array" ref="F49">IFERROR(INDEX(대출자[],MATCH(1,(자료실기준[[#This Row],[소장처명]]=대출자[소장처명])*(자료실기준[[#This Row],[년월]]=대출자[년월]),0),MATCH(F$1,대출자[#Headers],0)),0)</f>
        <v>6</v>
      </c>
      <c r="G49" cm="1">
        <f t="array" ref="G49">IFERROR(INDEX(대출자[],MATCH(1,(자료실기준[[#This Row],[소장처명]]=대출자[소장처명])*(자료실기준[[#This Row],[년월]]=대출자[년월]),0),MATCH(G$1,대출자[#Headers],0)),0)</f>
        <v>15</v>
      </c>
      <c r="H49" cm="1">
        <f t="array" ref="H49">IFERROR(INDEX(대출자[],MATCH(1,(자료실기준[[#This Row],[소장처명]]=대출자[소장처명])*(자료실기준[[#This Row],[년월]]=대출자[년월]),0),MATCH(H$1,대출자[#Headers],0)),0)</f>
        <v>22</v>
      </c>
      <c r="I49" cm="1">
        <f t="array" ref="I49">IFERROR(INDEX(대출자[],MATCH(1,(자료실기준[[#This Row],[소장처명]]=대출자[소장처명])*(자료실기준[[#This Row],[년월]]=대출자[년월]),0),MATCH(I$1,대출자[#Headers],0)),0)</f>
        <v>118</v>
      </c>
      <c r="J49" cm="1">
        <f t="array" ref="J49">IFERROR(INDEX(대출자[],MATCH(1,(자료실기준[[#This Row],[소장처명]]=대출자[소장처명])*(자료실기준[[#This Row],[년월]]=대출자[년월]),0),MATCH(J$1,대출자[#Headers],0)),0)</f>
        <v>203</v>
      </c>
      <c r="K49" cm="1">
        <f t="array" ref="K49">IFERROR(INDEX(대출자[],MATCH(1,(자료실기준[[#This Row],[소장처명]]=대출자[소장처명])*(자료실기준[[#This Row],[년월]]=대출자[년월]),0),MATCH(K$1,대출자[#Headers],0)),0)</f>
        <v>16</v>
      </c>
      <c r="L49" cm="1">
        <f t="array" ref="L49">IFERROR(INDEX(대출자[],MATCH(1,(자료실기준[[#This Row],[소장처명]]=대출자[소장처명])*(자료실기준[[#This Row],[년월]]=대출자[년월]),0),MATCH(L$1,대출자[#Headers],0)),0)</f>
        <v>37</v>
      </c>
      <c r="M49" cm="1">
        <f t="array" ref="M49">IFERROR(INDEX(대출자[],MATCH(1,(자료실기준[[#This Row],[소장처명]]=대출자[소장처명])*(자료실기준[[#This Row],[년월]]=대출자[년월]),0),MATCH(M$1,대출자[#Headers],0)),0)</f>
        <v>321</v>
      </c>
      <c r="N49">
        <f>IFERROR(자료실기준[[#This Row],[어린이남자]]+자료실기준[[#This Row],[청소년남자]]+자료실기준[[#This Row],[성인남자]],0)</f>
        <v>143</v>
      </c>
      <c r="O49">
        <f>IFERROR(자료실기준[[#This Row],[어린이여자]]+자료실기준[[#This Row],[청소년여자]]+자료실기준[[#This Row],[성인여자]],0)</f>
        <v>231</v>
      </c>
      <c r="P49">
        <f>IFERROR(자료실기준[[#This Row],[남자]]+자료실기준[[#This Row],[여자]],0)</f>
        <v>374</v>
      </c>
      <c r="Q49" cm="1">
        <f t="array" ref="Q49">IFERROR(INDEX(대출권수[],MATCH(1,(자료실기준[[#This Row],[소장처명]]=대출권수[소장처명])*(대출권수[대출반납]="대출")*(자료실기준[[#This Row],[년월]]=대출권수[년월]),0),MATCH(Q$1,대출권수[#Headers],0)),0)</f>
        <v>48</v>
      </c>
      <c r="R49" cm="1">
        <f t="array" ref="R49">IFERROR(INDEX(대출권수[],MATCH(1,(자료실기준[[#This Row],[소장처명]]=대출권수[소장처명])*(대출권수[대출반납]="대출")*(자료실기준[[#This Row],[년월]]=대출권수[년월]),0),MATCH(R$1,대출권수[#Headers],0)),0)</f>
        <v>141</v>
      </c>
      <c r="S49" cm="1">
        <f t="array" ref="S49">IFERROR(INDEX(대출권수[],MATCH(1,(자료실기준[[#This Row],[소장처명]]=대출권수[소장처명])*(대출권수[대출반납]="대출")*(자료실기준[[#This Row],[년월]]=대출권수[년월]),0),MATCH(S$1,대출권수[#Headers],0)),0)</f>
        <v>27</v>
      </c>
      <c r="T49" cm="1">
        <f t="array" ref="T49">IFERROR(INDEX(대출권수[],MATCH(1,(자료실기준[[#This Row],[소장처명]]=대출권수[소장처명])*(대출권수[대출반납]="대출")*(자료실기준[[#This Row],[년월]]=대출권수[년월]),0),MATCH(T$1,대출권수[#Headers],0)),0)</f>
        <v>208</v>
      </c>
      <c r="U49" cm="1">
        <f t="array" ref="U49">IFERROR(INDEX(대출권수[],MATCH(1,(자료실기준[[#This Row],[소장처명]]=대출권수[소장처명])*(대출권수[대출반납]="대출")*(자료실기준[[#This Row],[년월]]=대출권수[년월]),0),MATCH(U$1,대출권수[#Headers],0)),0)</f>
        <v>61</v>
      </c>
      <c r="V49" cm="1">
        <f t="array" ref="V49">IFERROR(INDEX(대출권수[],MATCH(1,(자료실기준[[#This Row],[소장처명]]=대출권수[소장처명])*(대출권수[대출반납]="대출")*(자료실기준[[#This Row],[년월]]=대출권수[년월]),0),MATCH(V$1,대출권수[#Headers],0)),0)</f>
        <v>147</v>
      </c>
      <c r="W49" cm="1">
        <f t="array" ref="W49">IFERROR(INDEX(대출권수[],MATCH(1,(자료실기준[[#This Row],[소장처명]]=대출권수[소장처명])*(대출권수[대출반납]="대출")*(자료실기준[[#This Row],[년월]]=대출권수[년월]),0),MATCH(W$1,대출권수[#Headers],0)),0)</f>
        <v>57</v>
      </c>
      <c r="X49" cm="1">
        <f t="array" ref="X49">IFERROR(INDEX(대출권수[],MATCH(1,(자료실기준[[#This Row],[소장처명]]=대출권수[소장처명])*(대출권수[대출반납]="대출")*(자료실기준[[#This Row],[년월]]=대출권수[년월]),0),MATCH(X$1,대출권수[#Headers],0)),0)</f>
        <v>40</v>
      </c>
      <c r="Y49" cm="1">
        <f t="array" ref="Y49">IFERROR(INDEX(대출권수[],MATCH(1,(자료실기준[[#This Row],[소장처명]]=대출권수[소장처명])*(대출권수[대출반납]="대출")*(자료실기준[[#This Row],[년월]]=대출권수[년월]),0),MATCH(Y$1,대출권수[#Headers],0)),0)</f>
        <v>562</v>
      </c>
      <c r="Z49" cm="1">
        <f t="array" ref="Z49">IFERROR(INDEX(대출권수[],MATCH(1,(자료실기준[[#This Row],[소장처명]]=대출권수[소장처명])*(대출권수[대출반납]="대출")*(자료실기준[[#This Row],[년월]]=대출권수[년월]),0),MATCH(Z$1,대출권수[#Headers],0)),0)</f>
        <v>72</v>
      </c>
      <c r="AA49">
        <f>SUM(자료실기준[[#This Row],[총류]:[역사]])</f>
        <v>1363</v>
      </c>
    </row>
    <row r="50" spans="1:27" x14ac:dyDescent="0.3">
      <c r="A50" s="5">
        <v>45352</v>
      </c>
      <c r="B50" t="s">
        <v>16</v>
      </c>
      <c r="C50" s="5" t="str">
        <f>TEXT(자료실기준[[#This Row],[년월]],"yy년m월")&amp;자료실기준[[#This Row],[소장처명]]</f>
        <v>24년3월어린이자료실</v>
      </c>
      <c r="D50" t="str">
        <f>IFERROR(INDEX(자료실범례[],MATCH($B50,자료실범례[소장처명],0),2),"종합자료실")</f>
        <v>어린이자료실</v>
      </c>
      <c r="E50" cm="1">
        <f t="array" ref="E50">IFERROR(INDEX(대출자[],MATCH(1,(자료실기준[[#This Row],[소장처명]]=대출자[소장처명])*(자료실기준[[#This Row],[년월]]=대출자[년월]),0),MATCH(E$1,대출자[#Headers],0)),0)</f>
        <v>45</v>
      </c>
      <c r="F50" cm="1">
        <f t="array" ref="F50">IFERROR(INDEX(대출자[],MATCH(1,(자료실기준[[#This Row],[소장처명]]=대출자[소장처명])*(자료실기준[[#This Row],[년월]]=대출자[년월]),0),MATCH(F$1,대출자[#Headers],0)),0)</f>
        <v>47</v>
      </c>
      <c r="G50" cm="1">
        <f t="array" ref="G50">IFERROR(INDEX(대출자[],MATCH(1,(자료실기준[[#This Row],[소장처명]]=대출자[소장처명])*(자료실기준[[#This Row],[년월]]=대출자[년월]),0),MATCH(G$1,대출자[#Headers],0)),0)</f>
        <v>7</v>
      </c>
      <c r="H50" cm="1">
        <f t="array" ref="H50">IFERROR(INDEX(대출자[],MATCH(1,(자료실기준[[#This Row],[소장처명]]=대출자[소장처명])*(자료실기준[[#This Row],[년월]]=대출자[년월]),0),MATCH(H$1,대출자[#Headers],0)),0)</f>
        <v>5</v>
      </c>
      <c r="I50" cm="1">
        <f t="array" ref="I50">IFERROR(INDEX(대출자[],MATCH(1,(자료실기준[[#This Row],[소장처명]]=대출자[소장처명])*(자료실기준[[#This Row],[년월]]=대출자[년월]),0),MATCH(I$1,대출자[#Headers],0)),0)</f>
        <v>29</v>
      </c>
      <c r="J50" cm="1">
        <f t="array" ref="J50">IFERROR(INDEX(대출자[],MATCH(1,(자료실기준[[#This Row],[소장처명]]=대출자[소장처명])*(자료실기준[[#This Row],[년월]]=대출자[년월]),0),MATCH(J$1,대출자[#Headers],0)),0)</f>
        <v>85</v>
      </c>
      <c r="K50" cm="1">
        <f t="array" ref="K50">IFERROR(INDEX(대출자[],MATCH(1,(자료실기준[[#This Row],[소장처명]]=대출자[소장처명])*(자료실기준[[#This Row],[년월]]=대출자[년월]),0),MATCH(K$1,대출자[#Headers],0)),0)</f>
        <v>92</v>
      </c>
      <c r="L50" cm="1">
        <f t="array" ref="L50">IFERROR(INDEX(대출자[],MATCH(1,(자료실기준[[#This Row],[소장처명]]=대출자[소장처명])*(자료실기준[[#This Row],[년월]]=대출자[년월]),0),MATCH(L$1,대출자[#Headers],0)),0)</f>
        <v>12</v>
      </c>
      <c r="M50" cm="1">
        <f t="array" ref="M50">IFERROR(INDEX(대출자[],MATCH(1,(자료실기준[[#This Row],[소장처명]]=대출자[소장처명])*(자료실기준[[#This Row],[년월]]=대출자[년월]),0),MATCH(M$1,대출자[#Headers],0)),0)</f>
        <v>114</v>
      </c>
      <c r="N50">
        <f>IFERROR(자료실기준[[#This Row],[어린이남자]]+자료실기준[[#This Row],[청소년남자]]+자료실기준[[#This Row],[성인남자]],0)</f>
        <v>81</v>
      </c>
      <c r="O50">
        <f>IFERROR(자료실기준[[#This Row],[어린이여자]]+자료실기준[[#This Row],[청소년여자]]+자료실기준[[#This Row],[성인여자]],0)</f>
        <v>137</v>
      </c>
      <c r="P50">
        <f>IFERROR(자료실기준[[#This Row],[남자]]+자료실기준[[#This Row],[여자]],0)</f>
        <v>218</v>
      </c>
      <c r="Q50" cm="1">
        <f t="array" ref="Q50">IFERROR(INDEX(대출권수[],MATCH(1,(자료실기준[[#This Row],[소장처명]]=대출권수[소장처명])*(대출권수[대출반납]="대출")*(자료실기준[[#This Row],[년월]]=대출권수[년월]),0),MATCH(Q$1,대출권수[#Headers],0)),0)</f>
        <v>47</v>
      </c>
      <c r="R50" cm="1">
        <f t="array" ref="R50">IFERROR(INDEX(대출권수[],MATCH(1,(자료실기준[[#This Row],[소장처명]]=대출권수[소장처명])*(대출권수[대출반납]="대출")*(자료실기준[[#This Row],[년월]]=대출권수[년월]),0),MATCH(R$1,대출권수[#Headers],0)),0)</f>
        <v>15</v>
      </c>
      <c r="S50" cm="1">
        <f t="array" ref="S50">IFERROR(INDEX(대출권수[],MATCH(1,(자료실기준[[#This Row],[소장처명]]=대출권수[소장처명])*(대출권수[대출반납]="대출")*(자료실기준[[#This Row],[년월]]=대출권수[년월]),0),MATCH(S$1,대출권수[#Headers],0)),0)</f>
        <v>3</v>
      </c>
      <c r="T50" cm="1">
        <f t="array" ref="T50">IFERROR(INDEX(대출권수[],MATCH(1,(자료실기준[[#This Row],[소장처명]]=대출권수[소장처명])*(대출권수[대출반납]="대출")*(자료실기준[[#This Row],[년월]]=대출권수[년월]),0),MATCH(T$1,대출권수[#Headers],0)),0)</f>
        <v>129</v>
      </c>
      <c r="U50" cm="1">
        <f t="array" ref="U50">IFERROR(INDEX(대출권수[],MATCH(1,(자료실기준[[#This Row],[소장처명]]=대출권수[소장처명])*(대출권수[대출반납]="대출")*(자료실기준[[#This Row],[년월]]=대출권수[년월]),0),MATCH(U$1,대출권수[#Headers],0)),0)</f>
        <v>163</v>
      </c>
      <c r="V50" cm="1">
        <f t="array" ref="V50">IFERROR(INDEX(대출권수[],MATCH(1,(자료실기준[[#This Row],[소장처명]]=대출권수[소장처명])*(대출권수[대출반납]="대출")*(자료실기준[[#This Row],[년월]]=대출권수[년월]),0),MATCH(V$1,대출권수[#Headers],0)),0)</f>
        <v>18</v>
      </c>
      <c r="W50" cm="1">
        <f t="array" ref="W50">IFERROR(INDEX(대출권수[],MATCH(1,(자료실기준[[#This Row],[소장처명]]=대출권수[소장처명])*(대출권수[대출반납]="대출")*(자료실기준[[#This Row],[년월]]=대출권수[년월]),0),MATCH(W$1,대출권수[#Headers],0)),0)</f>
        <v>55</v>
      </c>
      <c r="X50" cm="1">
        <f t="array" ref="X50">IFERROR(INDEX(대출권수[],MATCH(1,(자료실기준[[#This Row],[소장처명]]=대출권수[소장처명])*(대출권수[대출반납]="대출")*(자료실기준[[#This Row],[년월]]=대출권수[년월]),0),MATCH(X$1,대출권수[#Headers],0)),0)</f>
        <v>22</v>
      </c>
      <c r="Y50" cm="1">
        <f t="array" ref="Y50">IFERROR(INDEX(대출권수[],MATCH(1,(자료실기준[[#This Row],[소장처명]]=대출권수[소장처명])*(대출권수[대출반납]="대출")*(자료실기준[[#This Row],[년월]]=대출권수[년월]),0),MATCH(Y$1,대출권수[#Headers],0)),0)</f>
        <v>725</v>
      </c>
      <c r="Z50" cm="1">
        <f t="array" ref="Z50">IFERROR(INDEX(대출권수[],MATCH(1,(자료실기준[[#This Row],[소장처명]]=대출권수[소장처명])*(대출권수[대출반납]="대출")*(자료실기준[[#This Row],[년월]]=대출권수[년월]),0),MATCH(Z$1,대출권수[#Headers],0)),0)</f>
        <v>89</v>
      </c>
      <c r="AA50">
        <f>SUM(자료실기준[[#This Row],[총류]:[역사]])</f>
        <v>1266</v>
      </c>
    </row>
    <row r="51" spans="1:27" x14ac:dyDescent="0.3">
      <c r="A51" s="5">
        <v>45352</v>
      </c>
      <c r="B51" t="s">
        <v>2</v>
      </c>
      <c r="C51" s="5" t="str">
        <f>TEXT(자료실기준[[#This Row],[년월]],"yy년m월")&amp;자료실기준[[#This Row],[소장처명]]</f>
        <v>24년3월디지털자료실</v>
      </c>
      <c r="D51" t="str">
        <f>IFERROR(INDEX(자료실범례[],MATCH($B51,자료실범례[소장처명],0),2),"종합자료실")</f>
        <v>디지털자료실</v>
      </c>
      <c r="E51" cm="1">
        <f t="array" ref="E51">IFERROR(INDEX(대출자[],MATCH(1,(자료실기준[[#This Row],[소장처명]]=대출자[소장처명])*(자료실기준[[#This Row],[년월]]=대출자[년월]),0),MATCH(E$1,대출자[#Headers],0)),0)</f>
        <v>0</v>
      </c>
      <c r="F51" cm="1">
        <f t="array" ref="F51">IFERROR(INDEX(대출자[],MATCH(1,(자료실기준[[#This Row],[소장처명]]=대출자[소장처명])*(자료실기준[[#This Row],[년월]]=대출자[년월]),0),MATCH(F$1,대출자[#Headers],0)),0)</f>
        <v>0</v>
      </c>
      <c r="G51" cm="1">
        <f t="array" ref="G51">IFERROR(INDEX(대출자[],MATCH(1,(자료실기준[[#This Row],[소장처명]]=대출자[소장처명])*(자료실기준[[#This Row],[년월]]=대출자[년월]),0),MATCH(G$1,대출자[#Headers],0)),0)</f>
        <v>0</v>
      </c>
      <c r="H51" cm="1">
        <f t="array" ref="H51">IFERROR(INDEX(대출자[],MATCH(1,(자료실기준[[#This Row],[소장처명]]=대출자[소장처명])*(자료실기준[[#This Row],[년월]]=대출자[년월]),0),MATCH(H$1,대출자[#Headers],0)),0)</f>
        <v>0</v>
      </c>
      <c r="I51" cm="1">
        <f t="array" ref="I51">IFERROR(INDEX(대출자[],MATCH(1,(자료실기준[[#This Row],[소장처명]]=대출자[소장처명])*(자료실기준[[#This Row],[년월]]=대출자[년월]),0),MATCH(I$1,대출자[#Headers],0)),0)</f>
        <v>3</v>
      </c>
      <c r="J51" cm="1">
        <f t="array" ref="J51">IFERROR(INDEX(대출자[],MATCH(1,(자료실기준[[#This Row],[소장처명]]=대출자[소장처명])*(자료실기준[[#This Row],[년월]]=대출자[년월]),0),MATCH(J$1,대출자[#Headers],0)),0)</f>
        <v>5</v>
      </c>
      <c r="K51" cm="1">
        <f t="array" ref="K51">IFERROR(INDEX(대출자[],MATCH(1,(자료실기준[[#This Row],[소장처명]]=대출자[소장처명])*(자료실기준[[#This Row],[년월]]=대출자[년월]),0),MATCH(K$1,대출자[#Headers],0)),0)</f>
        <v>0</v>
      </c>
      <c r="L51" cm="1">
        <f t="array" ref="L51">IFERROR(INDEX(대출자[],MATCH(1,(자료실기준[[#This Row],[소장처명]]=대출자[소장처명])*(자료실기준[[#This Row],[년월]]=대출자[년월]),0),MATCH(L$1,대출자[#Headers],0)),0)</f>
        <v>0</v>
      </c>
      <c r="M51" cm="1">
        <f t="array" ref="M51">IFERROR(INDEX(대출자[],MATCH(1,(자료실기준[[#This Row],[소장처명]]=대출자[소장처명])*(자료실기준[[#This Row],[년월]]=대출자[년월]),0),MATCH(M$1,대출자[#Headers],0)),0)</f>
        <v>8</v>
      </c>
      <c r="N51">
        <f>IFERROR(자료실기준[[#This Row],[어린이남자]]+자료실기준[[#This Row],[청소년남자]]+자료실기준[[#This Row],[성인남자]],0)</f>
        <v>3</v>
      </c>
      <c r="O51">
        <f>IFERROR(자료실기준[[#This Row],[어린이여자]]+자료실기준[[#This Row],[청소년여자]]+자료실기준[[#This Row],[성인여자]],0)</f>
        <v>5</v>
      </c>
      <c r="P51">
        <f>IFERROR(자료실기준[[#This Row],[남자]]+자료실기준[[#This Row],[여자]],0)</f>
        <v>8</v>
      </c>
      <c r="Q51" cm="1">
        <f t="array" ref="Q51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51" cm="1">
        <f t="array" ref="R51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51" cm="1">
        <f t="array" ref="S51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51" cm="1">
        <f t="array" ref="T51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51" cm="1">
        <f t="array" ref="U51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51" cm="1">
        <f t="array" ref="V51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51" cm="1">
        <f t="array" ref="W51">IFERROR(INDEX(대출권수[],MATCH(1,(자료실기준[[#This Row],[소장처명]]=대출권수[소장처명])*(대출권수[대출반납]="대출")*(자료실기준[[#This Row],[년월]]=대출권수[년월]),0),MATCH(W$1,대출권수[#Headers],0)),0)</f>
        <v>19</v>
      </c>
      <c r="X51" cm="1">
        <f t="array" ref="X51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51" cm="1">
        <f t="array" ref="Y51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51" cm="1">
        <f t="array" ref="Z51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51">
        <f>SUM(자료실기준[[#This Row],[총류]:[역사]])</f>
        <v>19</v>
      </c>
    </row>
    <row r="52" spans="1:27" x14ac:dyDescent="0.3">
      <c r="A52" s="5">
        <v>45352</v>
      </c>
      <c r="B52" t="s">
        <v>19</v>
      </c>
      <c r="C52" s="5" t="str">
        <f>TEXT(자료실기준[[#This Row],[년월]],"yy년m월")&amp;자료실기준[[#This Row],[소장처명]]</f>
        <v>24년3월종합실(신간도서)</v>
      </c>
      <c r="D52" t="str">
        <f>IFERROR(INDEX(자료실범례[],MATCH($B52,자료실범례[소장처명],0),2),"종합자료실")</f>
        <v>종합자료실</v>
      </c>
      <c r="E52" cm="1">
        <f t="array" ref="E52">IFERROR(INDEX(대출자[],MATCH(1,(자료실기준[[#This Row],[소장처명]]=대출자[소장처명])*(자료실기준[[#This Row],[년월]]=대출자[년월]),0),MATCH(E$1,대출자[#Headers],0)),0)</f>
        <v>5</v>
      </c>
      <c r="F52" cm="1">
        <f t="array" ref="F52">IFERROR(INDEX(대출자[],MATCH(1,(자료실기준[[#This Row],[소장처명]]=대출자[소장처명])*(자료실기준[[#This Row],[년월]]=대출자[년월]),0),MATCH(F$1,대출자[#Headers],0)),0)</f>
        <v>3</v>
      </c>
      <c r="G52" cm="1">
        <f t="array" ref="G52">IFERROR(INDEX(대출자[],MATCH(1,(자료실기준[[#This Row],[소장처명]]=대출자[소장처명])*(자료실기준[[#This Row],[년월]]=대출자[년월]),0),MATCH(G$1,대출자[#Headers],0)),0)</f>
        <v>2</v>
      </c>
      <c r="H52" cm="1">
        <f t="array" ref="H52">IFERROR(INDEX(대출자[],MATCH(1,(자료실기준[[#This Row],[소장처명]]=대출자[소장처명])*(자료실기준[[#This Row],[년월]]=대출자[년월]),0),MATCH(H$1,대출자[#Headers],0)),0)</f>
        <v>1</v>
      </c>
      <c r="I52" cm="1">
        <f t="array" ref="I52">IFERROR(INDEX(대출자[],MATCH(1,(자료실기준[[#This Row],[소장처명]]=대출자[소장처명])*(자료실기준[[#This Row],[년월]]=대출자[년월]),0),MATCH(I$1,대출자[#Headers],0)),0)</f>
        <v>52</v>
      </c>
      <c r="J52" cm="1">
        <f t="array" ref="J52">IFERROR(INDEX(대출자[],MATCH(1,(자료실기준[[#This Row],[소장처명]]=대출자[소장처명])*(자료실기준[[#This Row],[년월]]=대출자[년월]),0),MATCH(J$1,대출자[#Headers],0)),0)</f>
        <v>90</v>
      </c>
      <c r="K52" cm="1">
        <f t="array" ref="K52">IFERROR(INDEX(대출자[],MATCH(1,(자료실기준[[#This Row],[소장처명]]=대출자[소장처명])*(자료실기준[[#This Row],[년월]]=대출자[년월]),0),MATCH(K$1,대출자[#Headers],0)),0)</f>
        <v>8</v>
      </c>
      <c r="L52" cm="1">
        <f t="array" ref="L52">IFERROR(INDEX(대출자[],MATCH(1,(자료실기준[[#This Row],[소장처명]]=대출자[소장처명])*(자료실기준[[#This Row],[년월]]=대출자[년월]),0),MATCH(L$1,대출자[#Headers],0)),0)</f>
        <v>3</v>
      </c>
      <c r="M52" cm="1">
        <f t="array" ref="M52">IFERROR(INDEX(대출자[],MATCH(1,(자료실기준[[#This Row],[소장처명]]=대출자[소장처명])*(자료실기준[[#This Row],[년월]]=대출자[년월]),0),MATCH(M$1,대출자[#Headers],0)),0)</f>
        <v>142</v>
      </c>
      <c r="N52">
        <f>IFERROR(자료실기준[[#This Row],[어린이남자]]+자료실기준[[#This Row],[청소년남자]]+자료실기준[[#This Row],[성인남자]],0)</f>
        <v>59</v>
      </c>
      <c r="O52">
        <f>IFERROR(자료실기준[[#This Row],[어린이여자]]+자료실기준[[#This Row],[청소년여자]]+자료실기준[[#This Row],[성인여자]],0)</f>
        <v>94</v>
      </c>
      <c r="P52">
        <f>IFERROR(자료실기준[[#This Row],[남자]]+자료실기준[[#This Row],[여자]],0)</f>
        <v>153</v>
      </c>
      <c r="Q52" cm="1">
        <f t="array" ref="Q52">IFERROR(INDEX(대출권수[],MATCH(1,(자료실기준[[#This Row],[소장처명]]=대출권수[소장처명])*(대출권수[대출반납]="대출")*(자료실기준[[#This Row],[년월]]=대출권수[년월]),0),MATCH(Q$1,대출권수[#Headers],0)),0)</f>
        <v>11</v>
      </c>
      <c r="R52" cm="1">
        <f t="array" ref="R52">IFERROR(INDEX(대출권수[],MATCH(1,(자료실기준[[#This Row],[소장처명]]=대출권수[소장처명])*(대출권수[대출반납]="대출")*(자료실기준[[#This Row],[년월]]=대출권수[년월]),0),MATCH(R$1,대출권수[#Headers],0)),0)</f>
        <v>59</v>
      </c>
      <c r="S52" cm="1">
        <f t="array" ref="S52">IFERROR(INDEX(대출권수[],MATCH(1,(자료실기준[[#This Row],[소장처명]]=대출권수[소장처명])*(대출권수[대출반납]="대출")*(자료실기준[[#This Row],[년월]]=대출권수[년월]),0),MATCH(S$1,대출권수[#Headers],0)),0)</f>
        <v>5</v>
      </c>
      <c r="T52" cm="1">
        <f t="array" ref="T52">IFERROR(INDEX(대출권수[],MATCH(1,(자료실기준[[#This Row],[소장처명]]=대출권수[소장처명])*(대출권수[대출반납]="대출")*(자료실기준[[#This Row],[년월]]=대출권수[년월]),0),MATCH(T$1,대출권수[#Headers],0)),0)</f>
        <v>69</v>
      </c>
      <c r="U52" cm="1">
        <f t="array" ref="U52">IFERROR(INDEX(대출권수[],MATCH(1,(자료실기준[[#This Row],[소장처명]]=대출권수[소장처명])*(대출권수[대출반납]="대출")*(자료실기준[[#This Row],[년월]]=대출권수[년월]),0),MATCH(U$1,대출권수[#Headers],0)),0)</f>
        <v>19</v>
      </c>
      <c r="V52" cm="1">
        <f t="array" ref="V52">IFERROR(INDEX(대출권수[],MATCH(1,(자료실기준[[#This Row],[소장처명]]=대출권수[소장처명])*(대출권수[대출반납]="대출")*(자료실기준[[#This Row],[년월]]=대출권수[년월]),0),MATCH(V$1,대출권수[#Headers],0)),0)</f>
        <v>49</v>
      </c>
      <c r="W52" cm="1">
        <f t="array" ref="W52">IFERROR(INDEX(대출권수[],MATCH(1,(자료실기준[[#This Row],[소장처명]]=대출권수[소장처명])*(대출권수[대출반납]="대출")*(자료실기준[[#This Row],[년월]]=대출권수[년월]),0),MATCH(W$1,대출권수[#Headers],0)),0)</f>
        <v>15</v>
      </c>
      <c r="X52" cm="1">
        <f t="array" ref="X52">IFERROR(INDEX(대출권수[],MATCH(1,(자료실기준[[#This Row],[소장처명]]=대출권수[소장처명])*(대출권수[대출반납]="대출")*(자료실기준[[#This Row],[년월]]=대출권수[년월]),0),MATCH(X$1,대출권수[#Headers],0)),0)</f>
        <v>3</v>
      </c>
      <c r="Y52" cm="1">
        <f t="array" ref="Y52">IFERROR(INDEX(대출권수[],MATCH(1,(자료실기준[[#This Row],[소장처명]]=대출권수[소장처명])*(대출권수[대출반납]="대출")*(자료실기준[[#This Row],[년월]]=대출권수[년월]),0),MATCH(Y$1,대출권수[#Headers],0)),0)</f>
        <v>166</v>
      </c>
      <c r="Z52" cm="1">
        <f t="array" ref="Z52">IFERROR(INDEX(대출권수[],MATCH(1,(자료실기준[[#This Row],[소장처명]]=대출권수[소장처명])*(대출권수[대출반납]="대출")*(자료실기준[[#This Row],[년월]]=대출권수[년월]),0),MATCH(Z$1,대출권수[#Headers],0)),0)</f>
        <v>18</v>
      </c>
      <c r="AA52">
        <f>SUM(자료실기준[[#This Row],[총류]:[역사]])</f>
        <v>414</v>
      </c>
    </row>
    <row r="53" spans="1:27" x14ac:dyDescent="0.3">
      <c r="A53" s="5">
        <v>45352</v>
      </c>
      <c r="B53" t="s">
        <v>14</v>
      </c>
      <c r="C53" s="5" t="str">
        <f>TEXT(자료실기준[[#This Row],[년월]],"yy년m월")&amp;자료실기준[[#This Row],[소장처명]]</f>
        <v>24년3월어린이실(신간도서)</v>
      </c>
      <c r="D53" t="str">
        <f>IFERROR(INDEX(자료실범례[],MATCH($B53,자료실범례[소장처명],0),2),"종합자료실")</f>
        <v>어린이자료실</v>
      </c>
      <c r="E53" cm="1">
        <f t="array" ref="E53">IFERROR(INDEX(대출자[],MATCH(1,(자료실기준[[#This Row],[소장처명]]=대출자[소장처명])*(자료실기준[[#This Row],[년월]]=대출자[년월]),0),MATCH(E$1,대출자[#Headers],0)),0)</f>
        <v>23</v>
      </c>
      <c r="F53" cm="1">
        <f t="array" ref="F53">IFERROR(INDEX(대출자[],MATCH(1,(자료실기준[[#This Row],[소장처명]]=대출자[소장처명])*(자료실기준[[#This Row],[년월]]=대출자[년월]),0),MATCH(F$1,대출자[#Headers],0)),0)</f>
        <v>22</v>
      </c>
      <c r="G53" cm="1">
        <f t="array" ref="G53">IFERROR(INDEX(대출자[],MATCH(1,(자료실기준[[#This Row],[소장처명]]=대출자[소장처명])*(자료실기준[[#This Row],[년월]]=대출자[년월]),0),MATCH(G$1,대출자[#Headers],0)),0)</f>
        <v>4</v>
      </c>
      <c r="H53" cm="1">
        <f t="array" ref="H53">IFERROR(INDEX(대출자[],MATCH(1,(자료실기준[[#This Row],[소장처명]]=대출자[소장처명])*(자료실기준[[#This Row],[년월]]=대출자[년월]),0),MATCH(H$1,대출자[#Headers],0)),0)</f>
        <v>2</v>
      </c>
      <c r="I53" cm="1">
        <f t="array" ref="I53">IFERROR(INDEX(대출자[],MATCH(1,(자료실기준[[#This Row],[소장처명]]=대출자[소장처명])*(자료실기준[[#This Row],[년월]]=대출자[년월]),0),MATCH(I$1,대출자[#Headers],0)),0)</f>
        <v>14</v>
      </c>
      <c r="J53" cm="1">
        <f t="array" ref="J53">IFERROR(INDEX(대출자[],MATCH(1,(자료실기준[[#This Row],[소장처명]]=대출자[소장처명])*(자료실기준[[#This Row],[년월]]=대출자[년월]),0),MATCH(J$1,대출자[#Headers],0)),0)</f>
        <v>38</v>
      </c>
      <c r="K53" cm="1">
        <f t="array" ref="K53">IFERROR(INDEX(대출자[],MATCH(1,(자료실기준[[#This Row],[소장처명]]=대출자[소장처명])*(자료실기준[[#This Row],[년월]]=대출자[년월]),0),MATCH(K$1,대출자[#Headers],0)),0)</f>
        <v>45</v>
      </c>
      <c r="L53" cm="1">
        <f t="array" ref="L53">IFERROR(INDEX(대출자[],MATCH(1,(자료실기준[[#This Row],[소장처명]]=대출자[소장처명])*(자료실기준[[#This Row],[년월]]=대출자[년월]),0),MATCH(L$1,대출자[#Headers],0)),0)</f>
        <v>6</v>
      </c>
      <c r="M53" cm="1">
        <f t="array" ref="M53">IFERROR(INDEX(대출자[],MATCH(1,(자료실기준[[#This Row],[소장처명]]=대출자[소장처명])*(자료실기준[[#This Row],[년월]]=대출자[년월]),0),MATCH(M$1,대출자[#Headers],0)),0)</f>
        <v>52</v>
      </c>
      <c r="N53">
        <f>IFERROR(자료실기준[[#This Row],[어린이남자]]+자료실기준[[#This Row],[청소년남자]]+자료실기준[[#This Row],[성인남자]],0)</f>
        <v>41</v>
      </c>
      <c r="O53">
        <f>IFERROR(자료실기준[[#This Row],[어린이여자]]+자료실기준[[#This Row],[청소년여자]]+자료실기준[[#This Row],[성인여자]],0)</f>
        <v>62</v>
      </c>
      <c r="P53">
        <f>IFERROR(자료실기준[[#This Row],[남자]]+자료실기준[[#This Row],[여자]],0)</f>
        <v>103</v>
      </c>
      <c r="Q53" cm="1">
        <f t="array" ref="Q53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53" cm="1">
        <f t="array" ref="R53">IFERROR(INDEX(대출권수[],MATCH(1,(자료실기준[[#This Row],[소장처명]]=대출권수[소장처명])*(대출권수[대출반납]="대출")*(자료실기준[[#This Row],[년월]]=대출권수[년월]),0),MATCH(R$1,대출권수[#Headers],0)),0)</f>
        <v>6</v>
      </c>
      <c r="S53" cm="1">
        <f t="array" ref="S53">IFERROR(INDEX(대출권수[],MATCH(1,(자료실기준[[#This Row],[소장처명]]=대출권수[소장처명])*(대출권수[대출반납]="대출")*(자료실기준[[#This Row],[년월]]=대출권수[년월]),0),MATCH(S$1,대출권수[#Headers],0)),0)</f>
        <v>20</v>
      </c>
      <c r="T53" cm="1">
        <f t="array" ref="T53">IFERROR(INDEX(대출권수[],MATCH(1,(자료실기준[[#This Row],[소장처명]]=대출권수[소장처명])*(대출권수[대출반납]="대출")*(자료실기준[[#This Row],[년월]]=대출권수[년월]),0),MATCH(T$1,대출권수[#Headers],0)),0)</f>
        <v>11</v>
      </c>
      <c r="U53" cm="1">
        <f t="array" ref="U53">IFERROR(INDEX(대출권수[],MATCH(1,(자료실기준[[#This Row],[소장처명]]=대출권수[소장처명])*(대출권수[대출반납]="대출")*(자료실기준[[#This Row],[년월]]=대출권수[년월]),0),MATCH(U$1,대출권수[#Headers],0)),0)</f>
        <v>44</v>
      </c>
      <c r="V53" cm="1">
        <f t="array" ref="V53">IFERROR(INDEX(대출권수[],MATCH(1,(자료실기준[[#This Row],[소장처명]]=대출권수[소장처명])*(대출권수[대출반납]="대출")*(자료실기준[[#This Row],[년월]]=대출권수[년월]),0),MATCH(V$1,대출권수[#Headers],0)),0)</f>
        <v>15</v>
      </c>
      <c r="W53" cm="1">
        <f t="array" ref="W53">IFERROR(INDEX(대출권수[],MATCH(1,(자료실기준[[#This Row],[소장처명]]=대출권수[소장처명])*(대출권수[대출반납]="대출")*(자료실기준[[#This Row],[년월]]=대출권수[년월]),0),MATCH(W$1,대출권수[#Headers],0)),0)</f>
        <v>8</v>
      </c>
      <c r="X53" cm="1">
        <f t="array" ref="X53">IFERROR(INDEX(대출권수[],MATCH(1,(자료실기준[[#This Row],[소장처명]]=대출권수[소장처명])*(대출권수[대출반납]="대출")*(자료실기준[[#This Row],[년월]]=대출권수[년월]),0),MATCH(X$1,대출권수[#Headers],0)),0)</f>
        <v>8</v>
      </c>
      <c r="Y53" cm="1">
        <f t="array" ref="Y53">IFERROR(INDEX(대출권수[],MATCH(1,(자료실기준[[#This Row],[소장처명]]=대출권수[소장처명])*(대출권수[대출반납]="대출")*(자료실기준[[#This Row],[년월]]=대출권수[년월]),0),MATCH(Y$1,대출권수[#Headers],0)),0)</f>
        <v>249</v>
      </c>
      <c r="Z53" cm="1">
        <f t="array" ref="Z53">IFERROR(INDEX(대출권수[],MATCH(1,(자료실기준[[#This Row],[소장처명]]=대출권수[소장처명])*(대출권수[대출반납]="대출")*(자료실기준[[#This Row],[년월]]=대출권수[년월]),0),MATCH(Z$1,대출권수[#Headers],0)),0)</f>
        <v>47</v>
      </c>
      <c r="AA53">
        <f>SUM(자료실기준[[#This Row],[총류]:[역사]])</f>
        <v>408</v>
      </c>
    </row>
    <row r="54" spans="1:27" x14ac:dyDescent="0.3">
      <c r="A54" s="5">
        <v>45352</v>
      </c>
      <c r="B54" t="s">
        <v>13</v>
      </c>
      <c r="C54" s="5" t="str">
        <f>TEXT(자료실기준[[#This Row],[년월]],"yy년m월")&amp;자료실기준[[#This Row],[소장처명]]</f>
        <v>24년3월어린이실(수상작)</v>
      </c>
      <c r="D54" t="str">
        <f>IFERROR(INDEX(자료실범례[],MATCH($B54,자료실범례[소장처명],0),2),"종합자료실")</f>
        <v>어린이자료실</v>
      </c>
      <c r="E54" cm="1">
        <f t="array" ref="E54">IFERROR(INDEX(대출자[],MATCH(1,(자료실기준[[#This Row],[소장처명]]=대출자[소장처명])*(자료실기준[[#This Row],[년월]]=대출자[년월]),0),MATCH(E$1,대출자[#Headers],0)),0)</f>
        <v>0</v>
      </c>
      <c r="F54" cm="1">
        <f t="array" ref="F54">IFERROR(INDEX(대출자[],MATCH(1,(자료실기준[[#This Row],[소장처명]]=대출자[소장처명])*(자료실기준[[#This Row],[년월]]=대출자[년월]),0),MATCH(F$1,대출자[#Headers],0)),0)</f>
        <v>0</v>
      </c>
      <c r="G54" cm="1">
        <f t="array" ref="G54">IFERROR(INDEX(대출자[],MATCH(1,(자료실기준[[#This Row],[소장처명]]=대출자[소장처명])*(자료실기준[[#This Row],[년월]]=대출자[년월]),0),MATCH(G$1,대출자[#Headers],0)),0)</f>
        <v>1</v>
      </c>
      <c r="H54" cm="1">
        <f t="array" ref="H54">IFERROR(INDEX(대출자[],MATCH(1,(자료실기준[[#This Row],[소장처명]]=대출자[소장처명])*(자료실기준[[#This Row],[년월]]=대출자[년월]),0),MATCH(H$1,대출자[#Headers],0)),0)</f>
        <v>0</v>
      </c>
      <c r="I54" cm="1">
        <f t="array" ref="I54">IFERROR(INDEX(대출자[],MATCH(1,(자료실기준[[#This Row],[소장처명]]=대출자[소장처명])*(자료실기준[[#This Row],[년월]]=대출자[년월]),0),MATCH(I$1,대출자[#Headers],0)),0)</f>
        <v>0</v>
      </c>
      <c r="J54" cm="1">
        <f t="array" ref="J54">IFERROR(INDEX(대출자[],MATCH(1,(자료실기준[[#This Row],[소장처명]]=대출자[소장처명])*(자료실기준[[#This Row],[년월]]=대출자[년월]),0),MATCH(J$1,대출자[#Headers],0)),0)</f>
        <v>2</v>
      </c>
      <c r="K54" cm="1">
        <f t="array" ref="K54">IFERROR(INDEX(대출자[],MATCH(1,(자료실기준[[#This Row],[소장처명]]=대출자[소장처명])*(자료실기준[[#This Row],[년월]]=대출자[년월]),0),MATCH(K$1,대출자[#Headers],0)),0)</f>
        <v>0</v>
      </c>
      <c r="L54" cm="1">
        <f t="array" ref="L54">IFERROR(INDEX(대출자[],MATCH(1,(자료실기준[[#This Row],[소장처명]]=대출자[소장처명])*(자료실기준[[#This Row],[년월]]=대출자[년월]),0),MATCH(L$1,대출자[#Headers],0)),0)</f>
        <v>1</v>
      </c>
      <c r="M54" cm="1">
        <f t="array" ref="M54">IFERROR(INDEX(대출자[],MATCH(1,(자료실기준[[#This Row],[소장처명]]=대출자[소장처명])*(자료실기준[[#This Row],[년월]]=대출자[년월]),0),MATCH(M$1,대출자[#Headers],0)),0)</f>
        <v>2</v>
      </c>
      <c r="N54">
        <f>IFERROR(자료실기준[[#This Row],[어린이남자]]+자료실기준[[#This Row],[청소년남자]]+자료실기준[[#This Row],[성인남자]],0)</f>
        <v>1</v>
      </c>
      <c r="O54">
        <f>IFERROR(자료실기준[[#This Row],[어린이여자]]+자료실기준[[#This Row],[청소년여자]]+자료실기준[[#This Row],[성인여자]],0)</f>
        <v>2</v>
      </c>
      <c r="P54">
        <f>IFERROR(자료실기준[[#This Row],[남자]]+자료실기준[[#This Row],[여자]],0)</f>
        <v>3</v>
      </c>
      <c r="Q54" cm="1">
        <f t="array" ref="Q54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54" cm="1">
        <f t="array" ref="R54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54" cm="1">
        <f t="array" ref="S54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54" cm="1">
        <f t="array" ref="T54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54" cm="1">
        <f t="array" ref="U54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54" cm="1">
        <f t="array" ref="V54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54" cm="1">
        <f t="array" ref="W54">IFERROR(INDEX(대출권수[],MATCH(1,(자료실기준[[#This Row],[소장처명]]=대출권수[소장처명])*(대출권수[대출반납]="대출")*(자료실기준[[#This Row],[년월]]=대출권수[년월]),0),MATCH(W$1,대출권수[#Headers],0)),0)</f>
        <v>1</v>
      </c>
      <c r="X54" cm="1">
        <f t="array" ref="X54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54" cm="1">
        <f t="array" ref="Y54">IFERROR(INDEX(대출권수[],MATCH(1,(자료실기준[[#This Row],[소장처명]]=대출권수[소장처명])*(대출권수[대출반납]="대출")*(자료실기준[[#This Row],[년월]]=대출권수[년월]),0),MATCH(Y$1,대출권수[#Headers],0)),0)</f>
        <v>2</v>
      </c>
      <c r="Z54" cm="1">
        <f t="array" ref="Z54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54">
        <f>SUM(자료실기준[[#This Row],[총류]:[역사]])</f>
        <v>3</v>
      </c>
    </row>
    <row r="55" spans="1:27" x14ac:dyDescent="0.3">
      <c r="A55" s="5">
        <v>45352</v>
      </c>
      <c r="B55" t="s">
        <v>15</v>
      </c>
      <c r="C55" s="5" t="str">
        <f>TEXT(자료실기준[[#This Row],[년월]],"yy년m월")&amp;자료실기준[[#This Row],[소장처명]]</f>
        <v>24년3월어린이실(학습만화)</v>
      </c>
      <c r="D55" t="str">
        <f>IFERROR(INDEX(자료실범례[],MATCH($B55,자료실범례[소장처명],0),2),"종합자료실")</f>
        <v>어린이자료실</v>
      </c>
      <c r="E55" cm="1">
        <f t="array" ref="E55">IFERROR(INDEX(대출자[],MATCH(1,(자료실기준[[#This Row],[소장처명]]=대출자[소장처명])*(자료실기준[[#This Row],[년월]]=대출자[년월]),0),MATCH(E$1,대출자[#Headers],0)),0)</f>
        <v>25</v>
      </c>
      <c r="F55" cm="1">
        <f t="array" ref="F55">IFERROR(INDEX(대출자[],MATCH(1,(자료실기준[[#This Row],[소장처명]]=대출자[소장처명])*(자료실기준[[#This Row],[년월]]=대출자[년월]),0),MATCH(F$1,대출자[#Headers],0)),0)</f>
        <v>14</v>
      </c>
      <c r="G55" cm="1">
        <f t="array" ref="G55">IFERROR(INDEX(대출자[],MATCH(1,(자료실기준[[#This Row],[소장처명]]=대출자[소장처명])*(자료실기준[[#This Row],[년월]]=대출자[년월]),0),MATCH(G$1,대출자[#Headers],0)),0)</f>
        <v>4</v>
      </c>
      <c r="H55" cm="1">
        <f t="array" ref="H55">IFERROR(INDEX(대출자[],MATCH(1,(자료실기준[[#This Row],[소장처명]]=대출자[소장처명])*(자료실기준[[#This Row],[년월]]=대출자[년월]),0),MATCH(H$1,대출자[#Headers],0)),0)</f>
        <v>1</v>
      </c>
      <c r="I55" cm="1">
        <f t="array" ref="I55">IFERROR(INDEX(대출자[],MATCH(1,(자료실기준[[#This Row],[소장처명]]=대출자[소장처명])*(자료실기준[[#This Row],[년월]]=대출자[년월]),0),MATCH(I$1,대출자[#Headers],0)),0)</f>
        <v>10</v>
      </c>
      <c r="J55" cm="1">
        <f t="array" ref="J55">IFERROR(INDEX(대출자[],MATCH(1,(자료실기준[[#This Row],[소장처명]]=대출자[소장처명])*(자료실기준[[#This Row],[년월]]=대출자[년월]),0),MATCH(J$1,대출자[#Headers],0)),0)</f>
        <v>29</v>
      </c>
      <c r="K55" cm="1">
        <f t="array" ref="K55">IFERROR(INDEX(대출자[],MATCH(1,(자료실기준[[#This Row],[소장처명]]=대출자[소장처명])*(자료실기준[[#This Row],[년월]]=대출자[년월]),0),MATCH(K$1,대출자[#Headers],0)),0)</f>
        <v>39</v>
      </c>
      <c r="L55" cm="1">
        <f t="array" ref="L55">IFERROR(INDEX(대출자[],MATCH(1,(자료실기준[[#This Row],[소장처명]]=대출자[소장처명])*(자료실기준[[#This Row],[년월]]=대출자[년월]),0),MATCH(L$1,대출자[#Headers],0)),0)</f>
        <v>5</v>
      </c>
      <c r="M55" cm="1">
        <f t="array" ref="M55">IFERROR(INDEX(대출자[],MATCH(1,(자료실기준[[#This Row],[소장처명]]=대출자[소장처명])*(자료실기준[[#This Row],[년월]]=대출자[년월]),0),MATCH(M$1,대출자[#Headers],0)),0)</f>
        <v>39</v>
      </c>
      <c r="N55">
        <f>IFERROR(자료실기준[[#This Row],[어린이남자]]+자료실기준[[#This Row],[청소년남자]]+자료실기준[[#This Row],[성인남자]],0)</f>
        <v>39</v>
      </c>
      <c r="O55">
        <f>IFERROR(자료실기준[[#This Row],[어린이여자]]+자료실기준[[#This Row],[청소년여자]]+자료실기준[[#This Row],[성인여자]],0)</f>
        <v>44</v>
      </c>
      <c r="P55">
        <f>IFERROR(자료실기준[[#This Row],[남자]]+자료실기준[[#This Row],[여자]],0)</f>
        <v>83</v>
      </c>
      <c r="Q55" cm="1">
        <f t="array" ref="Q55">IFERROR(INDEX(대출권수[],MATCH(1,(자료실기준[[#This Row],[소장처명]]=대출권수[소장처명])*(대출권수[대출반납]="대출")*(자료실기준[[#This Row],[년월]]=대출권수[년월]),0),MATCH(Q$1,대출권수[#Headers],0)),0)</f>
        <v>4</v>
      </c>
      <c r="R55" cm="1">
        <f t="array" ref="R55">IFERROR(INDEX(대출권수[],MATCH(1,(자료실기준[[#This Row],[소장처명]]=대출권수[소장처명])*(대출권수[대출반납]="대출")*(자료실기준[[#This Row],[년월]]=대출권수[년월]),0),MATCH(R$1,대출권수[#Headers],0)),0)</f>
        <v>1</v>
      </c>
      <c r="S55" cm="1">
        <f t="array" ref="S55">IFERROR(INDEX(대출권수[],MATCH(1,(자료실기준[[#This Row],[소장처명]]=대출권수[소장처명])*(대출권수[대출반납]="대출")*(자료실기준[[#This Row],[년월]]=대출권수[년월]),0),MATCH(S$1,대출권수[#Headers],0)),0)</f>
        <v>12</v>
      </c>
      <c r="T55" cm="1">
        <f t="array" ref="T55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55" cm="1">
        <f t="array" ref="U55">IFERROR(INDEX(대출권수[],MATCH(1,(자료실기준[[#This Row],[소장처명]]=대출권수[소장처명])*(대출권수[대출반납]="대출")*(자료실기준[[#This Row],[년월]]=대출권수[년월]),0),MATCH(U$1,대출권수[#Headers],0)),0)</f>
        <v>129</v>
      </c>
      <c r="V55" cm="1">
        <f t="array" ref="V55">IFERROR(INDEX(대출권수[],MATCH(1,(자료실기준[[#This Row],[소장처명]]=대출권수[소장처명])*(대출권수[대출반납]="대출")*(자료실기준[[#This Row],[년월]]=대출권수[년월]),0),MATCH(V$1,대출권수[#Headers],0)),0)</f>
        <v>26</v>
      </c>
      <c r="W55" cm="1">
        <f t="array" ref="W55">IFERROR(INDEX(대출권수[],MATCH(1,(자료실기준[[#This Row],[소장처명]]=대출권수[소장처명])*(대출권수[대출반납]="대출")*(자료실기준[[#This Row],[년월]]=대출권수[년월]),0),MATCH(W$1,대출권수[#Headers],0)),0)</f>
        <v>2</v>
      </c>
      <c r="X55" cm="1">
        <f t="array" ref="X55">IFERROR(INDEX(대출권수[],MATCH(1,(자료실기준[[#This Row],[소장처명]]=대출권수[소장처명])*(대출권수[대출반납]="대출")*(자료실기준[[#This Row],[년월]]=대출권수[년월]),0),MATCH(X$1,대출권수[#Headers],0)),0)</f>
        <v>78</v>
      </c>
      <c r="Y55" cm="1">
        <f t="array" ref="Y55">IFERROR(INDEX(대출권수[],MATCH(1,(자료실기준[[#This Row],[소장처명]]=대출권수[소장처명])*(대출권수[대출반납]="대출")*(자료실기준[[#This Row],[년월]]=대출권수[년월]),0),MATCH(Y$1,대출권수[#Headers],0)),0)</f>
        <v>23</v>
      </c>
      <c r="Z55" cm="1">
        <f t="array" ref="Z55">IFERROR(INDEX(대출권수[],MATCH(1,(자료실기준[[#This Row],[소장처명]]=대출권수[소장처명])*(대출권수[대출반납]="대출")*(자료실기준[[#This Row],[년월]]=대출권수[년월]),0),MATCH(Z$1,대출권수[#Headers],0)),0)</f>
        <v>150</v>
      </c>
      <c r="AA55">
        <f>SUM(자료실기준[[#This Row],[총류]:[역사]])</f>
        <v>425</v>
      </c>
    </row>
    <row r="56" spans="1:27" x14ac:dyDescent="0.3">
      <c r="A56" s="5">
        <v>45352</v>
      </c>
      <c r="B56" t="s">
        <v>20</v>
      </c>
      <c r="C56" s="5" t="str">
        <f>TEXT(자료실기준[[#This Row],[년월]],"yy년m월")&amp;자료실기준[[#This Row],[소장처명]]</f>
        <v>24년3월종합실(청소년 진로)</v>
      </c>
      <c r="D56" t="str">
        <f>IFERROR(INDEX(자료실범례[],MATCH($B56,자료실범례[소장처명],0),2),"종합자료실")</f>
        <v>종합자료실</v>
      </c>
      <c r="E56" cm="1">
        <f t="array" ref="E56">IFERROR(INDEX(대출자[],MATCH(1,(자료실기준[[#This Row],[소장처명]]=대출자[소장처명])*(자료실기준[[#This Row],[년월]]=대출자[년월]),0),MATCH(E$1,대출자[#Headers],0)),0)</f>
        <v>0</v>
      </c>
      <c r="F56" cm="1">
        <f t="array" ref="F56">IFERROR(INDEX(대출자[],MATCH(1,(자료실기준[[#This Row],[소장처명]]=대출자[소장처명])*(자료실기준[[#This Row],[년월]]=대출자[년월]),0),MATCH(F$1,대출자[#Headers],0)),0)</f>
        <v>0</v>
      </c>
      <c r="G56" cm="1">
        <f t="array" ref="G56">IFERROR(INDEX(대출자[],MATCH(1,(자료실기준[[#This Row],[소장처명]]=대출자[소장처명])*(자료실기준[[#This Row],[년월]]=대출자[년월]),0),MATCH(G$1,대출자[#Headers],0)),0)</f>
        <v>0</v>
      </c>
      <c r="H56" cm="1">
        <f t="array" ref="H56">IFERROR(INDEX(대출자[],MATCH(1,(자료실기준[[#This Row],[소장처명]]=대출자[소장처명])*(자료실기준[[#This Row],[년월]]=대출자[년월]),0),MATCH(H$1,대출자[#Headers],0)),0)</f>
        <v>0</v>
      </c>
      <c r="I56" cm="1">
        <f t="array" ref="I56">IFERROR(INDEX(대출자[],MATCH(1,(자료실기준[[#This Row],[소장처명]]=대출자[소장처명])*(자료실기준[[#This Row],[년월]]=대출자[년월]),0),MATCH(I$1,대출자[#Headers],0)),0)</f>
        <v>0</v>
      </c>
      <c r="J56" cm="1">
        <f t="array" ref="J56">IFERROR(INDEX(대출자[],MATCH(1,(자료실기준[[#This Row],[소장처명]]=대출자[소장처명])*(자료실기준[[#This Row],[년월]]=대출자[년월]),0),MATCH(J$1,대출자[#Headers],0)),0)</f>
        <v>1</v>
      </c>
      <c r="K56" cm="1">
        <f t="array" ref="K56">IFERROR(INDEX(대출자[],MATCH(1,(자료실기준[[#This Row],[소장처명]]=대출자[소장처명])*(자료실기준[[#This Row],[년월]]=대출자[년월]),0),MATCH(K$1,대출자[#Headers],0)),0)</f>
        <v>0</v>
      </c>
      <c r="L56" cm="1">
        <f t="array" ref="L56">IFERROR(INDEX(대출자[],MATCH(1,(자료실기준[[#This Row],[소장처명]]=대출자[소장처명])*(자료실기준[[#This Row],[년월]]=대출자[년월]),0),MATCH(L$1,대출자[#Headers],0)),0)</f>
        <v>0</v>
      </c>
      <c r="M56" cm="1">
        <f t="array" ref="M56">IFERROR(INDEX(대출자[],MATCH(1,(자료실기준[[#This Row],[소장처명]]=대출자[소장처명])*(자료실기준[[#This Row],[년월]]=대출자[년월]),0),MATCH(M$1,대출자[#Headers],0)),0)</f>
        <v>1</v>
      </c>
      <c r="N56">
        <f>IFERROR(자료실기준[[#This Row],[어린이남자]]+자료실기준[[#This Row],[청소년남자]]+자료실기준[[#This Row],[성인남자]],0)</f>
        <v>0</v>
      </c>
      <c r="O56">
        <f>IFERROR(자료실기준[[#This Row],[어린이여자]]+자료실기준[[#This Row],[청소년여자]]+자료실기준[[#This Row],[성인여자]],0)</f>
        <v>1</v>
      </c>
      <c r="P56">
        <f>IFERROR(자료실기준[[#This Row],[남자]]+자료실기준[[#This Row],[여자]],0)</f>
        <v>1</v>
      </c>
      <c r="Q56" cm="1">
        <f t="array" ref="Q56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56" cm="1">
        <f t="array" ref="R56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56" cm="1">
        <f t="array" ref="S56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56" cm="1">
        <f t="array" ref="T56">IFERROR(INDEX(대출권수[],MATCH(1,(자료실기준[[#This Row],[소장처명]]=대출권수[소장처명])*(대출권수[대출반납]="대출")*(자료실기준[[#This Row],[년월]]=대출권수[년월]),0),MATCH(T$1,대출권수[#Headers],0)),0)</f>
        <v>1</v>
      </c>
      <c r="U56" cm="1">
        <f t="array" ref="U56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56" cm="1">
        <f t="array" ref="V56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56" cm="1">
        <f t="array" ref="W56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56" cm="1">
        <f t="array" ref="X56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56" cm="1">
        <f t="array" ref="Y56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56" cm="1">
        <f t="array" ref="Z56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56">
        <f>SUM(자료실기준[[#This Row],[총류]:[역사]])</f>
        <v>1</v>
      </c>
    </row>
    <row r="57" spans="1:27" x14ac:dyDescent="0.3">
      <c r="A57" s="5">
        <v>45352</v>
      </c>
      <c r="B57" t="s">
        <v>3</v>
      </c>
      <c r="C57" s="5" t="str">
        <f>TEXT(자료실기준[[#This Row],[년월]],"yy년m월")&amp;자료실기준[[#This Row],[소장처명]]</f>
        <v>24년3월별관 서고(디지털자료실)</v>
      </c>
      <c r="D57" t="str">
        <f>IFERROR(INDEX(자료실범례[],MATCH($B57,자료실범례[소장처명],0),2),"종합자료실")</f>
        <v>디지털자료실</v>
      </c>
      <c r="E57" cm="1">
        <f t="array" ref="E57">IFERROR(INDEX(대출자[],MATCH(1,(자료실기준[[#This Row],[소장처명]]=대출자[소장처명])*(자료실기준[[#This Row],[년월]]=대출자[년월]),0),MATCH(E$1,대출자[#Headers],0)),0)</f>
        <v>0</v>
      </c>
      <c r="F57" cm="1">
        <f t="array" ref="F57">IFERROR(INDEX(대출자[],MATCH(1,(자료실기준[[#This Row],[소장처명]]=대출자[소장처명])*(자료실기준[[#This Row],[년월]]=대출자[년월]),0),MATCH(F$1,대출자[#Headers],0)),0)</f>
        <v>0</v>
      </c>
      <c r="G57" cm="1">
        <f t="array" ref="G57">IFERROR(INDEX(대출자[],MATCH(1,(자료실기준[[#This Row],[소장처명]]=대출자[소장처명])*(자료실기준[[#This Row],[년월]]=대출자[년월]),0),MATCH(G$1,대출자[#Headers],0)),0)</f>
        <v>0</v>
      </c>
      <c r="H57" cm="1">
        <f t="array" ref="H57">IFERROR(INDEX(대출자[],MATCH(1,(자료실기준[[#This Row],[소장처명]]=대출자[소장처명])*(자료실기준[[#This Row],[년월]]=대출자[년월]),0),MATCH(H$1,대출자[#Headers],0)),0)</f>
        <v>0</v>
      </c>
      <c r="I57" cm="1">
        <f t="array" ref="I57">IFERROR(INDEX(대출자[],MATCH(1,(자료실기준[[#This Row],[소장처명]]=대출자[소장처명])*(자료실기준[[#This Row],[년월]]=대출자[년월]),0),MATCH(I$1,대출자[#Headers],0)),0)</f>
        <v>0</v>
      </c>
      <c r="J57" cm="1">
        <f t="array" ref="J57">IFERROR(INDEX(대출자[],MATCH(1,(자료실기준[[#This Row],[소장처명]]=대출자[소장처명])*(자료실기준[[#This Row],[년월]]=대출자[년월]),0),MATCH(J$1,대출자[#Headers],0)),0)</f>
        <v>1</v>
      </c>
      <c r="K57" cm="1">
        <f t="array" ref="K57">IFERROR(INDEX(대출자[],MATCH(1,(자료실기준[[#This Row],[소장처명]]=대출자[소장처명])*(자료실기준[[#This Row],[년월]]=대출자[년월]),0),MATCH(K$1,대출자[#Headers],0)),0)</f>
        <v>0</v>
      </c>
      <c r="L57" cm="1">
        <f t="array" ref="L57">IFERROR(INDEX(대출자[],MATCH(1,(자료실기준[[#This Row],[소장처명]]=대출자[소장처명])*(자료실기준[[#This Row],[년월]]=대출자[년월]),0),MATCH(L$1,대출자[#Headers],0)),0)</f>
        <v>0</v>
      </c>
      <c r="M57" cm="1">
        <f t="array" ref="M57">IFERROR(INDEX(대출자[],MATCH(1,(자료실기준[[#This Row],[소장처명]]=대출자[소장처명])*(자료실기준[[#This Row],[년월]]=대출자[년월]),0),MATCH(M$1,대출자[#Headers],0)),0)</f>
        <v>1</v>
      </c>
      <c r="N57">
        <f>IFERROR(자료실기준[[#This Row],[어린이남자]]+자료실기준[[#This Row],[청소년남자]]+자료실기준[[#This Row],[성인남자]],0)</f>
        <v>0</v>
      </c>
      <c r="O57">
        <f>IFERROR(자료실기준[[#This Row],[어린이여자]]+자료실기준[[#This Row],[청소년여자]]+자료실기준[[#This Row],[성인여자]],0)</f>
        <v>1</v>
      </c>
      <c r="P57">
        <f>IFERROR(자료실기준[[#This Row],[남자]]+자료실기준[[#This Row],[여자]],0)</f>
        <v>1</v>
      </c>
      <c r="Q57" cm="1">
        <f t="array" ref="Q57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57" cm="1">
        <f t="array" ref="R57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57" cm="1">
        <f t="array" ref="S57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57" cm="1">
        <f t="array" ref="T57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57" cm="1">
        <f t="array" ref="U57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57" cm="1">
        <f t="array" ref="V57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57" cm="1">
        <f t="array" ref="W57">IFERROR(INDEX(대출권수[],MATCH(1,(자료실기준[[#This Row],[소장처명]]=대출권수[소장처명])*(대출권수[대출반납]="대출")*(자료실기준[[#This Row],[년월]]=대출권수[년월]),0),MATCH(W$1,대출권수[#Headers],0)),0)</f>
        <v>1</v>
      </c>
      <c r="X57" cm="1">
        <f t="array" ref="X57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57" cm="1">
        <f t="array" ref="Y57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57" cm="1">
        <f t="array" ref="Z57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57">
        <f>SUM(자료실기준[[#This Row],[총류]:[역사]])</f>
        <v>1</v>
      </c>
    </row>
    <row r="58" spans="1:27" x14ac:dyDescent="0.3">
      <c r="A58" s="5">
        <v>45352</v>
      </c>
      <c r="B58" t="s">
        <v>4</v>
      </c>
      <c r="C58" s="5" t="str">
        <f>TEXT(자료실기준[[#This Row],[년월]],"yy년m월")&amp;자료실기준[[#This Row],[소장처명]]</f>
        <v>24년3월별관 서고(어린이자료실)</v>
      </c>
      <c r="D58" t="str">
        <f>IFERROR(INDEX(자료실범례[],MATCH($B58,자료실범례[소장처명],0),2),"종합자료실")</f>
        <v>어린이자료실</v>
      </c>
      <c r="E58" cm="1">
        <f t="array" ref="E58">IFERROR(INDEX(대출자[],MATCH(1,(자료실기준[[#This Row],[소장처명]]=대출자[소장처명])*(자료실기준[[#This Row],[년월]]=대출자[년월]),0),MATCH(E$1,대출자[#Headers],0)),0)</f>
        <v>0</v>
      </c>
      <c r="F58" cm="1">
        <f t="array" ref="F58">IFERROR(INDEX(대출자[],MATCH(1,(자료실기준[[#This Row],[소장처명]]=대출자[소장처명])*(자료실기준[[#This Row],[년월]]=대출자[년월]),0),MATCH(F$1,대출자[#Headers],0)),0)</f>
        <v>1</v>
      </c>
      <c r="G58" cm="1">
        <f t="array" ref="G58">IFERROR(INDEX(대출자[],MATCH(1,(자료실기준[[#This Row],[소장처명]]=대출자[소장처명])*(자료실기준[[#This Row],[년월]]=대출자[년월]),0),MATCH(G$1,대출자[#Headers],0)),0)</f>
        <v>0</v>
      </c>
      <c r="H58" cm="1">
        <f t="array" ref="H58">IFERROR(INDEX(대출자[],MATCH(1,(자료실기준[[#This Row],[소장처명]]=대출자[소장처명])*(자료실기준[[#This Row],[년월]]=대출자[년월]),0),MATCH(H$1,대출자[#Headers],0)),0)</f>
        <v>0</v>
      </c>
      <c r="I58" cm="1">
        <f t="array" ref="I58">IFERROR(INDEX(대출자[],MATCH(1,(자료실기준[[#This Row],[소장처명]]=대출자[소장처명])*(자료실기준[[#This Row],[년월]]=대출자[년월]),0),MATCH(I$1,대출자[#Headers],0)),0)</f>
        <v>3</v>
      </c>
      <c r="J58" cm="1">
        <f t="array" ref="J58">IFERROR(INDEX(대출자[],MATCH(1,(자료실기준[[#This Row],[소장처명]]=대출자[소장처명])*(자료실기준[[#This Row],[년월]]=대출자[년월]),0),MATCH(J$1,대출자[#Headers],0)),0)</f>
        <v>3</v>
      </c>
      <c r="K58" cm="1">
        <f t="array" ref="K58">IFERROR(INDEX(대출자[],MATCH(1,(자료실기준[[#This Row],[소장처명]]=대출자[소장처명])*(자료실기준[[#This Row],[년월]]=대출자[년월]),0),MATCH(K$1,대출자[#Headers],0)),0)</f>
        <v>1</v>
      </c>
      <c r="L58" cm="1">
        <f t="array" ref="L58">IFERROR(INDEX(대출자[],MATCH(1,(자료실기준[[#This Row],[소장처명]]=대출자[소장처명])*(자료실기준[[#This Row],[년월]]=대출자[년월]),0),MATCH(L$1,대출자[#Headers],0)),0)</f>
        <v>0</v>
      </c>
      <c r="M58" cm="1">
        <f t="array" ref="M58">IFERROR(INDEX(대출자[],MATCH(1,(자료실기준[[#This Row],[소장처명]]=대출자[소장처명])*(자료실기준[[#This Row],[년월]]=대출자[년월]),0),MATCH(M$1,대출자[#Headers],0)),0)</f>
        <v>6</v>
      </c>
      <c r="N58">
        <f>IFERROR(자료실기준[[#This Row],[어린이남자]]+자료실기준[[#This Row],[청소년남자]]+자료실기준[[#This Row],[성인남자]],0)</f>
        <v>3</v>
      </c>
      <c r="O58">
        <f>IFERROR(자료실기준[[#This Row],[어린이여자]]+자료실기준[[#This Row],[청소년여자]]+자료실기준[[#This Row],[성인여자]],0)</f>
        <v>4</v>
      </c>
      <c r="P58">
        <f>IFERROR(자료실기준[[#This Row],[남자]]+자료실기준[[#This Row],[여자]],0)</f>
        <v>7</v>
      </c>
      <c r="Q58" cm="1">
        <f t="array" ref="Q58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58" cm="1">
        <f t="array" ref="R58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58" cm="1">
        <f t="array" ref="S58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58" cm="1">
        <f t="array" ref="T58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58" cm="1">
        <f t="array" ref="U58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58" cm="1">
        <f t="array" ref="V58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58" cm="1">
        <f t="array" ref="W58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58" cm="1">
        <f t="array" ref="X58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58" cm="1">
        <f t="array" ref="Y58">IFERROR(INDEX(대출권수[],MATCH(1,(자료실기준[[#This Row],[소장처명]]=대출권수[소장처명])*(대출권수[대출반납]="대출")*(자료실기준[[#This Row],[년월]]=대출권수[년월]),0),MATCH(Y$1,대출권수[#Headers],0)),0)</f>
        <v>4</v>
      </c>
      <c r="Z58" cm="1">
        <f t="array" ref="Z58">IFERROR(INDEX(대출권수[],MATCH(1,(자료실기준[[#This Row],[소장처명]]=대출권수[소장처명])*(대출권수[대출반납]="대출")*(자료실기준[[#This Row],[년월]]=대출권수[년월]),0),MATCH(Z$1,대출권수[#Headers],0)),0)</f>
        <v>4</v>
      </c>
      <c r="AA58">
        <f>SUM(자료실기준[[#This Row],[총류]:[역사]])</f>
        <v>8</v>
      </c>
    </row>
    <row r="59" spans="1:27" x14ac:dyDescent="0.3">
      <c r="A59" s="5">
        <v>45352</v>
      </c>
      <c r="B59" t="s">
        <v>5</v>
      </c>
      <c r="C59" s="5" t="str">
        <f>TEXT(자료실기준[[#This Row],[년월]],"yy년m월")&amp;자료실기준[[#This Row],[소장처명]]</f>
        <v>24년3월별관 서고(종합자료실)</v>
      </c>
      <c r="D59" t="str">
        <f>IFERROR(INDEX(자료실범례[],MATCH($B59,자료실범례[소장처명],0),2),"종합자료실")</f>
        <v>종합자료실</v>
      </c>
      <c r="E59" cm="1">
        <f t="array" ref="E59">IFERROR(INDEX(대출자[],MATCH(1,(자료실기준[[#This Row],[소장처명]]=대출자[소장처명])*(자료실기준[[#This Row],[년월]]=대출자[년월]),0),MATCH(E$1,대출자[#Headers],0)),0)</f>
        <v>0</v>
      </c>
      <c r="F59" cm="1">
        <f t="array" ref="F59">IFERROR(INDEX(대출자[],MATCH(1,(자료실기준[[#This Row],[소장처명]]=대출자[소장처명])*(자료실기준[[#This Row],[년월]]=대출자[년월]),0),MATCH(F$1,대출자[#Headers],0)),0)</f>
        <v>1</v>
      </c>
      <c r="G59" cm="1">
        <f t="array" ref="G59">IFERROR(INDEX(대출자[],MATCH(1,(자료실기준[[#This Row],[소장처명]]=대출자[소장처명])*(자료실기준[[#This Row],[년월]]=대출자[년월]),0),MATCH(G$1,대출자[#Headers],0)),0)</f>
        <v>1</v>
      </c>
      <c r="H59" cm="1">
        <f t="array" ref="H59">IFERROR(INDEX(대출자[],MATCH(1,(자료실기준[[#This Row],[소장처명]]=대출자[소장처명])*(자료실기준[[#This Row],[년월]]=대출자[년월]),0),MATCH(H$1,대출자[#Headers],0)),0)</f>
        <v>0</v>
      </c>
      <c r="I59" cm="1">
        <f t="array" ref="I59">IFERROR(INDEX(대출자[],MATCH(1,(자료실기준[[#This Row],[소장처명]]=대출자[소장처명])*(자료실기준[[#This Row],[년월]]=대출자[년월]),0),MATCH(I$1,대출자[#Headers],0)),0)</f>
        <v>9</v>
      </c>
      <c r="J59" cm="1">
        <f t="array" ref="J59">IFERROR(INDEX(대출자[],MATCH(1,(자료실기준[[#This Row],[소장처명]]=대출자[소장처명])*(자료실기준[[#This Row],[년월]]=대출자[년월]),0),MATCH(J$1,대출자[#Headers],0)),0)</f>
        <v>14</v>
      </c>
      <c r="K59" cm="1">
        <f t="array" ref="K59">IFERROR(INDEX(대출자[],MATCH(1,(자료실기준[[#This Row],[소장처명]]=대출자[소장처명])*(자료실기준[[#This Row],[년월]]=대출자[년월]),0),MATCH(K$1,대출자[#Headers],0)),0)</f>
        <v>1</v>
      </c>
      <c r="L59" cm="1">
        <f t="array" ref="L59">IFERROR(INDEX(대출자[],MATCH(1,(자료실기준[[#This Row],[소장처명]]=대출자[소장처명])*(자료실기준[[#This Row],[년월]]=대출자[년월]),0),MATCH(L$1,대출자[#Headers],0)),0)</f>
        <v>1</v>
      </c>
      <c r="M59" cm="1">
        <f t="array" ref="M59">IFERROR(INDEX(대출자[],MATCH(1,(자료실기준[[#This Row],[소장처명]]=대출자[소장처명])*(자료실기준[[#This Row],[년월]]=대출자[년월]),0),MATCH(M$1,대출자[#Headers],0)),0)</f>
        <v>23</v>
      </c>
      <c r="N59">
        <f>IFERROR(자료실기준[[#This Row],[어린이남자]]+자료실기준[[#This Row],[청소년남자]]+자료실기준[[#This Row],[성인남자]],0)</f>
        <v>10</v>
      </c>
      <c r="O59">
        <f>IFERROR(자료실기준[[#This Row],[어린이여자]]+자료실기준[[#This Row],[청소년여자]]+자료실기준[[#This Row],[성인여자]],0)</f>
        <v>15</v>
      </c>
      <c r="P59">
        <f>IFERROR(자료실기준[[#This Row],[남자]]+자료실기준[[#This Row],[여자]],0)</f>
        <v>25</v>
      </c>
      <c r="Q59" cm="1">
        <f t="array" ref="Q59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59" cm="1">
        <f t="array" ref="R59">IFERROR(INDEX(대출권수[],MATCH(1,(자료실기준[[#This Row],[소장처명]]=대출권수[소장처명])*(대출권수[대출반납]="대출")*(자료실기준[[#This Row],[년월]]=대출권수[년월]),0),MATCH(R$1,대출권수[#Headers],0)),0)</f>
        <v>4</v>
      </c>
      <c r="S59" cm="1">
        <f t="array" ref="S59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59" cm="1">
        <f t="array" ref="T59">IFERROR(INDEX(대출권수[],MATCH(1,(자료실기준[[#This Row],[소장처명]]=대출권수[소장처명])*(대출권수[대출반납]="대출")*(자료실기준[[#This Row],[년월]]=대출권수[년월]),0),MATCH(T$1,대출권수[#Headers],0)),0)</f>
        <v>18</v>
      </c>
      <c r="U59" cm="1">
        <f t="array" ref="U59">IFERROR(INDEX(대출권수[],MATCH(1,(자료실기준[[#This Row],[소장처명]]=대출권수[소장처명])*(대출권수[대출반납]="대출")*(자료실기준[[#This Row],[년월]]=대출권수[년월]),0),MATCH(U$1,대출권수[#Headers],0)),0)</f>
        <v>7</v>
      </c>
      <c r="V59" cm="1">
        <f t="array" ref="V59">IFERROR(INDEX(대출권수[],MATCH(1,(자료실기준[[#This Row],[소장처명]]=대출권수[소장처명])*(대출권수[대출반납]="대출")*(자료실기준[[#This Row],[년월]]=대출권수[년월]),0),MATCH(V$1,대출권수[#Headers],0)),0)</f>
        <v>4</v>
      </c>
      <c r="W59" cm="1">
        <f t="array" ref="W59">IFERROR(INDEX(대출권수[],MATCH(1,(자료실기준[[#This Row],[소장처명]]=대출권수[소장처명])*(대출권수[대출반납]="대출")*(자료실기준[[#This Row],[년월]]=대출권수[년월]),0),MATCH(W$1,대출권수[#Headers],0)),0)</f>
        <v>3</v>
      </c>
      <c r="X59" cm="1">
        <f t="array" ref="X59">IFERROR(INDEX(대출권수[],MATCH(1,(자료실기준[[#This Row],[소장처명]]=대출권수[소장처명])*(대출권수[대출반납]="대출")*(자료실기준[[#This Row],[년월]]=대출권수[년월]),0),MATCH(X$1,대출권수[#Headers],0)),0)</f>
        <v>1</v>
      </c>
      <c r="Y59" cm="1">
        <f t="array" ref="Y59">IFERROR(INDEX(대출권수[],MATCH(1,(자료실기준[[#This Row],[소장처명]]=대출권수[소장처명])*(대출권수[대출반납]="대출")*(자료실기준[[#This Row],[년월]]=대출권수[년월]),0),MATCH(Y$1,대출권수[#Headers],0)),0)</f>
        <v>7</v>
      </c>
      <c r="Z59" cm="1">
        <f t="array" ref="Z59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59">
        <f>SUM(자료실기준[[#This Row],[총류]:[역사]])</f>
        <v>44</v>
      </c>
    </row>
    <row r="60" spans="1:27" x14ac:dyDescent="0.3">
      <c r="A60" s="5">
        <v>45352</v>
      </c>
      <c r="B60" t="s">
        <v>7</v>
      </c>
      <c r="C60" s="5" t="str">
        <f>TEXT(자료실기준[[#This Row],[년월]],"yy년m월")&amp;자료실기준[[#This Row],[소장처명]]</f>
        <v>24년3월어린이실(교과1학년)</v>
      </c>
      <c r="D60" t="str">
        <f>IFERROR(INDEX(자료실범례[],MATCH($B60,자료실범례[소장처명],0),2),"종합자료실")</f>
        <v>어린이자료실</v>
      </c>
      <c r="E60" cm="1">
        <f t="array" ref="E60">IFERROR(INDEX(대출자[],MATCH(1,(자료실기준[[#This Row],[소장처명]]=대출자[소장처명])*(자료실기준[[#This Row],[년월]]=대출자[년월]),0),MATCH(E$1,대출자[#Headers],0)),0)</f>
        <v>10</v>
      </c>
      <c r="F60" cm="1">
        <f t="array" ref="F60">IFERROR(INDEX(대출자[],MATCH(1,(자료실기준[[#This Row],[소장처명]]=대출자[소장처명])*(자료실기준[[#This Row],[년월]]=대출자[년월]),0),MATCH(F$1,대출자[#Headers],0)),0)</f>
        <v>9</v>
      </c>
      <c r="G60" cm="1">
        <f t="array" ref="G60">IFERROR(INDEX(대출자[],MATCH(1,(자료실기준[[#This Row],[소장처명]]=대출자[소장처명])*(자료실기준[[#This Row],[년월]]=대출자[년월]),0),MATCH(G$1,대출자[#Headers],0)),0)</f>
        <v>0</v>
      </c>
      <c r="H60" cm="1">
        <f t="array" ref="H60">IFERROR(INDEX(대출자[],MATCH(1,(자료실기준[[#This Row],[소장처명]]=대출자[소장처명])*(자료실기준[[#This Row],[년월]]=대출자[년월]),0),MATCH(H$1,대출자[#Headers],0)),0)</f>
        <v>0</v>
      </c>
      <c r="I60" cm="1">
        <f t="array" ref="I60">IFERROR(INDEX(대출자[],MATCH(1,(자료실기준[[#This Row],[소장처명]]=대출자[소장처명])*(자료실기준[[#This Row],[년월]]=대출자[년월]),0),MATCH(I$1,대출자[#Headers],0)),0)</f>
        <v>0</v>
      </c>
      <c r="J60" cm="1">
        <f t="array" ref="J60">IFERROR(INDEX(대출자[],MATCH(1,(자료실기준[[#This Row],[소장처명]]=대출자[소장처명])*(자료실기준[[#This Row],[년월]]=대출자[년월]),0),MATCH(J$1,대출자[#Headers],0)),0)</f>
        <v>8</v>
      </c>
      <c r="K60" cm="1">
        <f t="array" ref="K60">IFERROR(INDEX(대출자[],MATCH(1,(자료실기준[[#This Row],[소장처명]]=대출자[소장처명])*(자료실기준[[#This Row],[년월]]=대출자[년월]),0),MATCH(K$1,대출자[#Headers],0)),0)</f>
        <v>19</v>
      </c>
      <c r="L60" cm="1">
        <f t="array" ref="L60">IFERROR(INDEX(대출자[],MATCH(1,(자료실기준[[#This Row],[소장처명]]=대출자[소장처명])*(자료실기준[[#This Row],[년월]]=대출자[년월]),0),MATCH(L$1,대출자[#Headers],0)),0)</f>
        <v>0</v>
      </c>
      <c r="M60" cm="1">
        <f t="array" ref="M60">IFERROR(INDEX(대출자[],MATCH(1,(자료실기준[[#This Row],[소장처명]]=대출자[소장처명])*(자료실기준[[#This Row],[년월]]=대출자[년월]),0),MATCH(M$1,대출자[#Headers],0)),0)</f>
        <v>8</v>
      </c>
      <c r="N60">
        <f>IFERROR(자료실기준[[#This Row],[어린이남자]]+자료실기준[[#This Row],[청소년남자]]+자료실기준[[#This Row],[성인남자]],0)</f>
        <v>10</v>
      </c>
      <c r="O60">
        <f>IFERROR(자료실기준[[#This Row],[어린이여자]]+자료실기준[[#This Row],[청소년여자]]+자료실기준[[#This Row],[성인여자]],0)</f>
        <v>17</v>
      </c>
      <c r="P60">
        <f>IFERROR(자료실기준[[#This Row],[남자]]+자료실기준[[#This Row],[여자]],0)</f>
        <v>27</v>
      </c>
      <c r="Q60" cm="1">
        <f t="array" ref="Q60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60" cm="1">
        <f t="array" ref="R60">IFERROR(INDEX(대출권수[],MATCH(1,(자료실기준[[#This Row],[소장처명]]=대출권수[소장처명])*(대출권수[대출반납]="대출")*(자료실기준[[#This Row],[년월]]=대출권수[년월]),0),MATCH(R$1,대출권수[#Headers],0)),0)</f>
        <v>1</v>
      </c>
      <c r="S60" cm="1">
        <f t="array" ref="S60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60" cm="1">
        <f t="array" ref="T60">IFERROR(INDEX(대출권수[],MATCH(1,(자료실기준[[#This Row],[소장처명]]=대출권수[소장처명])*(대출권수[대출반납]="대출")*(자료실기준[[#This Row],[년월]]=대출권수[년월]),0),MATCH(T$1,대출권수[#Headers],0)),0)</f>
        <v>12</v>
      </c>
      <c r="U60" cm="1">
        <f t="array" ref="U60">IFERROR(INDEX(대출권수[],MATCH(1,(자료실기준[[#This Row],[소장처명]]=대출권수[소장처명])*(대출권수[대출반납]="대출")*(자료실기준[[#This Row],[년월]]=대출권수[년월]),0),MATCH(U$1,대출권수[#Headers],0)),0)</f>
        <v>2</v>
      </c>
      <c r="V60" cm="1">
        <f t="array" ref="V60">IFERROR(INDEX(대출권수[],MATCH(1,(자료실기준[[#This Row],[소장처명]]=대출권수[소장처명])*(대출권수[대출반납]="대출")*(자료실기준[[#This Row],[년월]]=대출권수[년월]),0),MATCH(V$1,대출권수[#Headers],0)),0)</f>
        <v>1</v>
      </c>
      <c r="W60" cm="1">
        <f t="array" ref="W60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60" cm="1">
        <f t="array" ref="X60">IFERROR(INDEX(대출권수[],MATCH(1,(자료실기준[[#This Row],[소장처명]]=대출권수[소장처명])*(대출권수[대출반납]="대출")*(자료실기준[[#This Row],[년월]]=대출권수[년월]),0),MATCH(X$1,대출권수[#Headers],0)),0)</f>
        <v>1</v>
      </c>
      <c r="Y60" cm="1">
        <f t="array" ref="Y60">IFERROR(INDEX(대출권수[],MATCH(1,(자료실기준[[#This Row],[소장처명]]=대출권수[소장처명])*(대출권수[대출반납]="대출")*(자료실기준[[#This Row],[년월]]=대출권수[년월]),0),MATCH(Y$1,대출권수[#Headers],0)),0)</f>
        <v>86</v>
      </c>
      <c r="Z60" cm="1">
        <f t="array" ref="Z60">IFERROR(INDEX(대출권수[],MATCH(1,(자료실기준[[#This Row],[소장처명]]=대출권수[소장처명])*(대출권수[대출반납]="대출")*(자료실기준[[#This Row],[년월]]=대출권수[년월]),0),MATCH(Z$1,대출권수[#Headers],0)),0)</f>
        <v>1</v>
      </c>
      <c r="AA60">
        <f>SUM(자료실기준[[#This Row],[총류]:[역사]])</f>
        <v>104</v>
      </c>
    </row>
    <row r="61" spans="1:27" x14ac:dyDescent="0.3">
      <c r="A61" s="5">
        <v>45352</v>
      </c>
      <c r="B61" t="s">
        <v>8</v>
      </c>
      <c r="C61" s="5" t="str">
        <f>TEXT(자료실기준[[#This Row],[년월]],"yy년m월")&amp;자료실기준[[#This Row],[소장처명]]</f>
        <v>24년3월어린이실(교과2학년)</v>
      </c>
      <c r="D61" t="str">
        <f>IFERROR(INDEX(자료실범례[],MATCH($B61,자료실범례[소장처명],0),2),"종합자료실")</f>
        <v>어린이자료실</v>
      </c>
      <c r="E61" cm="1">
        <f t="array" ref="E61">IFERROR(INDEX(대출자[],MATCH(1,(자료실기준[[#This Row],[소장처명]]=대출자[소장처명])*(자료실기준[[#This Row],[년월]]=대출자[년월]),0),MATCH(E$1,대출자[#Headers],0)),0)</f>
        <v>1</v>
      </c>
      <c r="F61" cm="1">
        <f t="array" ref="F61">IFERROR(INDEX(대출자[],MATCH(1,(자료실기준[[#This Row],[소장처명]]=대출자[소장처명])*(자료실기준[[#This Row],[년월]]=대출자[년월]),0),MATCH(F$1,대출자[#Headers],0)),0)</f>
        <v>7</v>
      </c>
      <c r="G61" cm="1">
        <f t="array" ref="G61">IFERROR(INDEX(대출자[],MATCH(1,(자료실기준[[#This Row],[소장처명]]=대출자[소장처명])*(자료실기준[[#This Row],[년월]]=대출자[년월]),0),MATCH(G$1,대출자[#Headers],0)),0)</f>
        <v>0</v>
      </c>
      <c r="H61" cm="1">
        <f t="array" ref="H61">IFERROR(INDEX(대출자[],MATCH(1,(자료실기준[[#This Row],[소장처명]]=대출자[소장처명])*(자료실기준[[#This Row],[년월]]=대출자[년월]),0),MATCH(H$1,대출자[#Headers],0)),0)</f>
        <v>0</v>
      </c>
      <c r="I61" cm="1">
        <f t="array" ref="I61">IFERROR(INDEX(대출자[],MATCH(1,(자료실기준[[#This Row],[소장처명]]=대출자[소장처명])*(자료실기준[[#This Row],[년월]]=대출자[년월]),0),MATCH(I$1,대출자[#Headers],0)),0)</f>
        <v>0</v>
      </c>
      <c r="J61" cm="1">
        <f t="array" ref="J61">IFERROR(INDEX(대출자[],MATCH(1,(자료실기준[[#This Row],[소장처명]]=대출자[소장처명])*(자료실기준[[#This Row],[년월]]=대출자[년월]),0),MATCH(J$1,대출자[#Headers],0)),0)</f>
        <v>7</v>
      </c>
      <c r="K61" cm="1">
        <f t="array" ref="K61">IFERROR(INDEX(대출자[],MATCH(1,(자료실기준[[#This Row],[소장처명]]=대출자[소장처명])*(자료실기준[[#This Row],[년월]]=대출자[년월]),0),MATCH(K$1,대출자[#Headers],0)),0)</f>
        <v>8</v>
      </c>
      <c r="L61" cm="1">
        <f t="array" ref="L61">IFERROR(INDEX(대출자[],MATCH(1,(자료실기준[[#This Row],[소장처명]]=대출자[소장처명])*(자료실기준[[#This Row],[년월]]=대출자[년월]),0),MATCH(L$1,대출자[#Headers],0)),0)</f>
        <v>0</v>
      </c>
      <c r="M61" cm="1">
        <f t="array" ref="M61">IFERROR(INDEX(대출자[],MATCH(1,(자료실기준[[#This Row],[소장처명]]=대출자[소장처명])*(자료실기준[[#This Row],[년월]]=대출자[년월]),0),MATCH(M$1,대출자[#Headers],0)),0)</f>
        <v>7</v>
      </c>
      <c r="N61">
        <f>IFERROR(자료실기준[[#This Row],[어린이남자]]+자료실기준[[#This Row],[청소년남자]]+자료실기준[[#This Row],[성인남자]],0)</f>
        <v>1</v>
      </c>
      <c r="O61">
        <f>IFERROR(자료실기준[[#This Row],[어린이여자]]+자료실기준[[#This Row],[청소년여자]]+자료실기준[[#This Row],[성인여자]],0)</f>
        <v>14</v>
      </c>
      <c r="P61">
        <f>IFERROR(자료실기준[[#This Row],[남자]]+자료실기준[[#This Row],[여자]],0)</f>
        <v>15</v>
      </c>
      <c r="Q61" cm="1">
        <f t="array" ref="Q61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61" cm="1">
        <f t="array" ref="R61">IFERROR(INDEX(대출권수[],MATCH(1,(자료실기준[[#This Row],[소장처명]]=대출권수[소장처명])*(대출권수[대출반납]="대출")*(자료실기준[[#This Row],[년월]]=대출권수[년월]),0),MATCH(R$1,대출권수[#Headers],0)),0)</f>
        <v>2</v>
      </c>
      <c r="S61" cm="1">
        <f t="array" ref="S61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61" cm="1">
        <f t="array" ref="T61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61" cm="1">
        <f t="array" ref="U61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61" cm="1">
        <f t="array" ref="V61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61" cm="1">
        <f t="array" ref="W61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61" cm="1">
        <f t="array" ref="X61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61" cm="1">
        <f t="array" ref="Y61">IFERROR(INDEX(대출권수[],MATCH(1,(자료실기준[[#This Row],[소장처명]]=대출권수[소장처명])*(대출권수[대출반납]="대출")*(자료실기준[[#This Row],[년월]]=대출권수[년월]),0),MATCH(Y$1,대출권수[#Headers],0)),0)</f>
        <v>26</v>
      </c>
      <c r="Z61" cm="1">
        <f t="array" ref="Z61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61">
        <f>SUM(자료실기준[[#This Row],[총류]:[역사]])</f>
        <v>28</v>
      </c>
    </row>
    <row r="62" spans="1:27" x14ac:dyDescent="0.3">
      <c r="A62" s="5">
        <v>45352</v>
      </c>
      <c r="B62" t="s">
        <v>9</v>
      </c>
      <c r="C62" s="5" t="str">
        <f>TEXT(자료실기준[[#This Row],[년월]],"yy년m월")&amp;자료실기준[[#This Row],[소장처명]]</f>
        <v>24년3월어린이실(교과3학년)</v>
      </c>
      <c r="D62" t="str">
        <f>IFERROR(INDEX(자료실범례[],MATCH($B62,자료실범례[소장처명],0),2),"종합자료실")</f>
        <v>어린이자료실</v>
      </c>
      <c r="E62" cm="1">
        <f t="array" ref="E62">IFERROR(INDEX(대출자[],MATCH(1,(자료실기준[[#This Row],[소장처명]]=대출자[소장처명])*(자료실기준[[#This Row],[년월]]=대출자[년월]),0),MATCH(E$1,대출자[#Headers],0)),0)</f>
        <v>1</v>
      </c>
      <c r="F62" cm="1">
        <f t="array" ref="F62">IFERROR(INDEX(대출자[],MATCH(1,(자료실기준[[#This Row],[소장처명]]=대출자[소장처명])*(자료실기준[[#This Row],[년월]]=대출자[년월]),0),MATCH(F$1,대출자[#Headers],0)),0)</f>
        <v>2</v>
      </c>
      <c r="G62" cm="1">
        <f t="array" ref="G62">IFERROR(INDEX(대출자[],MATCH(1,(자료실기준[[#This Row],[소장처명]]=대출자[소장처명])*(자료실기준[[#This Row],[년월]]=대출자[년월]),0),MATCH(G$1,대출자[#Headers],0)),0)</f>
        <v>0</v>
      </c>
      <c r="H62" cm="1">
        <f t="array" ref="H62">IFERROR(INDEX(대출자[],MATCH(1,(자료실기준[[#This Row],[소장처명]]=대출자[소장처명])*(자료실기준[[#This Row],[년월]]=대출자[년월]),0),MATCH(H$1,대출자[#Headers],0)),0)</f>
        <v>0</v>
      </c>
      <c r="I62" cm="1">
        <f t="array" ref="I62">IFERROR(INDEX(대출자[],MATCH(1,(자료실기준[[#This Row],[소장처명]]=대출자[소장처명])*(자료실기준[[#This Row],[년월]]=대출자[년월]),0),MATCH(I$1,대출자[#Headers],0)),0)</f>
        <v>1</v>
      </c>
      <c r="J62" cm="1">
        <f t="array" ref="J62">IFERROR(INDEX(대출자[],MATCH(1,(자료실기준[[#This Row],[소장처명]]=대출자[소장처명])*(자료실기준[[#This Row],[년월]]=대출자[년월]),0),MATCH(J$1,대출자[#Headers],0)),0)</f>
        <v>2</v>
      </c>
      <c r="K62" cm="1">
        <f t="array" ref="K62">IFERROR(INDEX(대출자[],MATCH(1,(자료실기준[[#This Row],[소장처명]]=대출자[소장처명])*(자료실기준[[#This Row],[년월]]=대출자[년월]),0),MATCH(K$1,대출자[#Headers],0)),0)</f>
        <v>3</v>
      </c>
      <c r="L62" cm="1">
        <f t="array" ref="L62">IFERROR(INDEX(대출자[],MATCH(1,(자료실기준[[#This Row],[소장처명]]=대출자[소장처명])*(자료실기준[[#This Row],[년월]]=대출자[년월]),0),MATCH(L$1,대출자[#Headers],0)),0)</f>
        <v>0</v>
      </c>
      <c r="M62" cm="1">
        <f t="array" ref="M62">IFERROR(INDEX(대출자[],MATCH(1,(자료실기준[[#This Row],[소장처명]]=대출자[소장처명])*(자료실기준[[#This Row],[년월]]=대출자[년월]),0),MATCH(M$1,대출자[#Headers],0)),0)</f>
        <v>3</v>
      </c>
      <c r="N62">
        <f>IFERROR(자료실기준[[#This Row],[어린이남자]]+자료실기준[[#This Row],[청소년남자]]+자료실기준[[#This Row],[성인남자]],0)</f>
        <v>2</v>
      </c>
      <c r="O62">
        <f>IFERROR(자료실기준[[#This Row],[어린이여자]]+자료실기준[[#This Row],[청소년여자]]+자료실기준[[#This Row],[성인여자]],0)</f>
        <v>4</v>
      </c>
      <c r="P62">
        <f>IFERROR(자료실기준[[#This Row],[남자]]+자료실기준[[#This Row],[여자]],0)</f>
        <v>6</v>
      </c>
      <c r="Q62" cm="1">
        <f t="array" ref="Q62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62" cm="1">
        <f t="array" ref="R62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62" cm="1">
        <f t="array" ref="S62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62" cm="1">
        <f t="array" ref="T62">IFERROR(INDEX(대출권수[],MATCH(1,(자료실기준[[#This Row],[소장처명]]=대출권수[소장처명])*(대출권수[대출반납]="대출")*(자료실기준[[#This Row],[년월]]=대출권수[년월]),0),MATCH(T$1,대출권수[#Headers],0)),0)</f>
        <v>6</v>
      </c>
      <c r="U62" cm="1">
        <f t="array" ref="U62">IFERROR(INDEX(대출권수[],MATCH(1,(자료실기준[[#This Row],[소장처명]]=대출권수[소장처명])*(대출권수[대출반납]="대출")*(자료실기준[[#This Row],[년월]]=대출권수[년월]),0),MATCH(U$1,대출권수[#Headers],0)),0)</f>
        <v>3</v>
      </c>
      <c r="V62" cm="1">
        <f t="array" ref="V62">IFERROR(INDEX(대출권수[],MATCH(1,(자료실기준[[#This Row],[소장처명]]=대출권수[소장처명])*(대출권수[대출반납]="대출")*(자료실기준[[#This Row],[년월]]=대출권수[년월]),0),MATCH(V$1,대출권수[#Headers],0)),0)</f>
        <v>1</v>
      </c>
      <c r="W62" cm="1">
        <f t="array" ref="W62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62" cm="1">
        <f t="array" ref="X62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62" cm="1">
        <f t="array" ref="Y62">IFERROR(INDEX(대출권수[],MATCH(1,(자료실기준[[#This Row],[소장처명]]=대출권수[소장처명])*(대출권수[대출반납]="대출")*(자료실기준[[#This Row],[년월]]=대출권수[년월]),0),MATCH(Y$1,대출권수[#Headers],0)),0)</f>
        <v>5</v>
      </c>
      <c r="Z62" cm="1">
        <f t="array" ref="Z62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62">
        <f>SUM(자료실기준[[#This Row],[총류]:[역사]])</f>
        <v>15</v>
      </c>
    </row>
    <row r="63" spans="1:27" x14ac:dyDescent="0.3">
      <c r="A63" s="5">
        <v>45352</v>
      </c>
      <c r="B63" t="s">
        <v>10</v>
      </c>
      <c r="C63" s="5" t="str">
        <f>TEXT(자료실기준[[#This Row],[년월]],"yy년m월")&amp;자료실기준[[#This Row],[소장처명]]</f>
        <v>24년3월어린이실(교과4학년)</v>
      </c>
      <c r="D63" t="str">
        <f>IFERROR(INDEX(자료실범례[],MATCH($B63,자료실범례[소장처명],0),2),"종합자료실")</f>
        <v>어린이자료실</v>
      </c>
      <c r="E63" cm="1">
        <f t="array" ref="E63">IFERROR(INDEX(대출자[],MATCH(1,(자료실기준[[#This Row],[소장처명]]=대출자[소장처명])*(자료실기준[[#This Row],[년월]]=대출자[년월]),0),MATCH(E$1,대출자[#Headers],0)),0)</f>
        <v>6</v>
      </c>
      <c r="F63" cm="1">
        <f t="array" ref="F63">IFERROR(INDEX(대출자[],MATCH(1,(자료실기준[[#This Row],[소장처명]]=대출자[소장처명])*(자료실기준[[#This Row],[년월]]=대출자[년월]),0),MATCH(F$1,대출자[#Headers],0)),0)</f>
        <v>2</v>
      </c>
      <c r="G63" cm="1">
        <f t="array" ref="G63">IFERROR(INDEX(대출자[],MATCH(1,(자료실기준[[#This Row],[소장처명]]=대출자[소장처명])*(자료실기준[[#This Row],[년월]]=대출자[년월]),0),MATCH(G$1,대출자[#Headers],0)),0)</f>
        <v>0</v>
      </c>
      <c r="H63" cm="1">
        <f t="array" ref="H63">IFERROR(INDEX(대출자[],MATCH(1,(자료실기준[[#This Row],[소장처명]]=대출자[소장처명])*(자료실기준[[#This Row],[년월]]=대출자[년월]),0),MATCH(H$1,대출자[#Headers],0)),0)</f>
        <v>0</v>
      </c>
      <c r="I63" cm="1">
        <f t="array" ref="I63">IFERROR(INDEX(대출자[],MATCH(1,(자료실기준[[#This Row],[소장처명]]=대출자[소장처명])*(자료실기준[[#This Row],[년월]]=대출자[년월]),0),MATCH(I$1,대출자[#Headers],0)),0)</f>
        <v>1</v>
      </c>
      <c r="J63" cm="1">
        <f t="array" ref="J63">IFERROR(INDEX(대출자[],MATCH(1,(자료실기준[[#This Row],[소장처명]]=대출자[소장처명])*(자료실기준[[#This Row],[년월]]=대출자[년월]),0),MATCH(J$1,대출자[#Headers],0)),0)</f>
        <v>3</v>
      </c>
      <c r="K63" cm="1">
        <f t="array" ref="K63">IFERROR(INDEX(대출자[],MATCH(1,(자료실기준[[#This Row],[소장처명]]=대출자[소장처명])*(자료실기준[[#This Row],[년월]]=대출자[년월]),0),MATCH(K$1,대출자[#Headers],0)),0)</f>
        <v>8</v>
      </c>
      <c r="L63" cm="1">
        <f t="array" ref="L63">IFERROR(INDEX(대출자[],MATCH(1,(자료실기준[[#This Row],[소장처명]]=대출자[소장처명])*(자료실기준[[#This Row],[년월]]=대출자[년월]),0),MATCH(L$1,대출자[#Headers],0)),0)</f>
        <v>0</v>
      </c>
      <c r="M63" cm="1">
        <f t="array" ref="M63">IFERROR(INDEX(대출자[],MATCH(1,(자료실기준[[#This Row],[소장처명]]=대출자[소장처명])*(자료실기준[[#This Row],[년월]]=대출자[년월]),0),MATCH(M$1,대출자[#Headers],0)),0)</f>
        <v>4</v>
      </c>
      <c r="N63">
        <f>IFERROR(자료실기준[[#This Row],[어린이남자]]+자료실기준[[#This Row],[청소년남자]]+자료실기준[[#This Row],[성인남자]],0)</f>
        <v>7</v>
      </c>
      <c r="O63">
        <f>IFERROR(자료실기준[[#This Row],[어린이여자]]+자료실기준[[#This Row],[청소년여자]]+자료실기준[[#This Row],[성인여자]],0)</f>
        <v>5</v>
      </c>
      <c r="P63">
        <f>IFERROR(자료실기준[[#This Row],[남자]]+자료실기준[[#This Row],[여자]],0)</f>
        <v>12</v>
      </c>
      <c r="Q63" cm="1">
        <f t="array" ref="Q63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63" cm="1">
        <f t="array" ref="R63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63" cm="1">
        <f t="array" ref="S63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63" cm="1">
        <f t="array" ref="T63">IFERROR(INDEX(대출권수[],MATCH(1,(자료실기준[[#This Row],[소장처명]]=대출권수[소장처명])*(대출권수[대출반납]="대출")*(자료실기준[[#This Row],[년월]]=대출권수[년월]),0),MATCH(T$1,대출권수[#Headers],0)),0)</f>
        <v>3</v>
      </c>
      <c r="U63" cm="1">
        <f t="array" ref="U63">IFERROR(INDEX(대출권수[],MATCH(1,(자료실기준[[#This Row],[소장처명]]=대출권수[소장처명])*(대출권수[대출반납]="대출")*(자료실기준[[#This Row],[년월]]=대출권수[년월]),0),MATCH(U$1,대출권수[#Headers],0)),0)</f>
        <v>2</v>
      </c>
      <c r="V63" cm="1">
        <f t="array" ref="V63">IFERROR(INDEX(대출권수[],MATCH(1,(자료실기준[[#This Row],[소장처명]]=대출권수[소장처명])*(대출권수[대출반납]="대출")*(자료실기준[[#This Row],[년월]]=대출권수[년월]),0),MATCH(V$1,대출권수[#Headers],0)),0)</f>
        <v>1</v>
      </c>
      <c r="W63" cm="1">
        <f t="array" ref="W63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63" cm="1">
        <f t="array" ref="X63">IFERROR(INDEX(대출권수[],MATCH(1,(자료실기준[[#This Row],[소장처명]]=대출권수[소장처명])*(대출권수[대출반납]="대출")*(자료실기준[[#This Row],[년월]]=대출권수[년월]),0),MATCH(X$1,대출권수[#Headers],0)),0)</f>
        <v>1</v>
      </c>
      <c r="Y63" cm="1">
        <f t="array" ref="Y63">IFERROR(INDEX(대출권수[],MATCH(1,(자료실기준[[#This Row],[소장처명]]=대출권수[소장처명])*(대출권수[대출반납]="대출")*(자료실기준[[#This Row],[년월]]=대출권수[년월]),0),MATCH(Y$1,대출권수[#Headers],0)),0)</f>
        <v>30</v>
      </c>
      <c r="Z63" cm="1">
        <f t="array" ref="Z63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63">
        <f>SUM(자료실기준[[#This Row],[총류]:[역사]])</f>
        <v>37</v>
      </c>
    </row>
    <row r="64" spans="1:27" x14ac:dyDescent="0.3">
      <c r="A64" s="5">
        <v>45352</v>
      </c>
      <c r="B64" t="s">
        <v>11</v>
      </c>
      <c r="C64" s="5" t="str">
        <f>TEXT(자료실기준[[#This Row],[년월]],"yy년m월")&amp;자료실기준[[#This Row],[소장처명]]</f>
        <v>24년3월어린이실(교과5학년)</v>
      </c>
      <c r="D64" t="str">
        <f>IFERROR(INDEX(자료실범례[],MATCH($B64,자료실범례[소장처명],0),2),"종합자료실")</f>
        <v>어린이자료실</v>
      </c>
      <c r="E64" cm="1">
        <f t="array" ref="E64">IFERROR(INDEX(대출자[],MATCH(1,(자료실기준[[#This Row],[소장처명]]=대출자[소장처명])*(자료실기준[[#This Row],[년월]]=대출자[년월]),0),MATCH(E$1,대출자[#Headers],0)),0)</f>
        <v>2</v>
      </c>
      <c r="F64" cm="1">
        <f t="array" ref="F64">IFERROR(INDEX(대출자[],MATCH(1,(자료실기준[[#This Row],[소장처명]]=대출자[소장처명])*(자료실기준[[#This Row],[년월]]=대출자[년월]),0),MATCH(F$1,대출자[#Headers],0)),0)</f>
        <v>1</v>
      </c>
      <c r="G64" cm="1">
        <f t="array" ref="G64">IFERROR(INDEX(대출자[],MATCH(1,(자료실기준[[#This Row],[소장처명]]=대출자[소장처명])*(자료실기준[[#This Row],[년월]]=대출자[년월]),0),MATCH(G$1,대출자[#Headers],0)),0)</f>
        <v>0</v>
      </c>
      <c r="H64" cm="1">
        <f t="array" ref="H64">IFERROR(INDEX(대출자[],MATCH(1,(자료실기준[[#This Row],[소장처명]]=대출자[소장처명])*(자료실기준[[#This Row],[년월]]=대출자[년월]),0),MATCH(H$1,대출자[#Headers],0)),0)</f>
        <v>1</v>
      </c>
      <c r="I64" cm="1">
        <f t="array" ref="I64">IFERROR(INDEX(대출자[],MATCH(1,(자료실기준[[#This Row],[소장처명]]=대출자[소장처명])*(자료실기준[[#This Row],[년월]]=대출자[년월]),0),MATCH(I$1,대출자[#Headers],0)),0)</f>
        <v>2</v>
      </c>
      <c r="J64" cm="1">
        <f t="array" ref="J64">IFERROR(INDEX(대출자[],MATCH(1,(자료실기준[[#This Row],[소장처명]]=대출자[소장처명])*(자료실기준[[#This Row],[년월]]=대출자[년월]),0),MATCH(J$1,대출자[#Headers],0)),0)</f>
        <v>3</v>
      </c>
      <c r="K64" cm="1">
        <f t="array" ref="K64">IFERROR(INDEX(대출자[],MATCH(1,(자료실기준[[#This Row],[소장처명]]=대출자[소장처명])*(자료실기준[[#This Row],[년월]]=대출자[년월]),0),MATCH(K$1,대출자[#Headers],0)),0)</f>
        <v>3</v>
      </c>
      <c r="L64" cm="1">
        <f t="array" ref="L64">IFERROR(INDEX(대출자[],MATCH(1,(자료실기준[[#This Row],[소장처명]]=대출자[소장처명])*(자료실기준[[#This Row],[년월]]=대출자[년월]),0),MATCH(L$1,대출자[#Headers],0)),0)</f>
        <v>1</v>
      </c>
      <c r="M64" cm="1">
        <f t="array" ref="M64">IFERROR(INDEX(대출자[],MATCH(1,(자료실기준[[#This Row],[소장처명]]=대출자[소장처명])*(자료실기준[[#This Row],[년월]]=대출자[년월]),0),MATCH(M$1,대출자[#Headers],0)),0)</f>
        <v>5</v>
      </c>
      <c r="N64">
        <f>IFERROR(자료실기준[[#This Row],[어린이남자]]+자료실기준[[#This Row],[청소년남자]]+자료실기준[[#This Row],[성인남자]],0)</f>
        <v>4</v>
      </c>
      <c r="O64">
        <f>IFERROR(자료실기준[[#This Row],[어린이여자]]+자료실기준[[#This Row],[청소년여자]]+자료실기준[[#This Row],[성인여자]],0)</f>
        <v>5</v>
      </c>
      <c r="P64">
        <f>IFERROR(자료실기준[[#This Row],[남자]]+자료실기준[[#This Row],[여자]],0)</f>
        <v>9</v>
      </c>
      <c r="Q64" cm="1">
        <f t="array" ref="Q64">IFERROR(INDEX(대출권수[],MATCH(1,(자료실기준[[#This Row],[소장처명]]=대출권수[소장처명])*(대출권수[대출반납]="대출")*(자료실기준[[#This Row],[년월]]=대출권수[년월]),0),MATCH(Q$1,대출권수[#Headers],0)),0)</f>
        <v>1</v>
      </c>
      <c r="R64" cm="1">
        <f t="array" ref="R64">IFERROR(INDEX(대출권수[],MATCH(1,(자료실기준[[#This Row],[소장처명]]=대출권수[소장처명])*(대출권수[대출반납]="대출")*(자료실기준[[#This Row],[년월]]=대출권수[년월]),0),MATCH(R$1,대출권수[#Headers],0)),0)</f>
        <v>1</v>
      </c>
      <c r="S64" cm="1">
        <f t="array" ref="S64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64" cm="1">
        <f t="array" ref="T64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64" cm="1">
        <f t="array" ref="U64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64" cm="1">
        <f t="array" ref="V64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64" cm="1">
        <f t="array" ref="W64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64" cm="1">
        <f t="array" ref="X64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64" cm="1">
        <f t="array" ref="Y64">IFERROR(INDEX(대출권수[],MATCH(1,(자료실기준[[#This Row],[소장처명]]=대출권수[소장처명])*(대출권수[대출반납]="대출")*(자료실기준[[#This Row],[년월]]=대출권수[년월]),0),MATCH(Y$1,대출권수[#Headers],0)),0)</f>
        <v>13</v>
      </c>
      <c r="Z64" cm="1">
        <f t="array" ref="Z64">IFERROR(INDEX(대출권수[],MATCH(1,(자료실기준[[#This Row],[소장처명]]=대출권수[소장처명])*(대출권수[대출반납]="대출")*(자료실기준[[#This Row],[년월]]=대출권수[년월]),0),MATCH(Z$1,대출권수[#Headers],0)),0)</f>
        <v>1</v>
      </c>
      <c r="AA64">
        <f>SUM(자료실기준[[#This Row],[총류]:[역사]])</f>
        <v>16</v>
      </c>
    </row>
    <row r="65" spans="1:27" x14ac:dyDescent="0.3">
      <c r="A65" s="5">
        <v>45352</v>
      </c>
      <c r="B65" t="s">
        <v>12</v>
      </c>
      <c r="C65" s="5" t="str">
        <f>TEXT(자료실기준[[#This Row],[년월]],"yy년m월")&amp;자료실기준[[#This Row],[소장처명]]</f>
        <v>24년3월어린이실(교과6학년)</v>
      </c>
      <c r="D65" t="str">
        <f>IFERROR(INDEX(자료실범례[],MATCH($B65,자료실범례[소장처명],0),2),"종합자료실")</f>
        <v>어린이자료실</v>
      </c>
      <c r="E65" cm="1">
        <f t="array" ref="E65">IFERROR(INDEX(대출자[],MATCH(1,(자료실기준[[#This Row],[소장처명]]=대출자[소장처명])*(자료실기준[[#This Row],[년월]]=대출자[년월]),0),MATCH(E$1,대출자[#Headers],0)),0)</f>
        <v>1</v>
      </c>
      <c r="F65" cm="1">
        <f t="array" ref="F65">IFERROR(INDEX(대출자[],MATCH(1,(자료실기준[[#This Row],[소장처명]]=대출자[소장처명])*(자료실기준[[#This Row],[년월]]=대출자[년월]),0),MATCH(F$1,대출자[#Headers],0)),0)</f>
        <v>2</v>
      </c>
      <c r="G65" cm="1">
        <f t="array" ref="G65">IFERROR(INDEX(대출자[],MATCH(1,(자료실기준[[#This Row],[소장처명]]=대출자[소장처명])*(자료실기준[[#This Row],[년월]]=대출자[년월]),0),MATCH(G$1,대출자[#Headers],0)),0)</f>
        <v>0</v>
      </c>
      <c r="H65" cm="1">
        <f t="array" ref="H65">IFERROR(INDEX(대출자[],MATCH(1,(자료실기준[[#This Row],[소장처명]]=대출자[소장처명])*(자료실기준[[#This Row],[년월]]=대출자[년월]),0),MATCH(H$1,대출자[#Headers],0)),0)</f>
        <v>0</v>
      </c>
      <c r="I65" cm="1">
        <f t="array" ref="I65">IFERROR(INDEX(대출자[],MATCH(1,(자료실기준[[#This Row],[소장처명]]=대출자[소장처명])*(자료실기준[[#This Row],[년월]]=대출자[년월]),0),MATCH(I$1,대출자[#Headers],0)),0)</f>
        <v>0</v>
      </c>
      <c r="J65" cm="1">
        <f t="array" ref="J65">IFERROR(INDEX(대출자[],MATCH(1,(자료실기준[[#This Row],[소장처명]]=대출자[소장처명])*(자료실기준[[#This Row],[년월]]=대출자[년월]),0),MATCH(J$1,대출자[#Headers],0)),0)</f>
        <v>1</v>
      </c>
      <c r="K65" cm="1">
        <f t="array" ref="K65">IFERROR(INDEX(대출자[],MATCH(1,(자료실기준[[#This Row],[소장처명]]=대출자[소장처명])*(자료실기준[[#This Row],[년월]]=대출자[년월]),0),MATCH(K$1,대출자[#Headers],0)),0)</f>
        <v>3</v>
      </c>
      <c r="L65" cm="1">
        <f t="array" ref="L65">IFERROR(INDEX(대출자[],MATCH(1,(자료실기준[[#This Row],[소장처명]]=대출자[소장처명])*(자료실기준[[#This Row],[년월]]=대출자[년월]),0),MATCH(L$1,대출자[#Headers],0)),0)</f>
        <v>0</v>
      </c>
      <c r="M65" cm="1">
        <f t="array" ref="M65">IFERROR(INDEX(대출자[],MATCH(1,(자료실기준[[#This Row],[소장처명]]=대출자[소장처명])*(자료실기준[[#This Row],[년월]]=대출자[년월]),0),MATCH(M$1,대출자[#Headers],0)),0)</f>
        <v>1</v>
      </c>
      <c r="N65">
        <f>IFERROR(자료실기준[[#This Row],[어린이남자]]+자료실기준[[#This Row],[청소년남자]]+자료실기준[[#This Row],[성인남자]],0)</f>
        <v>1</v>
      </c>
      <c r="O65">
        <f>IFERROR(자료실기준[[#This Row],[어린이여자]]+자료실기준[[#This Row],[청소년여자]]+자료실기준[[#This Row],[성인여자]],0)</f>
        <v>3</v>
      </c>
      <c r="P65">
        <f>IFERROR(자료실기준[[#This Row],[남자]]+자료실기준[[#This Row],[여자]],0)</f>
        <v>4</v>
      </c>
      <c r="Q65" cm="1">
        <f t="array" ref="Q65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65" cm="1">
        <f t="array" ref="R65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65" cm="1">
        <f t="array" ref="S65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65" cm="1">
        <f t="array" ref="T65">IFERROR(INDEX(대출권수[],MATCH(1,(자료실기준[[#This Row],[소장처명]]=대출권수[소장처명])*(대출권수[대출반납]="대출")*(자료실기준[[#This Row],[년월]]=대출권수[년월]),0),MATCH(T$1,대출권수[#Headers],0)),0)</f>
        <v>1</v>
      </c>
      <c r="U65" cm="1">
        <f t="array" ref="U65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65" cm="1">
        <f t="array" ref="V65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65" cm="1">
        <f t="array" ref="W65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65" cm="1">
        <f t="array" ref="X65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65" cm="1">
        <f t="array" ref="Y65">IFERROR(INDEX(대출권수[],MATCH(1,(자료실기준[[#This Row],[소장처명]]=대출권수[소장처명])*(대출권수[대출반납]="대출")*(자료실기준[[#This Row],[년월]]=대출권수[년월]),0),MATCH(Y$1,대출권수[#Headers],0)),0)</f>
        <v>4</v>
      </c>
      <c r="Z65" cm="1">
        <f t="array" ref="Z65">IFERROR(INDEX(대출권수[],MATCH(1,(자료실기준[[#This Row],[소장처명]]=대출권수[소장처명])*(대출권수[대출반납]="대출")*(자료실기준[[#This Row],[년월]]=대출권수[년월]),0),MATCH(Z$1,대출권수[#Headers],0)),0)</f>
        <v>2</v>
      </c>
      <c r="AA65">
        <f>SUM(자료실기준[[#This Row],[총류]:[역사]])</f>
        <v>7</v>
      </c>
    </row>
    <row r="66" spans="1:27" x14ac:dyDescent="0.3">
      <c r="A66" s="5">
        <v>45352</v>
      </c>
      <c r="B66" t="s">
        <v>0</v>
      </c>
      <c r="C66" s="5" t="str">
        <f>TEXT(자료실기준[[#This Row],[년월]],"yy년m월")&amp;자료실기준[[#This Row],[소장처명]]</f>
        <v>24년3월다문화자료실</v>
      </c>
      <c r="D66" t="str">
        <f>IFERROR(INDEX(자료실범례[],MATCH($B66,자료실범례[소장처명],0),2),"종합자료실")</f>
        <v>어린이자료실</v>
      </c>
      <c r="E66" cm="1">
        <f t="array" ref="E66">IFERROR(INDEX(대출자[],MATCH(1,(자료실기준[[#This Row],[소장처명]]=대출자[소장처명])*(자료실기준[[#This Row],[년월]]=대출자[년월]),0),MATCH(E$1,대출자[#Headers],0)),0)</f>
        <v>3</v>
      </c>
      <c r="F66" cm="1">
        <f t="array" ref="F66">IFERROR(INDEX(대출자[],MATCH(1,(자료실기준[[#This Row],[소장처명]]=대출자[소장처명])*(자료실기준[[#This Row],[년월]]=대출자[년월]),0),MATCH(F$1,대출자[#Headers],0)),0)</f>
        <v>2</v>
      </c>
      <c r="G66" cm="1">
        <f t="array" ref="G66">IFERROR(INDEX(대출자[],MATCH(1,(자료실기준[[#This Row],[소장처명]]=대출자[소장처명])*(자료실기준[[#This Row],[년월]]=대출자[년월]),0),MATCH(G$1,대출자[#Headers],0)),0)</f>
        <v>0</v>
      </c>
      <c r="H66" cm="1">
        <f t="array" ref="H66">IFERROR(INDEX(대출자[],MATCH(1,(자료실기준[[#This Row],[소장처명]]=대출자[소장처명])*(자료실기준[[#This Row],[년월]]=대출자[년월]),0),MATCH(H$1,대출자[#Headers],0)),0)</f>
        <v>1</v>
      </c>
      <c r="I66" cm="1">
        <f t="array" ref="I66">IFERROR(INDEX(대출자[],MATCH(1,(자료실기준[[#This Row],[소장처명]]=대출자[소장처명])*(자료실기준[[#This Row],[년월]]=대출자[년월]),0),MATCH(I$1,대출자[#Headers],0)),0)</f>
        <v>3</v>
      </c>
      <c r="J66" cm="1">
        <f t="array" ref="J66">IFERROR(INDEX(대출자[],MATCH(1,(자료실기준[[#This Row],[소장처명]]=대출자[소장처명])*(자료실기준[[#This Row],[년월]]=대출자[년월]),0),MATCH(J$1,대출자[#Headers],0)),0)</f>
        <v>5</v>
      </c>
      <c r="K66" cm="1">
        <f t="array" ref="K66">IFERROR(INDEX(대출자[],MATCH(1,(자료실기준[[#This Row],[소장처명]]=대출자[소장처명])*(자료실기준[[#This Row],[년월]]=대출자[년월]),0),MATCH(K$1,대출자[#Headers],0)),0)</f>
        <v>5</v>
      </c>
      <c r="L66" cm="1">
        <f t="array" ref="L66">IFERROR(INDEX(대출자[],MATCH(1,(자료실기준[[#This Row],[소장처명]]=대출자[소장처명])*(자료실기준[[#This Row],[년월]]=대출자[년월]),0),MATCH(L$1,대출자[#Headers],0)),0)</f>
        <v>1</v>
      </c>
      <c r="M66" cm="1">
        <f t="array" ref="M66">IFERROR(INDEX(대출자[],MATCH(1,(자료실기준[[#This Row],[소장처명]]=대출자[소장처명])*(자료실기준[[#This Row],[년월]]=대출자[년월]),0),MATCH(M$1,대출자[#Headers],0)),0)</f>
        <v>8</v>
      </c>
      <c r="N66">
        <f>IFERROR(자료실기준[[#This Row],[어린이남자]]+자료실기준[[#This Row],[청소년남자]]+자료실기준[[#This Row],[성인남자]],0)</f>
        <v>6</v>
      </c>
      <c r="O66">
        <f>IFERROR(자료실기준[[#This Row],[어린이여자]]+자료실기준[[#This Row],[청소년여자]]+자료실기준[[#This Row],[성인여자]],0)</f>
        <v>8</v>
      </c>
      <c r="P66">
        <f>IFERROR(자료실기준[[#This Row],[남자]]+자료실기준[[#This Row],[여자]],0)</f>
        <v>14</v>
      </c>
      <c r="Q66" cm="1">
        <f t="array" ref="Q66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66" cm="1">
        <f t="array" ref="R66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66" cm="1">
        <f t="array" ref="S66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66" cm="1">
        <f t="array" ref="T66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66" cm="1">
        <f t="array" ref="U66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66" cm="1">
        <f t="array" ref="V66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66" cm="1">
        <f t="array" ref="W66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66" cm="1">
        <f t="array" ref="X66">IFERROR(INDEX(대출권수[],MATCH(1,(자료실기준[[#This Row],[소장처명]]=대출권수[소장처명])*(대출권수[대출반납]="대출")*(자료실기준[[#This Row],[년월]]=대출권수[년월]),0),MATCH(X$1,대출권수[#Headers],0)),0)</f>
        <v>15</v>
      </c>
      <c r="Y66" cm="1">
        <f t="array" ref="Y66">IFERROR(INDEX(대출권수[],MATCH(1,(자료실기준[[#This Row],[소장처명]]=대출권수[소장처명])*(대출권수[대출반납]="대출")*(자료실기준[[#This Row],[년월]]=대출권수[년월]),0),MATCH(Y$1,대출권수[#Headers],0)),0)</f>
        <v>27</v>
      </c>
      <c r="Z66" cm="1">
        <f t="array" ref="Z66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66">
        <f>SUM(자료실기준[[#This Row],[총류]:[역사]])</f>
        <v>42</v>
      </c>
    </row>
    <row r="67" spans="1:27" x14ac:dyDescent="0.3">
      <c r="A67" s="5">
        <v>45352</v>
      </c>
      <c r="B67" t="s">
        <v>1</v>
      </c>
      <c r="C67" s="5" t="str">
        <f>TEXT(자료실기준[[#This Row],[년월]],"yy년m월")&amp;자료실기준[[#This Row],[소장처명]]</f>
        <v>24년3월다문화자료실(영어유아)</v>
      </c>
      <c r="D67" t="str">
        <f>IFERROR(INDEX(자료실범례[],MATCH($B67,자료실범례[소장처명],0),2),"종합자료실")</f>
        <v>어린이자료실</v>
      </c>
      <c r="E67" cm="1">
        <f t="array" ref="E67">IFERROR(INDEX(대출자[],MATCH(1,(자료실기준[[#This Row],[소장처명]]=대출자[소장처명])*(자료실기준[[#This Row],[년월]]=대출자[년월]),0),MATCH(E$1,대출자[#Headers],0)),0)</f>
        <v>2</v>
      </c>
      <c r="F67" cm="1">
        <f t="array" ref="F67">IFERROR(INDEX(대출자[],MATCH(1,(자료실기준[[#This Row],[소장처명]]=대출자[소장처명])*(자료실기준[[#This Row],[년월]]=대출자[년월]),0),MATCH(F$1,대출자[#Headers],0)),0)</f>
        <v>1</v>
      </c>
      <c r="G67" cm="1">
        <f t="array" ref="G67">IFERROR(INDEX(대출자[],MATCH(1,(자료실기준[[#This Row],[소장처명]]=대출자[소장처명])*(자료실기준[[#This Row],[년월]]=대출자[년월]),0),MATCH(G$1,대출자[#Headers],0)),0)</f>
        <v>0</v>
      </c>
      <c r="H67" cm="1">
        <f t="array" ref="H67">IFERROR(INDEX(대출자[],MATCH(1,(자료실기준[[#This Row],[소장처명]]=대출자[소장처명])*(자료실기준[[#This Row],[년월]]=대출자[년월]),0),MATCH(H$1,대출자[#Headers],0)),0)</f>
        <v>0</v>
      </c>
      <c r="I67" cm="1">
        <f t="array" ref="I67">IFERROR(INDEX(대출자[],MATCH(1,(자료실기준[[#This Row],[소장처명]]=대출자[소장처명])*(자료실기준[[#This Row],[년월]]=대출자[년월]),0),MATCH(I$1,대출자[#Headers],0)),0)</f>
        <v>2</v>
      </c>
      <c r="J67" cm="1">
        <f t="array" ref="J67">IFERROR(INDEX(대출자[],MATCH(1,(자료실기준[[#This Row],[소장처명]]=대출자[소장처명])*(자료실기준[[#This Row],[년월]]=대출자[년월]),0),MATCH(J$1,대출자[#Headers],0)),0)</f>
        <v>4</v>
      </c>
      <c r="K67" cm="1">
        <f t="array" ref="K67">IFERROR(INDEX(대출자[],MATCH(1,(자료실기준[[#This Row],[소장처명]]=대출자[소장처명])*(자료실기준[[#This Row],[년월]]=대출자[년월]),0),MATCH(K$1,대출자[#Headers],0)),0)</f>
        <v>3</v>
      </c>
      <c r="L67" cm="1">
        <f t="array" ref="L67">IFERROR(INDEX(대출자[],MATCH(1,(자료실기준[[#This Row],[소장처명]]=대출자[소장처명])*(자료실기준[[#This Row],[년월]]=대출자[년월]),0),MATCH(L$1,대출자[#Headers],0)),0)</f>
        <v>0</v>
      </c>
      <c r="M67" cm="1">
        <f t="array" ref="M67">IFERROR(INDEX(대출자[],MATCH(1,(자료실기준[[#This Row],[소장처명]]=대출자[소장처명])*(자료실기준[[#This Row],[년월]]=대출자[년월]),0),MATCH(M$1,대출자[#Headers],0)),0)</f>
        <v>6</v>
      </c>
      <c r="N67">
        <f>IFERROR(자료실기준[[#This Row],[어린이남자]]+자료실기준[[#This Row],[청소년남자]]+자료실기준[[#This Row],[성인남자]],0)</f>
        <v>4</v>
      </c>
      <c r="O67">
        <f>IFERROR(자료실기준[[#This Row],[어린이여자]]+자료실기준[[#This Row],[청소년여자]]+자료실기준[[#This Row],[성인여자]],0)</f>
        <v>5</v>
      </c>
      <c r="P67">
        <f>IFERROR(자료실기준[[#This Row],[남자]]+자료실기준[[#This Row],[여자]],0)</f>
        <v>9</v>
      </c>
      <c r="Q67" cm="1">
        <f t="array" ref="Q67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67" cm="1">
        <f t="array" ref="R67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67" cm="1">
        <f t="array" ref="S67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67" cm="1">
        <f t="array" ref="T67">IFERROR(INDEX(대출권수[],MATCH(1,(자료실기준[[#This Row],[소장처명]]=대출권수[소장처명])*(대출권수[대출반납]="대출")*(자료실기준[[#This Row],[년월]]=대출권수[년월]),0),MATCH(T$1,대출권수[#Headers],0)),0)</f>
        <v>2</v>
      </c>
      <c r="U67" cm="1">
        <f t="array" ref="U67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67" cm="1">
        <f t="array" ref="V67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67" cm="1">
        <f t="array" ref="W67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67" cm="1">
        <f t="array" ref="X67">IFERROR(INDEX(대출권수[],MATCH(1,(자료실기준[[#This Row],[소장처명]]=대출권수[소장처명])*(대출권수[대출반납]="대출")*(자료실기준[[#This Row],[년월]]=대출권수[년월]),0),MATCH(X$1,대출권수[#Headers],0)),0)</f>
        <v>41</v>
      </c>
      <c r="Y67" cm="1">
        <f t="array" ref="Y67">IFERROR(INDEX(대출권수[],MATCH(1,(자료실기준[[#This Row],[소장처명]]=대출권수[소장처명])*(대출권수[대출반납]="대출")*(자료실기준[[#This Row],[년월]]=대출권수[년월]),0),MATCH(Y$1,대출권수[#Headers],0)),0)</f>
        <v>2</v>
      </c>
      <c r="Z67" cm="1">
        <f t="array" ref="Z67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67">
        <f>SUM(자료실기준[[#This Row],[총류]:[역사]])</f>
        <v>45</v>
      </c>
    </row>
    <row r="68" spans="1:27" x14ac:dyDescent="0.3">
      <c r="A68" s="5">
        <v>45352</v>
      </c>
      <c r="B68" t="s">
        <v>6</v>
      </c>
      <c r="C68" s="5" t="str">
        <f>TEXT(자료실기준[[#This Row],[년월]],"yy년m월")&amp;자료실기준[[#This Row],[소장처명]]</f>
        <v>24년3월스마트도서관</v>
      </c>
      <c r="D68" t="str">
        <f>IFERROR(INDEX(자료실범례[],MATCH($B68,자료실범례[소장처명],0),2),"종합자료실")</f>
        <v>종합자료실</v>
      </c>
      <c r="E68" cm="1">
        <f t="array" ref="E68">IFERROR(INDEX(대출자[],MATCH(1,(자료실기준[[#This Row],[소장처명]]=대출자[소장처명])*(자료실기준[[#This Row],[년월]]=대출자[년월]),0),MATCH(E$1,대출자[#Headers],0)),0)</f>
        <v>4</v>
      </c>
      <c r="F68" cm="1">
        <f t="array" ref="F68">IFERROR(INDEX(대출자[],MATCH(1,(자료실기준[[#This Row],[소장처명]]=대출자[소장처명])*(자료실기준[[#This Row],[년월]]=대출자[년월]),0),MATCH(F$1,대출자[#Headers],0)),0)</f>
        <v>5</v>
      </c>
      <c r="G68" cm="1">
        <f t="array" ref="G68">IFERROR(INDEX(대출자[],MATCH(1,(자료실기준[[#This Row],[소장처명]]=대출자[소장처명])*(자료실기준[[#This Row],[년월]]=대출자[년월]),0),MATCH(G$1,대출자[#Headers],0)),0)</f>
        <v>1</v>
      </c>
      <c r="H68" cm="1">
        <f t="array" ref="H68">IFERROR(INDEX(대출자[],MATCH(1,(자료실기준[[#This Row],[소장처명]]=대출자[소장처명])*(자료실기준[[#This Row],[년월]]=대출자[년월]),0),MATCH(H$1,대출자[#Headers],0)),0)</f>
        <v>5</v>
      </c>
      <c r="I68" cm="1">
        <f t="array" ref="I68">IFERROR(INDEX(대출자[],MATCH(1,(자료실기준[[#This Row],[소장처명]]=대출자[소장처명])*(자료실기준[[#This Row],[년월]]=대출자[년월]),0),MATCH(I$1,대출자[#Headers],0)),0)</f>
        <v>5</v>
      </c>
      <c r="J68" cm="1">
        <f t="array" ref="J68">IFERROR(INDEX(대출자[],MATCH(1,(자료실기준[[#This Row],[소장처명]]=대출자[소장처명])*(자료실기준[[#This Row],[년월]]=대출자[년월]),0),MATCH(J$1,대출자[#Headers],0)),0)</f>
        <v>16</v>
      </c>
      <c r="K68" cm="1">
        <f t="array" ref="K68">IFERROR(INDEX(대출자[],MATCH(1,(자료실기준[[#This Row],[소장처명]]=대출자[소장처명])*(자료실기준[[#This Row],[년월]]=대출자[년월]),0),MATCH(K$1,대출자[#Headers],0)),0)</f>
        <v>9</v>
      </c>
      <c r="L68" cm="1">
        <f t="array" ref="L68">IFERROR(INDEX(대출자[],MATCH(1,(자료실기준[[#This Row],[소장처명]]=대출자[소장처명])*(자료실기준[[#This Row],[년월]]=대출자[년월]),0),MATCH(L$1,대출자[#Headers],0)),0)</f>
        <v>6</v>
      </c>
      <c r="M68" cm="1">
        <f t="array" ref="M68">IFERROR(INDEX(대출자[],MATCH(1,(자료실기준[[#This Row],[소장처명]]=대출자[소장처명])*(자료실기준[[#This Row],[년월]]=대출자[년월]),0),MATCH(M$1,대출자[#Headers],0)),0)</f>
        <v>21</v>
      </c>
      <c r="N68">
        <f>IFERROR(자료실기준[[#This Row],[어린이남자]]+자료실기준[[#This Row],[청소년남자]]+자료실기준[[#This Row],[성인남자]],0)</f>
        <v>10</v>
      </c>
      <c r="O68">
        <f>IFERROR(자료실기준[[#This Row],[어린이여자]]+자료실기준[[#This Row],[청소년여자]]+자료실기준[[#This Row],[성인여자]],0)</f>
        <v>26</v>
      </c>
      <c r="P68">
        <f>IFERROR(자료실기준[[#This Row],[남자]]+자료실기준[[#This Row],[여자]],0)</f>
        <v>36</v>
      </c>
      <c r="Q68" cm="1">
        <f t="array" ref="Q68">IFERROR(INDEX(대출권수[],MATCH(1,(자료실기준[[#This Row],[소장처명]]=대출권수[소장처명])*(대출권수[대출반납]="대출")*(자료실기준[[#This Row],[년월]]=대출권수[년월]),0),MATCH(Q$1,대출권수[#Headers],0)),0)</f>
        <v>1</v>
      </c>
      <c r="R68" cm="1">
        <f t="array" ref="R68">IFERROR(INDEX(대출권수[],MATCH(1,(자료실기준[[#This Row],[소장처명]]=대출권수[소장처명])*(대출권수[대출반납]="대출")*(자료실기준[[#This Row],[년월]]=대출권수[년월]),0),MATCH(R$1,대출권수[#Headers],0)),0)</f>
        <v>2</v>
      </c>
      <c r="S68" cm="1">
        <f t="array" ref="S68">IFERROR(INDEX(대출권수[],MATCH(1,(자료실기준[[#This Row],[소장처명]]=대출권수[소장처명])*(대출권수[대출반납]="대출")*(자료실기준[[#This Row],[년월]]=대출권수[년월]),0),MATCH(S$1,대출권수[#Headers],0)),0)</f>
        <v>2</v>
      </c>
      <c r="T68" cm="1">
        <f t="array" ref="T68">IFERROR(INDEX(대출권수[],MATCH(1,(자료실기준[[#This Row],[소장처명]]=대출권수[소장처명])*(대출권수[대출반납]="대출")*(자료실기준[[#This Row],[년월]]=대출권수[년월]),0),MATCH(T$1,대출권수[#Headers],0)),0)</f>
        <v>3</v>
      </c>
      <c r="U68" cm="1">
        <f t="array" ref="U68">IFERROR(INDEX(대출권수[],MATCH(1,(자료실기준[[#This Row],[소장처명]]=대출권수[소장처명])*(대출권수[대출반납]="대출")*(자료실기준[[#This Row],[년월]]=대출권수[년월]),0),MATCH(U$1,대출권수[#Headers],0)),0)</f>
        <v>3</v>
      </c>
      <c r="V68" cm="1">
        <f t="array" ref="V68">IFERROR(INDEX(대출권수[],MATCH(1,(자료실기준[[#This Row],[소장처명]]=대출권수[소장처명])*(대출권수[대출반납]="대출")*(자료실기준[[#This Row],[년월]]=대출권수[년월]),0),MATCH(V$1,대출권수[#Headers],0)),0)</f>
        <v>4</v>
      </c>
      <c r="W68" cm="1">
        <f t="array" ref="W68">IFERROR(INDEX(대출권수[],MATCH(1,(자료실기준[[#This Row],[소장처명]]=대출권수[소장처명])*(대출권수[대출반납]="대출")*(자료실기준[[#This Row],[년월]]=대출권수[년월]),0),MATCH(W$1,대출권수[#Headers],0)),0)</f>
        <v>2</v>
      </c>
      <c r="X68" cm="1">
        <f t="array" ref="X68">IFERROR(INDEX(대출권수[],MATCH(1,(자료실기준[[#This Row],[소장처명]]=대출권수[소장처명])*(대출권수[대출반납]="대출")*(자료실기준[[#This Row],[년월]]=대출권수[년월]),0),MATCH(X$1,대출권수[#Headers],0)),0)</f>
        <v>1</v>
      </c>
      <c r="Y68" cm="1">
        <f t="array" ref="Y68">IFERROR(INDEX(대출권수[],MATCH(1,(자료실기준[[#This Row],[소장처명]]=대출권수[소장처명])*(대출권수[대출반납]="대출")*(자료실기준[[#This Row],[년월]]=대출권수[년월]),0),MATCH(Y$1,대출권수[#Headers],0)),0)</f>
        <v>29</v>
      </c>
      <c r="Z68" cm="1">
        <f t="array" ref="Z68">IFERROR(INDEX(대출권수[],MATCH(1,(자료실기준[[#This Row],[소장처명]]=대출권수[소장처명])*(대출권수[대출반납]="대출")*(자료실기준[[#This Row],[년월]]=대출권수[년월]),0),MATCH(Z$1,대출권수[#Headers],0)),0)</f>
        <v>1</v>
      </c>
      <c r="AA68">
        <f>SUM(자료실기준[[#This Row],[총류]:[역사]])</f>
        <v>48</v>
      </c>
    </row>
    <row r="69" spans="1:27" x14ac:dyDescent="0.3">
      <c r="A69" s="5">
        <v>45352</v>
      </c>
      <c r="B69" t="s">
        <v>18</v>
      </c>
      <c r="C69" s="5" t="str">
        <f>TEXT(자료실기준[[#This Row],[년월]],"yy년m월")&amp;자료실기준[[#This Row],[소장처명]]</f>
        <v>24년3월정기간행물(종합)</v>
      </c>
      <c r="D69" t="str">
        <f>IFERROR(INDEX(자료실범례[],MATCH($B69,자료실범례[소장처명],0),2),"종합자료실")</f>
        <v>종합자료실</v>
      </c>
      <c r="E69" cm="1">
        <f t="array" ref="E69">IFERROR(INDEX(대출자[],MATCH(1,(자료실기준[[#This Row],[소장처명]]=대출자[소장처명])*(자료실기준[[#This Row],[년월]]=대출자[년월]),0),MATCH(E$1,대출자[#Headers],0)),0)</f>
        <v>0</v>
      </c>
      <c r="F69" cm="1">
        <f t="array" ref="F69">IFERROR(INDEX(대출자[],MATCH(1,(자료실기준[[#This Row],[소장처명]]=대출자[소장처명])*(자료실기준[[#This Row],[년월]]=대출자[년월]),0),MATCH(F$1,대출자[#Headers],0)),0)</f>
        <v>0</v>
      </c>
      <c r="G69" cm="1">
        <f t="array" ref="G69">IFERROR(INDEX(대출자[],MATCH(1,(자료실기준[[#This Row],[소장처명]]=대출자[소장처명])*(자료실기준[[#This Row],[년월]]=대출자[년월]),0),MATCH(G$1,대출자[#Headers],0)),0)</f>
        <v>0</v>
      </c>
      <c r="H69" cm="1">
        <f t="array" ref="H69">IFERROR(INDEX(대출자[],MATCH(1,(자료실기준[[#This Row],[소장처명]]=대출자[소장처명])*(자료실기준[[#This Row],[년월]]=대출자[년월]),0),MATCH(H$1,대출자[#Headers],0)),0)</f>
        <v>0</v>
      </c>
      <c r="I69" cm="1">
        <f t="array" ref="I69">IFERROR(INDEX(대출자[],MATCH(1,(자료실기준[[#This Row],[소장처명]]=대출자[소장처명])*(자료실기준[[#This Row],[년월]]=대출자[년월]),0),MATCH(I$1,대출자[#Headers],0)),0)</f>
        <v>1</v>
      </c>
      <c r="J69" cm="1">
        <f t="array" ref="J69">IFERROR(INDEX(대출자[],MATCH(1,(자료실기준[[#This Row],[소장처명]]=대출자[소장처명])*(자료실기준[[#This Row],[년월]]=대출자[년월]),0),MATCH(J$1,대출자[#Headers],0)),0)</f>
        <v>1</v>
      </c>
      <c r="K69" cm="1">
        <f t="array" ref="K69">IFERROR(INDEX(대출자[],MATCH(1,(자료실기준[[#This Row],[소장처명]]=대출자[소장처명])*(자료실기준[[#This Row],[년월]]=대출자[년월]),0),MATCH(K$1,대출자[#Headers],0)),0)</f>
        <v>0</v>
      </c>
      <c r="L69" cm="1">
        <f t="array" ref="L69">IFERROR(INDEX(대출자[],MATCH(1,(자료실기준[[#This Row],[소장처명]]=대출자[소장처명])*(자료실기준[[#This Row],[년월]]=대출자[년월]),0),MATCH(L$1,대출자[#Headers],0)),0)</f>
        <v>0</v>
      </c>
      <c r="M69" cm="1">
        <f t="array" ref="M69">IFERROR(INDEX(대출자[],MATCH(1,(자료실기준[[#This Row],[소장처명]]=대출자[소장처명])*(자료실기준[[#This Row],[년월]]=대출자[년월]),0),MATCH(M$1,대출자[#Headers],0)),0)</f>
        <v>2</v>
      </c>
      <c r="N69">
        <f>IFERROR(자료실기준[[#This Row],[어린이남자]]+자료실기준[[#This Row],[청소년남자]]+자료실기준[[#This Row],[성인남자]],0)</f>
        <v>1</v>
      </c>
      <c r="O69">
        <f>IFERROR(자료실기준[[#This Row],[어린이여자]]+자료실기준[[#This Row],[청소년여자]]+자료실기준[[#This Row],[성인여자]],0)</f>
        <v>1</v>
      </c>
      <c r="P69">
        <f>IFERROR(자료실기준[[#This Row],[남자]]+자료실기준[[#This Row],[여자]],0)</f>
        <v>2</v>
      </c>
      <c r="Q69" cm="1">
        <f t="array" ref="Q69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69" cm="1">
        <f t="array" ref="R69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69" cm="1">
        <f t="array" ref="S69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69" cm="1">
        <f t="array" ref="T69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69" cm="1">
        <f t="array" ref="U69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69" cm="1">
        <f t="array" ref="V69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69" cm="1">
        <f t="array" ref="W69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69" cm="1">
        <f t="array" ref="X69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69" cm="1">
        <f t="array" ref="Y69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69" cm="1">
        <f t="array" ref="Z69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69">
        <f>SUM(자료실기준[[#This Row],[총류]:[역사]])</f>
        <v>0</v>
      </c>
    </row>
    <row r="70" spans="1:27" x14ac:dyDescent="0.3">
      <c r="A70" s="5">
        <v>45352</v>
      </c>
      <c r="B70" t="s">
        <v>17</v>
      </c>
      <c r="C70" s="5" t="str">
        <f>TEXT(자료실기준[[#This Row],[년월]],"yy년m월")&amp;자료실기준[[#This Row],[소장처명]]</f>
        <v>24년3월정기간행물(어린이)</v>
      </c>
      <c r="D70" t="str">
        <f>IFERROR(INDEX(자료실범례[],MATCH($B70,자료실범례[소장처명],0),2),"종합자료실")</f>
        <v>어린이자료실</v>
      </c>
      <c r="E70" cm="1">
        <f t="array" ref="E70">IFERROR(INDEX(대출자[],MATCH(1,(자료실기준[[#This Row],[소장처명]]=대출자[소장처명])*(자료실기준[[#This Row],[년월]]=대출자[년월]),0),MATCH(E$1,대출자[#Headers],0)),0)</f>
        <v>0</v>
      </c>
      <c r="F70" cm="1">
        <f t="array" ref="F70">IFERROR(INDEX(대출자[],MATCH(1,(자료실기준[[#This Row],[소장처명]]=대출자[소장처명])*(자료실기준[[#This Row],[년월]]=대출자[년월]),0),MATCH(F$1,대출자[#Headers],0)),0)</f>
        <v>0</v>
      </c>
      <c r="G70" cm="1">
        <f t="array" ref="G70">IFERROR(INDEX(대출자[],MATCH(1,(자료실기준[[#This Row],[소장처명]]=대출자[소장처명])*(자료실기준[[#This Row],[년월]]=대출자[년월]),0),MATCH(G$1,대출자[#Headers],0)),0)</f>
        <v>0</v>
      </c>
      <c r="H70" cm="1">
        <f t="array" ref="H70">IFERROR(INDEX(대출자[],MATCH(1,(자료실기준[[#This Row],[소장처명]]=대출자[소장처명])*(자료실기준[[#This Row],[년월]]=대출자[년월]),0),MATCH(H$1,대출자[#Headers],0)),0)</f>
        <v>0</v>
      </c>
      <c r="I70" cm="1">
        <f t="array" ref="I70">IFERROR(INDEX(대출자[],MATCH(1,(자료실기준[[#This Row],[소장처명]]=대출자[소장처명])*(자료실기준[[#This Row],[년월]]=대출자[년월]),0),MATCH(I$1,대출자[#Headers],0)),0)</f>
        <v>2</v>
      </c>
      <c r="J70" cm="1">
        <f t="array" ref="J70">IFERROR(INDEX(대출자[],MATCH(1,(자료실기준[[#This Row],[소장처명]]=대출자[소장처명])*(자료실기준[[#This Row],[년월]]=대출자[년월]),0),MATCH(J$1,대출자[#Headers],0)),0)</f>
        <v>1</v>
      </c>
      <c r="K70" cm="1">
        <f t="array" ref="K70">IFERROR(INDEX(대출자[],MATCH(1,(자료실기준[[#This Row],[소장처명]]=대출자[소장처명])*(자료실기준[[#This Row],[년월]]=대출자[년월]),0),MATCH(K$1,대출자[#Headers],0)),0)</f>
        <v>0</v>
      </c>
      <c r="L70" cm="1">
        <f t="array" ref="L70">IFERROR(INDEX(대출자[],MATCH(1,(자료실기준[[#This Row],[소장처명]]=대출자[소장처명])*(자료실기준[[#This Row],[년월]]=대출자[년월]),0),MATCH(L$1,대출자[#Headers],0)),0)</f>
        <v>0</v>
      </c>
      <c r="M70" cm="1">
        <f t="array" ref="M70">IFERROR(INDEX(대출자[],MATCH(1,(자료실기준[[#This Row],[소장처명]]=대출자[소장처명])*(자료실기준[[#This Row],[년월]]=대출자[년월]),0),MATCH(M$1,대출자[#Headers],0)),0)</f>
        <v>3</v>
      </c>
      <c r="N70">
        <f>IFERROR(자료실기준[[#This Row],[어린이남자]]+자료실기준[[#This Row],[청소년남자]]+자료실기준[[#This Row],[성인남자]],0)</f>
        <v>2</v>
      </c>
      <c r="O70">
        <f>IFERROR(자료실기준[[#This Row],[어린이여자]]+자료실기준[[#This Row],[청소년여자]]+자료실기준[[#This Row],[성인여자]],0)</f>
        <v>1</v>
      </c>
      <c r="P70">
        <f>IFERROR(자료실기준[[#This Row],[남자]]+자료실기준[[#This Row],[여자]],0)</f>
        <v>3</v>
      </c>
      <c r="Q70" cm="1">
        <f t="array" ref="Q70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70" cm="1">
        <f t="array" ref="R70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70" cm="1">
        <f t="array" ref="S70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70" cm="1">
        <f t="array" ref="T70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70" cm="1">
        <f t="array" ref="U70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70" cm="1">
        <f t="array" ref="V70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70" cm="1">
        <f t="array" ref="W70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70" cm="1">
        <f t="array" ref="X70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70" cm="1">
        <f t="array" ref="Y70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70" cm="1">
        <f t="array" ref="Z70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70">
        <f>SUM(자료실기준[[#This Row],[총류]:[역사]])</f>
        <v>0</v>
      </c>
    </row>
    <row r="71" spans="1:27" x14ac:dyDescent="0.3">
      <c r="A71" s="5">
        <v>45352</v>
      </c>
      <c r="B71" t="s">
        <v>197</v>
      </c>
      <c r="C71" s="5" t="str">
        <f>TEXT(자료실기준[[#This Row],[년월]],"yy년m월")&amp;자료실기준[[#This Row],[소장처명]]</f>
        <v>24년3월경남독서한마당(종합)</v>
      </c>
      <c r="D71" t="str">
        <f>IFERROR(INDEX(자료실범례[],MATCH($B71,자료실범례[소장처명],0),2),"종합자료실")</f>
        <v>종합자료실</v>
      </c>
      <c r="E71" cm="1">
        <f t="array" ref="E71">IFERROR(INDEX(대출자[],MATCH(1,(자료실기준[[#This Row],[소장처명]]=대출자[소장처명])*(자료실기준[[#This Row],[년월]]=대출자[년월]),0),MATCH(E$1,대출자[#Headers],0)),0)</f>
        <v>0</v>
      </c>
      <c r="F71" cm="1">
        <f t="array" ref="F71">IFERROR(INDEX(대출자[],MATCH(1,(자료실기준[[#This Row],[소장처명]]=대출자[소장처명])*(자료실기준[[#This Row],[년월]]=대출자[년월]),0),MATCH(F$1,대출자[#Headers],0)),0)</f>
        <v>2</v>
      </c>
      <c r="G71" cm="1">
        <f t="array" ref="G71">IFERROR(INDEX(대출자[],MATCH(1,(자료실기준[[#This Row],[소장처명]]=대출자[소장처명])*(자료실기준[[#This Row],[년월]]=대출자[년월]),0),MATCH(G$1,대출자[#Headers],0)),0)</f>
        <v>0</v>
      </c>
      <c r="H71" cm="1">
        <f t="array" ref="H71">IFERROR(INDEX(대출자[],MATCH(1,(자료실기준[[#This Row],[소장처명]]=대출자[소장처명])*(자료실기준[[#This Row],[년월]]=대출자[년월]),0),MATCH(H$1,대출자[#Headers],0)),0)</f>
        <v>1</v>
      </c>
      <c r="I71" cm="1">
        <f t="array" ref="I71">IFERROR(INDEX(대출자[],MATCH(1,(자료실기준[[#This Row],[소장처명]]=대출자[소장처명])*(자료실기준[[#This Row],[년월]]=대출자[년월]),0),MATCH(I$1,대출자[#Headers],0)),0)</f>
        <v>3</v>
      </c>
      <c r="J71" cm="1">
        <f t="array" ref="J71">IFERROR(INDEX(대출자[],MATCH(1,(자료실기준[[#This Row],[소장처명]]=대출자[소장처명])*(자료실기준[[#This Row],[년월]]=대출자[년월]),0),MATCH(J$1,대출자[#Headers],0)),0)</f>
        <v>13</v>
      </c>
      <c r="K71" cm="1">
        <f t="array" ref="K71">IFERROR(INDEX(대출자[],MATCH(1,(자료실기준[[#This Row],[소장처명]]=대출자[소장처명])*(자료실기준[[#This Row],[년월]]=대출자[년월]),0),MATCH(K$1,대출자[#Headers],0)),0)</f>
        <v>2</v>
      </c>
      <c r="L71" cm="1">
        <f t="array" ref="L71">IFERROR(INDEX(대출자[],MATCH(1,(자료실기준[[#This Row],[소장처명]]=대출자[소장처명])*(자료실기준[[#This Row],[년월]]=대출자[년월]),0),MATCH(L$1,대출자[#Headers],0)),0)</f>
        <v>1</v>
      </c>
      <c r="M71" cm="1">
        <f t="array" ref="M71">IFERROR(INDEX(대출자[],MATCH(1,(자료실기준[[#This Row],[소장처명]]=대출자[소장처명])*(자료실기준[[#This Row],[년월]]=대출자[년월]),0),MATCH(M$1,대출자[#Headers],0)),0)</f>
        <v>16</v>
      </c>
      <c r="N71">
        <f>IFERROR(자료실기준[[#This Row],[어린이남자]]+자료실기준[[#This Row],[청소년남자]]+자료실기준[[#This Row],[성인남자]],0)</f>
        <v>3</v>
      </c>
      <c r="O71">
        <f>IFERROR(자료실기준[[#This Row],[어린이여자]]+자료실기준[[#This Row],[청소년여자]]+자료실기준[[#This Row],[성인여자]],0)</f>
        <v>16</v>
      </c>
      <c r="P71">
        <f>IFERROR(자료실기준[[#This Row],[남자]]+자료실기준[[#This Row],[여자]],0)</f>
        <v>19</v>
      </c>
      <c r="Q71" cm="1">
        <f t="array" ref="Q71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71" cm="1">
        <f t="array" ref="R71">IFERROR(INDEX(대출권수[],MATCH(1,(자료실기준[[#This Row],[소장처명]]=대출권수[소장처명])*(대출권수[대출반납]="대출")*(자료실기준[[#This Row],[년월]]=대출권수[년월]),0),MATCH(R$1,대출권수[#Headers],0)),0)</f>
        <v>5</v>
      </c>
      <c r="S71" cm="1">
        <f t="array" ref="S71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71" cm="1">
        <f t="array" ref="T71">IFERROR(INDEX(대출권수[],MATCH(1,(자료실기준[[#This Row],[소장처명]]=대출권수[소장처명])*(대출권수[대출반납]="대출")*(자료실기준[[#This Row],[년월]]=대출권수[년월]),0),MATCH(T$1,대출권수[#Headers],0)),0)</f>
        <v>7</v>
      </c>
      <c r="U71" cm="1">
        <f t="array" ref="U71">IFERROR(INDEX(대출권수[],MATCH(1,(자료실기준[[#This Row],[소장처명]]=대출권수[소장처명])*(대출권수[대출반납]="대출")*(자료실기준[[#This Row],[년월]]=대출권수[년월]),0),MATCH(U$1,대출권수[#Headers],0)),0)</f>
        <v>8</v>
      </c>
      <c r="V71" cm="1">
        <f t="array" ref="V71">IFERROR(INDEX(대출권수[],MATCH(1,(자료실기준[[#This Row],[소장처명]]=대출권수[소장처명])*(대출권수[대출반납]="대출")*(자료실기준[[#This Row],[년월]]=대출권수[년월]),0),MATCH(V$1,대출권수[#Headers],0)),0)</f>
        <v>5</v>
      </c>
      <c r="W71" cm="1">
        <f t="array" ref="W71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71" cm="1">
        <f t="array" ref="X71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71" cm="1">
        <f t="array" ref="Y71">IFERROR(INDEX(대출권수[],MATCH(1,(자료실기준[[#This Row],[소장처명]]=대출권수[소장처명])*(대출권수[대출반납]="대출")*(자료실기준[[#This Row],[년월]]=대출권수[년월]),0),MATCH(Y$1,대출권수[#Headers],0)),0)</f>
        <v>19</v>
      </c>
      <c r="Z71" cm="1">
        <f t="array" ref="Z71">IFERROR(INDEX(대출권수[],MATCH(1,(자료실기준[[#This Row],[소장처명]]=대출권수[소장처명])*(대출권수[대출반납]="대출")*(자료실기준[[#This Row],[년월]]=대출권수[년월]),0),MATCH(Z$1,대출권수[#Headers],0)),0)</f>
        <v>2</v>
      </c>
      <c r="AA71">
        <f>SUM(자료실기준[[#This Row],[총류]:[역사]])</f>
        <v>46</v>
      </c>
    </row>
    <row r="72" spans="1:27" x14ac:dyDescent="0.3">
      <c r="A72" s="5">
        <v>45352</v>
      </c>
      <c r="B72" t="s">
        <v>198</v>
      </c>
      <c r="C72" s="5" t="str">
        <f>TEXT(자료실기준[[#This Row],[년월]],"yy년m월")&amp;자료실기준[[#This Row],[소장처명]]</f>
        <v>24년3월경남독서한마당(어린이)</v>
      </c>
      <c r="D72" t="str">
        <f>IFERROR(INDEX(자료실범례[],MATCH($B72,자료실범례[소장처명],0),2),"종합자료실")</f>
        <v>어린이자료실</v>
      </c>
      <c r="E72" cm="1">
        <f t="array" ref="E72">IFERROR(INDEX(대출자[],MATCH(1,(자료실기준[[#This Row],[소장처명]]=대출자[소장처명])*(자료실기준[[#This Row],[년월]]=대출자[년월]),0),MATCH(E$1,대출자[#Headers],0)),0)</f>
        <v>4</v>
      </c>
      <c r="F72" cm="1">
        <f t="array" ref="F72">IFERROR(INDEX(대출자[],MATCH(1,(자료실기준[[#This Row],[소장처명]]=대출자[소장처명])*(자료실기준[[#This Row],[년월]]=대출자[년월]),0),MATCH(F$1,대출자[#Headers],0)),0)</f>
        <v>8</v>
      </c>
      <c r="G72" cm="1">
        <f t="array" ref="G72">IFERROR(INDEX(대출자[],MATCH(1,(자료실기준[[#This Row],[소장처명]]=대출자[소장처명])*(자료실기준[[#This Row],[년월]]=대출자[년월]),0),MATCH(G$1,대출자[#Headers],0)),0)</f>
        <v>1</v>
      </c>
      <c r="H72" cm="1">
        <f t="array" ref="H72">IFERROR(INDEX(대출자[],MATCH(1,(자료실기준[[#This Row],[소장처명]]=대출자[소장처명])*(자료실기준[[#This Row],[년월]]=대출자[년월]),0),MATCH(H$1,대출자[#Headers],0)),0)</f>
        <v>0</v>
      </c>
      <c r="I72" cm="1">
        <f t="array" ref="I72">IFERROR(INDEX(대출자[],MATCH(1,(자료실기준[[#This Row],[소장처명]]=대출자[소장처명])*(자료실기준[[#This Row],[년월]]=대출자[년월]),0),MATCH(I$1,대출자[#Headers],0)),0)</f>
        <v>3</v>
      </c>
      <c r="J72" cm="1">
        <f t="array" ref="J72">IFERROR(INDEX(대출자[],MATCH(1,(자료실기준[[#This Row],[소장처명]]=대출자[소장처명])*(자료실기준[[#This Row],[년월]]=대출자[년월]),0),MATCH(J$1,대출자[#Headers],0)),0)</f>
        <v>7</v>
      </c>
      <c r="K72" cm="1">
        <f t="array" ref="K72">IFERROR(INDEX(대출자[],MATCH(1,(자료실기준[[#This Row],[소장처명]]=대출자[소장처명])*(자료실기준[[#This Row],[년월]]=대출자[년월]),0),MATCH(K$1,대출자[#Headers],0)),0)</f>
        <v>12</v>
      </c>
      <c r="L72" cm="1">
        <f t="array" ref="L72">IFERROR(INDEX(대출자[],MATCH(1,(자료실기준[[#This Row],[소장처명]]=대출자[소장처명])*(자료실기준[[#This Row],[년월]]=대출자[년월]),0),MATCH(L$1,대출자[#Headers],0)),0)</f>
        <v>1</v>
      </c>
      <c r="M72" cm="1">
        <f t="array" ref="M72">IFERROR(INDEX(대출자[],MATCH(1,(자료실기준[[#This Row],[소장처명]]=대출자[소장처명])*(자료실기준[[#This Row],[년월]]=대출자[년월]),0),MATCH(M$1,대출자[#Headers],0)),0)</f>
        <v>10</v>
      </c>
      <c r="N72">
        <f>IFERROR(자료실기준[[#This Row],[어린이남자]]+자료실기준[[#This Row],[청소년남자]]+자료실기준[[#This Row],[성인남자]],0)</f>
        <v>8</v>
      </c>
      <c r="O72">
        <f>IFERROR(자료실기준[[#This Row],[어린이여자]]+자료실기준[[#This Row],[청소년여자]]+자료실기준[[#This Row],[성인여자]],0)</f>
        <v>15</v>
      </c>
      <c r="P72">
        <f>IFERROR(자료실기준[[#This Row],[남자]]+자료실기준[[#This Row],[여자]],0)</f>
        <v>23</v>
      </c>
      <c r="Q72" cm="1">
        <f t="array" ref="Q72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72" cm="1">
        <f t="array" ref="R72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72" cm="1">
        <f t="array" ref="S72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72" cm="1">
        <f t="array" ref="T72">IFERROR(INDEX(대출권수[],MATCH(1,(자료실기준[[#This Row],[소장처명]]=대출권수[소장처명])*(대출권수[대출반납]="대출")*(자료실기준[[#This Row],[년월]]=대출권수[년월]),0),MATCH(T$1,대출권수[#Headers],0)),0)</f>
        <v>2</v>
      </c>
      <c r="U72" cm="1">
        <f t="array" ref="U72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72" cm="1">
        <f t="array" ref="V72">IFERROR(INDEX(대출권수[],MATCH(1,(자료실기준[[#This Row],[소장처명]]=대출권수[소장처명])*(대출권수[대출반납]="대출")*(자료실기준[[#This Row],[년월]]=대출권수[년월]),0),MATCH(V$1,대출권수[#Headers],0)),0)</f>
        <v>6</v>
      </c>
      <c r="W72" cm="1">
        <f t="array" ref="W72">IFERROR(INDEX(대출권수[],MATCH(1,(자료실기준[[#This Row],[소장처명]]=대출권수[소장처명])*(대출권수[대출반납]="대출")*(자료실기준[[#This Row],[년월]]=대출권수[년월]),0),MATCH(W$1,대출권수[#Headers],0)),0)</f>
        <v>4</v>
      </c>
      <c r="X72" cm="1">
        <f t="array" ref="X72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72" cm="1">
        <f t="array" ref="Y72">IFERROR(INDEX(대출권수[],MATCH(1,(자료실기준[[#This Row],[소장처명]]=대출권수[소장처명])*(대출권수[대출반납]="대출")*(자료실기준[[#This Row],[년월]]=대출권수[년월]),0),MATCH(Y$1,대출권수[#Headers],0)),0)</f>
        <v>35</v>
      </c>
      <c r="Z72" cm="1">
        <f t="array" ref="Z72">IFERROR(INDEX(대출권수[],MATCH(1,(자료실기준[[#This Row],[소장처명]]=대출권수[소장처명])*(대출권수[대출반납]="대출")*(자료실기준[[#This Row],[년월]]=대출권수[년월]),0),MATCH(Z$1,대출권수[#Headers],0)),0)</f>
        <v>3</v>
      </c>
      <c r="AA72">
        <f>SUM(자료실기준[[#This Row],[총류]:[역사]])</f>
        <v>50</v>
      </c>
    </row>
    <row r="73" spans="1:27" x14ac:dyDescent="0.3">
      <c r="A73" s="5">
        <v>45352</v>
      </c>
      <c r="B73" t="s">
        <v>454</v>
      </c>
      <c r="C73" s="5" t="str">
        <f>TEXT(자료실기준[[#This Row],[년월]],"yy년m월")&amp;자료실기준[[#This Row],[소장처명]]</f>
        <v>24년3월기타</v>
      </c>
      <c r="D73" t="str">
        <f>IFERROR(INDEX(자료실범례[],MATCH($B73,자료실범례[소장처명],0),2),"종합자료실")</f>
        <v>종합자료실</v>
      </c>
      <c r="E73" s="9">
        <f t="array" ref="E73">IFERROR(INDEX(대출자[],MATCH(1,(자료실기준[[#This Row],[소장처명]]=대출자[소장처명])*(자료실기준[[#This Row],[년월]]=대출자[년월]),0),MATCH(E$1,대출자[#Headers],0)),0)</f>
        <v>0</v>
      </c>
      <c r="F73" s="9">
        <f t="array" ref="F73">IFERROR(INDEX(대출자[],MATCH(1,(자료실기준[[#This Row],[소장처명]]=대출자[소장처명])*(자료실기준[[#This Row],[년월]]=대출자[년월]),0),MATCH(F$1,대출자[#Headers],0)),0)</f>
        <v>0</v>
      </c>
      <c r="G73" s="9">
        <f t="array" ref="G73">IFERROR(INDEX(대출자[],MATCH(1,(자료실기준[[#This Row],[소장처명]]=대출자[소장처명])*(자료실기준[[#This Row],[년월]]=대출자[년월]),0),MATCH(G$1,대출자[#Headers],0)),0)</f>
        <v>0</v>
      </c>
      <c r="H73" s="9">
        <f t="array" ref="H73">IFERROR(INDEX(대출자[],MATCH(1,(자료실기준[[#This Row],[소장처명]]=대출자[소장처명])*(자료실기준[[#This Row],[년월]]=대출자[년월]),0),MATCH(H$1,대출자[#Headers],0)),0)</f>
        <v>0</v>
      </c>
      <c r="I73" s="9">
        <f t="array" ref="I73">IFERROR(INDEX(대출자[],MATCH(1,(자료실기준[[#This Row],[소장처명]]=대출자[소장처명])*(자료실기준[[#This Row],[년월]]=대출자[년월]),0),MATCH(I$1,대출자[#Headers],0)),0)</f>
        <v>0</v>
      </c>
      <c r="J73" s="9">
        <f t="array" ref="J73">IFERROR(INDEX(대출자[],MATCH(1,(자료실기준[[#This Row],[소장처명]]=대출자[소장처명])*(자료실기준[[#This Row],[년월]]=대출자[년월]),0),MATCH(J$1,대출자[#Headers],0)),0)</f>
        <v>0</v>
      </c>
      <c r="K73" s="9">
        <f t="array" ref="K73">IFERROR(INDEX(대출자[],MATCH(1,(자료실기준[[#This Row],[소장처명]]=대출자[소장처명])*(자료실기준[[#This Row],[년월]]=대출자[년월]),0),MATCH(K$1,대출자[#Headers],0)),0)</f>
        <v>0</v>
      </c>
      <c r="L73" s="9">
        <f t="array" ref="L73">IFERROR(INDEX(대출자[],MATCH(1,(자료실기준[[#This Row],[소장처명]]=대출자[소장처명])*(자료실기준[[#This Row],[년월]]=대출자[년월]),0),MATCH(L$1,대출자[#Headers],0)),0)</f>
        <v>0</v>
      </c>
      <c r="M73" s="9">
        <f t="array" ref="M73">IFERROR(INDEX(대출자[],MATCH(1,(자료실기준[[#This Row],[소장처명]]=대출자[소장처명])*(자료실기준[[#This Row],[년월]]=대출자[년월]),0),MATCH(M$1,대출자[#Headers],0)),0)</f>
        <v>0</v>
      </c>
      <c r="N73" s="9">
        <f>IFERROR(자료실기준[[#This Row],[어린이남자]]+자료실기준[[#This Row],[청소년남자]]+자료실기준[[#This Row],[성인남자]],0)</f>
        <v>0</v>
      </c>
      <c r="O73" s="9">
        <f>IFERROR(자료실기준[[#This Row],[어린이여자]]+자료실기준[[#This Row],[청소년여자]]+자료실기준[[#This Row],[성인여자]],0)</f>
        <v>0</v>
      </c>
      <c r="P73" s="9">
        <f>IFERROR(자료실기준[[#This Row],[남자]]+자료실기준[[#This Row],[여자]],0)</f>
        <v>0</v>
      </c>
      <c r="Q73" s="9">
        <f t="array" ref="Q73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73" s="9">
        <f t="array" ref="R73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73" s="9">
        <f t="array" ref="S73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73" s="9">
        <f t="array" ref="T73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73" s="9">
        <f t="array" ref="U73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73" s="9">
        <f t="array" ref="V73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73" s="9">
        <f t="array" ref="W73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73" s="9">
        <f t="array" ref="X73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73" s="9">
        <f t="array" ref="Y73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73" s="9">
        <f t="array" ref="Z73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73" s="9">
        <f>SUM(자료실기준[[#This Row],[총류]:[역사]])</f>
        <v>0</v>
      </c>
    </row>
    <row r="74" spans="1:27" x14ac:dyDescent="0.3">
      <c r="A74" s="5">
        <v>45352</v>
      </c>
      <c r="C74" s="5" t="str">
        <f>TEXT(자료실기준[[#This Row],[년월]],"yy년m월")&amp;자료실기준[[#This Row],[소장처명]]</f>
        <v>24년3월</v>
      </c>
      <c r="D74" t="str">
        <f>IFERROR(INDEX(자료실범례[],MATCH($B74,자료실범례[소장처명],0),2),"종합자료실")</f>
        <v>종합자료실</v>
      </c>
      <c r="E74" s="9">
        <f t="array" ref="E74">IFERROR(INDEX(대출자[],MATCH(1,(자료실기준[[#This Row],[소장처명]]=대출자[소장처명])*(자료실기준[[#This Row],[년월]]=대출자[년월]),0),MATCH(E$1,대출자[#Headers],0)),0)</f>
        <v>0</v>
      </c>
      <c r="F74" s="9">
        <f t="array" ref="F74">IFERROR(INDEX(대출자[],MATCH(1,(자료실기준[[#This Row],[소장처명]]=대출자[소장처명])*(자료실기준[[#This Row],[년월]]=대출자[년월]),0),MATCH(F$1,대출자[#Headers],0)),0)</f>
        <v>0</v>
      </c>
      <c r="G74" s="9">
        <f t="array" ref="G74">IFERROR(INDEX(대출자[],MATCH(1,(자료실기준[[#This Row],[소장처명]]=대출자[소장처명])*(자료실기준[[#This Row],[년월]]=대출자[년월]),0),MATCH(G$1,대출자[#Headers],0)),0)</f>
        <v>0</v>
      </c>
      <c r="H74" s="9">
        <f t="array" ref="H74">IFERROR(INDEX(대출자[],MATCH(1,(자료실기준[[#This Row],[소장처명]]=대출자[소장처명])*(자료실기준[[#This Row],[년월]]=대출자[년월]),0),MATCH(H$1,대출자[#Headers],0)),0)</f>
        <v>0</v>
      </c>
      <c r="I74" s="9">
        <f t="array" ref="I74">IFERROR(INDEX(대출자[],MATCH(1,(자료실기준[[#This Row],[소장처명]]=대출자[소장처명])*(자료실기준[[#This Row],[년월]]=대출자[년월]),0),MATCH(I$1,대출자[#Headers],0)),0)</f>
        <v>0</v>
      </c>
      <c r="J74" s="9">
        <f t="array" ref="J74">IFERROR(INDEX(대출자[],MATCH(1,(자료실기준[[#This Row],[소장처명]]=대출자[소장처명])*(자료실기준[[#This Row],[년월]]=대출자[년월]),0),MATCH(J$1,대출자[#Headers],0)),0)</f>
        <v>0</v>
      </c>
      <c r="K74" s="9">
        <f t="array" ref="K74">IFERROR(INDEX(대출자[],MATCH(1,(자료실기준[[#This Row],[소장처명]]=대출자[소장처명])*(자료실기준[[#This Row],[년월]]=대출자[년월]),0),MATCH(K$1,대출자[#Headers],0)),0)</f>
        <v>0</v>
      </c>
      <c r="L74" s="9">
        <f t="array" ref="L74">IFERROR(INDEX(대출자[],MATCH(1,(자료실기준[[#This Row],[소장처명]]=대출자[소장처명])*(자료실기준[[#This Row],[년월]]=대출자[년월]),0),MATCH(L$1,대출자[#Headers],0)),0)</f>
        <v>0</v>
      </c>
      <c r="M74" s="9">
        <f t="array" ref="M74">IFERROR(INDEX(대출자[],MATCH(1,(자료실기준[[#This Row],[소장처명]]=대출자[소장처명])*(자료실기준[[#This Row],[년월]]=대출자[년월]),0),MATCH(M$1,대출자[#Headers],0)),0)</f>
        <v>0</v>
      </c>
      <c r="N74" s="9">
        <f>IFERROR(자료실기준[[#This Row],[어린이남자]]+자료실기준[[#This Row],[청소년남자]]+자료실기준[[#This Row],[성인남자]],0)</f>
        <v>0</v>
      </c>
      <c r="O74" s="9">
        <f>IFERROR(자료실기준[[#This Row],[어린이여자]]+자료실기준[[#This Row],[청소년여자]]+자료실기준[[#This Row],[성인여자]],0)</f>
        <v>0</v>
      </c>
      <c r="P74" s="9">
        <f>IFERROR(자료실기준[[#This Row],[남자]]+자료실기준[[#This Row],[여자]],0)</f>
        <v>0</v>
      </c>
      <c r="Q74" s="9">
        <f t="array" ref="Q74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74" s="9">
        <f t="array" ref="R74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74" s="9">
        <f t="array" ref="S74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74" s="9">
        <f t="array" ref="T74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74" s="9">
        <f t="array" ref="U74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74" s="9">
        <f t="array" ref="V74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74" s="9">
        <f t="array" ref="W74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74" s="9">
        <f t="array" ref="X74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74" s="9">
        <f t="array" ref="Y74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74" s="9">
        <f t="array" ref="Z74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74" s="9">
        <f>SUM(자료실기준[[#This Row],[총류]:[역사]])</f>
        <v>0</v>
      </c>
    </row>
    <row r="75" spans="1:27" x14ac:dyDescent="0.3">
      <c r="A75" s="5">
        <v>45383</v>
      </c>
      <c r="B75" t="s">
        <v>198</v>
      </c>
      <c r="C75" s="5" t="str">
        <f>TEXT(자료실기준[[#This Row],[년월]],"yy년m월")&amp;자료실기준[[#This Row],[소장처명]]</f>
        <v>24년4월경남독서한마당(어린이)</v>
      </c>
      <c r="D75" t="str">
        <f>IFERROR(INDEX(자료실범례[],MATCH($B75,자료실범례[소장처명],0),2),"종합자료실")</f>
        <v>어린이자료실</v>
      </c>
      <c r="E75" cm="1">
        <f t="array" ref="E75">IFERROR(INDEX(대출자[],MATCH(1,(자료실기준[[#This Row],[소장처명]]=대출자[소장처명])*(자료실기준[[#This Row],[년월]]=대출자[년월]),0),MATCH(E$1,대출자[#Headers],0)),0)</f>
        <v>3</v>
      </c>
      <c r="F75" cm="1">
        <f t="array" ref="F75">IFERROR(INDEX(대출자[],MATCH(1,(자료실기준[[#This Row],[소장처명]]=대출자[소장처명])*(자료실기준[[#This Row],[년월]]=대출자[년월]),0),MATCH(F$1,대출자[#Headers],0)),0)</f>
        <v>3</v>
      </c>
      <c r="G75" cm="1">
        <f t="array" ref="G75">IFERROR(INDEX(대출자[],MATCH(1,(자료실기준[[#This Row],[소장처명]]=대출자[소장처명])*(자료실기준[[#This Row],[년월]]=대출자[년월]),0),MATCH(G$1,대출자[#Headers],0)),0)</f>
        <v>0</v>
      </c>
      <c r="H75" cm="1">
        <f t="array" ref="H75">IFERROR(INDEX(대출자[],MATCH(1,(자료실기준[[#This Row],[소장처명]]=대출자[소장처명])*(자료실기준[[#This Row],[년월]]=대출자[년월]),0),MATCH(H$1,대출자[#Headers],0)),0)</f>
        <v>0</v>
      </c>
      <c r="I75" cm="1">
        <f t="array" ref="I75">IFERROR(INDEX(대출자[],MATCH(1,(자료실기준[[#This Row],[소장처명]]=대출자[소장처명])*(자료실기준[[#This Row],[년월]]=대출자[년월]),0),MATCH(I$1,대출자[#Headers],0)),0)</f>
        <v>2</v>
      </c>
      <c r="J75" cm="1">
        <f t="array" ref="J75">IFERROR(INDEX(대출자[],MATCH(1,(자료실기준[[#This Row],[소장처명]]=대출자[소장처명])*(자료실기준[[#This Row],[년월]]=대출자[년월]),0),MATCH(J$1,대출자[#Headers],0)),0)</f>
        <v>6</v>
      </c>
      <c r="K75" cm="1">
        <f t="array" ref="K75">IFERROR(INDEX(대출자[],MATCH(1,(자료실기준[[#This Row],[소장처명]]=대출자[소장처명])*(자료실기준[[#This Row],[년월]]=대출자[년월]),0),MATCH(K$1,대출자[#Headers],0)),0)</f>
        <v>6</v>
      </c>
      <c r="L75" cm="1">
        <f t="array" ref="L75">IFERROR(INDEX(대출자[],MATCH(1,(자료실기준[[#This Row],[소장처명]]=대출자[소장처명])*(자료실기준[[#This Row],[년월]]=대출자[년월]),0),MATCH(L$1,대출자[#Headers],0)),0)</f>
        <v>0</v>
      </c>
      <c r="M75" cm="1">
        <f t="array" ref="M75">IFERROR(INDEX(대출자[],MATCH(1,(자료실기준[[#This Row],[소장처명]]=대출자[소장처명])*(자료실기준[[#This Row],[년월]]=대출자[년월]),0),MATCH(M$1,대출자[#Headers],0)),0)</f>
        <v>8</v>
      </c>
      <c r="N75">
        <f>IFERROR(자료실기준[[#This Row],[어린이남자]]+자료실기준[[#This Row],[청소년남자]]+자료실기준[[#This Row],[성인남자]],0)</f>
        <v>5</v>
      </c>
      <c r="O75">
        <f>IFERROR(자료실기준[[#This Row],[어린이여자]]+자료실기준[[#This Row],[청소년여자]]+자료실기준[[#This Row],[성인여자]],0)</f>
        <v>9</v>
      </c>
      <c r="P75">
        <f>IFERROR(자료실기준[[#This Row],[남자]]+자료실기준[[#This Row],[여자]],0)</f>
        <v>14</v>
      </c>
      <c r="Q75" cm="1">
        <f t="array" ref="Q75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75" cm="1">
        <f t="array" ref="R75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75" cm="1">
        <f t="array" ref="S75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75" cm="1">
        <f t="array" ref="T75">IFERROR(INDEX(대출권수[],MATCH(1,(자료실기준[[#This Row],[소장처명]]=대출권수[소장처명])*(대출권수[대출반납]="대출")*(자료실기준[[#This Row],[년월]]=대출권수[년월]),0),MATCH(T$1,대출권수[#Headers],0)),0)</f>
        <v>4</v>
      </c>
      <c r="U75" cm="1">
        <f t="array" ref="U75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75" cm="1">
        <f t="array" ref="V75">IFERROR(INDEX(대출권수[],MATCH(1,(자료실기준[[#This Row],[소장처명]]=대출권수[소장처명])*(대출권수[대출반납]="대출")*(자료실기준[[#This Row],[년월]]=대출권수[년월]),0),MATCH(V$1,대출권수[#Headers],0)),0)</f>
        <v>2</v>
      </c>
      <c r="W75" cm="1">
        <f t="array" ref="W75">IFERROR(INDEX(대출권수[],MATCH(1,(자료실기준[[#This Row],[소장처명]]=대출권수[소장처명])*(대출권수[대출반납]="대출")*(자료실기준[[#This Row],[년월]]=대출권수[년월]),0),MATCH(W$1,대출권수[#Headers],0)),0)</f>
        <v>1</v>
      </c>
      <c r="X75" cm="1">
        <f t="array" ref="X75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75" cm="1">
        <f t="array" ref="Y75">IFERROR(INDEX(대출권수[],MATCH(1,(자료실기준[[#This Row],[소장처명]]=대출권수[소장처명])*(대출권수[대출반납]="대출")*(자료실기준[[#This Row],[년월]]=대출권수[년월]),0),MATCH(Y$1,대출권수[#Headers],0)),0)</f>
        <v>24</v>
      </c>
      <c r="Z75" cm="1">
        <f t="array" ref="Z75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75">
        <f>SUM(자료실기준[[#This Row],[총류]:[역사]])</f>
        <v>31</v>
      </c>
    </row>
    <row r="76" spans="1:27" x14ac:dyDescent="0.3">
      <c r="A76" s="5">
        <v>45383</v>
      </c>
      <c r="B76" t="s">
        <v>197</v>
      </c>
      <c r="C76" s="5" t="str">
        <f>TEXT(자료실기준[[#This Row],[년월]],"yy년m월")&amp;자료실기준[[#This Row],[소장처명]]</f>
        <v>24년4월경남독서한마당(종합)</v>
      </c>
      <c r="D76" t="str">
        <f>IFERROR(INDEX(자료실범례[],MATCH($B76,자료실범례[소장처명],0),2),"종합자료실")</f>
        <v>종합자료실</v>
      </c>
      <c r="E76" cm="1">
        <f t="array" ref="E76">IFERROR(INDEX(대출자[],MATCH(1,(자료실기준[[#This Row],[소장처명]]=대출자[소장처명])*(자료실기준[[#This Row],[년월]]=대출자[년월]),0),MATCH(E$1,대출자[#Headers],0)),0)</f>
        <v>0</v>
      </c>
      <c r="F76" cm="1">
        <f t="array" ref="F76">IFERROR(INDEX(대출자[],MATCH(1,(자료실기준[[#This Row],[소장처명]]=대출자[소장처명])*(자료실기준[[#This Row],[년월]]=대출자[년월]),0),MATCH(F$1,대출자[#Headers],0)),0)</f>
        <v>2</v>
      </c>
      <c r="G76" cm="1">
        <f t="array" ref="G76">IFERROR(INDEX(대출자[],MATCH(1,(자료실기준[[#This Row],[소장처명]]=대출자[소장처명])*(자료실기준[[#This Row],[년월]]=대출자[년월]),0),MATCH(G$1,대출자[#Headers],0)),0)</f>
        <v>1</v>
      </c>
      <c r="H76" cm="1">
        <f t="array" ref="H76">IFERROR(INDEX(대출자[],MATCH(1,(자료실기준[[#This Row],[소장처명]]=대출자[소장처명])*(자료실기준[[#This Row],[년월]]=대출자[년월]),0),MATCH(H$1,대출자[#Headers],0)),0)</f>
        <v>0</v>
      </c>
      <c r="I76" cm="1">
        <f t="array" ref="I76">IFERROR(INDEX(대출자[],MATCH(1,(자료실기준[[#This Row],[소장처명]]=대출자[소장처명])*(자료실기준[[#This Row],[년월]]=대출자[년월]),0),MATCH(I$1,대출자[#Headers],0)),0)</f>
        <v>0</v>
      </c>
      <c r="J76" cm="1">
        <f t="array" ref="J76">IFERROR(INDEX(대출자[],MATCH(1,(자료실기준[[#This Row],[소장처명]]=대출자[소장처명])*(자료실기준[[#This Row],[년월]]=대출자[년월]),0),MATCH(J$1,대출자[#Headers],0)),0)</f>
        <v>8</v>
      </c>
      <c r="K76" cm="1">
        <f t="array" ref="K76">IFERROR(INDEX(대출자[],MATCH(1,(자료실기준[[#This Row],[소장처명]]=대출자[소장처명])*(자료실기준[[#This Row],[년월]]=대출자[년월]),0),MATCH(K$1,대출자[#Headers],0)),0)</f>
        <v>2</v>
      </c>
      <c r="L76" cm="1">
        <f t="array" ref="L76">IFERROR(INDEX(대출자[],MATCH(1,(자료실기준[[#This Row],[소장처명]]=대출자[소장처명])*(자료실기준[[#This Row],[년월]]=대출자[년월]),0),MATCH(L$1,대출자[#Headers],0)),0)</f>
        <v>1</v>
      </c>
      <c r="M76" cm="1">
        <f t="array" ref="M76">IFERROR(INDEX(대출자[],MATCH(1,(자료실기준[[#This Row],[소장처명]]=대출자[소장처명])*(자료실기준[[#This Row],[년월]]=대출자[년월]),0),MATCH(M$1,대출자[#Headers],0)),0)</f>
        <v>8</v>
      </c>
      <c r="N76">
        <f>IFERROR(자료실기준[[#This Row],[어린이남자]]+자료실기준[[#This Row],[청소년남자]]+자료실기준[[#This Row],[성인남자]],0)</f>
        <v>1</v>
      </c>
      <c r="O76">
        <f>IFERROR(자료실기준[[#This Row],[어린이여자]]+자료실기준[[#This Row],[청소년여자]]+자료실기준[[#This Row],[성인여자]],0)</f>
        <v>10</v>
      </c>
      <c r="P76">
        <f>IFERROR(자료실기준[[#This Row],[남자]]+자료실기준[[#This Row],[여자]],0)</f>
        <v>11</v>
      </c>
      <c r="Q76" cm="1">
        <f t="array" ref="Q76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76" cm="1">
        <f t="array" ref="R76">IFERROR(INDEX(대출권수[],MATCH(1,(자료실기준[[#This Row],[소장처명]]=대출권수[소장처명])*(대출권수[대출반납]="대출")*(자료실기준[[#This Row],[년월]]=대출권수[년월]),0),MATCH(R$1,대출권수[#Headers],0)),0)</f>
        <v>1</v>
      </c>
      <c r="S76" cm="1">
        <f t="array" ref="S76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76" cm="1">
        <f t="array" ref="T76">IFERROR(INDEX(대출권수[],MATCH(1,(자료실기준[[#This Row],[소장처명]]=대출권수[소장처명])*(대출권수[대출반납]="대출")*(자료실기준[[#This Row],[년월]]=대출권수[년월]),0),MATCH(T$1,대출권수[#Headers],0)),0)</f>
        <v>3</v>
      </c>
      <c r="U76" cm="1">
        <f t="array" ref="U76">IFERROR(INDEX(대출권수[],MATCH(1,(자료실기준[[#This Row],[소장처명]]=대출권수[소장처명])*(대출권수[대출반납]="대출")*(자료실기준[[#This Row],[년월]]=대출권수[년월]),0),MATCH(U$1,대출권수[#Headers],0)),0)</f>
        <v>2</v>
      </c>
      <c r="V76" cm="1">
        <f t="array" ref="V76">IFERROR(INDEX(대출권수[],MATCH(1,(자료실기준[[#This Row],[소장처명]]=대출권수[소장처명])*(대출권수[대출반납]="대출")*(자료실기준[[#This Row],[년월]]=대출권수[년월]),0),MATCH(V$1,대출권수[#Headers],0)),0)</f>
        <v>3</v>
      </c>
      <c r="W76" cm="1">
        <f t="array" ref="W76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76" cm="1">
        <f t="array" ref="X76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76" cm="1">
        <f t="array" ref="Y76">IFERROR(INDEX(대출권수[],MATCH(1,(자료실기준[[#This Row],[소장처명]]=대출권수[소장처명])*(대출권수[대출반납]="대출")*(자료실기준[[#This Row],[년월]]=대출권수[년월]),0),MATCH(Y$1,대출권수[#Headers],0)),0)</f>
        <v>9</v>
      </c>
      <c r="Z76" cm="1">
        <f t="array" ref="Z76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76">
        <f>SUM(자료실기준[[#This Row],[총류]:[역사]])</f>
        <v>18</v>
      </c>
    </row>
    <row r="77" spans="1:27" x14ac:dyDescent="0.3">
      <c r="A77" s="5">
        <v>45383</v>
      </c>
      <c r="B77" t="s">
        <v>21</v>
      </c>
      <c r="C77" s="5" t="str">
        <f>TEXT(자료실기준[[#This Row],[년월]],"yy년m월")&amp;자료실기준[[#This Row],[소장처명]]</f>
        <v>24년4월종합자료실</v>
      </c>
      <c r="D77" t="str">
        <f>IFERROR(INDEX(자료실범례[],MATCH($B77,자료실범례[소장처명],0),2),"종합자료실")</f>
        <v>종합자료실</v>
      </c>
      <c r="E77" cm="1">
        <f t="array" ref="E77">IFERROR(INDEX(대출자[],MATCH(1,(자료실기준[[#This Row],[소장처명]]=대출자[소장처명])*(자료실기준[[#This Row],[년월]]=대출자[년월]),0),MATCH(E$1,대출자[#Headers],0)),0)</f>
        <v>9</v>
      </c>
      <c r="F77" cm="1">
        <f t="array" ref="F77">IFERROR(INDEX(대출자[],MATCH(1,(자료실기준[[#This Row],[소장처명]]=대출자[소장처명])*(자료실기준[[#This Row],[년월]]=대출자[년월]),0),MATCH(F$1,대출자[#Headers],0)),0)</f>
        <v>7</v>
      </c>
      <c r="G77" cm="1">
        <f t="array" ref="G77">IFERROR(INDEX(대출자[],MATCH(1,(자료실기준[[#This Row],[소장처명]]=대출자[소장처명])*(자료실기준[[#This Row],[년월]]=대출자[년월]),0),MATCH(G$1,대출자[#Headers],0)),0)</f>
        <v>15</v>
      </c>
      <c r="H77" cm="1">
        <f t="array" ref="H77">IFERROR(INDEX(대출자[],MATCH(1,(자료실기준[[#This Row],[소장처명]]=대출자[소장처명])*(자료실기준[[#This Row],[년월]]=대출자[년월]),0),MATCH(H$1,대출자[#Headers],0)),0)</f>
        <v>19</v>
      </c>
      <c r="I77" cm="1">
        <f t="array" ref="I77">IFERROR(INDEX(대출자[],MATCH(1,(자료실기준[[#This Row],[소장처명]]=대출자[소장처명])*(자료실기준[[#This Row],[년월]]=대출자[년월]),0),MATCH(I$1,대출자[#Headers],0)),0)</f>
        <v>95</v>
      </c>
      <c r="J77" cm="1">
        <f t="array" ref="J77">IFERROR(INDEX(대출자[],MATCH(1,(자료실기준[[#This Row],[소장처명]]=대출자[소장처명])*(자료실기준[[#This Row],[년월]]=대출자[년월]),0),MATCH(J$1,대출자[#Headers],0)),0)</f>
        <v>172</v>
      </c>
      <c r="K77" cm="1">
        <f t="array" ref="K77">IFERROR(INDEX(대출자[],MATCH(1,(자료실기준[[#This Row],[소장처명]]=대출자[소장처명])*(자료실기준[[#This Row],[년월]]=대출자[년월]),0),MATCH(K$1,대출자[#Headers],0)),0)</f>
        <v>16</v>
      </c>
      <c r="L77" cm="1">
        <f t="array" ref="L77">IFERROR(INDEX(대출자[],MATCH(1,(자료실기준[[#This Row],[소장처명]]=대출자[소장처명])*(자료실기준[[#This Row],[년월]]=대출자[년월]),0),MATCH(L$1,대출자[#Headers],0)),0)</f>
        <v>34</v>
      </c>
      <c r="M77" cm="1">
        <f t="array" ref="M77">IFERROR(INDEX(대출자[],MATCH(1,(자료실기준[[#This Row],[소장처명]]=대출자[소장처명])*(자료실기준[[#This Row],[년월]]=대출자[년월]),0),MATCH(M$1,대출자[#Headers],0)),0)</f>
        <v>267</v>
      </c>
      <c r="N77">
        <f>IFERROR(자료실기준[[#This Row],[어린이남자]]+자료실기준[[#This Row],[청소년남자]]+자료실기준[[#This Row],[성인남자]],0)</f>
        <v>119</v>
      </c>
      <c r="O77">
        <f>IFERROR(자료실기준[[#This Row],[어린이여자]]+자료실기준[[#This Row],[청소년여자]]+자료실기준[[#This Row],[성인여자]],0)</f>
        <v>198</v>
      </c>
      <c r="P77">
        <f>IFERROR(자료실기준[[#This Row],[남자]]+자료실기준[[#This Row],[여자]],0)</f>
        <v>317</v>
      </c>
      <c r="Q77" cm="1">
        <f t="array" ref="Q77">IFERROR(INDEX(대출권수[],MATCH(1,(자료실기준[[#This Row],[소장처명]]=대출권수[소장처명])*(대출권수[대출반납]="대출")*(자료실기준[[#This Row],[년월]]=대출권수[년월]),0),MATCH(Q$1,대출권수[#Headers],0)),0)</f>
        <v>26</v>
      </c>
      <c r="R77" cm="1">
        <f t="array" ref="R77">IFERROR(INDEX(대출권수[],MATCH(1,(자료실기준[[#This Row],[소장처명]]=대출권수[소장처명])*(대출권수[대출반납]="대출")*(자료실기준[[#This Row],[년월]]=대출권수[년월]),0),MATCH(R$1,대출권수[#Headers],0)),0)</f>
        <v>96</v>
      </c>
      <c r="S77" cm="1">
        <f t="array" ref="S77">IFERROR(INDEX(대출권수[],MATCH(1,(자료실기준[[#This Row],[소장처명]]=대출권수[소장처명])*(대출권수[대출반납]="대출")*(자료실기준[[#This Row],[년월]]=대출권수[년월]),0),MATCH(S$1,대출권수[#Headers],0)),0)</f>
        <v>22</v>
      </c>
      <c r="T77" cm="1">
        <f t="array" ref="T77">IFERROR(INDEX(대출권수[],MATCH(1,(자료실기준[[#This Row],[소장처명]]=대출권수[소장처명])*(대출권수[대출반납]="대출")*(자료실기준[[#This Row],[년월]]=대출권수[년월]),0),MATCH(T$1,대출권수[#Headers],0)),0)</f>
        <v>222</v>
      </c>
      <c r="U77" cm="1">
        <f t="array" ref="U77">IFERROR(INDEX(대출권수[],MATCH(1,(자료실기준[[#This Row],[소장처명]]=대출권수[소장처명])*(대출권수[대출반납]="대출")*(자료실기준[[#This Row],[년월]]=대출권수[년월]),0),MATCH(U$1,대출권수[#Headers],0)),0)</f>
        <v>37</v>
      </c>
      <c r="V77" cm="1">
        <f t="array" ref="V77">IFERROR(INDEX(대출권수[],MATCH(1,(자료실기준[[#This Row],[소장처명]]=대출권수[소장처명])*(대출권수[대출반납]="대출")*(자료실기준[[#This Row],[년월]]=대출권수[년월]),0),MATCH(V$1,대출권수[#Headers],0)),0)</f>
        <v>116</v>
      </c>
      <c r="W77" cm="1">
        <f t="array" ref="W77">IFERROR(INDEX(대출권수[],MATCH(1,(자료실기준[[#This Row],[소장처명]]=대출권수[소장처명])*(대출권수[대출반납]="대출")*(자료실기준[[#This Row],[년월]]=대출권수[년월]),0),MATCH(W$1,대출권수[#Headers],0)),0)</f>
        <v>32</v>
      </c>
      <c r="X77" cm="1">
        <f t="array" ref="X77">IFERROR(INDEX(대출권수[],MATCH(1,(자료실기준[[#This Row],[소장처명]]=대출권수[소장처명])*(대출권수[대출반납]="대출")*(자료실기준[[#This Row],[년월]]=대출권수[년월]),0),MATCH(X$1,대출권수[#Headers],0)),0)</f>
        <v>28</v>
      </c>
      <c r="Y77" cm="1">
        <f t="array" ref="Y77">IFERROR(INDEX(대출권수[],MATCH(1,(자료실기준[[#This Row],[소장처명]]=대출권수[소장처명])*(대출권수[대출반납]="대출")*(자료실기준[[#This Row],[년월]]=대출권수[년월]),0),MATCH(Y$1,대출권수[#Headers],0)),0)</f>
        <v>430</v>
      </c>
      <c r="Z77" cm="1">
        <f t="array" ref="Z77">IFERROR(INDEX(대출권수[],MATCH(1,(자료실기준[[#This Row],[소장처명]]=대출권수[소장처명])*(대출권수[대출반납]="대출")*(자료실기준[[#This Row],[년월]]=대출권수[년월]),0),MATCH(Z$1,대출권수[#Headers],0)),0)</f>
        <v>71</v>
      </c>
      <c r="AA77">
        <f>SUM(자료실기준[[#This Row],[총류]:[역사]])</f>
        <v>1080</v>
      </c>
    </row>
    <row r="78" spans="1:27" x14ac:dyDescent="0.3">
      <c r="A78" s="5">
        <v>45383</v>
      </c>
      <c r="B78" t="s">
        <v>16</v>
      </c>
      <c r="C78" s="5" t="str">
        <f>TEXT(자료실기준[[#This Row],[년월]],"yy년m월")&amp;자료실기준[[#This Row],[소장처명]]</f>
        <v>24년4월어린이자료실</v>
      </c>
      <c r="D78" t="str">
        <f>IFERROR(INDEX(자료실범례[],MATCH($B78,자료실범례[소장처명],0),2),"종합자료실")</f>
        <v>어린이자료실</v>
      </c>
      <c r="E78" cm="1">
        <f t="array" ref="E78">IFERROR(INDEX(대출자[],MATCH(1,(자료실기준[[#This Row],[소장처명]]=대출자[소장처명])*(자료실기준[[#This Row],[년월]]=대출자[년월]),0),MATCH(E$1,대출자[#Headers],0)),0)</f>
        <v>49</v>
      </c>
      <c r="F78" cm="1">
        <f t="array" ref="F78">IFERROR(INDEX(대출자[],MATCH(1,(자료실기준[[#This Row],[소장처명]]=대출자[소장처명])*(자료실기준[[#This Row],[년월]]=대출자[년월]),0),MATCH(F$1,대출자[#Headers],0)),0)</f>
        <v>45</v>
      </c>
      <c r="G78" cm="1">
        <f t="array" ref="G78">IFERROR(INDEX(대출자[],MATCH(1,(자료실기준[[#This Row],[소장처명]]=대출자[소장처명])*(자료실기준[[#This Row],[년월]]=대출자[년월]),0),MATCH(G$1,대출자[#Headers],0)),0)</f>
        <v>5</v>
      </c>
      <c r="H78" cm="1">
        <f t="array" ref="H78">IFERROR(INDEX(대출자[],MATCH(1,(자료실기준[[#This Row],[소장처명]]=대출자[소장처명])*(자료실기준[[#This Row],[년월]]=대출자[년월]),0),MATCH(H$1,대출자[#Headers],0)),0)</f>
        <v>6</v>
      </c>
      <c r="I78" cm="1">
        <f t="array" ref="I78">IFERROR(INDEX(대출자[],MATCH(1,(자료실기준[[#This Row],[소장처명]]=대출자[소장처명])*(자료실기준[[#This Row],[년월]]=대출자[년월]),0),MATCH(I$1,대출자[#Headers],0)),0)</f>
        <v>33</v>
      </c>
      <c r="J78" cm="1">
        <f t="array" ref="J78">IFERROR(INDEX(대출자[],MATCH(1,(자료실기준[[#This Row],[소장처명]]=대출자[소장처명])*(자료실기준[[#This Row],[년월]]=대출자[년월]),0),MATCH(J$1,대출자[#Headers],0)),0)</f>
        <v>89</v>
      </c>
      <c r="K78" cm="1">
        <f t="array" ref="K78">IFERROR(INDEX(대출자[],MATCH(1,(자료실기준[[#This Row],[소장처명]]=대출자[소장처명])*(자료실기준[[#This Row],[년월]]=대출자[년월]),0),MATCH(K$1,대출자[#Headers],0)),0)</f>
        <v>94</v>
      </c>
      <c r="L78" cm="1">
        <f t="array" ref="L78">IFERROR(INDEX(대출자[],MATCH(1,(자료실기준[[#This Row],[소장처명]]=대출자[소장처명])*(자료실기준[[#This Row],[년월]]=대출자[년월]),0),MATCH(L$1,대출자[#Headers],0)),0)</f>
        <v>11</v>
      </c>
      <c r="M78" cm="1">
        <f t="array" ref="M78">IFERROR(INDEX(대출자[],MATCH(1,(자료실기준[[#This Row],[소장처명]]=대출자[소장처명])*(자료실기준[[#This Row],[년월]]=대출자[년월]),0),MATCH(M$1,대출자[#Headers],0)),0)</f>
        <v>122</v>
      </c>
      <c r="N78">
        <f>IFERROR(자료실기준[[#This Row],[어린이남자]]+자료실기준[[#This Row],[청소년남자]]+자료실기준[[#This Row],[성인남자]],0)</f>
        <v>87</v>
      </c>
      <c r="O78">
        <f>IFERROR(자료실기준[[#This Row],[어린이여자]]+자료실기준[[#This Row],[청소년여자]]+자료실기준[[#This Row],[성인여자]],0)</f>
        <v>140</v>
      </c>
      <c r="P78">
        <f>IFERROR(자료실기준[[#This Row],[남자]]+자료실기준[[#This Row],[여자]],0)</f>
        <v>227</v>
      </c>
      <c r="Q78" cm="1">
        <f t="array" ref="Q78">IFERROR(INDEX(대출권수[],MATCH(1,(자료실기준[[#This Row],[소장처명]]=대출권수[소장처명])*(대출권수[대출반납]="대출")*(자료실기준[[#This Row],[년월]]=대출권수[년월]),0),MATCH(Q$1,대출권수[#Headers],0)),0)</f>
        <v>20</v>
      </c>
      <c r="R78" cm="1">
        <f t="array" ref="R78">IFERROR(INDEX(대출권수[],MATCH(1,(자료실기준[[#This Row],[소장처명]]=대출권수[소장처명])*(대출권수[대출반납]="대출")*(자료실기준[[#This Row],[년월]]=대출권수[년월]),0),MATCH(R$1,대출권수[#Headers],0)),0)</f>
        <v>9</v>
      </c>
      <c r="S78" cm="1">
        <f t="array" ref="S78">IFERROR(INDEX(대출권수[],MATCH(1,(자료실기준[[#This Row],[소장처명]]=대출권수[소장처명])*(대출권수[대출반납]="대출")*(자료실기준[[#This Row],[년월]]=대출권수[년월]),0),MATCH(S$1,대출권수[#Headers],0)),0)</f>
        <v>4</v>
      </c>
      <c r="T78" cm="1">
        <f t="array" ref="T78">IFERROR(INDEX(대출권수[],MATCH(1,(자료실기준[[#This Row],[소장처명]]=대출권수[소장처명])*(대출권수[대출반납]="대출")*(자료실기준[[#This Row],[년월]]=대출권수[년월]),0),MATCH(T$1,대출권수[#Headers],0)),0)</f>
        <v>125</v>
      </c>
      <c r="U78" cm="1">
        <f t="array" ref="U78">IFERROR(INDEX(대출권수[],MATCH(1,(자료실기준[[#This Row],[소장처명]]=대출권수[소장처명])*(대출권수[대출반납]="대출")*(자료실기준[[#This Row],[년월]]=대출권수[년월]),0),MATCH(U$1,대출권수[#Headers],0)),0)</f>
        <v>157</v>
      </c>
      <c r="V78" cm="1">
        <f t="array" ref="V78">IFERROR(INDEX(대출권수[],MATCH(1,(자료실기준[[#This Row],[소장처명]]=대출권수[소장처명])*(대출권수[대출반납]="대출")*(자료실기준[[#This Row],[년월]]=대출권수[년월]),0),MATCH(V$1,대출권수[#Headers],0)),0)</f>
        <v>48</v>
      </c>
      <c r="W78" cm="1">
        <f t="array" ref="W78">IFERROR(INDEX(대출권수[],MATCH(1,(자료실기준[[#This Row],[소장처명]]=대출권수[소장처명])*(대출권수[대출반납]="대출")*(자료실기준[[#This Row],[년월]]=대출권수[년월]),0),MATCH(W$1,대출권수[#Headers],0)),0)</f>
        <v>14</v>
      </c>
      <c r="X78" cm="1">
        <f t="array" ref="X78">IFERROR(INDEX(대출권수[],MATCH(1,(자료실기준[[#This Row],[소장처명]]=대출권수[소장처명])*(대출권수[대출반납]="대출")*(자료실기준[[#This Row],[년월]]=대출권수[년월]),0),MATCH(X$1,대출권수[#Headers],0)),0)</f>
        <v>21</v>
      </c>
      <c r="Y78" cm="1">
        <f t="array" ref="Y78">IFERROR(INDEX(대출권수[],MATCH(1,(자료실기준[[#This Row],[소장처명]]=대출권수[소장처명])*(대출권수[대출반납]="대출")*(자료실기준[[#This Row],[년월]]=대출권수[년월]),0),MATCH(Y$1,대출권수[#Headers],0)),0)</f>
        <v>621</v>
      </c>
      <c r="Z78" cm="1">
        <f t="array" ref="Z78">IFERROR(INDEX(대출권수[],MATCH(1,(자료실기준[[#This Row],[소장처명]]=대출권수[소장처명])*(대출권수[대출반납]="대출")*(자료실기준[[#This Row],[년월]]=대출권수[년월]),0),MATCH(Z$1,대출권수[#Headers],0)),0)</f>
        <v>60</v>
      </c>
      <c r="AA78">
        <f>SUM(자료실기준[[#This Row],[총류]:[역사]])</f>
        <v>1079</v>
      </c>
    </row>
    <row r="79" spans="1:27" x14ac:dyDescent="0.3">
      <c r="A79" s="5">
        <v>45383</v>
      </c>
      <c r="B79" t="s">
        <v>2</v>
      </c>
      <c r="C79" s="5" t="str">
        <f>TEXT(자료실기준[[#This Row],[년월]],"yy년m월")&amp;자료실기준[[#This Row],[소장처명]]</f>
        <v>24년4월디지털자료실</v>
      </c>
      <c r="D79" t="str">
        <f>IFERROR(INDEX(자료실범례[],MATCH($B79,자료실범례[소장처명],0),2),"종합자료실")</f>
        <v>디지털자료실</v>
      </c>
      <c r="E79" cm="1">
        <f t="array" ref="E79">IFERROR(INDEX(대출자[],MATCH(1,(자료실기준[[#This Row],[소장처명]]=대출자[소장처명])*(자료실기준[[#This Row],[년월]]=대출자[년월]),0),MATCH(E$1,대출자[#Headers],0)),0)</f>
        <v>1</v>
      </c>
      <c r="F79" cm="1">
        <f t="array" ref="F79">IFERROR(INDEX(대출자[],MATCH(1,(자료실기준[[#This Row],[소장처명]]=대출자[소장처명])*(자료실기준[[#This Row],[년월]]=대출자[년월]),0),MATCH(F$1,대출자[#Headers],0)),0)</f>
        <v>0</v>
      </c>
      <c r="G79" cm="1">
        <f t="array" ref="G79">IFERROR(INDEX(대출자[],MATCH(1,(자료실기준[[#This Row],[소장처명]]=대출자[소장처명])*(자료실기준[[#This Row],[년월]]=대출자[년월]),0),MATCH(G$1,대출자[#Headers],0)),0)</f>
        <v>0</v>
      </c>
      <c r="H79" cm="1">
        <f t="array" ref="H79">IFERROR(INDEX(대출자[],MATCH(1,(자료실기준[[#This Row],[소장처명]]=대출자[소장처명])*(자료실기준[[#This Row],[년월]]=대출자[년월]),0),MATCH(H$1,대출자[#Headers],0)),0)</f>
        <v>0</v>
      </c>
      <c r="I79" cm="1">
        <f t="array" ref="I79">IFERROR(INDEX(대출자[],MATCH(1,(자료실기준[[#This Row],[소장처명]]=대출자[소장처명])*(자료실기준[[#This Row],[년월]]=대출자[년월]),0),MATCH(I$1,대출자[#Headers],0)),0)</f>
        <v>3</v>
      </c>
      <c r="J79" cm="1">
        <f t="array" ref="J79">IFERROR(INDEX(대출자[],MATCH(1,(자료실기준[[#This Row],[소장처명]]=대출자[소장처명])*(자료실기준[[#This Row],[년월]]=대출자[년월]),0),MATCH(J$1,대출자[#Headers],0)),0)</f>
        <v>1</v>
      </c>
      <c r="K79" cm="1">
        <f t="array" ref="K79">IFERROR(INDEX(대출자[],MATCH(1,(자료실기준[[#This Row],[소장처명]]=대출자[소장처명])*(자료실기준[[#This Row],[년월]]=대출자[년월]),0),MATCH(K$1,대출자[#Headers],0)),0)</f>
        <v>1</v>
      </c>
      <c r="L79" cm="1">
        <f t="array" ref="L79">IFERROR(INDEX(대출자[],MATCH(1,(자료실기준[[#This Row],[소장처명]]=대출자[소장처명])*(자료실기준[[#This Row],[년월]]=대출자[년월]),0),MATCH(L$1,대출자[#Headers],0)),0)</f>
        <v>0</v>
      </c>
      <c r="M79" cm="1">
        <f t="array" ref="M79">IFERROR(INDEX(대출자[],MATCH(1,(자료실기준[[#This Row],[소장처명]]=대출자[소장처명])*(자료실기준[[#This Row],[년월]]=대출자[년월]),0),MATCH(M$1,대출자[#Headers],0)),0)</f>
        <v>4</v>
      </c>
      <c r="N79">
        <f>IFERROR(자료실기준[[#This Row],[어린이남자]]+자료실기준[[#This Row],[청소년남자]]+자료실기준[[#This Row],[성인남자]],0)</f>
        <v>4</v>
      </c>
      <c r="O79">
        <f>IFERROR(자료실기준[[#This Row],[어린이여자]]+자료실기준[[#This Row],[청소년여자]]+자료실기준[[#This Row],[성인여자]],0)</f>
        <v>1</v>
      </c>
      <c r="P79">
        <f>IFERROR(자료실기준[[#This Row],[남자]]+자료실기준[[#This Row],[여자]],0)</f>
        <v>5</v>
      </c>
      <c r="Q79" cm="1">
        <f t="array" ref="Q79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79" cm="1">
        <f t="array" ref="R79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79" cm="1">
        <f t="array" ref="S79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79" cm="1">
        <f t="array" ref="T79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79" cm="1">
        <f t="array" ref="U79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79" cm="1">
        <f t="array" ref="V79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79" cm="1">
        <f t="array" ref="W79">IFERROR(INDEX(대출권수[],MATCH(1,(자료실기준[[#This Row],[소장처명]]=대출권수[소장처명])*(대출권수[대출반납]="대출")*(자료실기준[[#This Row],[년월]]=대출권수[년월]),0),MATCH(W$1,대출권수[#Headers],0)),0)</f>
        <v>7</v>
      </c>
      <c r="X79" cm="1">
        <f t="array" ref="X79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79" cm="1">
        <f t="array" ref="Y79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79" cm="1">
        <f t="array" ref="Z79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79">
        <f>SUM(자료실기준[[#This Row],[총류]:[역사]])</f>
        <v>7</v>
      </c>
    </row>
    <row r="80" spans="1:27" x14ac:dyDescent="0.3">
      <c r="A80" s="5">
        <v>45383</v>
      </c>
      <c r="B80" t="s">
        <v>19</v>
      </c>
      <c r="C80" s="5" t="str">
        <f>TEXT(자료실기준[[#This Row],[년월]],"yy년m월")&amp;자료실기준[[#This Row],[소장처명]]</f>
        <v>24년4월종합실(신간도서)</v>
      </c>
      <c r="D80" t="str">
        <f>IFERROR(INDEX(자료실범례[],MATCH($B80,자료실범례[소장처명],0),2),"종합자료실")</f>
        <v>종합자료실</v>
      </c>
      <c r="E80" cm="1">
        <f t="array" ref="E80">IFERROR(INDEX(대출자[],MATCH(1,(자료실기준[[#This Row],[소장처명]]=대출자[소장처명])*(자료실기준[[#This Row],[년월]]=대출자[년월]),0),MATCH(E$1,대출자[#Headers],0)),0)</f>
        <v>8</v>
      </c>
      <c r="F80" cm="1">
        <f t="array" ref="F80">IFERROR(INDEX(대출자[],MATCH(1,(자료실기준[[#This Row],[소장처명]]=대출자[소장처명])*(자료실기준[[#This Row],[년월]]=대출자[년월]),0),MATCH(F$1,대출자[#Headers],0)),0)</f>
        <v>3</v>
      </c>
      <c r="G80" cm="1">
        <f t="array" ref="G80">IFERROR(INDEX(대출자[],MATCH(1,(자료실기준[[#This Row],[소장처명]]=대출자[소장처명])*(자료실기준[[#This Row],[년월]]=대출자[년월]),0),MATCH(G$1,대출자[#Headers],0)),0)</f>
        <v>3</v>
      </c>
      <c r="H80" cm="1">
        <f t="array" ref="H80">IFERROR(INDEX(대출자[],MATCH(1,(자료실기준[[#This Row],[소장처명]]=대출자[소장처명])*(자료실기준[[#This Row],[년월]]=대출자[년월]),0),MATCH(H$1,대출자[#Headers],0)),0)</f>
        <v>2</v>
      </c>
      <c r="I80" cm="1">
        <f t="array" ref="I80">IFERROR(INDEX(대출자[],MATCH(1,(자료실기준[[#This Row],[소장처명]]=대출자[소장처명])*(자료실기준[[#This Row],[년월]]=대출자[년월]),0),MATCH(I$1,대출자[#Headers],0)),0)</f>
        <v>38</v>
      </c>
      <c r="J80" cm="1">
        <f t="array" ref="J80">IFERROR(INDEX(대출자[],MATCH(1,(자료실기준[[#This Row],[소장처명]]=대출자[소장처명])*(자료실기준[[#This Row],[년월]]=대출자[년월]),0),MATCH(J$1,대출자[#Headers],0)),0)</f>
        <v>92</v>
      </c>
      <c r="K80" cm="1">
        <f t="array" ref="K80">IFERROR(INDEX(대출자[],MATCH(1,(자료실기준[[#This Row],[소장처명]]=대출자[소장처명])*(자료실기준[[#This Row],[년월]]=대출자[년월]),0),MATCH(K$1,대출자[#Headers],0)),0)</f>
        <v>11</v>
      </c>
      <c r="L80" cm="1">
        <f t="array" ref="L80">IFERROR(INDEX(대출자[],MATCH(1,(자료실기준[[#This Row],[소장처명]]=대출자[소장처명])*(자료실기준[[#This Row],[년월]]=대출자[년월]),0),MATCH(L$1,대출자[#Headers],0)),0)</f>
        <v>5</v>
      </c>
      <c r="M80" cm="1">
        <f t="array" ref="M80">IFERROR(INDEX(대출자[],MATCH(1,(자료실기준[[#This Row],[소장처명]]=대출자[소장처명])*(자료실기준[[#This Row],[년월]]=대출자[년월]),0),MATCH(M$1,대출자[#Headers],0)),0)</f>
        <v>130</v>
      </c>
      <c r="N80">
        <f>IFERROR(자료실기준[[#This Row],[어린이남자]]+자료실기준[[#This Row],[청소년남자]]+자료실기준[[#This Row],[성인남자]],0)</f>
        <v>49</v>
      </c>
      <c r="O80">
        <f>IFERROR(자료실기준[[#This Row],[어린이여자]]+자료실기준[[#This Row],[청소년여자]]+자료실기준[[#This Row],[성인여자]],0)</f>
        <v>97</v>
      </c>
      <c r="P80">
        <f>IFERROR(자료실기준[[#This Row],[남자]]+자료실기준[[#This Row],[여자]],0)</f>
        <v>146</v>
      </c>
      <c r="Q80" cm="1">
        <f t="array" ref="Q80">IFERROR(INDEX(대출권수[],MATCH(1,(자료실기준[[#This Row],[소장처명]]=대출권수[소장처명])*(대출권수[대출반납]="대출")*(자료실기준[[#This Row],[년월]]=대출권수[년월]),0),MATCH(Q$1,대출권수[#Headers],0)),0)</f>
        <v>19</v>
      </c>
      <c r="R80" cm="1">
        <f t="array" ref="R80">IFERROR(INDEX(대출권수[],MATCH(1,(자료실기준[[#This Row],[소장처명]]=대출권수[소장처명])*(대출권수[대출반납]="대출")*(자료실기준[[#This Row],[년월]]=대출권수[년월]),0),MATCH(R$1,대출권수[#Headers],0)),0)</f>
        <v>66</v>
      </c>
      <c r="S80" cm="1">
        <f t="array" ref="S80">IFERROR(INDEX(대출권수[],MATCH(1,(자료실기준[[#This Row],[소장처명]]=대출권수[소장처명])*(대출권수[대출반납]="대출")*(자료실기준[[#This Row],[년월]]=대출권수[년월]),0),MATCH(S$1,대출권수[#Headers],0)),0)</f>
        <v>7</v>
      </c>
      <c r="T80" cm="1">
        <f t="array" ref="T80">IFERROR(INDEX(대출권수[],MATCH(1,(자료실기준[[#This Row],[소장처명]]=대출권수[소장처명])*(대출권수[대출반납]="대출")*(자료실기준[[#This Row],[년월]]=대출권수[년월]),0),MATCH(T$1,대출권수[#Headers],0)),0)</f>
        <v>68</v>
      </c>
      <c r="U80" cm="1">
        <f t="array" ref="U80">IFERROR(INDEX(대출권수[],MATCH(1,(자료실기준[[#This Row],[소장처명]]=대출권수[소장처명])*(대출권수[대출반납]="대출")*(자료실기준[[#This Row],[년월]]=대출권수[년월]),0),MATCH(U$1,대출권수[#Headers],0)),0)</f>
        <v>12</v>
      </c>
      <c r="V80" cm="1">
        <f t="array" ref="V80">IFERROR(INDEX(대출권수[],MATCH(1,(자료실기준[[#This Row],[소장처명]]=대출권수[소장처명])*(대출권수[대출반납]="대출")*(자료실기준[[#This Row],[년월]]=대출권수[년월]),0),MATCH(V$1,대출권수[#Headers],0)),0)</f>
        <v>50</v>
      </c>
      <c r="W80" cm="1">
        <f t="array" ref="W80">IFERROR(INDEX(대출권수[],MATCH(1,(자료실기준[[#This Row],[소장처명]]=대출권수[소장처명])*(대출권수[대출반납]="대출")*(자료실기준[[#This Row],[년월]]=대출권수[년월]),0),MATCH(W$1,대출권수[#Headers],0)),0)</f>
        <v>17</v>
      </c>
      <c r="X80" cm="1">
        <f t="array" ref="X80">IFERROR(INDEX(대출권수[],MATCH(1,(자료실기준[[#This Row],[소장처명]]=대출권수[소장처명])*(대출권수[대출반납]="대출")*(자료실기준[[#This Row],[년월]]=대출권수[년월]),0),MATCH(X$1,대출권수[#Headers],0)),0)</f>
        <v>8</v>
      </c>
      <c r="Y80" cm="1">
        <f t="array" ref="Y80">IFERROR(INDEX(대출권수[],MATCH(1,(자료실기준[[#This Row],[소장처명]]=대출권수[소장처명])*(대출권수[대출반납]="대출")*(자료실기준[[#This Row],[년월]]=대출권수[년월]),0),MATCH(Y$1,대출권수[#Headers],0)),0)</f>
        <v>155</v>
      </c>
      <c r="Z80" cm="1">
        <f t="array" ref="Z80">IFERROR(INDEX(대출권수[],MATCH(1,(자료실기준[[#This Row],[소장처명]]=대출권수[소장처명])*(대출권수[대출반납]="대출")*(자료실기준[[#This Row],[년월]]=대출권수[년월]),0),MATCH(Z$1,대출권수[#Headers],0)),0)</f>
        <v>8</v>
      </c>
      <c r="AA80">
        <f>SUM(자료실기준[[#This Row],[총류]:[역사]])</f>
        <v>410</v>
      </c>
    </row>
    <row r="81" spans="1:27" x14ac:dyDescent="0.3">
      <c r="A81" s="5">
        <v>45383</v>
      </c>
      <c r="B81" t="s">
        <v>14</v>
      </c>
      <c r="C81" s="5" t="str">
        <f>TEXT(자료실기준[[#This Row],[년월]],"yy년m월")&amp;자료실기준[[#This Row],[소장처명]]</f>
        <v>24년4월어린이실(신간도서)</v>
      </c>
      <c r="D81" t="str">
        <f>IFERROR(INDEX(자료실범례[],MATCH($B81,자료실범례[소장처명],0),2),"종합자료실")</f>
        <v>어린이자료실</v>
      </c>
      <c r="E81" cm="1">
        <f t="array" ref="E81">IFERROR(INDEX(대출자[],MATCH(1,(자료실기준[[#This Row],[소장처명]]=대출자[소장처명])*(자료실기준[[#This Row],[년월]]=대출자[년월]),0),MATCH(E$1,대출자[#Headers],0)),0)</f>
        <v>19</v>
      </c>
      <c r="F81" cm="1">
        <f t="array" ref="F81">IFERROR(INDEX(대출자[],MATCH(1,(자료실기준[[#This Row],[소장처명]]=대출자[소장처명])*(자료실기준[[#This Row],[년월]]=대출자[년월]),0),MATCH(F$1,대출자[#Headers],0)),0)</f>
        <v>26</v>
      </c>
      <c r="G81" cm="1">
        <f t="array" ref="G81">IFERROR(INDEX(대출자[],MATCH(1,(자료실기준[[#This Row],[소장처명]]=대출자[소장처명])*(자료실기준[[#This Row],[년월]]=대출자[년월]),0),MATCH(G$1,대출자[#Headers],0)),0)</f>
        <v>4</v>
      </c>
      <c r="H81" cm="1">
        <f t="array" ref="H81">IFERROR(INDEX(대출자[],MATCH(1,(자료실기준[[#This Row],[소장처명]]=대출자[소장처명])*(자료실기준[[#This Row],[년월]]=대출자[년월]),0),MATCH(H$1,대출자[#Headers],0)),0)</f>
        <v>3</v>
      </c>
      <c r="I81" cm="1">
        <f t="array" ref="I81">IFERROR(INDEX(대출자[],MATCH(1,(자료실기준[[#This Row],[소장처명]]=대출자[소장처명])*(자료실기준[[#This Row],[년월]]=대출자[년월]),0),MATCH(I$1,대출자[#Headers],0)),0)</f>
        <v>16</v>
      </c>
      <c r="J81" cm="1">
        <f t="array" ref="J81">IFERROR(INDEX(대출자[],MATCH(1,(자료실기준[[#This Row],[소장처명]]=대출자[소장처명])*(자료실기준[[#This Row],[년월]]=대출자[년월]),0),MATCH(J$1,대출자[#Headers],0)),0)</f>
        <v>38</v>
      </c>
      <c r="K81" cm="1">
        <f t="array" ref="K81">IFERROR(INDEX(대출자[],MATCH(1,(자료실기준[[#This Row],[소장처명]]=대출자[소장처명])*(자료실기준[[#This Row],[년월]]=대출자[년월]),0),MATCH(K$1,대출자[#Headers],0)),0)</f>
        <v>45</v>
      </c>
      <c r="L81" cm="1">
        <f t="array" ref="L81">IFERROR(INDEX(대출자[],MATCH(1,(자료실기준[[#This Row],[소장처명]]=대출자[소장처명])*(자료실기준[[#This Row],[년월]]=대출자[년월]),0),MATCH(L$1,대출자[#Headers],0)),0)</f>
        <v>7</v>
      </c>
      <c r="M81" cm="1">
        <f t="array" ref="M81">IFERROR(INDEX(대출자[],MATCH(1,(자료실기준[[#This Row],[소장처명]]=대출자[소장처명])*(자료실기준[[#This Row],[년월]]=대출자[년월]),0),MATCH(M$1,대출자[#Headers],0)),0)</f>
        <v>54</v>
      </c>
      <c r="N81">
        <f>IFERROR(자료실기준[[#This Row],[어린이남자]]+자료실기준[[#This Row],[청소년남자]]+자료실기준[[#This Row],[성인남자]],0)</f>
        <v>39</v>
      </c>
      <c r="O81">
        <f>IFERROR(자료실기준[[#This Row],[어린이여자]]+자료실기준[[#This Row],[청소년여자]]+자료실기준[[#This Row],[성인여자]],0)</f>
        <v>67</v>
      </c>
      <c r="P81">
        <f>IFERROR(자료실기준[[#This Row],[남자]]+자료실기준[[#This Row],[여자]],0)</f>
        <v>106</v>
      </c>
      <c r="Q81" cm="1">
        <f t="array" ref="Q81">IFERROR(INDEX(대출권수[],MATCH(1,(자료실기준[[#This Row],[소장처명]]=대출권수[소장처명])*(대출권수[대출반납]="대출")*(자료실기준[[#This Row],[년월]]=대출권수[년월]),0),MATCH(Q$1,대출권수[#Headers],0)),0)</f>
        <v>1</v>
      </c>
      <c r="R81" cm="1">
        <f t="array" ref="R81">IFERROR(INDEX(대출권수[],MATCH(1,(자료실기준[[#This Row],[소장처명]]=대출권수[소장처명])*(대출권수[대출반납]="대출")*(자료실기준[[#This Row],[년월]]=대출권수[년월]),0),MATCH(R$1,대출권수[#Headers],0)),0)</f>
        <v>7</v>
      </c>
      <c r="S81" cm="1">
        <f t="array" ref="S81">IFERROR(INDEX(대출권수[],MATCH(1,(자료실기준[[#This Row],[소장처명]]=대출권수[소장처명])*(대출권수[대출반납]="대출")*(자료실기준[[#This Row],[년월]]=대출권수[년월]),0),MATCH(S$1,대출권수[#Headers],0)),0)</f>
        <v>25</v>
      </c>
      <c r="T81" cm="1">
        <f t="array" ref="T81">IFERROR(INDEX(대출권수[],MATCH(1,(자료실기준[[#This Row],[소장처명]]=대출권수[소장처명])*(대출권수[대출반납]="대출")*(자료실기준[[#This Row],[년월]]=대출권수[년월]),0),MATCH(T$1,대출권수[#Headers],0)),0)</f>
        <v>11</v>
      </c>
      <c r="U81" cm="1">
        <f t="array" ref="U81">IFERROR(INDEX(대출권수[],MATCH(1,(자료실기준[[#This Row],[소장처명]]=대출권수[소장처명])*(대출권수[대출반납]="대출")*(자료실기준[[#This Row],[년월]]=대출권수[년월]),0),MATCH(U$1,대출권수[#Headers],0)),0)</f>
        <v>46</v>
      </c>
      <c r="V81" cm="1">
        <f t="array" ref="V81">IFERROR(INDEX(대출권수[],MATCH(1,(자료실기준[[#This Row],[소장처명]]=대출권수[소장처명])*(대출권수[대출반납]="대출")*(자료실기준[[#This Row],[년월]]=대출권수[년월]),0),MATCH(V$1,대출권수[#Headers],0)),0)</f>
        <v>14</v>
      </c>
      <c r="W81" cm="1">
        <f t="array" ref="W81">IFERROR(INDEX(대출권수[],MATCH(1,(자료실기준[[#This Row],[소장처명]]=대출권수[소장처명])*(대출권수[대출반납]="대출")*(자료실기준[[#This Row],[년월]]=대출권수[년월]),0),MATCH(W$1,대출권수[#Headers],0)),0)</f>
        <v>9</v>
      </c>
      <c r="X81" cm="1">
        <f t="array" ref="X81">IFERROR(INDEX(대출권수[],MATCH(1,(자료실기준[[#This Row],[소장처명]]=대출권수[소장처명])*(대출권수[대출반납]="대출")*(자료실기준[[#This Row],[년월]]=대출권수[년월]),0),MATCH(X$1,대출권수[#Headers],0)),0)</f>
        <v>2</v>
      </c>
      <c r="Y81" cm="1">
        <f t="array" ref="Y81">IFERROR(INDEX(대출권수[],MATCH(1,(자료실기준[[#This Row],[소장처명]]=대출권수[소장처명])*(대출권수[대출반납]="대출")*(자료실기준[[#This Row],[년월]]=대출권수[년월]),0),MATCH(Y$1,대출권수[#Headers],0)),0)</f>
        <v>238</v>
      </c>
      <c r="Z81" cm="1">
        <f t="array" ref="Z81">IFERROR(INDEX(대출권수[],MATCH(1,(자료실기준[[#This Row],[소장처명]]=대출권수[소장처명])*(대출권수[대출반납]="대출")*(자료실기준[[#This Row],[년월]]=대출권수[년월]),0),MATCH(Z$1,대출권수[#Headers],0)),0)</f>
        <v>49</v>
      </c>
      <c r="AA81">
        <f>SUM(자료실기준[[#This Row],[총류]:[역사]])</f>
        <v>402</v>
      </c>
    </row>
    <row r="82" spans="1:27" x14ac:dyDescent="0.3">
      <c r="A82" s="5">
        <v>45383</v>
      </c>
      <c r="B82" t="s">
        <v>13</v>
      </c>
      <c r="C82" s="5" t="str">
        <f>TEXT(자료실기준[[#This Row],[년월]],"yy년m월")&amp;자료실기준[[#This Row],[소장처명]]</f>
        <v>24년4월어린이실(수상작)</v>
      </c>
      <c r="D82" t="str">
        <f>IFERROR(INDEX(자료실범례[],MATCH($B82,자료실범례[소장처명],0),2),"종합자료실")</f>
        <v>어린이자료실</v>
      </c>
      <c r="E82" cm="1">
        <f t="array" ref="E82">IFERROR(INDEX(대출자[],MATCH(1,(자료실기준[[#This Row],[소장처명]]=대출자[소장처명])*(자료실기준[[#This Row],[년월]]=대출자[년월]),0),MATCH(E$1,대출자[#Headers],0)),0)</f>
        <v>0</v>
      </c>
      <c r="F82" cm="1">
        <f t="array" ref="F82">IFERROR(INDEX(대출자[],MATCH(1,(자료실기준[[#This Row],[소장처명]]=대출자[소장처명])*(자료실기준[[#This Row],[년월]]=대출자[년월]),0),MATCH(F$1,대출자[#Headers],0)),0)</f>
        <v>1</v>
      </c>
      <c r="G82" cm="1">
        <f t="array" ref="G82">IFERROR(INDEX(대출자[],MATCH(1,(자료실기준[[#This Row],[소장처명]]=대출자[소장처명])*(자료실기준[[#This Row],[년월]]=대출자[년월]),0),MATCH(G$1,대출자[#Headers],0)),0)</f>
        <v>0</v>
      </c>
      <c r="H82" cm="1">
        <f t="array" ref="H82">IFERROR(INDEX(대출자[],MATCH(1,(자료실기준[[#This Row],[소장처명]]=대출자[소장처명])*(자료실기준[[#This Row],[년월]]=대출자[년월]),0),MATCH(H$1,대출자[#Headers],0)),0)</f>
        <v>0</v>
      </c>
      <c r="I82" cm="1">
        <f t="array" ref="I82">IFERROR(INDEX(대출자[],MATCH(1,(자료실기준[[#This Row],[소장처명]]=대출자[소장처명])*(자료실기준[[#This Row],[년월]]=대출자[년월]),0),MATCH(I$1,대출자[#Headers],0)),0)</f>
        <v>2</v>
      </c>
      <c r="J82" cm="1">
        <f t="array" ref="J82">IFERROR(INDEX(대출자[],MATCH(1,(자료실기준[[#This Row],[소장처명]]=대출자[소장처명])*(자료실기준[[#This Row],[년월]]=대출자[년월]),0),MATCH(J$1,대출자[#Headers],0)),0)</f>
        <v>1</v>
      </c>
      <c r="K82" cm="1">
        <f t="array" ref="K82">IFERROR(INDEX(대출자[],MATCH(1,(자료실기준[[#This Row],[소장처명]]=대출자[소장처명])*(자료실기준[[#This Row],[년월]]=대출자[년월]),0),MATCH(K$1,대출자[#Headers],0)),0)</f>
        <v>1</v>
      </c>
      <c r="L82" cm="1">
        <f t="array" ref="L82">IFERROR(INDEX(대출자[],MATCH(1,(자료실기준[[#This Row],[소장처명]]=대출자[소장처명])*(자료실기준[[#This Row],[년월]]=대출자[년월]),0),MATCH(L$1,대출자[#Headers],0)),0)</f>
        <v>0</v>
      </c>
      <c r="M82" cm="1">
        <f t="array" ref="M82">IFERROR(INDEX(대출자[],MATCH(1,(자료실기준[[#This Row],[소장처명]]=대출자[소장처명])*(자료실기준[[#This Row],[년월]]=대출자[년월]),0),MATCH(M$1,대출자[#Headers],0)),0)</f>
        <v>3</v>
      </c>
      <c r="N82">
        <f>IFERROR(자료실기준[[#This Row],[어린이남자]]+자료실기준[[#This Row],[청소년남자]]+자료실기준[[#This Row],[성인남자]],0)</f>
        <v>2</v>
      </c>
      <c r="O82">
        <f>IFERROR(자료실기준[[#This Row],[어린이여자]]+자료실기준[[#This Row],[청소년여자]]+자료실기준[[#This Row],[성인여자]],0)</f>
        <v>2</v>
      </c>
      <c r="P82">
        <f>IFERROR(자료실기준[[#This Row],[남자]]+자료실기준[[#This Row],[여자]],0)</f>
        <v>4</v>
      </c>
      <c r="Q82" cm="1">
        <f t="array" ref="Q82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82" cm="1">
        <f t="array" ref="R82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82" cm="1">
        <f t="array" ref="S82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82" cm="1">
        <f t="array" ref="T82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82" cm="1">
        <f t="array" ref="U82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82" cm="1">
        <f t="array" ref="V82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82" cm="1">
        <f t="array" ref="W82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82" cm="1">
        <f t="array" ref="X82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82" cm="1">
        <f t="array" ref="Y82">IFERROR(INDEX(대출권수[],MATCH(1,(자료실기준[[#This Row],[소장처명]]=대출권수[소장처명])*(대출권수[대출반납]="대출")*(자료실기준[[#This Row],[년월]]=대출권수[년월]),0),MATCH(Y$1,대출권수[#Headers],0)),0)</f>
        <v>11</v>
      </c>
      <c r="Z82" cm="1">
        <f t="array" ref="Z82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82">
        <f>SUM(자료실기준[[#This Row],[총류]:[역사]])</f>
        <v>11</v>
      </c>
    </row>
    <row r="83" spans="1:27" x14ac:dyDescent="0.3">
      <c r="A83" s="5">
        <v>45383</v>
      </c>
      <c r="B83" t="s">
        <v>15</v>
      </c>
      <c r="C83" s="5" t="str">
        <f>TEXT(자료실기준[[#This Row],[년월]],"yy년m월")&amp;자료실기준[[#This Row],[소장처명]]</f>
        <v>24년4월어린이실(학습만화)</v>
      </c>
      <c r="D83" t="str">
        <f>IFERROR(INDEX(자료실범례[],MATCH($B83,자료실범례[소장처명],0),2),"종합자료실")</f>
        <v>어린이자료실</v>
      </c>
      <c r="E83" cm="1">
        <f t="array" ref="E83">IFERROR(INDEX(대출자[],MATCH(1,(자료실기준[[#This Row],[소장처명]]=대출자[소장처명])*(자료실기준[[#This Row],[년월]]=대출자[년월]),0),MATCH(E$1,대출자[#Headers],0)),0)</f>
        <v>28</v>
      </c>
      <c r="F83" cm="1">
        <f t="array" ref="F83">IFERROR(INDEX(대출자[],MATCH(1,(자료실기준[[#This Row],[소장처명]]=대출자[소장처명])*(자료실기준[[#This Row],[년월]]=대출자[년월]),0),MATCH(F$1,대출자[#Headers],0)),0)</f>
        <v>15</v>
      </c>
      <c r="G83" cm="1">
        <f t="array" ref="G83">IFERROR(INDEX(대출자[],MATCH(1,(자료실기준[[#This Row],[소장처명]]=대출자[소장처명])*(자료실기준[[#This Row],[년월]]=대출자[년월]),0),MATCH(G$1,대출자[#Headers],0)),0)</f>
        <v>3</v>
      </c>
      <c r="H83" cm="1">
        <f t="array" ref="H83">IFERROR(INDEX(대출자[],MATCH(1,(자료실기준[[#This Row],[소장처명]]=대출자[소장처명])*(자료실기준[[#This Row],[년월]]=대출자[년월]),0),MATCH(H$1,대출자[#Headers],0)),0)</f>
        <v>2</v>
      </c>
      <c r="I83" cm="1">
        <f t="array" ref="I83">IFERROR(INDEX(대출자[],MATCH(1,(자료실기준[[#This Row],[소장처명]]=대출자[소장처명])*(자료실기준[[#This Row],[년월]]=대출자[년월]),0),MATCH(I$1,대출자[#Headers],0)),0)</f>
        <v>8</v>
      </c>
      <c r="J83" cm="1">
        <f t="array" ref="J83">IFERROR(INDEX(대출자[],MATCH(1,(자료실기준[[#This Row],[소장처명]]=대출자[소장처명])*(자료실기준[[#This Row],[년월]]=대출자[년월]),0),MATCH(J$1,대출자[#Headers],0)),0)</f>
        <v>28</v>
      </c>
      <c r="K83" cm="1">
        <f t="array" ref="K83">IFERROR(INDEX(대출자[],MATCH(1,(자료실기준[[#This Row],[소장처명]]=대출자[소장처명])*(자료실기준[[#This Row],[년월]]=대출자[년월]),0),MATCH(K$1,대출자[#Headers],0)),0)</f>
        <v>43</v>
      </c>
      <c r="L83" cm="1">
        <f t="array" ref="L83">IFERROR(INDEX(대출자[],MATCH(1,(자료실기준[[#This Row],[소장처명]]=대출자[소장처명])*(자료실기준[[#This Row],[년월]]=대출자[년월]),0),MATCH(L$1,대출자[#Headers],0)),0)</f>
        <v>5</v>
      </c>
      <c r="M83" cm="1">
        <f t="array" ref="M83">IFERROR(INDEX(대출자[],MATCH(1,(자료실기준[[#This Row],[소장처명]]=대출자[소장처명])*(자료실기준[[#This Row],[년월]]=대출자[년월]),0),MATCH(M$1,대출자[#Headers],0)),0)</f>
        <v>36</v>
      </c>
      <c r="N83">
        <f>IFERROR(자료실기준[[#This Row],[어린이남자]]+자료실기준[[#This Row],[청소년남자]]+자료실기준[[#This Row],[성인남자]],0)</f>
        <v>39</v>
      </c>
      <c r="O83">
        <f>IFERROR(자료실기준[[#This Row],[어린이여자]]+자료실기준[[#This Row],[청소년여자]]+자료실기준[[#This Row],[성인여자]],0)</f>
        <v>45</v>
      </c>
      <c r="P83">
        <f>IFERROR(자료실기준[[#This Row],[남자]]+자료실기준[[#This Row],[여자]],0)</f>
        <v>84</v>
      </c>
      <c r="Q83" cm="1">
        <f t="array" ref="Q83">IFERROR(INDEX(대출권수[],MATCH(1,(자료실기준[[#This Row],[소장처명]]=대출권수[소장처명])*(대출권수[대출반납]="대출")*(자료실기준[[#This Row],[년월]]=대출권수[년월]),0),MATCH(Q$1,대출권수[#Headers],0)),0)</f>
        <v>1</v>
      </c>
      <c r="R83" cm="1">
        <f t="array" ref="R83">IFERROR(INDEX(대출권수[],MATCH(1,(자료실기준[[#This Row],[소장처명]]=대출권수[소장처명])*(대출권수[대출반납]="대출")*(자료실기준[[#This Row],[년월]]=대출권수[년월]),0),MATCH(R$1,대출권수[#Headers],0)),0)</f>
        <v>2</v>
      </c>
      <c r="S83" cm="1">
        <f t="array" ref="S83">IFERROR(INDEX(대출권수[],MATCH(1,(자료실기준[[#This Row],[소장처명]]=대출권수[소장처명])*(대출권수[대출반납]="대출")*(자료실기준[[#This Row],[년월]]=대출권수[년월]),0),MATCH(S$1,대출권수[#Headers],0)),0)</f>
        <v>13</v>
      </c>
      <c r="T83" cm="1">
        <f t="array" ref="T83">IFERROR(INDEX(대출권수[],MATCH(1,(자료실기준[[#This Row],[소장처명]]=대출권수[소장처명])*(대출권수[대출반납]="대출")*(자료실기준[[#This Row],[년월]]=대출권수[년월]),0),MATCH(T$1,대출권수[#Headers],0)),0)</f>
        <v>1</v>
      </c>
      <c r="U83" cm="1">
        <f t="array" ref="U83">IFERROR(INDEX(대출권수[],MATCH(1,(자료실기준[[#This Row],[소장처명]]=대출권수[소장처명])*(대출권수[대출반납]="대출")*(자료실기준[[#This Row],[년월]]=대출권수[년월]),0),MATCH(U$1,대출권수[#Headers],0)),0)</f>
        <v>153</v>
      </c>
      <c r="V83" cm="1">
        <f t="array" ref="V83">IFERROR(INDEX(대출권수[],MATCH(1,(자료실기준[[#This Row],[소장처명]]=대출권수[소장처명])*(대출권수[대출반납]="대출")*(자료실기준[[#This Row],[년월]]=대출권수[년월]),0),MATCH(V$1,대출권수[#Headers],0)),0)</f>
        <v>82</v>
      </c>
      <c r="W83" cm="1">
        <f t="array" ref="W83">IFERROR(INDEX(대출권수[],MATCH(1,(자료실기준[[#This Row],[소장처명]]=대출권수[소장처명])*(대출권수[대출반납]="대출")*(자료실기준[[#This Row],[년월]]=대출권수[년월]),0),MATCH(W$1,대출권수[#Headers],0)),0)</f>
        <v>4</v>
      </c>
      <c r="X83" cm="1">
        <f t="array" ref="X83">IFERROR(INDEX(대출권수[],MATCH(1,(자료실기준[[#This Row],[소장처명]]=대출권수[소장처명])*(대출권수[대출반납]="대출")*(자료실기준[[#This Row],[년월]]=대출권수[년월]),0),MATCH(X$1,대출권수[#Headers],0)),0)</f>
        <v>43</v>
      </c>
      <c r="Y83" cm="1">
        <f t="array" ref="Y83">IFERROR(INDEX(대출권수[],MATCH(1,(자료실기준[[#This Row],[소장처명]]=대출권수[소장처명])*(대출권수[대출반납]="대출")*(자료실기준[[#This Row],[년월]]=대출권수[년월]),0),MATCH(Y$1,대출권수[#Headers],0)),0)</f>
        <v>26</v>
      </c>
      <c r="Z83" cm="1">
        <f t="array" ref="Z83">IFERROR(INDEX(대출권수[],MATCH(1,(자료실기준[[#This Row],[소장처명]]=대출권수[소장처명])*(대출권수[대출반납]="대출")*(자료실기준[[#This Row],[년월]]=대출권수[년월]),0),MATCH(Z$1,대출권수[#Headers],0)),0)</f>
        <v>102</v>
      </c>
      <c r="AA83">
        <f>SUM(자료실기준[[#This Row],[총류]:[역사]])</f>
        <v>427</v>
      </c>
    </row>
    <row r="84" spans="1:27" x14ac:dyDescent="0.3">
      <c r="A84" s="5">
        <v>45383</v>
      </c>
      <c r="B84" t="s">
        <v>20</v>
      </c>
      <c r="C84" s="5" t="str">
        <f>TEXT(자료실기준[[#This Row],[년월]],"yy년m월")&amp;자료실기준[[#This Row],[소장처명]]</f>
        <v>24년4월종합실(청소년 진로)</v>
      </c>
      <c r="D84" t="str">
        <f>IFERROR(INDEX(자료실범례[],MATCH($B84,자료실범례[소장처명],0),2),"종합자료실")</f>
        <v>종합자료실</v>
      </c>
      <c r="E84" cm="1">
        <f t="array" ref="E84">IFERROR(INDEX(대출자[],MATCH(1,(자료실기준[[#This Row],[소장처명]]=대출자[소장처명])*(자료실기준[[#This Row],[년월]]=대출자[년월]),0),MATCH(E$1,대출자[#Headers],0)),0)</f>
        <v>0</v>
      </c>
      <c r="F84" cm="1">
        <f t="array" ref="F84">IFERROR(INDEX(대출자[],MATCH(1,(자료실기준[[#This Row],[소장처명]]=대출자[소장처명])*(자료실기준[[#This Row],[년월]]=대출자[년월]),0),MATCH(F$1,대출자[#Headers],0)),0)</f>
        <v>0</v>
      </c>
      <c r="G84" cm="1">
        <f t="array" ref="G84">IFERROR(INDEX(대출자[],MATCH(1,(자료실기준[[#This Row],[소장처명]]=대출자[소장처명])*(자료실기준[[#This Row],[년월]]=대출자[년월]),0),MATCH(G$1,대출자[#Headers],0)),0)</f>
        <v>0</v>
      </c>
      <c r="H84" cm="1">
        <f t="array" ref="H84">IFERROR(INDEX(대출자[],MATCH(1,(자료실기준[[#This Row],[소장처명]]=대출자[소장처명])*(자료실기준[[#This Row],[년월]]=대출자[년월]),0),MATCH(H$1,대출자[#Headers],0)),0)</f>
        <v>0</v>
      </c>
      <c r="I84" cm="1">
        <f t="array" ref="I84">IFERROR(INDEX(대출자[],MATCH(1,(자료실기준[[#This Row],[소장처명]]=대출자[소장처명])*(자료실기준[[#This Row],[년월]]=대출자[년월]),0),MATCH(I$1,대출자[#Headers],0)),0)</f>
        <v>0</v>
      </c>
      <c r="J84" cm="1">
        <f t="array" ref="J84">IFERROR(INDEX(대출자[],MATCH(1,(자료실기준[[#This Row],[소장처명]]=대출자[소장처명])*(자료실기준[[#This Row],[년월]]=대출자[년월]),0),MATCH(J$1,대출자[#Headers],0)),0)</f>
        <v>1</v>
      </c>
      <c r="K84" cm="1">
        <f t="array" ref="K84">IFERROR(INDEX(대출자[],MATCH(1,(자료실기준[[#This Row],[소장처명]]=대출자[소장처명])*(자료실기준[[#This Row],[년월]]=대출자[년월]),0),MATCH(K$1,대출자[#Headers],0)),0)</f>
        <v>0</v>
      </c>
      <c r="L84" cm="1">
        <f t="array" ref="L84">IFERROR(INDEX(대출자[],MATCH(1,(자료실기준[[#This Row],[소장처명]]=대출자[소장처명])*(자료실기준[[#This Row],[년월]]=대출자[년월]),0),MATCH(L$1,대출자[#Headers],0)),0)</f>
        <v>0</v>
      </c>
      <c r="M84" cm="1">
        <f t="array" ref="M84">IFERROR(INDEX(대출자[],MATCH(1,(자료실기준[[#This Row],[소장처명]]=대출자[소장처명])*(자료실기준[[#This Row],[년월]]=대출자[년월]),0),MATCH(M$1,대출자[#Headers],0)),0)</f>
        <v>1</v>
      </c>
      <c r="N84">
        <f>IFERROR(자료실기준[[#This Row],[어린이남자]]+자료실기준[[#This Row],[청소년남자]]+자료실기준[[#This Row],[성인남자]],0)</f>
        <v>0</v>
      </c>
      <c r="O84">
        <f>IFERROR(자료실기준[[#This Row],[어린이여자]]+자료실기준[[#This Row],[청소년여자]]+자료실기준[[#This Row],[성인여자]],0)</f>
        <v>1</v>
      </c>
      <c r="P84">
        <f>IFERROR(자료실기준[[#This Row],[남자]]+자료실기준[[#This Row],[여자]],0)</f>
        <v>1</v>
      </c>
      <c r="Q84" cm="1">
        <f t="array" ref="Q84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84" cm="1">
        <f t="array" ref="R84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84" cm="1">
        <f t="array" ref="S84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84" cm="1">
        <f t="array" ref="T84">IFERROR(INDEX(대출권수[],MATCH(1,(자료실기준[[#This Row],[소장처명]]=대출권수[소장처명])*(대출권수[대출반납]="대출")*(자료실기준[[#This Row],[년월]]=대출권수[년월]),0),MATCH(T$1,대출권수[#Headers],0)),0)</f>
        <v>1</v>
      </c>
      <c r="U84" cm="1">
        <f t="array" ref="U84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84" cm="1">
        <f t="array" ref="V84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84" cm="1">
        <f t="array" ref="W84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84" cm="1">
        <f t="array" ref="X84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84" cm="1">
        <f t="array" ref="Y84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84" cm="1">
        <f t="array" ref="Z84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84">
        <f>SUM(자료실기준[[#This Row],[총류]:[역사]])</f>
        <v>1</v>
      </c>
    </row>
    <row r="85" spans="1:27" x14ac:dyDescent="0.3">
      <c r="A85" s="5">
        <v>45383</v>
      </c>
      <c r="B85" t="s">
        <v>3</v>
      </c>
      <c r="C85" s="5" t="str">
        <f>TEXT(자료실기준[[#This Row],[년월]],"yy년m월")&amp;자료실기준[[#This Row],[소장처명]]</f>
        <v>24년4월별관 서고(디지털자료실)</v>
      </c>
      <c r="D85" t="str">
        <f>IFERROR(INDEX(자료실범례[],MATCH($B85,자료실범례[소장처명],0),2),"종합자료실")</f>
        <v>디지털자료실</v>
      </c>
      <c r="E85" cm="1">
        <f t="array" ref="E85">IFERROR(INDEX(대출자[],MATCH(1,(자료실기준[[#This Row],[소장처명]]=대출자[소장처명])*(자료실기준[[#This Row],[년월]]=대출자[년월]),0),MATCH(E$1,대출자[#Headers],0)),0)</f>
        <v>0</v>
      </c>
      <c r="F85" cm="1">
        <f t="array" ref="F85">IFERROR(INDEX(대출자[],MATCH(1,(자료실기준[[#This Row],[소장처명]]=대출자[소장처명])*(자료실기준[[#This Row],[년월]]=대출자[년월]),0),MATCH(F$1,대출자[#Headers],0)),0)</f>
        <v>0</v>
      </c>
      <c r="G85" cm="1">
        <f t="array" ref="G85">IFERROR(INDEX(대출자[],MATCH(1,(자료실기준[[#This Row],[소장처명]]=대출자[소장처명])*(자료실기준[[#This Row],[년월]]=대출자[년월]),0),MATCH(G$1,대출자[#Headers],0)),0)</f>
        <v>0</v>
      </c>
      <c r="H85" cm="1">
        <f t="array" ref="H85">IFERROR(INDEX(대출자[],MATCH(1,(자료실기준[[#This Row],[소장처명]]=대출자[소장처명])*(자료실기준[[#This Row],[년월]]=대출자[년월]),0),MATCH(H$1,대출자[#Headers],0)),0)</f>
        <v>0</v>
      </c>
      <c r="I85" cm="1">
        <f t="array" ref="I85">IFERROR(INDEX(대출자[],MATCH(1,(자료실기준[[#This Row],[소장처명]]=대출자[소장처명])*(자료실기준[[#This Row],[년월]]=대출자[년월]),0),MATCH(I$1,대출자[#Headers],0)),0)</f>
        <v>1</v>
      </c>
      <c r="J85" cm="1">
        <f t="array" ref="J85">IFERROR(INDEX(대출자[],MATCH(1,(자료실기준[[#This Row],[소장처명]]=대출자[소장처명])*(자료실기준[[#This Row],[년월]]=대출자[년월]),0),MATCH(J$1,대출자[#Headers],0)),0)</f>
        <v>0</v>
      </c>
      <c r="K85" cm="1">
        <f t="array" ref="K85">IFERROR(INDEX(대출자[],MATCH(1,(자료실기준[[#This Row],[소장처명]]=대출자[소장처명])*(자료실기준[[#This Row],[년월]]=대출자[년월]),0),MATCH(K$1,대출자[#Headers],0)),0)</f>
        <v>0</v>
      </c>
      <c r="L85" cm="1">
        <f t="array" ref="L85">IFERROR(INDEX(대출자[],MATCH(1,(자료실기준[[#This Row],[소장처명]]=대출자[소장처명])*(자료실기준[[#This Row],[년월]]=대출자[년월]),0),MATCH(L$1,대출자[#Headers],0)),0)</f>
        <v>0</v>
      </c>
      <c r="M85" cm="1">
        <f t="array" ref="M85">IFERROR(INDEX(대출자[],MATCH(1,(자료실기준[[#This Row],[소장처명]]=대출자[소장처명])*(자료실기준[[#This Row],[년월]]=대출자[년월]),0),MATCH(M$1,대출자[#Headers],0)),0)</f>
        <v>1</v>
      </c>
      <c r="N85">
        <f>IFERROR(자료실기준[[#This Row],[어린이남자]]+자료실기준[[#This Row],[청소년남자]]+자료실기준[[#This Row],[성인남자]],0)</f>
        <v>1</v>
      </c>
      <c r="O85">
        <f>IFERROR(자료실기준[[#This Row],[어린이여자]]+자료실기준[[#This Row],[청소년여자]]+자료실기준[[#This Row],[성인여자]],0)</f>
        <v>0</v>
      </c>
      <c r="P85">
        <f>IFERROR(자료실기준[[#This Row],[남자]]+자료실기준[[#This Row],[여자]],0)</f>
        <v>1</v>
      </c>
      <c r="Q85" cm="1">
        <f t="array" ref="Q85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85" cm="1">
        <f t="array" ref="R85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85" cm="1">
        <f t="array" ref="S85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85" cm="1">
        <f t="array" ref="T85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85" cm="1">
        <f t="array" ref="U85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85" cm="1">
        <f t="array" ref="V85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85" cm="1">
        <f t="array" ref="W85">IFERROR(INDEX(대출권수[],MATCH(1,(자료실기준[[#This Row],[소장처명]]=대출권수[소장처명])*(대출권수[대출반납]="대출")*(자료실기준[[#This Row],[년월]]=대출권수[년월]),0),MATCH(W$1,대출권수[#Headers],0)),0)</f>
        <v>1</v>
      </c>
      <c r="X85" cm="1">
        <f t="array" ref="X85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85" cm="1">
        <f t="array" ref="Y85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85" cm="1">
        <f t="array" ref="Z85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85">
        <f>SUM(자료실기준[[#This Row],[총류]:[역사]])</f>
        <v>1</v>
      </c>
    </row>
    <row r="86" spans="1:27" x14ac:dyDescent="0.3">
      <c r="A86" s="5">
        <v>45383</v>
      </c>
      <c r="B86" t="s">
        <v>4</v>
      </c>
      <c r="C86" s="5" t="str">
        <f>TEXT(자료실기준[[#This Row],[년월]],"yy년m월")&amp;자료실기준[[#This Row],[소장처명]]</f>
        <v>24년4월별관 서고(어린이자료실)</v>
      </c>
      <c r="D86" t="str">
        <f>IFERROR(INDEX(자료실범례[],MATCH($B86,자료실범례[소장처명],0),2),"종합자료실")</f>
        <v>어린이자료실</v>
      </c>
      <c r="E86" cm="1">
        <f t="array" ref="E86">IFERROR(INDEX(대출자[],MATCH(1,(자료실기준[[#This Row],[소장처명]]=대출자[소장처명])*(자료실기준[[#This Row],[년월]]=대출자[년월]),0),MATCH(E$1,대출자[#Headers],0)),0)</f>
        <v>2</v>
      </c>
      <c r="F86" cm="1">
        <f t="array" ref="F86">IFERROR(INDEX(대출자[],MATCH(1,(자료실기준[[#This Row],[소장처명]]=대출자[소장처명])*(자료실기준[[#This Row],[년월]]=대출자[년월]),0),MATCH(F$1,대출자[#Headers],0)),0)</f>
        <v>0</v>
      </c>
      <c r="G86" cm="1">
        <f t="array" ref="G86">IFERROR(INDEX(대출자[],MATCH(1,(자료실기준[[#This Row],[소장처명]]=대출자[소장처명])*(자료실기준[[#This Row],[년월]]=대출자[년월]),0),MATCH(G$1,대출자[#Headers],0)),0)</f>
        <v>0</v>
      </c>
      <c r="H86" cm="1">
        <f t="array" ref="H86">IFERROR(INDEX(대출자[],MATCH(1,(자료실기준[[#This Row],[소장처명]]=대출자[소장처명])*(자료실기준[[#This Row],[년월]]=대출자[년월]),0),MATCH(H$1,대출자[#Headers],0)),0)</f>
        <v>0</v>
      </c>
      <c r="I86" cm="1">
        <f t="array" ref="I86">IFERROR(INDEX(대출자[],MATCH(1,(자료실기준[[#This Row],[소장처명]]=대출자[소장처명])*(자료실기준[[#This Row],[년월]]=대출자[년월]),0),MATCH(I$1,대출자[#Headers],0)),0)</f>
        <v>0</v>
      </c>
      <c r="J86" cm="1">
        <f t="array" ref="J86">IFERROR(INDEX(대출자[],MATCH(1,(자료실기준[[#This Row],[소장처명]]=대출자[소장처명])*(자료실기준[[#This Row],[년월]]=대출자[년월]),0),MATCH(J$1,대출자[#Headers],0)),0)</f>
        <v>3</v>
      </c>
      <c r="K86" cm="1">
        <f t="array" ref="K86">IFERROR(INDEX(대출자[],MATCH(1,(자료실기준[[#This Row],[소장처명]]=대출자[소장처명])*(자료실기준[[#This Row],[년월]]=대출자[년월]),0),MATCH(K$1,대출자[#Headers],0)),0)</f>
        <v>2</v>
      </c>
      <c r="L86" cm="1">
        <f t="array" ref="L86">IFERROR(INDEX(대출자[],MATCH(1,(자료실기준[[#This Row],[소장처명]]=대출자[소장처명])*(자료실기준[[#This Row],[년월]]=대출자[년월]),0),MATCH(L$1,대출자[#Headers],0)),0)</f>
        <v>0</v>
      </c>
      <c r="M86" cm="1">
        <f t="array" ref="M86">IFERROR(INDEX(대출자[],MATCH(1,(자료실기준[[#This Row],[소장처명]]=대출자[소장처명])*(자료실기준[[#This Row],[년월]]=대출자[년월]),0),MATCH(M$1,대출자[#Headers],0)),0)</f>
        <v>3</v>
      </c>
      <c r="N86">
        <f>IFERROR(자료실기준[[#This Row],[어린이남자]]+자료실기준[[#This Row],[청소년남자]]+자료실기준[[#This Row],[성인남자]],0)</f>
        <v>2</v>
      </c>
      <c r="O86">
        <f>IFERROR(자료실기준[[#This Row],[어린이여자]]+자료실기준[[#This Row],[청소년여자]]+자료실기준[[#This Row],[성인여자]],0)</f>
        <v>3</v>
      </c>
      <c r="P86">
        <f>IFERROR(자료실기준[[#This Row],[남자]]+자료실기준[[#This Row],[여자]],0)</f>
        <v>5</v>
      </c>
      <c r="Q86" cm="1">
        <f t="array" ref="Q86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86" cm="1">
        <f t="array" ref="R86">IFERROR(INDEX(대출권수[],MATCH(1,(자료실기준[[#This Row],[소장처명]]=대출권수[소장처명])*(대출권수[대출반납]="대출")*(자료실기준[[#This Row],[년월]]=대출권수[년월]),0),MATCH(R$1,대출권수[#Headers],0)),0)</f>
        <v>4</v>
      </c>
      <c r="S86" cm="1">
        <f t="array" ref="S86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86" cm="1">
        <f t="array" ref="T86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86" cm="1">
        <f t="array" ref="U86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86" cm="1">
        <f t="array" ref="V86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86" cm="1">
        <f t="array" ref="W86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86" cm="1">
        <f t="array" ref="X86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86" cm="1">
        <f t="array" ref="Y86">IFERROR(INDEX(대출권수[],MATCH(1,(자료실기준[[#This Row],[소장처명]]=대출권수[소장처명])*(대출권수[대출반납]="대출")*(자료실기준[[#This Row],[년월]]=대출권수[년월]),0),MATCH(Y$1,대출권수[#Headers],0)),0)</f>
        <v>2</v>
      </c>
      <c r="Z86" cm="1">
        <f t="array" ref="Z86">IFERROR(INDEX(대출권수[],MATCH(1,(자료실기준[[#This Row],[소장처명]]=대출권수[소장처명])*(대출권수[대출반납]="대출")*(자료실기준[[#This Row],[년월]]=대출권수[년월]),0),MATCH(Z$1,대출권수[#Headers],0)),0)</f>
        <v>1</v>
      </c>
      <c r="AA86">
        <f>SUM(자료실기준[[#This Row],[총류]:[역사]])</f>
        <v>7</v>
      </c>
    </row>
    <row r="87" spans="1:27" x14ac:dyDescent="0.3">
      <c r="A87" s="5">
        <v>45383</v>
      </c>
      <c r="B87" t="s">
        <v>5</v>
      </c>
      <c r="C87" s="5" t="str">
        <f>TEXT(자료실기준[[#This Row],[년월]],"yy년m월")&amp;자료실기준[[#This Row],[소장처명]]</f>
        <v>24년4월별관 서고(종합자료실)</v>
      </c>
      <c r="D87" t="str">
        <f>IFERROR(INDEX(자료실범례[],MATCH($B87,자료실범례[소장처명],0),2),"종합자료실")</f>
        <v>종합자료실</v>
      </c>
      <c r="E87" cm="1">
        <f t="array" ref="E87">IFERROR(INDEX(대출자[],MATCH(1,(자료실기준[[#This Row],[소장처명]]=대출자[소장처명])*(자료실기준[[#This Row],[년월]]=대출자[년월]),0),MATCH(E$1,대출자[#Headers],0)),0)</f>
        <v>0</v>
      </c>
      <c r="F87" cm="1">
        <f t="array" ref="F87">IFERROR(INDEX(대출자[],MATCH(1,(자료실기준[[#This Row],[소장처명]]=대출자[소장처명])*(자료실기준[[#This Row],[년월]]=대출자[년월]),0),MATCH(F$1,대출자[#Headers],0)),0)</f>
        <v>0</v>
      </c>
      <c r="G87" cm="1">
        <f t="array" ref="G87">IFERROR(INDEX(대출자[],MATCH(1,(자료실기준[[#This Row],[소장처명]]=대출자[소장처명])*(자료실기준[[#This Row],[년월]]=대출자[년월]),0),MATCH(G$1,대출자[#Headers],0)),0)</f>
        <v>0</v>
      </c>
      <c r="H87" cm="1">
        <f t="array" ref="H87">IFERROR(INDEX(대출자[],MATCH(1,(자료실기준[[#This Row],[소장처명]]=대출자[소장처명])*(자료실기준[[#This Row],[년월]]=대출자[년월]),0),MATCH(H$1,대출자[#Headers],0)),0)</f>
        <v>2</v>
      </c>
      <c r="I87" cm="1">
        <f t="array" ref="I87">IFERROR(INDEX(대출자[],MATCH(1,(자료실기준[[#This Row],[소장처명]]=대출자[소장처명])*(자료실기준[[#This Row],[년월]]=대출자[년월]),0),MATCH(I$1,대출자[#Headers],0)),0)</f>
        <v>7</v>
      </c>
      <c r="J87" cm="1">
        <f t="array" ref="J87">IFERROR(INDEX(대출자[],MATCH(1,(자료실기준[[#This Row],[소장처명]]=대출자[소장처명])*(자료실기준[[#This Row],[년월]]=대출자[년월]),0),MATCH(J$1,대출자[#Headers],0)),0)</f>
        <v>9</v>
      </c>
      <c r="K87" cm="1">
        <f t="array" ref="K87">IFERROR(INDEX(대출자[],MATCH(1,(자료실기준[[#This Row],[소장처명]]=대출자[소장처명])*(자료실기준[[#This Row],[년월]]=대출자[년월]),0),MATCH(K$1,대출자[#Headers],0)),0)</f>
        <v>0</v>
      </c>
      <c r="L87" cm="1">
        <f t="array" ref="L87">IFERROR(INDEX(대출자[],MATCH(1,(자료실기준[[#This Row],[소장처명]]=대출자[소장처명])*(자료실기준[[#This Row],[년월]]=대출자[년월]),0),MATCH(L$1,대출자[#Headers],0)),0)</f>
        <v>2</v>
      </c>
      <c r="M87" cm="1">
        <f t="array" ref="M87">IFERROR(INDEX(대출자[],MATCH(1,(자료실기준[[#This Row],[소장처명]]=대출자[소장처명])*(자료실기준[[#This Row],[년월]]=대출자[년월]),0),MATCH(M$1,대출자[#Headers],0)),0)</f>
        <v>16</v>
      </c>
      <c r="N87">
        <f>IFERROR(자료실기준[[#This Row],[어린이남자]]+자료실기준[[#This Row],[청소년남자]]+자료실기준[[#This Row],[성인남자]],0)</f>
        <v>7</v>
      </c>
      <c r="O87">
        <f>IFERROR(자료실기준[[#This Row],[어린이여자]]+자료실기준[[#This Row],[청소년여자]]+자료실기준[[#This Row],[성인여자]],0)</f>
        <v>11</v>
      </c>
      <c r="P87">
        <f>IFERROR(자료실기준[[#This Row],[남자]]+자료실기준[[#This Row],[여자]],0)</f>
        <v>18</v>
      </c>
      <c r="Q87" cm="1">
        <f t="array" ref="Q87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87" cm="1">
        <f t="array" ref="R87">IFERROR(INDEX(대출권수[],MATCH(1,(자료실기준[[#This Row],[소장처명]]=대출권수[소장처명])*(대출권수[대출반납]="대출")*(자료실기준[[#This Row],[년월]]=대출권수[년월]),0),MATCH(R$1,대출권수[#Headers],0)),0)</f>
        <v>6</v>
      </c>
      <c r="S87" cm="1">
        <f t="array" ref="S87">IFERROR(INDEX(대출권수[],MATCH(1,(자료실기준[[#This Row],[소장처명]]=대출권수[소장처명])*(대출권수[대출반납]="대출")*(자료실기준[[#This Row],[년월]]=대출권수[년월]),0),MATCH(S$1,대출권수[#Headers],0)),0)</f>
        <v>1</v>
      </c>
      <c r="T87" cm="1">
        <f t="array" ref="T87">IFERROR(INDEX(대출권수[],MATCH(1,(자료실기준[[#This Row],[소장처명]]=대출권수[소장처명])*(대출권수[대출반납]="대출")*(자료실기준[[#This Row],[년월]]=대출권수[년월]),0),MATCH(T$1,대출권수[#Headers],0)),0)</f>
        <v>4</v>
      </c>
      <c r="U87" cm="1">
        <f t="array" ref="U87">IFERROR(INDEX(대출권수[],MATCH(1,(자료실기준[[#This Row],[소장처명]]=대출권수[소장처명])*(대출권수[대출반납]="대출")*(자료실기준[[#This Row],[년월]]=대출권수[년월]),0),MATCH(U$1,대출권수[#Headers],0)),0)</f>
        <v>3</v>
      </c>
      <c r="V87" cm="1">
        <f t="array" ref="V87">IFERROR(INDEX(대출권수[],MATCH(1,(자료실기준[[#This Row],[소장처명]]=대출권수[소장처명])*(대출권수[대출반납]="대출")*(자료실기준[[#This Row],[년월]]=대출권수[년월]),0),MATCH(V$1,대출권수[#Headers],0)),0)</f>
        <v>3</v>
      </c>
      <c r="W87" cm="1">
        <f t="array" ref="W87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87" cm="1">
        <f t="array" ref="X87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87" cm="1">
        <f t="array" ref="Y87">IFERROR(INDEX(대출권수[],MATCH(1,(자료실기준[[#This Row],[소장처명]]=대출권수[소장처명])*(대출권수[대출반납]="대출")*(자료실기준[[#This Row],[년월]]=대출권수[년월]),0),MATCH(Y$1,대출권수[#Headers],0)),0)</f>
        <v>4</v>
      </c>
      <c r="Z87" cm="1">
        <f t="array" ref="Z87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87">
        <f>SUM(자료실기준[[#This Row],[총류]:[역사]])</f>
        <v>21</v>
      </c>
    </row>
    <row r="88" spans="1:27" x14ac:dyDescent="0.3">
      <c r="A88" s="5">
        <v>45383</v>
      </c>
      <c r="B88" t="s">
        <v>7</v>
      </c>
      <c r="C88" s="5" t="str">
        <f>TEXT(자료실기준[[#This Row],[년월]],"yy년m월")&amp;자료실기준[[#This Row],[소장처명]]</f>
        <v>24년4월어린이실(교과1학년)</v>
      </c>
      <c r="D88" t="str">
        <f>IFERROR(INDEX(자료실범례[],MATCH($B88,자료실범례[소장처명],0),2),"종합자료실")</f>
        <v>어린이자료실</v>
      </c>
      <c r="E88" cm="1">
        <f t="array" ref="E88">IFERROR(INDEX(대출자[],MATCH(1,(자료실기준[[#This Row],[소장처명]]=대출자[소장처명])*(자료실기준[[#This Row],[년월]]=대출자[년월]),0),MATCH(E$1,대출자[#Headers],0)),0)</f>
        <v>6</v>
      </c>
      <c r="F88" cm="1">
        <f t="array" ref="F88">IFERROR(INDEX(대출자[],MATCH(1,(자료실기준[[#This Row],[소장처명]]=대출자[소장처명])*(자료실기준[[#This Row],[년월]]=대출자[년월]),0),MATCH(F$1,대출자[#Headers],0)),0)</f>
        <v>3</v>
      </c>
      <c r="G88" cm="1">
        <f t="array" ref="G88">IFERROR(INDEX(대출자[],MATCH(1,(자료실기준[[#This Row],[소장처명]]=대출자[소장처명])*(자료실기준[[#This Row],[년월]]=대출자[년월]),0),MATCH(G$1,대출자[#Headers],0)),0)</f>
        <v>0</v>
      </c>
      <c r="H88" cm="1">
        <f t="array" ref="H88">IFERROR(INDEX(대출자[],MATCH(1,(자료실기준[[#This Row],[소장처명]]=대출자[소장처명])*(자료실기준[[#This Row],[년월]]=대출자[년월]),0),MATCH(H$1,대출자[#Headers],0)),0)</f>
        <v>0</v>
      </c>
      <c r="I88" cm="1">
        <f t="array" ref="I88">IFERROR(INDEX(대출자[],MATCH(1,(자료실기준[[#This Row],[소장처명]]=대출자[소장처명])*(자료실기준[[#This Row],[년월]]=대출자[년월]),0),MATCH(I$1,대출자[#Headers],0)),0)</f>
        <v>2</v>
      </c>
      <c r="J88" cm="1">
        <f t="array" ref="J88">IFERROR(INDEX(대출자[],MATCH(1,(자료실기준[[#This Row],[소장처명]]=대출자[소장처명])*(자료실기준[[#This Row],[년월]]=대출자[년월]),0),MATCH(J$1,대출자[#Headers],0)),0)</f>
        <v>10</v>
      </c>
      <c r="K88" cm="1">
        <f t="array" ref="K88">IFERROR(INDEX(대출자[],MATCH(1,(자료실기준[[#This Row],[소장처명]]=대출자[소장처명])*(자료실기준[[#This Row],[년월]]=대출자[년월]),0),MATCH(K$1,대출자[#Headers],0)),0)</f>
        <v>9</v>
      </c>
      <c r="L88" cm="1">
        <f t="array" ref="L88">IFERROR(INDEX(대출자[],MATCH(1,(자료실기준[[#This Row],[소장처명]]=대출자[소장처명])*(자료실기준[[#This Row],[년월]]=대출자[년월]),0),MATCH(L$1,대출자[#Headers],0)),0)</f>
        <v>0</v>
      </c>
      <c r="M88" cm="1">
        <f t="array" ref="M88">IFERROR(INDEX(대출자[],MATCH(1,(자료실기준[[#This Row],[소장처명]]=대출자[소장처명])*(자료실기준[[#This Row],[년월]]=대출자[년월]),0),MATCH(M$1,대출자[#Headers],0)),0)</f>
        <v>12</v>
      </c>
      <c r="N88">
        <f>IFERROR(자료실기준[[#This Row],[어린이남자]]+자료실기준[[#This Row],[청소년남자]]+자료실기준[[#This Row],[성인남자]],0)</f>
        <v>8</v>
      </c>
      <c r="O88">
        <f>IFERROR(자료실기준[[#This Row],[어린이여자]]+자료실기준[[#This Row],[청소년여자]]+자료실기준[[#This Row],[성인여자]],0)</f>
        <v>13</v>
      </c>
      <c r="P88">
        <f>IFERROR(자료실기준[[#This Row],[남자]]+자료실기준[[#This Row],[여자]],0)</f>
        <v>21</v>
      </c>
      <c r="Q88" cm="1">
        <f t="array" ref="Q88">IFERROR(INDEX(대출권수[],MATCH(1,(자료실기준[[#This Row],[소장처명]]=대출권수[소장처명])*(대출권수[대출반납]="대출")*(자료실기준[[#This Row],[년월]]=대출권수[년월]),0),MATCH(Q$1,대출권수[#Headers],0)),0)</f>
        <v>1</v>
      </c>
      <c r="R88" cm="1">
        <f t="array" ref="R88">IFERROR(INDEX(대출권수[],MATCH(1,(자료실기준[[#This Row],[소장처명]]=대출권수[소장처명])*(대출권수[대출반납]="대출")*(자료실기준[[#This Row],[년월]]=대출권수[년월]),0),MATCH(R$1,대출권수[#Headers],0)),0)</f>
        <v>2</v>
      </c>
      <c r="S88" cm="1">
        <f t="array" ref="S88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88" cm="1">
        <f t="array" ref="T88">IFERROR(INDEX(대출권수[],MATCH(1,(자료실기준[[#This Row],[소장처명]]=대출권수[소장처명])*(대출권수[대출반납]="대출")*(자료실기준[[#This Row],[년월]]=대출권수[년월]),0),MATCH(T$1,대출권수[#Headers],0)),0)</f>
        <v>11</v>
      </c>
      <c r="U88" cm="1">
        <f t="array" ref="U88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88" cm="1">
        <f t="array" ref="V88">IFERROR(INDEX(대출권수[],MATCH(1,(자료실기준[[#This Row],[소장처명]]=대출권수[소장처명])*(대출권수[대출반납]="대출")*(자료실기준[[#This Row],[년월]]=대출권수[년월]),0),MATCH(V$1,대출권수[#Headers],0)),0)</f>
        <v>4</v>
      </c>
      <c r="W88" cm="1">
        <f t="array" ref="W88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88" cm="1">
        <f t="array" ref="X88">IFERROR(INDEX(대출권수[],MATCH(1,(자료실기준[[#This Row],[소장처명]]=대출권수[소장처명])*(대출권수[대출반납]="대출")*(자료실기준[[#This Row],[년월]]=대출권수[년월]),0),MATCH(X$1,대출권수[#Headers],0)),0)</f>
        <v>1</v>
      </c>
      <c r="Y88" cm="1">
        <f t="array" ref="Y88">IFERROR(INDEX(대출권수[],MATCH(1,(자료실기준[[#This Row],[소장처명]]=대출권수[소장처명])*(대출권수[대출반납]="대출")*(자료실기준[[#This Row],[년월]]=대출권수[년월]),0),MATCH(Y$1,대출권수[#Headers],0)),0)</f>
        <v>45</v>
      </c>
      <c r="Z88" cm="1">
        <f t="array" ref="Z88">IFERROR(INDEX(대출권수[],MATCH(1,(자료실기준[[#This Row],[소장처명]]=대출권수[소장처명])*(대출권수[대출반납]="대출")*(자료실기준[[#This Row],[년월]]=대출권수[년월]),0),MATCH(Z$1,대출권수[#Headers],0)),0)</f>
        <v>2</v>
      </c>
      <c r="AA88">
        <f>SUM(자료실기준[[#This Row],[총류]:[역사]])</f>
        <v>66</v>
      </c>
    </row>
    <row r="89" spans="1:27" x14ac:dyDescent="0.3">
      <c r="A89" s="5">
        <v>45383</v>
      </c>
      <c r="B89" t="s">
        <v>8</v>
      </c>
      <c r="C89" s="5" t="str">
        <f>TEXT(자료실기준[[#This Row],[년월]],"yy년m월")&amp;자료실기준[[#This Row],[소장처명]]</f>
        <v>24년4월어린이실(교과2학년)</v>
      </c>
      <c r="D89" t="str">
        <f>IFERROR(INDEX(자료실범례[],MATCH($B89,자료실범례[소장처명],0),2),"종합자료실")</f>
        <v>어린이자료실</v>
      </c>
      <c r="E89" cm="1">
        <f t="array" ref="E89">IFERROR(INDEX(대출자[],MATCH(1,(자료실기준[[#This Row],[소장처명]]=대출자[소장처명])*(자료실기준[[#This Row],[년월]]=대출자[년월]),0),MATCH(E$1,대출자[#Headers],0)),0)</f>
        <v>6</v>
      </c>
      <c r="F89" cm="1">
        <f t="array" ref="F89">IFERROR(INDEX(대출자[],MATCH(1,(자료실기준[[#This Row],[소장처명]]=대출자[소장처명])*(자료실기준[[#This Row],[년월]]=대출자[년월]),0),MATCH(F$1,대출자[#Headers],0)),0)</f>
        <v>2</v>
      </c>
      <c r="G89" cm="1">
        <f t="array" ref="G89">IFERROR(INDEX(대출자[],MATCH(1,(자료실기준[[#This Row],[소장처명]]=대출자[소장처명])*(자료실기준[[#This Row],[년월]]=대출자[년월]),0),MATCH(G$1,대출자[#Headers],0)),0)</f>
        <v>0</v>
      </c>
      <c r="H89" cm="1">
        <f t="array" ref="H89">IFERROR(INDEX(대출자[],MATCH(1,(자료실기준[[#This Row],[소장처명]]=대출자[소장처명])*(자료실기준[[#This Row],[년월]]=대출자[년월]),0),MATCH(H$1,대출자[#Headers],0)),0)</f>
        <v>0</v>
      </c>
      <c r="I89" cm="1">
        <f t="array" ref="I89">IFERROR(INDEX(대출자[],MATCH(1,(자료실기준[[#This Row],[소장처명]]=대출자[소장처명])*(자료실기준[[#This Row],[년월]]=대출자[년월]),0),MATCH(I$1,대출자[#Headers],0)),0)</f>
        <v>1</v>
      </c>
      <c r="J89" cm="1">
        <f t="array" ref="J89">IFERROR(INDEX(대출자[],MATCH(1,(자료실기준[[#This Row],[소장처명]]=대출자[소장처명])*(자료실기준[[#This Row],[년월]]=대출자[년월]),0),MATCH(J$1,대출자[#Headers],0)),0)</f>
        <v>8</v>
      </c>
      <c r="K89" cm="1">
        <f t="array" ref="K89">IFERROR(INDEX(대출자[],MATCH(1,(자료실기준[[#This Row],[소장처명]]=대출자[소장처명])*(자료실기준[[#This Row],[년월]]=대출자[년월]),0),MATCH(K$1,대출자[#Headers],0)),0)</f>
        <v>8</v>
      </c>
      <c r="L89" cm="1">
        <f t="array" ref="L89">IFERROR(INDEX(대출자[],MATCH(1,(자료실기준[[#This Row],[소장처명]]=대출자[소장처명])*(자료실기준[[#This Row],[년월]]=대출자[년월]),0),MATCH(L$1,대출자[#Headers],0)),0)</f>
        <v>0</v>
      </c>
      <c r="M89" cm="1">
        <f t="array" ref="M89">IFERROR(INDEX(대출자[],MATCH(1,(자료실기준[[#This Row],[소장처명]]=대출자[소장처명])*(자료실기준[[#This Row],[년월]]=대출자[년월]),0),MATCH(M$1,대출자[#Headers],0)),0)</f>
        <v>9</v>
      </c>
      <c r="N89">
        <f>IFERROR(자료실기준[[#This Row],[어린이남자]]+자료실기준[[#This Row],[청소년남자]]+자료실기준[[#This Row],[성인남자]],0)</f>
        <v>7</v>
      </c>
      <c r="O89">
        <f>IFERROR(자료실기준[[#This Row],[어린이여자]]+자료실기준[[#This Row],[청소년여자]]+자료실기준[[#This Row],[성인여자]],0)</f>
        <v>10</v>
      </c>
      <c r="P89">
        <f>IFERROR(자료실기준[[#This Row],[남자]]+자료실기준[[#This Row],[여자]],0)</f>
        <v>17</v>
      </c>
      <c r="Q89" cm="1">
        <f t="array" ref="Q89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89" cm="1">
        <f t="array" ref="R89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89" cm="1">
        <f t="array" ref="S89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89" cm="1">
        <f t="array" ref="T89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89" cm="1">
        <f t="array" ref="U89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89" cm="1">
        <f t="array" ref="V89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89" cm="1">
        <f t="array" ref="W89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89" cm="1">
        <f t="array" ref="X89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89" cm="1">
        <f t="array" ref="Y89">IFERROR(INDEX(대출권수[],MATCH(1,(자료실기준[[#This Row],[소장처명]]=대출권수[소장처명])*(대출권수[대출반납]="대출")*(자료실기준[[#This Row],[년월]]=대출권수[년월]),0),MATCH(Y$1,대출권수[#Headers],0)),0)</f>
        <v>55</v>
      </c>
      <c r="Z89" cm="1">
        <f t="array" ref="Z89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89">
        <f>SUM(자료실기준[[#This Row],[총류]:[역사]])</f>
        <v>55</v>
      </c>
    </row>
    <row r="90" spans="1:27" x14ac:dyDescent="0.3">
      <c r="A90" s="5">
        <v>45383</v>
      </c>
      <c r="B90" t="s">
        <v>9</v>
      </c>
      <c r="C90" s="5" t="str">
        <f>TEXT(자료실기준[[#This Row],[년월]],"yy년m월")&amp;자료실기준[[#This Row],[소장처명]]</f>
        <v>24년4월어린이실(교과3학년)</v>
      </c>
      <c r="D90" t="str">
        <f>IFERROR(INDEX(자료실범례[],MATCH($B90,자료실범례[소장처명],0),2),"종합자료실")</f>
        <v>어린이자료실</v>
      </c>
      <c r="E90" cm="1">
        <f t="array" ref="E90">IFERROR(INDEX(대출자[],MATCH(1,(자료실기준[[#This Row],[소장처명]]=대출자[소장처명])*(자료실기준[[#This Row],[년월]]=대출자[년월]),0),MATCH(E$1,대출자[#Headers],0)),0)</f>
        <v>2</v>
      </c>
      <c r="F90" cm="1">
        <f t="array" ref="F90">IFERROR(INDEX(대출자[],MATCH(1,(자료실기준[[#This Row],[소장처명]]=대출자[소장처명])*(자료실기준[[#This Row],[년월]]=대출자[년월]),0),MATCH(F$1,대출자[#Headers],0)),0)</f>
        <v>1</v>
      </c>
      <c r="G90" cm="1">
        <f t="array" ref="G90">IFERROR(INDEX(대출자[],MATCH(1,(자료실기준[[#This Row],[소장처명]]=대출자[소장처명])*(자료실기준[[#This Row],[년월]]=대출자[년월]),0),MATCH(G$1,대출자[#Headers],0)),0)</f>
        <v>0</v>
      </c>
      <c r="H90" cm="1">
        <f t="array" ref="H90">IFERROR(INDEX(대출자[],MATCH(1,(자료실기준[[#This Row],[소장처명]]=대출자[소장처명])*(자료실기준[[#This Row],[년월]]=대출자[년월]),0),MATCH(H$1,대출자[#Headers],0)),0)</f>
        <v>0</v>
      </c>
      <c r="I90" cm="1">
        <f t="array" ref="I90">IFERROR(INDEX(대출자[],MATCH(1,(자료실기준[[#This Row],[소장처명]]=대출자[소장처명])*(자료실기준[[#This Row],[년월]]=대출자[년월]),0),MATCH(I$1,대출자[#Headers],0)),0)</f>
        <v>1</v>
      </c>
      <c r="J90" cm="1">
        <f t="array" ref="J90">IFERROR(INDEX(대출자[],MATCH(1,(자료실기준[[#This Row],[소장처명]]=대출자[소장처명])*(자료실기준[[#This Row],[년월]]=대출자[년월]),0),MATCH(J$1,대출자[#Headers],0)),0)</f>
        <v>1</v>
      </c>
      <c r="K90" cm="1">
        <f t="array" ref="K90">IFERROR(INDEX(대출자[],MATCH(1,(자료실기준[[#This Row],[소장처명]]=대출자[소장처명])*(자료실기준[[#This Row],[년월]]=대출자[년월]),0),MATCH(K$1,대출자[#Headers],0)),0)</f>
        <v>3</v>
      </c>
      <c r="L90" cm="1">
        <f t="array" ref="L90">IFERROR(INDEX(대출자[],MATCH(1,(자료실기준[[#This Row],[소장처명]]=대출자[소장처명])*(자료실기준[[#This Row],[년월]]=대출자[년월]),0),MATCH(L$1,대출자[#Headers],0)),0)</f>
        <v>0</v>
      </c>
      <c r="M90" cm="1">
        <f t="array" ref="M90">IFERROR(INDEX(대출자[],MATCH(1,(자료실기준[[#This Row],[소장처명]]=대출자[소장처명])*(자료실기준[[#This Row],[년월]]=대출자[년월]),0),MATCH(M$1,대출자[#Headers],0)),0)</f>
        <v>2</v>
      </c>
      <c r="N90">
        <f>IFERROR(자료실기준[[#This Row],[어린이남자]]+자료실기준[[#This Row],[청소년남자]]+자료실기준[[#This Row],[성인남자]],0)</f>
        <v>3</v>
      </c>
      <c r="O90">
        <f>IFERROR(자료실기준[[#This Row],[어린이여자]]+자료실기준[[#This Row],[청소년여자]]+자료실기준[[#This Row],[성인여자]],0)</f>
        <v>2</v>
      </c>
      <c r="P90">
        <f>IFERROR(자료실기준[[#This Row],[남자]]+자료실기준[[#This Row],[여자]],0)</f>
        <v>5</v>
      </c>
      <c r="Q90" cm="1">
        <f t="array" ref="Q90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90" cm="1">
        <f t="array" ref="R90">IFERROR(INDEX(대출권수[],MATCH(1,(자료실기준[[#This Row],[소장처명]]=대출권수[소장처명])*(대출권수[대출반납]="대출")*(자료실기준[[#This Row],[년월]]=대출권수[년월]),0),MATCH(R$1,대출권수[#Headers],0)),0)</f>
        <v>1</v>
      </c>
      <c r="S90" cm="1">
        <f t="array" ref="S90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90" cm="1">
        <f t="array" ref="T90">IFERROR(INDEX(대출권수[],MATCH(1,(자료실기준[[#This Row],[소장처명]]=대출권수[소장처명])*(대출권수[대출반납]="대출")*(자료실기준[[#This Row],[년월]]=대출권수[년월]),0),MATCH(T$1,대출권수[#Headers],0)),0)</f>
        <v>2</v>
      </c>
      <c r="U90" cm="1">
        <f t="array" ref="U90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90" cm="1">
        <f t="array" ref="V90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90" cm="1">
        <f t="array" ref="W90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90" cm="1">
        <f t="array" ref="X90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90" cm="1">
        <f t="array" ref="Y90">IFERROR(INDEX(대출권수[],MATCH(1,(자료실기준[[#This Row],[소장처명]]=대출권수[소장처명])*(대출권수[대출반납]="대출")*(자료실기준[[#This Row],[년월]]=대출권수[년월]),0),MATCH(Y$1,대출권수[#Headers],0)),0)</f>
        <v>9</v>
      </c>
      <c r="Z90" cm="1">
        <f t="array" ref="Z90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90">
        <f>SUM(자료실기준[[#This Row],[총류]:[역사]])</f>
        <v>12</v>
      </c>
    </row>
    <row r="91" spans="1:27" x14ac:dyDescent="0.3">
      <c r="A91" s="5">
        <v>45383</v>
      </c>
      <c r="B91" t="s">
        <v>10</v>
      </c>
      <c r="C91" s="5" t="str">
        <f>TEXT(자료실기준[[#This Row],[년월]],"yy년m월")&amp;자료실기준[[#This Row],[소장처명]]</f>
        <v>24년4월어린이실(교과4학년)</v>
      </c>
      <c r="D91" t="str">
        <f>IFERROR(INDEX(자료실범례[],MATCH($B91,자료실범례[소장처명],0),2),"종합자료실")</f>
        <v>어린이자료실</v>
      </c>
      <c r="E91" cm="1">
        <f t="array" ref="E91">IFERROR(INDEX(대출자[],MATCH(1,(자료실기준[[#This Row],[소장처명]]=대출자[소장처명])*(자료실기준[[#This Row],[년월]]=대출자[년월]),0),MATCH(E$1,대출자[#Headers],0)),0)</f>
        <v>4</v>
      </c>
      <c r="F91" cm="1">
        <f t="array" ref="F91">IFERROR(INDEX(대출자[],MATCH(1,(자료실기준[[#This Row],[소장처명]]=대출자[소장처명])*(자료실기준[[#This Row],[년월]]=대출자[년월]),0),MATCH(F$1,대출자[#Headers],0)),0)</f>
        <v>3</v>
      </c>
      <c r="G91" cm="1">
        <f t="array" ref="G91">IFERROR(INDEX(대출자[],MATCH(1,(자료실기준[[#This Row],[소장처명]]=대출자[소장처명])*(자료실기준[[#This Row],[년월]]=대출자[년월]),0),MATCH(G$1,대출자[#Headers],0)),0)</f>
        <v>0</v>
      </c>
      <c r="H91" cm="1">
        <f t="array" ref="H91">IFERROR(INDEX(대출자[],MATCH(1,(자료실기준[[#This Row],[소장처명]]=대출자[소장처명])*(자료실기준[[#This Row],[년월]]=대출자[년월]),0),MATCH(H$1,대출자[#Headers],0)),0)</f>
        <v>0</v>
      </c>
      <c r="I91" cm="1">
        <f t="array" ref="I91">IFERROR(INDEX(대출자[],MATCH(1,(자료실기준[[#This Row],[소장처명]]=대출자[소장처명])*(자료실기준[[#This Row],[년월]]=대출자[년월]),0),MATCH(I$1,대출자[#Headers],0)),0)</f>
        <v>1</v>
      </c>
      <c r="J91" cm="1">
        <f t="array" ref="J91">IFERROR(INDEX(대출자[],MATCH(1,(자료실기준[[#This Row],[소장처명]]=대출자[소장처명])*(자료실기준[[#This Row],[년월]]=대출자[년월]),0),MATCH(J$1,대출자[#Headers],0)),0)</f>
        <v>4</v>
      </c>
      <c r="K91" cm="1">
        <f t="array" ref="K91">IFERROR(INDEX(대출자[],MATCH(1,(자료실기준[[#This Row],[소장처명]]=대출자[소장처명])*(자료실기준[[#This Row],[년월]]=대출자[년월]),0),MATCH(K$1,대출자[#Headers],0)),0)</f>
        <v>7</v>
      </c>
      <c r="L91" cm="1">
        <f t="array" ref="L91">IFERROR(INDEX(대출자[],MATCH(1,(자료실기준[[#This Row],[소장처명]]=대출자[소장처명])*(자료실기준[[#This Row],[년월]]=대출자[년월]),0),MATCH(L$1,대출자[#Headers],0)),0)</f>
        <v>0</v>
      </c>
      <c r="M91" cm="1">
        <f t="array" ref="M91">IFERROR(INDEX(대출자[],MATCH(1,(자료실기준[[#This Row],[소장처명]]=대출자[소장처명])*(자료실기준[[#This Row],[년월]]=대출자[년월]),0),MATCH(M$1,대출자[#Headers],0)),0)</f>
        <v>5</v>
      </c>
      <c r="N91">
        <f>IFERROR(자료실기준[[#This Row],[어린이남자]]+자료실기준[[#This Row],[청소년남자]]+자료실기준[[#This Row],[성인남자]],0)</f>
        <v>5</v>
      </c>
      <c r="O91">
        <f>IFERROR(자료실기준[[#This Row],[어린이여자]]+자료실기준[[#This Row],[청소년여자]]+자료실기준[[#This Row],[성인여자]],0)</f>
        <v>7</v>
      </c>
      <c r="P91">
        <f>IFERROR(자료실기준[[#This Row],[남자]]+자료실기준[[#This Row],[여자]],0)</f>
        <v>12</v>
      </c>
      <c r="Q91" cm="1">
        <f t="array" ref="Q91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91" cm="1">
        <f t="array" ref="R91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91" cm="1">
        <f t="array" ref="S91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91" cm="1">
        <f t="array" ref="T91">IFERROR(INDEX(대출권수[],MATCH(1,(자료실기준[[#This Row],[소장처명]]=대출권수[소장처명])*(대출권수[대출반납]="대출")*(자료실기준[[#This Row],[년월]]=대출권수[년월]),0),MATCH(T$1,대출권수[#Headers],0)),0)</f>
        <v>1</v>
      </c>
      <c r="U91" cm="1">
        <f t="array" ref="U91">IFERROR(INDEX(대출권수[],MATCH(1,(자료실기준[[#This Row],[소장처명]]=대출권수[소장처명])*(대출권수[대출반납]="대출")*(자료실기준[[#This Row],[년월]]=대출권수[년월]),0),MATCH(U$1,대출권수[#Headers],0)),0)</f>
        <v>1</v>
      </c>
      <c r="V91" cm="1">
        <f t="array" ref="V91">IFERROR(INDEX(대출권수[],MATCH(1,(자료실기준[[#This Row],[소장처명]]=대출권수[소장처명])*(대출권수[대출반납]="대출")*(자료실기준[[#This Row],[년월]]=대출권수[년월]),0),MATCH(V$1,대출권수[#Headers],0)),0)</f>
        <v>1</v>
      </c>
      <c r="W91" cm="1">
        <f t="array" ref="W91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91" cm="1">
        <f t="array" ref="X91">IFERROR(INDEX(대출권수[],MATCH(1,(자료실기준[[#This Row],[소장처명]]=대출권수[소장처명])*(대출권수[대출반납]="대출")*(자료실기준[[#This Row],[년월]]=대출권수[년월]),0),MATCH(X$1,대출권수[#Headers],0)),0)</f>
        <v>1</v>
      </c>
      <c r="Y91" cm="1">
        <f t="array" ref="Y91">IFERROR(INDEX(대출권수[],MATCH(1,(자료실기준[[#This Row],[소장처명]]=대출권수[소장처명])*(대출권수[대출반납]="대출")*(자료실기준[[#This Row],[년월]]=대출권수[년월]),0),MATCH(Y$1,대출권수[#Headers],0)),0)</f>
        <v>33</v>
      </c>
      <c r="Z91" cm="1">
        <f t="array" ref="Z91">IFERROR(INDEX(대출권수[],MATCH(1,(자료실기준[[#This Row],[소장처명]]=대출권수[소장처명])*(대출권수[대출반납]="대출")*(자료실기준[[#This Row],[년월]]=대출권수[년월]),0),MATCH(Z$1,대출권수[#Headers],0)),0)</f>
        <v>5</v>
      </c>
      <c r="AA91">
        <f>SUM(자료실기준[[#This Row],[총류]:[역사]])</f>
        <v>42</v>
      </c>
    </row>
    <row r="92" spans="1:27" x14ac:dyDescent="0.3">
      <c r="A92" s="5">
        <v>45383</v>
      </c>
      <c r="B92" t="s">
        <v>11</v>
      </c>
      <c r="C92" s="5" t="str">
        <f>TEXT(자료실기준[[#This Row],[년월]],"yy년m월")&amp;자료실기준[[#This Row],[소장처명]]</f>
        <v>24년4월어린이실(교과5학년)</v>
      </c>
      <c r="D92" t="str">
        <f>IFERROR(INDEX(자료실범례[],MATCH($B92,자료실범례[소장처명],0),2),"종합자료실")</f>
        <v>어린이자료실</v>
      </c>
      <c r="E92" cm="1">
        <f t="array" ref="E92">IFERROR(INDEX(대출자[],MATCH(1,(자료실기준[[#This Row],[소장처명]]=대출자[소장처명])*(자료실기준[[#This Row],[년월]]=대출자[년월]),0),MATCH(E$1,대출자[#Headers],0)),0)</f>
        <v>2</v>
      </c>
      <c r="F92" cm="1">
        <f t="array" ref="F92">IFERROR(INDEX(대출자[],MATCH(1,(자료실기준[[#This Row],[소장처명]]=대출자[소장처명])*(자료실기준[[#This Row],[년월]]=대출자[년월]),0),MATCH(F$1,대출자[#Headers],0)),0)</f>
        <v>1</v>
      </c>
      <c r="G92" cm="1">
        <f t="array" ref="G92">IFERROR(INDEX(대출자[],MATCH(1,(자료실기준[[#This Row],[소장처명]]=대출자[소장처명])*(자료실기준[[#This Row],[년월]]=대출자[년월]),0),MATCH(G$1,대출자[#Headers],0)),0)</f>
        <v>0</v>
      </c>
      <c r="H92" cm="1">
        <f t="array" ref="H92">IFERROR(INDEX(대출자[],MATCH(1,(자료실기준[[#This Row],[소장처명]]=대출자[소장처명])*(자료실기준[[#This Row],[년월]]=대출자[년월]),0),MATCH(H$1,대출자[#Headers],0)),0)</f>
        <v>1</v>
      </c>
      <c r="I92" cm="1">
        <f t="array" ref="I92">IFERROR(INDEX(대출자[],MATCH(1,(자료실기준[[#This Row],[소장처명]]=대출자[소장처명])*(자료실기준[[#This Row],[년월]]=대출자[년월]),0),MATCH(I$1,대출자[#Headers],0)),0)</f>
        <v>0</v>
      </c>
      <c r="J92" cm="1">
        <f t="array" ref="J92">IFERROR(INDEX(대출자[],MATCH(1,(자료실기준[[#This Row],[소장처명]]=대출자[소장처명])*(자료실기준[[#This Row],[년월]]=대출자[년월]),0),MATCH(J$1,대출자[#Headers],0)),0)</f>
        <v>1</v>
      </c>
      <c r="K92" cm="1">
        <f t="array" ref="K92">IFERROR(INDEX(대출자[],MATCH(1,(자료실기준[[#This Row],[소장처명]]=대출자[소장처명])*(자료실기준[[#This Row],[년월]]=대출자[년월]),0),MATCH(K$1,대출자[#Headers],0)),0)</f>
        <v>3</v>
      </c>
      <c r="L92" cm="1">
        <f t="array" ref="L92">IFERROR(INDEX(대출자[],MATCH(1,(자료실기준[[#This Row],[소장처명]]=대출자[소장처명])*(자료실기준[[#This Row],[년월]]=대출자[년월]),0),MATCH(L$1,대출자[#Headers],0)),0)</f>
        <v>1</v>
      </c>
      <c r="M92" cm="1">
        <f t="array" ref="M92">IFERROR(INDEX(대출자[],MATCH(1,(자료실기준[[#This Row],[소장처명]]=대출자[소장처명])*(자료실기준[[#This Row],[년월]]=대출자[년월]),0),MATCH(M$1,대출자[#Headers],0)),0)</f>
        <v>1</v>
      </c>
      <c r="N92">
        <f>IFERROR(자료실기준[[#This Row],[어린이남자]]+자료실기준[[#This Row],[청소년남자]]+자료실기준[[#This Row],[성인남자]],0)</f>
        <v>2</v>
      </c>
      <c r="O92">
        <f>IFERROR(자료실기준[[#This Row],[어린이여자]]+자료실기준[[#This Row],[청소년여자]]+자료실기준[[#This Row],[성인여자]],0)</f>
        <v>3</v>
      </c>
      <c r="P92">
        <f>IFERROR(자료실기준[[#This Row],[남자]]+자료실기준[[#This Row],[여자]],0)</f>
        <v>5</v>
      </c>
      <c r="Q92" cm="1">
        <f t="array" ref="Q92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92" cm="1">
        <f t="array" ref="R92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92" cm="1">
        <f t="array" ref="S92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92" cm="1">
        <f t="array" ref="T92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92" cm="1">
        <f t="array" ref="U92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92" cm="1">
        <f t="array" ref="V92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92" cm="1">
        <f t="array" ref="W92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92" cm="1">
        <f t="array" ref="X92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92" cm="1">
        <f t="array" ref="Y92">IFERROR(INDEX(대출권수[],MATCH(1,(자료실기준[[#This Row],[소장처명]]=대출권수[소장처명])*(대출권수[대출반납]="대출")*(자료실기준[[#This Row],[년월]]=대출권수[년월]),0),MATCH(Y$1,대출권수[#Headers],0)),0)</f>
        <v>6</v>
      </c>
      <c r="Z92" cm="1">
        <f t="array" ref="Z92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92">
        <f>SUM(자료실기준[[#This Row],[총류]:[역사]])</f>
        <v>6</v>
      </c>
    </row>
    <row r="93" spans="1:27" x14ac:dyDescent="0.3">
      <c r="A93" s="5">
        <v>45383</v>
      </c>
      <c r="B93" t="s">
        <v>12</v>
      </c>
      <c r="C93" s="5" t="str">
        <f>TEXT(자료실기준[[#This Row],[년월]],"yy년m월")&amp;자료실기준[[#This Row],[소장처명]]</f>
        <v>24년4월어린이실(교과6학년)</v>
      </c>
      <c r="D93" t="str">
        <f>IFERROR(INDEX(자료실범례[],MATCH($B93,자료실범례[소장처명],0),2),"종합자료실")</f>
        <v>어린이자료실</v>
      </c>
      <c r="E93" cm="1">
        <f t="array" ref="E93">IFERROR(INDEX(대출자[],MATCH(1,(자료실기준[[#This Row],[소장처명]]=대출자[소장처명])*(자료실기준[[#This Row],[년월]]=대출자[년월]),0),MATCH(E$1,대출자[#Headers],0)),0)</f>
        <v>0</v>
      </c>
      <c r="F93" cm="1">
        <f t="array" ref="F93">IFERROR(INDEX(대출자[],MATCH(1,(자료실기준[[#This Row],[소장처명]]=대출자[소장처명])*(자료실기준[[#This Row],[년월]]=대출자[년월]),0),MATCH(F$1,대출자[#Headers],0)),0)</f>
        <v>0</v>
      </c>
      <c r="G93" cm="1">
        <f t="array" ref="G93">IFERROR(INDEX(대출자[],MATCH(1,(자료실기준[[#This Row],[소장처명]]=대출자[소장처명])*(자료실기준[[#This Row],[년월]]=대출자[년월]),0),MATCH(G$1,대출자[#Headers],0)),0)</f>
        <v>0</v>
      </c>
      <c r="H93" cm="1">
        <f t="array" ref="H93">IFERROR(INDEX(대출자[],MATCH(1,(자료실기준[[#This Row],[소장처명]]=대출자[소장처명])*(자료실기준[[#This Row],[년월]]=대출자[년월]),0),MATCH(H$1,대출자[#Headers],0)),0)</f>
        <v>0</v>
      </c>
      <c r="I93" cm="1">
        <f t="array" ref="I93">IFERROR(INDEX(대출자[],MATCH(1,(자료실기준[[#This Row],[소장처명]]=대출자[소장처명])*(자료실기준[[#This Row],[년월]]=대출자[년월]),0),MATCH(I$1,대출자[#Headers],0)),0)</f>
        <v>0</v>
      </c>
      <c r="J93" cm="1">
        <f t="array" ref="J93">IFERROR(INDEX(대출자[],MATCH(1,(자료실기준[[#This Row],[소장처명]]=대출자[소장처명])*(자료실기준[[#This Row],[년월]]=대출자[년월]),0),MATCH(J$1,대출자[#Headers],0)),0)</f>
        <v>0</v>
      </c>
      <c r="K93" cm="1">
        <f t="array" ref="K93">IFERROR(INDEX(대출자[],MATCH(1,(자료실기준[[#This Row],[소장처명]]=대출자[소장처명])*(자료실기준[[#This Row],[년월]]=대출자[년월]),0),MATCH(K$1,대출자[#Headers],0)),0)</f>
        <v>0</v>
      </c>
      <c r="L93" cm="1">
        <f t="array" ref="L93">IFERROR(INDEX(대출자[],MATCH(1,(자료실기준[[#This Row],[소장처명]]=대출자[소장처명])*(자료실기준[[#This Row],[년월]]=대출자[년월]),0),MATCH(L$1,대출자[#Headers],0)),0)</f>
        <v>0</v>
      </c>
      <c r="M93" cm="1">
        <f t="array" ref="M93">IFERROR(INDEX(대출자[],MATCH(1,(자료실기준[[#This Row],[소장처명]]=대출자[소장처명])*(자료실기준[[#This Row],[년월]]=대출자[년월]),0),MATCH(M$1,대출자[#Headers],0)),0)</f>
        <v>0</v>
      </c>
      <c r="N93">
        <f>IFERROR(자료실기준[[#This Row],[어린이남자]]+자료실기준[[#This Row],[청소년남자]]+자료실기준[[#This Row],[성인남자]],0)</f>
        <v>0</v>
      </c>
      <c r="O93">
        <f>IFERROR(자료실기준[[#This Row],[어린이여자]]+자료실기준[[#This Row],[청소년여자]]+자료실기준[[#This Row],[성인여자]],0)</f>
        <v>0</v>
      </c>
      <c r="P93">
        <f>IFERROR(자료실기준[[#This Row],[남자]]+자료실기준[[#This Row],[여자]],0)</f>
        <v>0</v>
      </c>
      <c r="Q93" cm="1">
        <f t="array" ref="Q93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93" cm="1">
        <f t="array" ref="R93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93" cm="1">
        <f t="array" ref="S93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93" cm="1">
        <f t="array" ref="T93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93" cm="1">
        <f t="array" ref="U93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93" cm="1">
        <f t="array" ref="V93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93" cm="1">
        <f t="array" ref="W93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93" cm="1">
        <f t="array" ref="X93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93" cm="1">
        <f t="array" ref="Y93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93" cm="1">
        <f t="array" ref="Z93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93">
        <f>SUM(자료실기준[[#This Row],[총류]:[역사]])</f>
        <v>0</v>
      </c>
    </row>
    <row r="94" spans="1:27" x14ac:dyDescent="0.3">
      <c r="A94" s="5">
        <v>45383</v>
      </c>
      <c r="B94" t="s">
        <v>0</v>
      </c>
      <c r="C94" s="5" t="str">
        <f>TEXT(자료실기준[[#This Row],[년월]],"yy년m월")&amp;자료실기준[[#This Row],[소장처명]]</f>
        <v>24년4월다문화자료실</v>
      </c>
      <c r="D94" t="str">
        <f>IFERROR(INDEX(자료실범례[],MATCH($B94,자료실범례[소장처명],0),2),"종합자료실")</f>
        <v>어린이자료실</v>
      </c>
      <c r="E94" cm="1">
        <f t="array" ref="E94">IFERROR(INDEX(대출자[],MATCH(1,(자료실기준[[#This Row],[소장처명]]=대출자[소장처명])*(자료실기준[[#This Row],[년월]]=대출자[년월]),0),MATCH(E$1,대출자[#Headers],0)),0)</f>
        <v>3</v>
      </c>
      <c r="F94" cm="1">
        <f t="array" ref="F94">IFERROR(INDEX(대출자[],MATCH(1,(자료실기준[[#This Row],[소장처명]]=대출자[소장처명])*(자료실기준[[#This Row],[년월]]=대출자[년월]),0),MATCH(F$1,대출자[#Headers],0)),0)</f>
        <v>1</v>
      </c>
      <c r="G94" cm="1">
        <f t="array" ref="G94">IFERROR(INDEX(대출자[],MATCH(1,(자료실기준[[#This Row],[소장처명]]=대출자[소장처명])*(자료실기준[[#This Row],[년월]]=대출자[년월]),0),MATCH(G$1,대출자[#Headers],0)),0)</f>
        <v>0</v>
      </c>
      <c r="H94" cm="1">
        <f t="array" ref="H94">IFERROR(INDEX(대출자[],MATCH(1,(자료실기준[[#This Row],[소장처명]]=대출자[소장처명])*(자료실기준[[#This Row],[년월]]=대출자[년월]),0),MATCH(H$1,대출자[#Headers],0)),0)</f>
        <v>0</v>
      </c>
      <c r="I94" cm="1">
        <f t="array" ref="I94">IFERROR(INDEX(대출자[],MATCH(1,(자료실기준[[#This Row],[소장처명]]=대출자[소장처명])*(자료실기준[[#This Row],[년월]]=대출자[년월]),0),MATCH(I$1,대출자[#Headers],0)),0)</f>
        <v>2</v>
      </c>
      <c r="J94" cm="1">
        <f t="array" ref="J94">IFERROR(INDEX(대출자[],MATCH(1,(자료실기준[[#This Row],[소장처명]]=대출자[소장처명])*(자료실기준[[#This Row],[년월]]=대출자[년월]),0),MATCH(J$1,대출자[#Headers],0)),0)</f>
        <v>3</v>
      </c>
      <c r="K94" cm="1">
        <f t="array" ref="K94">IFERROR(INDEX(대출자[],MATCH(1,(자료실기준[[#This Row],[소장처명]]=대출자[소장처명])*(자료실기준[[#This Row],[년월]]=대출자[년월]),0),MATCH(K$1,대출자[#Headers],0)),0)</f>
        <v>4</v>
      </c>
      <c r="L94" cm="1">
        <f t="array" ref="L94">IFERROR(INDEX(대출자[],MATCH(1,(자료실기준[[#This Row],[소장처명]]=대출자[소장처명])*(자료실기준[[#This Row],[년월]]=대출자[년월]),0),MATCH(L$1,대출자[#Headers],0)),0)</f>
        <v>0</v>
      </c>
      <c r="M94" cm="1">
        <f t="array" ref="M94">IFERROR(INDEX(대출자[],MATCH(1,(자료실기준[[#This Row],[소장처명]]=대출자[소장처명])*(자료실기준[[#This Row],[년월]]=대출자[년월]),0),MATCH(M$1,대출자[#Headers],0)),0)</f>
        <v>5</v>
      </c>
      <c r="N94">
        <f>IFERROR(자료실기준[[#This Row],[어린이남자]]+자료실기준[[#This Row],[청소년남자]]+자료실기준[[#This Row],[성인남자]],0)</f>
        <v>5</v>
      </c>
      <c r="O94">
        <f>IFERROR(자료실기준[[#This Row],[어린이여자]]+자료실기준[[#This Row],[청소년여자]]+자료실기준[[#This Row],[성인여자]],0)</f>
        <v>4</v>
      </c>
      <c r="P94">
        <f>IFERROR(자료실기준[[#This Row],[남자]]+자료실기준[[#This Row],[여자]],0)</f>
        <v>9</v>
      </c>
      <c r="Q94" cm="1">
        <f t="array" ref="Q94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94" cm="1">
        <f t="array" ref="R94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94" cm="1">
        <f t="array" ref="S94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94" cm="1">
        <f t="array" ref="T94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94" cm="1">
        <f t="array" ref="U94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94" cm="1">
        <f t="array" ref="V94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94" cm="1">
        <f t="array" ref="W94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94" cm="1">
        <f t="array" ref="X94">IFERROR(INDEX(대출권수[],MATCH(1,(자료실기준[[#This Row],[소장처명]]=대출권수[소장처명])*(대출권수[대출반납]="대출")*(자료실기준[[#This Row],[년월]]=대출권수[년월]),0),MATCH(X$1,대출권수[#Headers],0)),0)</f>
        <v>1</v>
      </c>
      <c r="Y94" cm="1">
        <f t="array" ref="Y94">IFERROR(INDEX(대출권수[],MATCH(1,(자료실기준[[#This Row],[소장처명]]=대출권수[소장처명])*(대출권수[대출반납]="대출")*(자료실기준[[#This Row],[년월]]=대출권수[년월]),0),MATCH(Y$1,대출권수[#Headers],0)),0)</f>
        <v>25</v>
      </c>
      <c r="Z94" cm="1">
        <f t="array" ref="Z94">IFERROR(INDEX(대출권수[],MATCH(1,(자료실기준[[#This Row],[소장처명]]=대출권수[소장처명])*(대출권수[대출반납]="대출")*(자료실기준[[#This Row],[년월]]=대출권수[년월]),0),MATCH(Z$1,대출권수[#Headers],0)),0)</f>
        <v>1</v>
      </c>
      <c r="AA94">
        <f>SUM(자료실기준[[#This Row],[총류]:[역사]])</f>
        <v>27</v>
      </c>
    </row>
    <row r="95" spans="1:27" x14ac:dyDescent="0.3">
      <c r="A95" s="5">
        <v>45383</v>
      </c>
      <c r="B95" t="s">
        <v>1</v>
      </c>
      <c r="C95" s="5" t="str">
        <f>TEXT(자료실기준[[#This Row],[년월]],"yy년m월")&amp;자료실기준[[#This Row],[소장처명]]</f>
        <v>24년4월다문화자료실(영어유아)</v>
      </c>
      <c r="D95" t="str">
        <f>IFERROR(INDEX(자료실범례[],MATCH($B95,자료실범례[소장처명],0),2),"종합자료실")</f>
        <v>어린이자료실</v>
      </c>
      <c r="E95" cm="1">
        <f t="array" ref="E95">IFERROR(INDEX(대출자[],MATCH(1,(자료실기준[[#This Row],[소장처명]]=대출자[소장처명])*(자료실기준[[#This Row],[년월]]=대출자[년월]),0),MATCH(E$1,대출자[#Headers],0)),0)</f>
        <v>4</v>
      </c>
      <c r="F95" cm="1">
        <f t="array" ref="F95">IFERROR(INDEX(대출자[],MATCH(1,(자료실기준[[#This Row],[소장처명]]=대출자[소장처명])*(자료실기준[[#This Row],[년월]]=대출자[년월]),0),MATCH(F$1,대출자[#Headers],0)),0)</f>
        <v>2</v>
      </c>
      <c r="G95" cm="1">
        <f t="array" ref="G95">IFERROR(INDEX(대출자[],MATCH(1,(자료실기준[[#This Row],[소장처명]]=대출자[소장처명])*(자료실기준[[#This Row],[년월]]=대출자[년월]),0),MATCH(G$1,대출자[#Headers],0)),0)</f>
        <v>0</v>
      </c>
      <c r="H95" cm="1">
        <f t="array" ref="H95">IFERROR(INDEX(대출자[],MATCH(1,(자료실기준[[#This Row],[소장처명]]=대출자[소장처명])*(자료실기준[[#This Row],[년월]]=대출자[년월]),0),MATCH(H$1,대출자[#Headers],0)),0)</f>
        <v>0</v>
      </c>
      <c r="I95" cm="1">
        <f t="array" ref="I95">IFERROR(INDEX(대출자[],MATCH(1,(자료실기준[[#This Row],[소장처명]]=대출자[소장처명])*(자료실기준[[#This Row],[년월]]=대출자[년월]),0),MATCH(I$1,대출자[#Headers],0)),0)</f>
        <v>2</v>
      </c>
      <c r="J95" cm="1">
        <f t="array" ref="J95">IFERROR(INDEX(대출자[],MATCH(1,(자료실기준[[#This Row],[소장처명]]=대출자[소장처명])*(자료실기준[[#This Row],[년월]]=대출자[년월]),0),MATCH(J$1,대출자[#Headers],0)),0)</f>
        <v>2</v>
      </c>
      <c r="K95" cm="1">
        <f t="array" ref="K95">IFERROR(INDEX(대출자[],MATCH(1,(자료실기준[[#This Row],[소장처명]]=대출자[소장처명])*(자료실기준[[#This Row],[년월]]=대출자[년월]),0),MATCH(K$1,대출자[#Headers],0)),0)</f>
        <v>6</v>
      </c>
      <c r="L95" cm="1">
        <f t="array" ref="L95">IFERROR(INDEX(대출자[],MATCH(1,(자료실기준[[#This Row],[소장처명]]=대출자[소장처명])*(자료실기준[[#This Row],[년월]]=대출자[년월]),0),MATCH(L$1,대출자[#Headers],0)),0)</f>
        <v>0</v>
      </c>
      <c r="M95" cm="1">
        <f t="array" ref="M95">IFERROR(INDEX(대출자[],MATCH(1,(자료실기준[[#This Row],[소장처명]]=대출자[소장처명])*(자료실기준[[#This Row],[년월]]=대출자[년월]),0),MATCH(M$1,대출자[#Headers],0)),0)</f>
        <v>4</v>
      </c>
      <c r="N95">
        <f>IFERROR(자료실기준[[#This Row],[어린이남자]]+자료실기준[[#This Row],[청소년남자]]+자료실기준[[#This Row],[성인남자]],0)</f>
        <v>6</v>
      </c>
      <c r="O95">
        <f>IFERROR(자료실기준[[#This Row],[어린이여자]]+자료실기준[[#This Row],[청소년여자]]+자료실기준[[#This Row],[성인여자]],0)</f>
        <v>4</v>
      </c>
      <c r="P95">
        <f>IFERROR(자료실기준[[#This Row],[남자]]+자료실기준[[#This Row],[여자]],0)</f>
        <v>10</v>
      </c>
      <c r="Q95" cm="1">
        <f t="array" ref="Q95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95" cm="1">
        <f t="array" ref="R95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95" cm="1">
        <f t="array" ref="S95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95" cm="1">
        <f t="array" ref="T95">IFERROR(INDEX(대출권수[],MATCH(1,(자료실기준[[#This Row],[소장처명]]=대출권수[소장처명])*(대출권수[대출반납]="대출")*(자료실기준[[#This Row],[년월]]=대출권수[년월]),0),MATCH(T$1,대출권수[#Headers],0)),0)</f>
        <v>1</v>
      </c>
      <c r="U95" cm="1">
        <f t="array" ref="U95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95" cm="1">
        <f t="array" ref="V95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95" cm="1">
        <f t="array" ref="W95">IFERROR(INDEX(대출권수[],MATCH(1,(자료실기준[[#This Row],[소장처명]]=대출권수[소장처명])*(대출권수[대출반납]="대출")*(자료실기준[[#This Row],[년월]]=대출권수[년월]),0),MATCH(W$1,대출권수[#Headers],0)),0)</f>
        <v>1</v>
      </c>
      <c r="X95" cm="1">
        <f t="array" ref="X95">IFERROR(INDEX(대출권수[],MATCH(1,(자료실기준[[#This Row],[소장처명]]=대출권수[소장처명])*(대출권수[대출반납]="대출")*(자료실기준[[#This Row],[년월]]=대출권수[년월]),0),MATCH(X$1,대출권수[#Headers],0)),0)</f>
        <v>82</v>
      </c>
      <c r="Y95" cm="1">
        <f t="array" ref="Y95">IFERROR(INDEX(대출권수[],MATCH(1,(자료실기준[[#This Row],[소장처명]]=대출권수[소장처명])*(대출권수[대출반납]="대출")*(자료실기준[[#This Row],[년월]]=대출권수[년월]),0),MATCH(Y$1,대출권수[#Headers],0)),0)</f>
        <v>1</v>
      </c>
      <c r="Z95" cm="1">
        <f t="array" ref="Z95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95">
        <f>SUM(자료실기준[[#This Row],[총류]:[역사]])</f>
        <v>85</v>
      </c>
    </row>
    <row r="96" spans="1:27" x14ac:dyDescent="0.3">
      <c r="A96" s="5">
        <v>45383</v>
      </c>
      <c r="B96" t="s">
        <v>6</v>
      </c>
      <c r="C96" s="5" t="str">
        <f>TEXT(자료실기준[[#This Row],[년월]],"yy년m월")&amp;자료실기준[[#This Row],[소장처명]]</f>
        <v>24년4월스마트도서관</v>
      </c>
      <c r="D96" t="str">
        <f>IFERROR(INDEX(자료실범례[],MATCH($B96,자료실범례[소장처명],0),2),"종합자료실")</f>
        <v>종합자료실</v>
      </c>
      <c r="E96" cm="1">
        <f t="array" ref="E96">IFERROR(INDEX(대출자[],MATCH(1,(자료실기준[[#This Row],[소장처명]]=대출자[소장처명])*(자료실기준[[#This Row],[년월]]=대출자[년월]),0),MATCH(E$1,대출자[#Headers],0)),0)</f>
        <v>0</v>
      </c>
      <c r="F96" cm="1">
        <f t="array" ref="F96">IFERROR(INDEX(대출자[],MATCH(1,(자료실기준[[#This Row],[소장처명]]=대출자[소장처명])*(자료실기준[[#This Row],[년월]]=대출자[년월]),0),MATCH(F$1,대출자[#Headers],0)),0)</f>
        <v>4</v>
      </c>
      <c r="G96" cm="1">
        <f t="array" ref="G96">IFERROR(INDEX(대출자[],MATCH(1,(자료실기준[[#This Row],[소장처명]]=대출자[소장처명])*(자료실기준[[#This Row],[년월]]=대출자[년월]),0),MATCH(G$1,대출자[#Headers],0)),0)</f>
        <v>2</v>
      </c>
      <c r="H96" cm="1">
        <f t="array" ref="H96">IFERROR(INDEX(대출자[],MATCH(1,(자료실기준[[#This Row],[소장처명]]=대출자[소장처명])*(자료실기준[[#This Row],[년월]]=대출자[년월]),0),MATCH(H$1,대출자[#Headers],0)),0)</f>
        <v>1</v>
      </c>
      <c r="I96" cm="1">
        <f t="array" ref="I96">IFERROR(INDEX(대출자[],MATCH(1,(자료실기준[[#This Row],[소장처명]]=대출자[소장처명])*(자료실기준[[#This Row],[년월]]=대출자[년월]),0),MATCH(I$1,대출자[#Headers],0)),0)</f>
        <v>8</v>
      </c>
      <c r="J96" cm="1">
        <f t="array" ref="J96">IFERROR(INDEX(대출자[],MATCH(1,(자료실기준[[#This Row],[소장처명]]=대출자[소장처명])*(자료실기준[[#This Row],[년월]]=대출자[년월]),0),MATCH(J$1,대출자[#Headers],0)),0)</f>
        <v>17</v>
      </c>
      <c r="K96" cm="1">
        <f t="array" ref="K96">IFERROR(INDEX(대출자[],MATCH(1,(자료실기준[[#This Row],[소장처명]]=대출자[소장처명])*(자료실기준[[#This Row],[년월]]=대출자[년월]),0),MATCH(K$1,대출자[#Headers],0)),0)</f>
        <v>4</v>
      </c>
      <c r="L96" cm="1">
        <f t="array" ref="L96">IFERROR(INDEX(대출자[],MATCH(1,(자료실기준[[#This Row],[소장처명]]=대출자[소장처명])*(자료실기준[[#This Row],[년월]]=대출자[년월]),0),MATCH(L$1,대출자[#Headers],0)),0)</f>
        <v>3</v>
      </c>
      <c r="M96" cm="1">
        <f t="array" ref="M96">IFERROR(INDEX(대출자[],MATCH(1,(자료실기준[[#This Row],[소장처명]]=대출자[소장처명])*(자료실기준[[#This Row],[년월]]=대출자[년월]),0),MATCH(M$1,대출자[#Headers],0)),0)</f>
        <v>25</v>
      </c>
      <c r="N96">
        <f>IFERROR(자료실기준[[#This Row],[어린이남자]]+자료실기준[[#This Row],[청소년남자]]+자료실기준[[#This Row],[성인남자]],0)</f>
        <v>10</v>
      </c>
      <c r="O96">
        <f>IFERROR(자료실기준[[#This Row],[어린이여자]]+자료실기준[[#This Row],[청소년여자]]+자료실기준[[#This Row],[성인여자]],0)</f>
        <v>22</v>
      </c>
      <c r="P96">
        <f>IFERROR(자료실기준[[#This Row],[남자]]+자료실기준[[#This Row],[여자]],0)</f>
        <v>32</v>
      </c>
      <c r="Q96" cm="1">
        <f t="array" ref="Q96">IFERROR(INDEX(대출권수[],MATCH(1,(자료실기준[[#This Row],[소장처명]]=대출권수[소장처명])*(대출권수[대출반납]="대출")*(자료실기준[[#This Row],[년월]]=대출권수[년월]),0),MATCH(Q$1,대출권수[#Headers],0)),0)</f>
        <v>2</v>
      </c>
      <c r="R96" cm="1">
        <f t="array" ref="R96">IFERROR(INDEX(대출권수[],MATCH(1,(자료실기준[[#This Row],[소장처명]]=대출권수[소장처명])*(대출권수[대출반납]="대출")*(자료실기준[[#This Row],[년월]]=대출권수[년월]),0),MATCH(R$1,대출권수[#Headers],0)),0)</f>
        <v>4</v>
      </c>
      <c r="S96" cm="1">
        <f t="array" ref="S96">IFERROR(INDEX(대출권수[],MATCH(1,(자료실기준[[#This Row],[소장처명]]=대출권수[소장처명])*(대출권수[대출반납]="대출")*(자료실기준[[#This Row],[년월]]=대출권수[년월]),0),MATCH(S$1,대출권수[#Headers],0)),0)</f>
        <v>1</v>
      </c>
      <c r="T96" cm="1">
        <f t="array" ref="T96">IFERROR(INDEX(대출권수[],MATCH(1,(자료실기준[[#This Row],[소장처명]]=대출권수[소장처명])*(대출권수[대출반납]="대출")*(자료실기준[[#This Row],[년월]]=대출권수[년월]),0),MATCH(T$1,대출권수[#Headers],0)),0)</f>
        <v>8</v>
      </c>
      <c r="U96" cm="1">
        <f t="array" ref="U96">IFERROR(INDEX(대출권수[],MATCH(1,(자료실기준[[#This Row],[소장처명]]=대출권수[소장처명])*(대출권수[대출반납]="대출")*(자료실기준[[#This Row],[년월]]=대출권수[년월]),0),MATCH(U$1,대출권수[#Headers],0)),0)</f>
        <v>6</v>
      </c>
      <c r="V96" cm="1">
        <f t="array" ref="V96">IFERROR(INDEX(대출권수[],MATCH(1,(자료실기준[[#This Row],[소장처명]]=대출권수[소장처명])*(대출권수[대출반납]="대출")*(자료실기준[[#This Row],[년월]]=대출권수[년월]),0),MATCH(V$1,대출권수[#Headers],0)),0)</f>
        <v>6</v>
      </c>
      <c r="W96" cm="1">
        <f t="array" ref="W96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96" cm="1">
        <f t="array" ref="X96">IFERROR(INDEX(대출권수[],MATCH(1,(자료실기준[[#This Row],[소장처명]]=대출권수[소장처명])*(대출권수[대출반납]="대출")*(자료실기준[[#This Row],[년월]]=대출권수[년월]),0),MATCH(X$1,대출권수[#Headers],0)),0)</f>
        <v>1</v>
      </c>
      <c r="Y96" cm="1">
        <f t="array" ref="Y96">IFERROR(INDEX(대출권수[],MATCH(1,(자료실기준[[#This Row],[소장처명]]=대출권수[소장처명])*(대출권수[대출반납]="대출")*(자료실기준[[#This Row],[년월]]=대출권수[년월]),0),MATCH(Y$1,대출권수[#Headers],0)),0)</f>
        <v>36</v>
      </c>
      <c r="Z96" cm="1">
        <f t="array" ref="Z96">IFERROR(INDEX(대출권수[],MATCH(1,(자료실기준[[#This Row],[소장처명]]=대출권수[소장처명])*(대출권수[대출반납]="대출")*(자료실기준[[#This Row],[년월]]=대출권수[년월]),0),MATCH(Z$1,대출권수[#Headers],0)),0)</f>
        <v>4</v>
      </c>
      <c r="AA96">
        <f>SUM(자료실기준[[#This Row],[총류]:[역사]])</f>
        <v>68</v>
      </c>
    </row>
    <row r="97" spans="1:27" x14ac:dyDescent="0.3">
      <c r="A97" s="5">
        <v>45383</v>
      </c>
      <c r="B97" t="s">
        <v>18</v>
      </c>
      <c r="C97" s="5" t="str">
        <f>TEXT(자료실기준[[#This Row],[년월]],"yy년m월")&amp;자료실기준[[#This Row],[소장처명]]</f>
        <v>24년4월정기간행물(종합)</v>
      </c>
      <c r="D97" t="str">
        <f>IFERROR(INDEX(자료실범례[],MATCH($B97,자료실범례[소장처명],0),2),"종합자료실")</f>
        <v>종합자료실</v>
      </c>
      <c r="E97" cm="1">
        <f t="array" ref="E97">IFERROR(INDEX(대출자[],MATCH(1,(자료실기준[[#This Row],[소장처명]]=대출자[소장처명])*(자료실기준[[#This Row],[년월]]=대출자[년월]),0),MATCH(E$1,대출자[#Headers],0)),0)</f>
        <v>0</v>
      </c>
      <c r="F97" cm="1">
        <f t="array" ref="F97">IFERROR(INDEX(대출자[],MATCH(1,(자료실기준[[#This Row],[소장처명]]=대출자[소장처명])*(자료실기준[[#This Row],[년월]]=대출자[년월]),0),MATCH(F$1,대출자[#Headers],0)),0)</f>
        <v>0</v>
      </c>
      <c r="G97" cm="1">
        <f t="array" ref="G97">IFERROR(INDEX(대출자[],MATCH(1,(자료실기준[[#This Row],[소장처명]]=대출자[소장처명])*(자료실기준[[#This Row],[년월]]=대출자[년월]),0),MATCH(G$1,대출자[#Headers],0)),0)</f>
        <v>0</v>
      </c>
      <c r="H97" cm="1">
        <f t="array" ref="H97">IFERROR(INDEX(대출자[],MATCH(1,(자료실기준[[#This Row],[소장처명]]=대출자[소장처명])*(자료실기준[[#This Row],[년월]]=대출자[년월]),0),MATCH(H$1,대출자[#Headers],0)),0)</f>
        <v>0</v>
      </c>
      <c r="I97" cm="1">
        <f t="array" ref="I97">IFERROR(INDEX(대출자[],MATCH(1,(자료실기준[[#This Row],[소장처명]]=대출자[소장처명])*(자료실기준[[#This Row],[년월]]=대출자[년월]),0),MATCH(I$1,대출자[#Headers],0)),0)</f>
        <v>1</v>
      </c>
      <c r="J97" cm="1">
        <f t="array" ref="J97">IFERROR(INDEX(대출자[],MATCH(1,(자료실기준[[#This Row],[소장처명]]=대출자[소장처명])*(자료실기준[[#This Row],[년월]]=대출자[년월]),0),MATCH(J$1,대출자[#Headers],0)),0)</f>
        <v>0</v>
      </c>
      <c r="K97" cm="1">
        <f t="array" ref="K97">IFERROR(INDEX(대출자[],MATCH(1,(자료실기준[[#This Row],[소장처명]]=대출자[소장처명])*(자료실기준[[#This Row],[년월]]=대출자[년월]),0),MATCH(K$1,대출자[#Headers],0)),0)</f>
        <v>0</v>
      </c>
      <c r="L97" cm="1">
        <f t="array" ref="L97">IFERROR(INDEX(대출자[],MATCH(1,(자료실기준[[#This Row],[소장처명]]=대출자[소장처명])*(자료실기준[[#This Row],[년월]]=대출자[년월]),0),MATCH(L$1,대출자[#Headers],0)),0)</f>
        <v>0</v>
      </c>
      <c r="M97" cm="1">
        <f t="array" ref="M97">IFERROR(INDEX(대출자[],MATCH(1,(자료실기준[[#This Row],[소장처명]]=대출자[소장처명])*(자료실기준[[#This Row],[년월]]=대출자[년월]),0),MATCH(M$1,대출자[#Headers],0)),0)</f>
        <v>1</v>
      </c>
      <c r="N97">
        <f>IFERROR(자료실기준[[#This Row],[어린이남자]]+자료실기준[[#This Row],[청소년남자]]+자료실기준[[#This Row],[성인남자]],0)</f>
        <v>1</v>
      </c>
      <c r="O97">
        <f>IFERROR(자료실기준[[#This Row],[어린이여자]]+자료실기준[[#This Row],[청소년여자]]+자료실기준[[#This Row],[성인여자]],0)</f>
        <v>0</v>
      </c>
      <c r="P97">
        <f>IFERROR(자료실기준[[#This Row],[남자]]+자료실기준[[#This Row],[여자]],0)</f>
        <v>1</v>
      </c>
      <c r="Q97" cm="1">
        <f t="array" ref="Q97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97" cm="1">
        <f t="array" ref="R97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97" cm="1">
        <f t="array" ref="S97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97" cm="1">
        <f t="array" ref="T97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97" cm="1">
        <f t="array" ref="U97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97" cm="1">
        <f t="array" ref="V97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97" cm="1">
        <f t="array" ref="W97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97" cm="1">
        <f t="array" ref="X97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97" cm="1">
        <f t="array" ref="Y97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97" cm="1">
        <f t="array" ref="Z97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97">
        <f>SUM(자료실기준[[#This Row],[총류]:[역사]])</f>
        <v>0</v>
      </c>
    </row>
    <row r="98" spans="1:27" x14ac:dyDescent="0.3">
      <c r="A98" s="5">
        <v>45383</v>
      </c>
      <c r="B98" t="s">
        <v>17</v>
      </c>
      <c r="C98" s="5" t="str">
        <f>TEXT(자료실기준[[#This Row],[년월]],"yy년m월")&amp;자료실기준[[#This Row],[소장처명]]</f>
        <v>24년4월정기간행물(어린이)</v>
      </c>
      <c r="D98" t="str">
        <f>IFERROR(INDEX(자료실범례[],MATCH($B98,자료실범례[소장처명],0),2),"종합자료실")</f>
        <v>어린이자료실</v>
      </c>
      <c r="E98" cm="1">
        <f t="array" ref="E98">IFERROR(INDEX(대출자[],MATCH(1,(자료실기준[[#This Row],[소장처명]]=대출자[소장처명])*(자료실기준[[#This Row],[년월]]=대출자[년월]),0),MATCH(E$1,대출자[#Headers],0)),0)</f>
        <v>2</v>
      </c>
      <c r="F98" cm="1">
        <f t="array" ref="F98">IFERROR(INDEX(대출자[],MATCH(1,(자료실기준[[#This Row],[소장처명]]=대출자[소장처명])*(자료실기준[[#This Row],[년월]]=대출자[년월]),0),MATCH(F$1,대출자[#Headers],0)),0)</f>
        <v>0</v>
      </c>
      <c r="G98" cm="1">
        <f t="array" ref="G98">IFERROR(INDEX(대출자[],MATCH(1,(자료실기준[[#This Row],[소장처명]]=대출자[소장처명])*(자료실기준[[#This Row],[년월]]=대출자[년월]),0),MATCH(G$1,대출자[#Headers],0)),0)</f>
        <v>0</v>
      </c>
      <c r="H98" cm="1">
        <f t="array" ref="H98">IFERROR(INDEX(대출자[],MATCH(1,(자료실기준[[#This Row],[소장처명]]=대출자[소장처명])*(자료실기준[[#This Row],[년월]]=대출자[년월]),0),MATCH(H$1,대출자[#Headers],0)),0)</f>
        <v>0</v>
      </c>
      <c r="I98" cm="1">
        <f t="array" ref="I98">IFERROR(INDEX(대출자[],MATCH(1,(자료실기준[[#This Row],[소장처명]]=대출자[소장처명])*(자료실기준[[#This Row],[년월]]=대출자[년월]),0),MATCH(I$1,대출자[#Headers],0)),0)</f>
        <v>1</v>
      </c>
      <c r="J98" cm="1">
        <f t="array" ref="J98">IFERROR(INDEX(대출자[],MATCH(1,(자료실기준[[#This Row],[소장처명]]=대출자[소장처명])*(자료실기준[[#This Row],[년월]]=대출자[년월]),0),MATCH(J$1,대출자[#Headers],0)),0)</f>
        <v>1</v>
      </c>
      <c r="K98" cm="1">
        <f t="array" ref="K98">IFERROR(INDEX(대출자[],MATCH(1,(자료실기준[[#This Row],[소장처명]]=대출자[소장처명])*(자료실기준[[#This Row],[년월]]=대출자[년월]),0),MATCH(K$1,대출자[#Headers],0)),0)</f>
        <v>2</v>
      </c>
      <c r="L98" cm="1">
        <f t="array" ref="L98">IFERROR(INDEX(대출자[],MATCH(1,(자료실기준[[#This Row],[소장처명]]=대출자[소장처명])*(자료실기준[[#This Row],[년월]]=대출자[년월]),0),MATCH(L$1,대출자[#Headers],0)),0)</f>
        <v>0</v>
      </c>
      <c r="M98" cm="1">
        <f t="array" ref="M98">IFERROR(INDEX(대출자[],MATCH(1,(자료실기준[[#This Row],[소장처명]]=대출자[소장처명])*(자료실기준[[#This Row],[년월]]=대출자[년월]),0),MATCH(M$1,대출자[#Headers],0)),0)</f>
        <v>2</v>
      </c>
      <c r="N98">
        <f>IFERROR(자료실기준[[#This Row],[어린이남자]]+자료실기준[[#This Row],[청소년남자]]+자료실기준[[#This Row],[성인남자]],0)</f>
        <v>3</v>
      </c>
      <c r="O98">
        <f>IFERROR(자료실기준[[#This Row],[어린이여자]]+자료실기준[[#This Row],[청소년여자]]+자료실기준[[#This Row],[성인여자]],0)</f>
        <v>1</v>
      </c>
      <c r="P98">
        <f>IFERROR(자료실기준[[#This Row],[남자]]+자료실기준[[#This Row],[여자]],0)</f>
        <v>4</v>
      </c>
      <c r="Q98" cm="1">
        <f t="array" ref="Q98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98" cm="1">
        <f t="array" ref="R98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98" cm="1">
        <f t="array" ref="S98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98" cm="1">
        <f t="array" ref="T98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98" cm="1">
        <f t="array" ref="U98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98" cm="1">
        <f t="array" ref="V98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98" cm="1">
        <f t="array" ref="W98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98" cm="1">
        <f t="array" ref="X98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98" cm="1">
        <f t="array" ref="Y98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98" cm="1">
        <f t="array" ref="Z98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98">
        <f>SUM(자료실기준[[#This Row],[총류]:[역사]])</f>
        <v>0</v>
      </c>
    </row>
    <row r="99" spans="1:27" x14ac:dyDescent="0.3">
      <c r="A99" s="5">
        <v>45383</v>
      </c>
      <c r="B99" t="s">
        <v>197</v>
      </c>
      <c r="C99" s="5" t="str">
        <f>TEXT(자료실기준[[#This Row],[년월]],"yy년m월")&amp;자료실기준[[#This Row],[소장처명]]</f>
        <v>24년4월경남독서한마당(종합)</v>
      </c>
      <c r="D99" t="str">
        <f>IFERROR(INDEX(자료실범례[],MATCH($B99,자료실범례[소장처명],0),2),"종합자료실")</f>
        <v>종합자료실</v>
      </c>
      <c r="E99" cm="1">
        <f t="array" ref="E99">IFERROR(INDEX(대출자[],MATCH(1,(자료실기준[[#This Row],[소장처명]]=대출자[소장처명])*(자료실기준[[#This Row],[년월]]=대출자[년월]),0),MATCH(E$1,대출자[#Headers],0)),0)</f>
        <v>0</v>
      </c>
      <c r="F99" cm="1">
        <f t="array" ref="F99">IFERROR(INDEX(대출자[],MATCH(1,(자료실기준[[#This Row],[소장처명]]=대출자[소장처명])*(자료실기준[[#This Row],[년월]]=대출자[년월]),0),MATCH(F$1,대출자[#Headers],0)),0)</f>
        <v>2</v>
      </c>
      <c r="G99" cm="1">
        <f t="array" ref="G99">IFERROR(INDEX(대출자[],MATCH(1,(자료실기준[[#This Row],[소장처명]]=대출자[소장처명])*(자료실기준[[#This Row],[년월]]=대출자[년월]),0),MATCH(G$1,대출자[#Headers],0)),0)</f>
        <v>1</v>
      </c>
      <c r="H99" cm="1">
        <f t="array" ref="H99">IFERROR(INDEX(대출자[],MATCH(1,(자료실기준[[#This Row],[소장처명]]=대출자[소장처명])*(자료실기준[[#This Row],[년월]]=대출자[년월]),0),MATCH(H$1,대출자[#Headers],0)),0)</f>
        <v>0</v>
      </c>
      <c r="I99" cm="1">
        <f t="array" ref="I99">IFERROR(INDEX(대출자[],MATCH(1,(자료실기준[[#This Row],[소장처명]]=대출자[소장처명])*(자료실기준[[#This Row],[년월]]=대출자[년월]),0),MATCH(I$1,대출자[#Headers],0)),0)</f>
        <v>0</v>
      </c>
      <c r="J99" cm="1">
        <f t="array" ref="J99">IFERROR(INDEX(대출자[],MATCH(1,(자료실기준[[#This Row],[소장처명]]=대출자[소장처명])*(자료실기준[[#This Row],[년월]]=대출자[년월]),0),MATCH(J$1,대출자[#Headers],0)),0)</f>
        <v>8</v>
      </c>
      <c r="K99" cm="1">
        <f t="array" ref="K99">IFERROR(INDEX(대출자[],MATCH(1,(자료실기준[[#This Row],[소장처명]]=대출자[소장처명])*(자료실기준[[#This Row],[년월]]=대출자[년월]),0),MATCH(K$1,대출자[#Headers],0)),0)</f>
        <v>2</v>
      </c>
      <c r="L99" cm="1">
        <f t="array" ref="L99">IFERROR(INDEX(대출자[],MATCH(1,(자료실기준[[#This Row],[소장처명]]=대출자[소장처명])*(자료실기준[[#This Row],[년월]]=대출자[년월]),0),MATCH(L$1,대출자[#Headers],0)),0)</f>
        <v>1</v>
      </c>
      <c r="M99" cm="1">
        <f t="array" ref="M99">IFERROR(INDEX(대출자[],MATCH(1,(자료실기준[[#This Row],[소장처명]]=대출자[소장처명])*(자료실기준[[#This Row],[년월]]=대출자[년월]),0),MATCH(M$1,대출자[#Headers],0)),0)</f>
        <v>8</v>
      </c>
      <c r="N99">
        <f>IFERROR(자료실기준[[#This Row],[어린이남자]]+자료실기준[[#This Row],[청소년남자]]+자료실기준[[#This Row],[성인남자]],0)</f>
        <v>1</v>
      </c>
      <c r="O99">
        <f>IFERROR(자료실기준[[#This Row],[어린이여자]]+자료실기준[[#This Row],[청소년여자]]+자료실기준[[#This Row],[성인여자]],0)</f>
        <v>10</v>
      </c>
      <c r="P99">
        <f>IFERROR(자료실기준[[#This Row],[남자]]+자료실기준[[#This Row],[여자]],0)</f>
        <v>11</v>
      </c>
      <c r="Q99" cm="1">
        <f t="array" ref="Q99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99" cm="1">
        <f t="array" ref="R99">IFERROR(INDEX(대출권수[],MATCH(1,(자료실기준[[#This Row],[소장처명]]=대출권수[소장처명])*(대출권수[대출반납]="대출")*(자료실기준[[#This Row],[년월]]=대출권수[년월]),0),MATCH(R$1,대출권수[#Headers],0)),0)</f>
        <v>1</v>
      </c>
      <c r="S99" cm="1">
        <f t="array" ref="S99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99" cm="1">
        <f t="array" ref="T99">IFERROR(INDEX(대출권수[],MATCH(1,(자료실기준[[#This Row],[소장처명]]=대출권수[소장처명])*(대출권수[대출반납]="대출")*(자료실기준[[#This Row],[년월]]=대출권수[년월]),0),MATCH(T$1,대출권수[#Headers],0)),0)</f>
        <v>3</v>
      </c>
      <c r="U99" cm="1">
        <f t="array" ref="U99">IFERROR(INDEX(대출권수[],MATCH(1,(자료실기준[[#This Row],[소장처명]]=대출권수[소장처명])*(대출권수[대출반납]="대출")*(자료실기준[[#This Row],[년월]]=대출권수[년월]),0),MATCH(U$1,대출권수[#Headers],0)),0)</f>
        <v>2</v>
      </c>
      <c r="V99" cm="1">
        <f t="array" ref="V99">IFERROR(INDEX(대출권수[],MATCH(1,(자료실기준[[#This Row],[소장처명]]=대출권수[소장처명])*(대출권수[대출반납]="대출")*(자료실기준[[#This Row],[년월]]=대출권수[년월]),0),MATCH(V$1,대출권수[#Headers],0)),0)</f>
        <v>3</v>
      </c>
      <c r="W99" cm="1">
        <f t="array" ref="W99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99" cm="1">
        <f t="array" ref="X99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99" cm="1">
        <f t="array" ref="Y99">IFERROR(INDEX(대출권수[],MATCH(1,(자료실기준[[#This Row],[소장처명]]=대출권수[소장처명])*(대출권수[대출반납]="대출")*(자료실기준[[#This Row],[년월]]=대출권수[년월]),0),MATCH(Y$1,대출권수[#Headers],0)),0)</f>
        <v>9</v>
      </c>
      <c r="Z99" cm="1">
        <f t="array" ref="Z99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99">
        <f>SUM(자료실기준[[#This Row],[총류]:[역사]])</f>
        <v>18</v>
      </c>
    </row>
    <row r="100" spans="1:27" x14ac:dyDescent="0.3">
      <c r="A100" s="5">
        <v>45383</v>
      </c>
      <c r="B100" t="s">
        <v>198</v>
      </c>
      <c r="C100" s="5" t="str">
        <f>TEXT(자료실기준[[#This Row],[년월]],"yy년m월")&amp;자료실기준[[#This Row],[소장처명]]</f>
        <v>24년4월경남독서한마당(어린이)</v>
      </c>
      <c r="D100" t="str">
        <f>IFERROR(INDEX(자료실범례[],MATCH($B100,자료실범례[소장처명],0),2),"종합자료실")</f>
        <v>어린이자료실</v>
      </c>
      <c r="E100" cm="1">
        <f t="array" ref="E100">IFERROR(INDEX(대출자[],MATCH(1,(자료실기준[[#This Row],[소장처명]]=대출자[소장처명])*(자료실기준[[#This Row],[년월]]=대출자[년월]),0),MATCH(E$1,대출자[#Headers],0)),0)</f>
        <v>3</v>
      </c>
      <c r="F100" cm="1">
        <f t="array" ref="F100">IFERROR(INDEX(대출자[],MATCH(1,(자료실기준[[#This Row],[소장처명]]=대출자[소장처명])*(자료실기준[[#This Row],[년월]]=대출자[년월]),0),MATCH(F$1,대출자[#Headers],0)),0)</f>
        <v>3</v>
      </c>
      <c r="G100" cm="1">
        <f t="array" ref="G100">IFERROR(INDEX(대출자[],MATCH(1,(자료실기준[[#This Row],[소장처명]]=대출자[소장처명])*(자료실기준[[#This Row],[년월]]=대출자[년월]),0),MATCH(G$1,대출자[#Headers],0)),0)</f>
        <v>0</v>
      </c>
      <c r="H100" cm="1">
        <f t="array" ref="H100">IFERROR(INDEX(대출자[],MATCH(1,(자료실기준[[#This Row],[소장처명]]=대출자[소장처명])*(자료실기준[[#This Row],[년월]]=대출자[년월]),0),MATCH(H$1,대출자[#Headers],0)),0)</f>
        <v>0</v>
      </c>
      <c r="I100" cm="1">
        <f t="array" ref="I100">IFERROR(INDEX(대출자[],MATCH(1,(자료실기준[[#This Row],[소장처명]]=대출자[소장처명])*(자료실기준[[#This Row],[년월]]=대출자[년월]),0),MATCH(I$1,대출자[#Headers],0)),0)</f>
        <v>2</v>
      </c>
      <c r="J100" cm="1">
        <f t="array" ref="J100">IFERROR(INDEX(대출자[],MATCH(1,(자료실기준[[#This Row],[소장처명]]=대출자[소장처명])*(자료실기준[[#This Row],[년월]]=대출자[년월]),0),MATCH(J$1,대출자[#Headers],0)),0)</f>
        <v>6</v>
      </c>
      <c r="K100" cm="1">
        <f t="array" ref="K100">IFERROR(INDEX(대출자[],MATCH(1,(자료실기준[[#This Row],[소장처명]]=대출자[소장처명])*(자료실기준[[#This Row],[년월]]=대출자[년월]),0),MATCH(K$1,대출자[#Headers],0)),0)</f>
        <v>6</v>
      </c>
      <c r="L100" cm="1">
        <f t="array" ref="L100">IFERROR(INDEX(대출자[],MATCH(1,(자료실기준[[#This Row],[소장처명]]=대출자[소장처명])*(자료실기준[[#This Row],[년월]]=대출자[년월]),0),MATCH(L$1,대출자[#Headers],0)),0)</f>
        <v>0</v>
      </c>
      <c r="M100" cm="1">
        <f t="array" ref="M100">IFERROR(INDEX(대출자[],MATCH(1,(자료실기준[[#This Row],[소장처명]]=대출자[소장처명])*(자료실기준[[#This Row],[년월]]=대출자[년월]),0),MATCH(M$1,대출자[#Headers],0)),0)</f>
        <v>8</v>
      </c>
      <c r="N100">
        <f>IFERROR(자료실기준[[#This Row],[어린이남자]]+자료실기준[[#This Row],[청소년남자]]+자료실기준[[#This Row],[성인남자]],0)</f>
        <v>5</v>
      </c>
      <c r="O100">
        <f>IFERROR(자료실기준[[#This Row],[어린이여자]]+자료실기준[[#This Row],[청소년여자]]+자료실기준[[#This Row],[성인여자]],0)</f>
        <v>9</v>
      </c>
      <c r="P100">
        <f>IFERROR(자료실기준[[#This Row],[남자]]+자료실기준[[#This Row],[여자]],0)</f>
        <v>14</v>
      </c>
      <c r="Q100" cm="1">
        <f t="array" ref="Q100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00" cm="1">
        <f t="array" ref="R100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00" cm="1">
        <f t="array" ref="S100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00" cm="1">
        <f t="array" ref="T100">IFERROR(INDEX(대출권수[],MATCH(1,(자료실기준[[#This Row],[소장처명]]=대출권수[소장처명])*(대출권수[대출반납]="대출")*(자료실기준[[#This Row],[년월]]=대출권수[년월]),0),MATCH(T$1,대출권수[#Headers],0)),0)</f>
        <v>4</v>
      </c>
      <c r="U100" cm="1">
        <f t="array" ref="U100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00" cm="1">
        <f t="array" ref="V100">IFERROR(INDEX(대출권수[],MATCH(1,(자료실기준[[#This Row],[소장처명]]=대출권수[소장처명])*(대출권수[대출반납]="대출")*(자료실기준[[#This Row],[년월]]=대출권수[년월]),0),MATCH(V$1,대출권수[#Headers],0)),0)</f>
        <v>2</v>
      </c>
      <c r="W100" cm="1">
        <f t="array" ref="W100">IFERROR(INDEX(대출권수[],MATCH(1,(자료실기준[[#This Row],[소장처명]]=대출권수[소장처명])*(대출권수[대출반납]="대출")*(자료실기준[[#This Row],[년월]]=대출권수[년월]),0),MATCH(W$1,대출권수[#Headers],0)),0)</f>
        <v>1</v>
      </c>
      <c r="X100" cm="1">
        <f t="array" ref="X100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00" cm="1">
        <f t="array" ref="Y100">IFERROR(INDEX(대출권수[],MATCH(1,(자료실기준[[#This Row],[소장처명]]=대출권수[소장처명])*(대출권수[대출반납]="대출")*(자료실기준[[#This Row],[년월]]=대출권수[년월]),0),MATCH(Y$1,대출권수[#Headers],0)),0)</f>
        <v>24</v>
      </c>
      <c r="Z100" cm="1">
        <f t="array" ref="Z100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00">
        <f>SUM(자료실기준[[#This Row],[총류]:[역사]])</f>
        <v>31</v>
      </c>
    </row>
    <row r="101" spans="1:27" x14ac:dyDescent="0.3">
      <c r="A101" s="5">
        <v>45383</v>
      </c>
      <c r="B101" t="s">
        <v>454</v>
      </c>
      <c r="C101" s="5" t="str">
        <f>TEXT(자료실기준[[#This Row],[년월]],"yy년m월")&amp;자료실기준[[#This Row],[소장처명]]</f>
        <v>24년4월기타</v>
      </c>
      <c r="D101" t="str">
        <f>IFERROR(INDEX(자료실범례[],MATCH($B101,자료실범례[소장처명],0),2),"종합자료실")</f>
        <v>종합자료실</v>
      </c>
      <c r="E101" s="9">
        <f t="array" ref="E101">IFERROR(INDEX(대출자[],MATCH(1,(자료실기준[[#This Row],[소장처명]]=대출자[소장처명])*(자료실기준[[#This Row],[년월]]=대출자[년월]),0),MATCH(E$1,대출자[#Headers],0)),0)</f>
        <v>0</v>
      </c>
      <c r="F101" s="9">
        <f t="array" ref="F101">IFERROR(INDEX(대출자[],MATCH(1,(자료실기준[[#This Row],[소장처명]]=대출자[소장처명])*(자료실기준[[#This Row],[년월]]=대출자[년월]),0),MATCH(F$1,대출자[#Headers],0)),0)</f>
        <v>0</v>
      </c>
      <c r="G101" s="9">
        <f t="array" ref="G101">IFERROR(INDEX(대출자[],MATCH(1,(자료실기준[[#This Row],[소장처명]]=대출자[소장처명])*(자료실기준[[#This Row],[년월]]=대출자[년월]),0),MATCH(G$1,대출자[#Headers],0)),0)</f>
        <v>0</v>
      </c>
      <c r="H101" s="9">
        <f t="array" ref="H101">IFERROR(INDEX(대출자[],MATCH(1,(자료실기준[[#This Row],[소장처명]]=대출자[소장처명])*(자료실기준[[#This Row],[년월]]=대출자[년월]),0),MATCH(H$1,대출자[#Headers],0)),0)</f>
        <v>0</v>
      </c>
      <c r="I101" s="9">
        <f t="array" ref="I101">IFERROR(INDEX(대출자[],MATCH(1,(자료실기준[[#This Row],[소장처명]]=대출자[소장처명])*(자료실기준[[#This Row],[년월]]=대출자[년월]),0),MATCH(I$1,대출자[#Headers],0)),0)</f>
        <v>0</v>
      </c>
      <c r="J101" s="9">
        <f t="array" ref="J101">IFERROR(INDEX(대출자[],MATCH(1,(자료실기준[[#This Row],[소장처명]]=대출자[소장처명])*(자료실기준[[#This Row],[년월]]=대출자[년월]),0),MATCH(J$1,대출자[#Headers],0)),0)</f>
        <v>1</v>
      </c>
      <c r="K101" s="9">
        <f t="array" ref="K101">IFERROR(INDEX(대출자[],MATCH(1,(자료실기준[[#This Row],[소장처명]]=대출자[소장처명])*(자료실기준[[#This Row],[년월]]=대출자[년월]),0),MATCH(K$1,대출자[#Headers],0)),0)</f>
        <v>0</v>
      </c>
      <c r="L101" s="9">
        <f t="array" ref="L101">IFERROR(INDEX(대출자[],MATCH(1,(자료실기준[[#This Row],[소장처명]]=대출자[소장처명])*(자료실기준[[#This Row],[년월]]=대출자[년월]),0),MATCH(L$1,대출자[#Headers],0)),0)</f>
        <v>0</v>
      </c>
      <c r="M101" s="9">
        <f t="array" ref="M101">IFERROR(INDEX(대출자[],MATCH(1,(자료실기준[[#This Row],[소장처명]]=대출자[소장처명])*(자료실기준[[#This Row],[년월]]=대출자[년월]),0),MATCH(M$1,대출자[#Headers],0)),0)</f>
        <v>1</v>
      </c>
      <c r="N101" s="9">
        <f>IFERROR(자료실기준[[#This Row],[어린이남자]]+자료실기준[[#This Row],[청소년남자]]+자료실기준[[#This Row],[성인남자]],0)</f>
        <v>0</v>
      </c>
      <c r="O101" s="9">
        <f>IFERROR(자료실기준[[#This Row],[어린이여자]]+자료실기준[[#This Row],[청소년여자]]+자료실기준[[#This Row],[성인여자]],0)</f>
        <v>1</v>
      </c>
      <c r="P101" s="9">
        <f>IFERROR(자료실기준[[#This Row],[남자]]+자료실기준[[#This Row],[여자]],0)</f>
        <v>1</v>
      </c>
      <c r="Q101" s="9">
        <f t="array" ref="Q101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01" s="9">
        <f t="array" ref="R101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01" s="9">
        <f t="array" ref="S101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01" s="9">
        <f t="array" ref="T101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01" s="9">
        <f t="array" ref="U101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01" s="9">
        <f t="array" ref="V101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01" s="9">
        <f t="array" ref="W101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01" s="9">
        <f t="array" ref="X101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01" s="9">
        <f t="array" ref="Y101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101" s="9">
        <f t="array" ref="Z101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01" s="9">
        <f>SUM(자료실기준[[#This Row],[총류]:[역사]])</f>
        <v>0</v>
      </c>
    </row>
    <row r="102" spans="1:27" x14ac:dyDescent="0.3">
      <c r="A102" s="5">
        <v>45383</v>
      </c>
      <c r="C102" s="5" t="str">
        <f>TEXT(자료실기준[[#This Row],[년월]],"yy년m월")&amp;자료실기준[[#This Row],[소장처명]]</f>
        <v>24년4월</v>
      </c>
      <c r="D102" t="str">
        <f>IFERROR(INDEX(자료실범례[],MATCH($B102,자료실범례[소장처명],0),2),"종합자료실")</f>
        <v>종합자료실</v>
      </c>
      <c r="E102" s="9">
        <f t="array" ref="E102">IFERROR(INDEX(대출자[],MATCH(1,(자료실기준[[#This Row],[소장처명]]=대출자[소장처명])*(자료실기준[[#This Row],[년월]]=대출자[년월]),0),MATCH(E$1,대출자[#Headers],0)),0)</f>
        <v>0</v>
      </c>
      <c r="F102" s="9">
        <f t="array" ref="F102">IFERROR(INDEX(대출자[],MATCH(1,(자료실기준[[#This Row],[소장처명]]=대출자[소장처명])*(자료실기준[[#This Row],[년월]]=대출자[년월]),0),MATCH(F$1,대출자[#Headers],0)),0)</f>
        <v>0</v>
      </c>
      <c r="G102" s="9">
        <f t="array" ref="G102">IFERROR(INDEX(대출자[],MATCH(1,(자료실기준[[#This Row],[소장처명]]=대출자[소장처명])*(자료실기준[[#This Row],[년월]]=대출자[년월]),0),MATCH(G$1,대출자[#Headers],0)),0)</f>
        <v>0</v>
      </c>
      <c r="H102" s="9">
        <f t="array" ref="H102">IFERROR(INDEX(대출자[],MATCH(1,(자료실기준[[#This Row],[소장처명]]=대출자[소장처명])*(자료실기준[[#This Row],[년월]]=대출자[년월]),0),MATCH(H$1,대출자[#Headers],0)),0)</f>
        <v>0</v>
      </c>
      <c r="I102" s="9">
        <f t="array" ref="I102">IFERROR(INDEX(대출자[],MATCH(1,(자료실기준[[#This Row],[소장처명]]=대출자[소장처명])*(자료실기준[[#This Row],[년월]]=대출자[년월]),0),MATCH(I$1,대출자[#Headers],0)),0)</f>
        <v>0</v>
      </c>
      <c r="J102" s="9">
        <f t="array" ref="J102">IFERROR(INDEX(대출자[],MATCH(1,(자료실기준[[#This Row],[소장처명]]=대출자[소장처명])*(자료실기준[[#This Row],[년월]]=대출자[년월]),0),MATCH(J$1,대출자[#Headers],0)),0)</f>
        <v>0</v>
      </c>
      <c r="K102" s="9">
        <f t="array" ref="K102">IFERROR(INDEX(대출자[],MATCH(1,(자료실기준[[#This Row],[소장처명]]=대출자[소장처명])*(자료실기준[[#This Row],[년월]]=대출자[년월]),0),MATCH(K$1,대출자[#Headers],0)),0)</f>
        <v>0</v>
      </c>
      <c r="L102" s="9">
        <f t="array" ref="L102">IFERROR(INDEX(대출자[],MATCH(1,(자료실기준[[#This Row],[소장처명]]=대출자[소장처명])*(자료실기준[[#This Row],[년월]]=대출자[년월]),0),MATCH(L$1,대출자[#Headers],0)),0)</f>
        <v>0</v>
      </c>
      <c r="M102" s="9">
        <f t="array" ref="M102">IFERROR(INDEX(대출자[],MATCH(1,(자료실기준[[#This Row],[소장처명]]=대출자[소장처명])*(자료실기준[[#This Row],[년월]]=대출자[년월]),0),MATCH(M$1,대출자[#Headers],0)),0)</f>
        <v>0</v>
      </c>
      <c r="N102" s="9">
        <f>IFERROR(자료실기준[[#This Row],[어린이남자]]+자료실기준[[#This Row],[청소년남자]]+자료실기준[[#This Row],[성인남자]],0)</f>
        <v>0</v>
      </c>
      <c r="O102" s="9">
        <f>IFERROR(자료실기준[[#This Row],[어린이여자]]+자료실기준[[#This Row],[청소년여자]]+자료실기준[[#This Row],[성인여자]],0)</f>
        <v>0</v>
      </c>
      <c r="P102" s="9">
        <f>IFERROR(자료실기준[[#This Row],[남자]]+자료실기준[[#This Row],[여자]],0)</f>
        <v>0</v>
      </c>
      <c r="Q102" s="9">
        <f t="array" ref="Q102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02" s="9">
        <f t="array" ref="R102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02" s="9">
        <f t="array" ref="S102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02" s="9">
        <f t="array" ref="T102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02" s="9">
        <f t="array" ref="U102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02" s="9">
        <f t="array" ref="V102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02" s="9">
        <f t="array" ref="W102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02" s="9">
        <f t="array" ref="X102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02" s="9">
        <f t="array" ref="Y102">IFERROR(INDEX(대출권수[],MATCH(1,(자료실기준[[#This Row],[소장처명]]=대출권수[소장처명])*(대출권수[대출반납]="대출")*(자료실기준[[#This Row],[년월]]=대출권수[년월]),0),MATCH(Y$1,대출권수[#Headers],0)),0)</f>
        <v>1</v>
      </c>
      <c r="Z102" s="9">
        <f t="array" ref="Z102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02" s="9">
        <f>SUM(자료실기준[[#This Row],[총류]:[역사]])</f>
        <v>1</v>
      </c>
    </row>
    <row r="103" spans="1:27" x14ac:dyDescent="0.3">
      <c r="A103" s="5">
        <v>45413</v>
      </c>
      <c r="B103" t="s">
        <v>21</v>
      </c>
      <c r="C103" s="5" t="str">
        <f>TEXT(자료실기준[[#This Row],[년월]],"yy년m월")&amp;자료실기준[[#This Row],[소장처명]]</f>
        <v>24년5월종합자료실</v>
      </c>
      <c r="D103" t="str">
        <f>IFERROR(INDEX(자료실범례[],MATCH($B103,자료실범례[소장처명],0),2),"종합자료실")</f>
        <v>종합자료실</v>
      </c>
      <c r="E103" cm="1">
        <f t="array" ref="E103">IFERROR(INDEX(대출자[],MATCH(1,(자료실기준[[#This Row],[소장처명]]=대출자[소장처명])*(자료실기준[[#This Row],[년월]]=대출자[년월]),0),MATCH(E$1,대출자[#Headers],0)),0)</f>
        <v>12</v>
      </c>
      <c r="F103" cm="1">
        <f t="array" ref="F103">IFERROR(INDEX(대출자[],MATCH(1,(자료실기준[[#This Row],[소장처명]]=대출자[소장처명])*(자료실기준[[#This Row],[년월]]=대출자[년월]),0),MATCH(F$1,대출자[#Headers],0)),0)</f>
        <v>7</v>
      </c>
      <c r="G103" cm="1">
        <f t="array" ref="G103">IFERROR(INDEX(대출자[],MATCH(1,(자료실기준[[#This Row],[소장처명]]=대출자[소장처명])*(자료실기준[[#This Row],[년월]]=대출자[년월]),0),MATCH(G$1,대출자[#Headers],0)),0)</f>
        <v>9</v>
      </c>
      <c r="H103" cm="1">
        <f t="array" ref="H103">IFERROR(INDEX(대출자[],MATCH(1,(자료실기준[[#This Row],[소장처명]]=대출자[소장처명])*(자료실기준[[#This Row],[년월]]=대출자[년월]),0),MATCH(H$1,대출자[#Headers],0)),0)</f>
        <v>18</v>
      </c>
      <c r="I103" cm="1">
        <f t="array" ref="I103">IFERROR(INDEX(대출자[],MATCH(1,(자료실기준[[#This Row],[소장처명]]=대출자[소장처명])*(자료실기준[[#This Row],[년월]]=대출자[년월]),0),MATCH(I$1,대출자[#Headers],0)),0)</f>
        <v>111</v>
      </c>
      <c r="J103" cm="1">
        <f t="array" ref="J103">IFERROR(INDEX(대출자[],MATCH(1,(자료실기준[[#This Row],[소장처명]]=대출자[소장처명])*(자료실기준[[#This Row],[년월]]=대출자[년월]),0),MATCH(J$1,대출자[#Headers],0)),0)</f>
        <v>170</v>
      </c>
      <c r="K103" cm="1">
        <f t="array" ref="K103">IFERROR(INDEX(대출자[],MATCH(1,(자료실기준[[#This Row],[소장처명]]=대출자[소장처명])*(자료실기준[[#This Row],[년월]]=대출자[년월]),0),MATCH(K$1,대출자[#Headers],0)),0)</f>
        <v>19</v>
      </c>
      <c r="L103" cm="1">
        <f t="array" ref="L103">IFERROR(INDEX(대출자[],MATCH(1,(자료실기준[[#This Row],[소장처명]]=대출자[소장처명])*(자료실기준[[#This Row],[년월]]=대출자[년월]),0),MATCH(L$1,대출자[#Headers],0)),0)</f>
        <v>27</v>
      </c>
      <c r="M103" cm="1">
        <f t="array" ref="M103">IFERROR(INDEX(대출자[],MATCH(1,(자료실기준[[#This Row],[소장처명]]=대출자[소장처명])*(자료실기준[[#This Row],[년월]]=대출자[년월]),0),MATCH(M$1,대출자[#Headers],0)),0)</f>
        <v>281</v>
      </c>
      <c r="N103">
        <f>IFERROR(자료실기준[[#This Row],[어린이남자]]+자료실기준[[#This Row],[청소년남자]]+자료실기준[[#This Row],[성인남자]],0)</f>
        <v>132</v>
      </c>
      <c r="O103">
        <f>IFERROR(자료실기준[[#This Row],[어린이여자]]+자료실기준[[#This Row],[청소년여자]]+자료실기준[[#This Row],[성인여자]],0)</f>
        <v>195</v>
      </c>
      <c r="P103">
        <f>IFERROR(자료실기준[[#This Row],[남자]]+자료실기준[[#This Row],[여자]],0)</f>
        <v>327</v>
      </c>
      <c r="Q103" cm="1">
        <f t="array" ref="Q103">IFERROR(INDEX(대출권수[],MATCH(1,(자료실기준[[#This Row],[소장처명]]=대출권수[소장처명])*(대출권수[대출반납]="대출")*(자료실기준[[#This Row],[년월]]=대출권수[년월]),0),MATCH(Q$1,대출권수[#Headers],0)),0)</f>
        <v>50</v>
      </c>
      <c r="R103" cm="1">
        <f t="array" ref="R103">IFERROR(INDEX(대출권수[],MATCH(1,(자료실기준[[#This Row],[소장처명]]=대출권수[소장처명])*(대출권수[대출반납]="대출")*(자료실기준[[#This Row],[년월]]=대출권수[년월]),0),MATCH(R$1,대출권수[#Headers],0)),0)</f>
        <v>114</v>
      </c>
      <c r="S103" cm="1">
        <f t="array" ref="S103">IFERROR(INDEX(대출권수[],MATCH(1,(자료실기준[[#This Row],[소장처명]]=대출권수[소장처명])*(대출권수[대출반납]="대출")*(자료실기준[[#This Row],[년월]]=대출권수[년월]),0),MATCH(S$1,대출권수[#Headers],0)),0)</f>
        <v>22</v>
      </c>
      <c r="T103" cm="1">
        <f t="array" ref="T103">IFERROR(INDEX(대출권수[],MATCH(1,(자료실기준[[#This Row],[소장처명]]=대출권수[소장처명])*(대출권수[대출반납]="대출")*(자료실기준[[#This Row],[년월]]=대출권수[년월]),0),MATCH(T$1,대출권수[#Headers],0)),0)</f>
        <v>227</v>
      </c>
      <c r="U103" cm="1">
        <f t="array" ref="U103">IFERROR(INDEX(대출권수[],MATCH(1,(자료실기준[[#This Row],[소장처명]]=대출권수[소장처명])*(대출권수[대출반납]="대출")*(자료실기준[[#This Row],[년월]]=대출권수[년월]),0),MATCH(U$1,대출권수[#Headers],0)),0)</f>
        <v>79</v>
      </c>
      <c r="V103" cm="1">
        <f t="array" ref="V103">IFERROR(INDEX(대출권수[],MATCH(1,(자료실기준[[#This Row],[소장처명]]=대출권수[소장처명])*(대출권수[대출반납]="대출")*(자료실기준[[#This Row],[년월]]=대출권수[년월]),0),MATCH(V$1,대출권수[#Headers],0)),0)</f>
        <v>113</v>
      </c>
      <c r="W103" cm="1">
        <f t="array" ref="W103">IFERROR(INDEX(대출권수[],MATCH(1,(자료실기준[[#This Row],[소장처명]]=대출권수[소장처명])*(대출권수[대출반납]="대출")*(자료실기준[[#This Row],[년월]]=대출권수[년월]),0),MATCH(W$1,대출권수[#Headers],0)),0)</f>
        <v>55</v>
      </c>
      <c r="X103" cm="1">
        <f t="array" ref="X103">IFERROR(INDEX(대출권수[],MATCH(1,(자료실기준[[#This Row],[소장처명]]=대출권수[소장처명])*(대출권수[대출반납]="대출")*(자료실기준[[#This Row],[년월]]=대출권수[년월]),0),MATCH(X$1,대출권수[#Headers],0)),0)</f>
        <v>34</v>
      </c>
      <c r="Y103" cm="1">
        <f t="array" ref="Y103">IFERROR(INDEX(대출권수[],MATCH(1,(자료실기준[[#This Row],[소장처명]]=대출권수[소장처명])*(대출권수[대출반납]="대출")*(자료실기준[[#This Row],[년월]]=대출권수[년월]),0),MATCH(Y$1,대출권수[#Headers],0)),0)</f>
        <v>439</v>
      </c>
      <c r="Z103" cm="1">
        <f t="array" ref="Z103">IFERROR(INDEX(대출권수[],MATCH(1,(자료실기준[[#This Row],[소장처명]]=대출권수[소장처명])*(대출권수[대출반납]="대출")*(자료실기준[[#This Row],[년월]]=대출권수[년월]),0),MATCH(Z$1,대출권수[#Headers],0)),0)</f>
        <v>92</v>
      </c>
      <c r="AA103">
        <f>SUM(자료실기준[[#This Row],[총류]:[역사]])</f>
        <v>1225</v>
      </c>
    </row>
    <row r="104" spans="1:27" x14ac:dyDescent="0.3">
      <c r="A104" s="5">
        <v>45413</v>
      </c>
      <c r="B104" t="s">
        <v>16</v>
      </c>
      <c r="C104" s="5" t="str">
        <f>TEXT(자료실기준[[#This Row],[년월]],"yy년m월")&amp;자료실기준[[#This Row],[소장처명]]</f>
        <v>24년5월어린이자료실</v>
      </c>
      <c r="D104" t="str">
        <f>IFERROR(INDEX(자료실범례[],MATCH($B104,자료실범례[소장처명],0),2),"종합자료실")</f>
        <v>어린이자료실</v>
      </c>
      <c r="E104" cm="1">
        <f t="array" ref="E104">IFERROR(INDEX(대출자[],MATCH(1,(자료실기준[[#This Row],[소장처명]]=대출자[소장처명])*(자료실기준[[#This Row],[년월]]=대출자[년월]),0),MATCH(E$1,대출자[#Headers],0)),0)</f>
        <v>52</v>
      </c>
      <c r="F104" cm="1">
        <f t="array" ref="F104">IFERROR(INDEX(대출자[],MATCH(1,(자료실기준[[#This Row],[소장처명]]=대출자[소장처명])*(자료실기준[[#This Row],[년월]]=대출자[년월]),0),MATCH(F$1,대출자[#Headers],0)),0)</f>
        <v>47</v>
      </c>
      <c r="G104" cm="1">
        <f t="array" ref="G104">IFERROR(INDEX(대출자[],MATCH(1,(자료실기준[[#This Row],[소장처명]]=대출자[소장처명])*(자료실기준[[#This Row],[년월]]=대출자[년월]),0),MATCH(G$1,대출자[#Headers],0)),0)</f>
        <v>6</v>
      </c>
      <c r="H104" cm="1">
        <f t="array" ref="H104">IFERROR(INDEX(대출자[],MATCH(1,(자료실기준[[#This Row],[소장처명]]=대출자[소장처명])*(자료실기준[[#This Row],[년월]]=대출자[년월]),0),MATCH(H$1,대출자[#Headers],0)),0)</f>
        <v>3</v>
      </c>
      <c r="I104" cm="1">
        <f t="array" ref="I104">IFERROR(INDEX(대출자[],MATCH(1,(자료실기준[[#This Row],[소장처명]]=대출자[소장처명])*(자료실기준[[#This Row],[년월]]=대출자[년월]),0),MATCH(I$1,대출자[#Headers],0)),0)</f>
        <v>33</v>
      </c>
      <c r="J104" cm="1">
        <f t="array" ref="J104">IFERROR(INDEX(대출자[],MATCH(1,(자료실기준[[#This Row],[소장처명]]=대출자[소장처명])*(자료실기준[[#This Row],[년월]]=대출자[년월]),0),MATCH(J$1,대출자[#Headers],0)),0)</f>
        <v>83</v>
      </c>
      <c r="K104" cm="1">
        <f t="array" ref="K104">IFERROR(INDEX(대출자[],MATCH(1,(자료실기준[[#This Row],[소장처명]]=대출자[소장처명])*(자료실기준[[#This Row],[년월]]=대출자[년월]),0),MATCH(K$1,대출자[#Headers],0)),0)</f>
        <v>99</v>
      </c>
      <c r="L104" cm="1">
        <f t="array" ref="L104">IFERROR(INDEX(대출자[],MATCH(1,(자료실기준[[#This Row],[소장처명]]=대출자[소장처명])*(자료실기준[[#This Row],[년월]]=대출자[년월]),0),MATCH(L$1,대출자[#Headers],0)),0)</f>
        <v>9</v>
      </c>
      <c r="M104" cm="1">
        <f t="array" ref="M104">IFERROR(INDEX(대출자[],MATCH(1,(자료실기준[[#This Row],[소장처명]]=대출자[소장처명])*(자료실기준[[#This Row],[년월]]=대출자[년월]),0),MATCH(M$1,대출자[#Headers],0)),0)</f>
        <v>116</v>
      </c>
      <c r="N104">
        <f>IFERROR(자료실기준[[#This Row],[어린이남자]]+자료실기준[[#This Row],[청소년남자]]+자료실기준[[#This Row],[성인남자]],0)</f>
        <v>91</v>
      </c>
      <c r="O104">
        <f>IFERROR(자료실기준[[#This Row],[어린이여자]]+자료실기준[[#This Row],[청소년여자]]+자료실기준[[#This Row],[성인여자]],0)</f>
        <v>133</v>
      </c>
      <c r="P104">
        <f>IFERROR(자료실기준[[#This Row],[남자]]+자료실기준[[#This Row],[여자]],0)</f>
        <v>224</v>
      </c>
      <c r="Q104" cm="1">
        <f t="array" ref="Q104">IFERROR(INDEX(대출권수[],MATCH(1,(자료실기준[[#This Row],[소장처명]]=대출권수[소장처명])*(대출권수[대출반납]="대출")*(자료실기준[[#This Row],[년월]]=대출권수[년월]),0),MATCH(Q$1,대출권수[#Headers],0)),0)</f>
        <v>11</v>
      </c>
      <c r="R104" cm="1">
        <f t="array" ref="R104">IFERROR(INDEX(대출권수[],MATCH(1,(자료실기준[[#This Row],[소장처명]]=대출권수[소장처명])*(대출권수[대출반납]="대출")*(자료실기준[[#This Row],[년월]]=대출권수[년월]),0),MATCH(R$1,대출권수[#Headers],0)),0)</f>
        <v>27</v>
      </c>
      <c r="S104" cm="1">
        <f t="array" ref="S104">IFERROR(INDEX(대출권수[],MATCH(1,(자료실기준[[#This Row],[소장처명]]=대출권수[소장처명])*(대출권수[대출반납]="대출")*(자료실기준[[#This Row],[년월]]=대출권수[년월]),0),MATCH(S$1,대출권수[#Headers],0)),0)</f>
        <v>6</v>
      </c>
      <c r="T104" cm="1">
        <f t="array" ref="T104">IFERROR(INDEX(대출권수[],MATCH(1,(자료실기준[[#This Row],[소장처명]]=대출권수[소장처명])*(대출권수[대출반납]="대출")*(자료실기준[[#This Row],[년월]]=대출권수[년월]),0),MATCH(T$1,대출권수[#Headers],0)),0)</f>
        <v>95</v>
      </c>
      <c r="U104" cm="1">
        <f t="array" ref="U104">IFERROR(INDEX(대출권수[],MATCH(1,(자료실기준[[#This Row],[소장처명]]=대출권수[소장처명])*(대출권수[대출반납]="대출")*(자료실기준[[#This Row],[년월]]=대출권수[년월]),0),MATCH(U$1,대출권수[#Headers],0)),0)</f>
        <v>122</v>
      </c>
      <c r="V104" cm="1">
        <f t="array" ref="V104">IFERROR(INDEX(대출권수[],MATCH(1,(자료실기준[[#This Row],[소장처명]]=대출권수[소장처명])*(대출권수[대출반납]="대출")*(자료실기준[[#This Row],[년월]]=대출권수[년월]),0),MATCH(V$1,대출권수[#Headers],0)),0)</f>
        <v>35</v>
      </c>
      <c r="W104" cm="1">
        <f t="array" ref="W104">IFERROR(INDEX(대출권수[],MATCH(1,(자료실기준[[#This Row],[소장처명]]=대출권수[소장처명])*(대출권수[대출반납]="대출")*(자료실기준[[#This Row],[년월]]=대출권수[년월]),0),MATCH(W$1,대출권수[#Headers],0)),0)</f>
        <v>23</v>
      </c>
      <c r="X104" cm="1">
        <f t="array" ref="X104">IFERROR(INDEX(대출권수[],MATCH(1,(자료실기준[[#This Row],[소장처명]]=대출권수[소장처명])*(대출권수[대출반납]="대출")*(자료실기준[[#This Row],[년월]]=대출권수[년월]),0),MATCH(X$1,대출권수[#Headers],0)),0)</f>
        <v>11</v>
      </c>
      <c r="Y104" cm="1">
        <f t="array" ref="Y104">IFERROR(INDEX(대출권수[],MATCH(1,(자료실기준[[#This Row],[소장처명]]=대출권수[소장처명])*(대출권수[대출반납]="대출")*(자료실기준[[#This Row],[년월]]=대출권수[년월]),0),MATCH(Y$1,대출권수[#Headers],0)),0)</f>
        <v>597</v>
      </c>
      <c r="Z104" cm="1">
        <f t="array" ref="Z104">IFERROR(INDEX(대출권수[],MATCH(1,(자료실기준[[#This Row],[소장처명]]=대출권수[소장처명])*(대출권수[대출반납]="대출")*(자료실기준[[#This Row],[년월]]=대출권수[년월]),0),MATCH(Z$1,대출권수[#Headers],0)),0)</f>
        <v>69</v>
      </c>
      <c r="AA104">
        <f>SUM(자료실기준[[#This Row],[총류]:[역사]])</f>
        <v>996</v>
      </c>
    </row>
    <row r="105" spans="1:27" x14ac:dyDescent="0.3">
      <c r="A105" s="5">
        <v>45413</v>
      </c>
      <c r="B105" t="s">
        <v>2</v>
      </c>
      <c r="C105" s="5" t="str">
        <f>TEXT(자료실기준[[#This Row],[년월]],"yy년m월")&amp;자료실기준[[#This Row],[소장처명]]</f>
        <v>24년5월디지털자료실</v>
      </c>
      <c r="D105" t="str">
        <f>IFERROR(INDEX(자료실범례[],MATCH($B105,자료실범례[소장처명],0),2),"종합자료실")</f>
        <v>디지털자료실</v>
      </c>
      <c r="E105" cm="1">
        <f t="array" ref="E105">IFERROR(INDEX(대출자[],MATCH(1,(자료실기준[[#This Row],[소장처명]]=대출자[소장처명])*(자료실기준[[#This Row],[년월]]=대출자[년월]),0),MATCH(E$1,대출자[#Headers],0)),0)</f>
        <v>2</v>
      </c>
      <c r="F105" cm="1">
        <f t="array" ref="F105">IFERROR(INDEX(대출자[],MATCH(1,(자료실기준[[#This Row],[소장처명]]=대출자[소장처명])*(자료실기준[[#This Row],[년월]]=대출자[년월]),0),MATCH(F$1,대출자[#Headers],0)),0)</f>
        <v>0</v>
      </c>
      <c r="G105" cm="1">
        <f t="array" ref="G105">IFERROR(INDEX(대출자[],MATCH(1,(자료실기준[[#This Row],[소장처명]]=대출자[소장처명])*(자료실기준[[#This Row],[년월]]=대출자[년월]),0),MATCH(G$1,대출자[#Headers],0)),0)</f>
        <v>0</v>
      </c>
      <c r="H105" cm="1">
        <f t="array" ref="H105">IFERROR(INDEX(대출자[],MATCH(1,(자료실기준[[#This Row],[소장처명]]=대출자[소장처명])*(자료실기준[[#This Row],[년월]]=대출자[년월]),0),MATCH(H$1,대출자[#Headers],0)),0)</f>
        <v>0</v>
      </c>
      <c r="I105" cm="1">
        <f t="array" ref="I105">IFERROR(INDEX(대출자[],MATCH(1,(자료실기준[[#This Row],[소장처명]]=대출자[소장처명])*(자료실기준[[#This Row],[년월]]=대출자[년월]),0),MATCH(I$1,대출자[#Headers],0)),0)</f>
        <v>2</v>
      </c>
      <c r="J105" cm="1">
        <f t="array" ref="J105">IFERROR(INDEX(대출자[],MATCH(1,(자료실기준[[#This Row],[소장처명]]=대출자[소장처명])*(자료실기준[[#This Row],[년월]]=대출자[년월]),0),MATCH(J$1,대출자[#Headers],0)),0)</f>
        <v>2</v>
      </c>
      <c r="K105" cm="1">
        <f t="array" ref="K105">IFERROR(INDEX(대출자[],MATCH(1,(자료실기준[[#This Row],[소장처명]]=대출자[소장처명])*(자료실기준[[#This Row],[년월]]=대출자[년월]),0),MATCH(K$1,대출자[#Headers],0)),0)</f>
        <v>2</v>
      </c>
      <c r="L105" cm="1">
        <f t="array" ref="L105">IFERROR(INDEX(대출자[],MATCH(1,(자료실기준[[#This Row],[소장처명]]=대출자[소장처명])*(자료실기준[[#This Row],[년월]]=대출자[년월]),0),MATCH(L$1,대출자[#Headers],0)),0)</f>
        <v>0</v>
      </c>
      <c r="M105" cm="1">
        <f t="array" ref="M105">IFERROR(INDEX(대출자[],MATCH(1,(자료실기준[[#This Row],[소장처명]]=대출자[소장처명])*(자료실기준[[#This Row],[년월]]=대출자[년월]),0),MATCH(M$1,대출자[#Headers],0)),0)</f>
        <v>4</v>
      </c>
      <c r="N105">
        <f>IFERROR(자료실기준[[#This Row],[어린이남자]]+자료실기준[[#This Row],[청소년남자]]+자료실기준[[#This Row],[성인남자]],0)</f>
        <v>4</v>
      </c>
      <c r="O105">
        <f>IFERROR(자료실기준[[#This Row],[어린이여자]]+자료실기준[[#This Row],[청소년여자]]+자료실기준[[#This Row],[성인여자]],0)</f>
        <v>2</v>
      </c>
      <c r="P105">
        <f>IFERROR(자료실기준[[#This Row],[남자]]+자료실기준[[#This Row],[여자]],0)</f>
        <v>6</v>
      </c>
      <c r="Q105" cm="1">
        <f t="array" ref="Q105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05" cm="1">
        <f t="array" ref="R105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05" cm="1">
        <f t="array" ref="S105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05" cm="1">
        <f t="array" ref="T105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05" cm="1">
        <f t="array" ref="U105">IFERROR(INDEX(대출권수[],MATCH(1,(자료실기준[[#This Row],[소장처명]]=대출권수[소장처명])*(대출권수[대출반납]="대출")*(자료실기준[[#This Row],[년월]]=대출권수[년월]),0),MATCH(U$1,대출권수[#Headers],0)),0)</f>
        <v>1</v>
      </c>
      <c r="V105" cm="1">
        <f t="array" ref="V105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05" cm="1">
        <f t="array" ref="W105">IFERROR(INDEX(대출권수[],MATCH(1,(자료실기준[[#This Row],[소장처명]]=대출권수[소장처명])*(대출권수[대출반납]="대출")*(자료실기준[[#This Row],[년월]]=대출권수[년월]),0),MATCH(W$1,대출권수[#Headers],0)),0)</f>
        <v>15</v>
      </c>
      <c r="X105" cm="1">
        <f t="array" ref="X105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05" cm="1">
        <f t="array" ref="Y105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105" cm="1">
        <f t="array" ref="Z105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05">
        <f>SUM(자료실기준[[#This Row],[총류]:[역사]])</f>
        <v>16</v>
      </c>
    </row>
    <row r="106" spans="1:27" x14ac:dyDescent="0.3">
      <c r="A106" s="5">
        <v>45413</v>
      </c>
      <c r="B106" t="s">
        <v>19</v>
      </c>
      <c r="C106" s="5" t="str">
        <f>TEXT(자료실기준[[#This Row],[년월]],"yy년m월")&amp;자료실기준[[#This Row],[소장처명]]</f>
        <v>24년5월종합실(신간도서)</v>
      </c>
      <c r="D106" t="str">
        <f>IFERROR(INDEX(자료실범례[],MATCH($B106,자료실범례[소장처명],0),2),"종합자료실")</f>
        <v>종합자료실</v>
      </c>
      <c r="E106" cm="1">
        <f t="array" ref="E106">IFERROR(INDEX(대출자[],MATCH(1,(자료실기준[[#This Row],[소장처명]]=대출자[소장처명])*(자료실기준[[#This Row],[년월]]=대출자[년월]),0),MATCH(E$1,대출자[#Headers],0)),0)</f>
        <v>4</v>
      </c>
      <c r="F106" cm="1">
        <f t="array" ref="F106">IFERROR(INDEX(대출자[],MATCH(1,(자료실기준[[#This Row],[소장처명]]=대출자[소장처명])*(자료실기준[[#This Row],[년월]]=대출자[년월]),0),MATCH(F$1,대출자[#Headers],0)),0)</f>
        <v>5</v>
      </c>
      <c r="G106" cm="1">
        <f t="array" ref="G106">IFERROR(INDEX(대출자[],MATCH(1,(자료실기준[[#This Row],[소장처명]]=대출자[소장처명])*(자료실기준[[#This Row],[년월]]=대출자[년월]),0),MATCH(G$1,대출자[#Headers],0)),0)</f>
        <v>3</v>
      </c>
      <c r="H106" cm="1">
        <f t="array" ref="H106">IFERROR(INDEX(대출자[],MATCH(1,(자료실기준[[#This Row],[소장처명]]=대출자[소장처명])*(자료실기준[[#This Row],[년월]]=대출자[년월]),0),MATCH(H$1,대출자[#Headers],0)),0)</f>
        <v>2</v>
      </c>
      <c r="I106" cm="1">
        <f t="array" ref="I106">IFERROR(INDEX(대출자[],MATCH(1,(자료실기준[[#This Row],[소장처명]]=대출자[소장처명])*(자료실기준[[#This Row],[년월]]=대출자[년월]),0),MATCH(I$1,대출자[#Headers],0)),0)</f>
        <v>59</v>
      </c>
      <c r="J106" cm="1">
        <f t="array" ref="J106">IFERROR(INDEX(대출자[],MATCH(1,(자료실기준[[#This Row],[소장처명]]=대출자[소장처명])*(자료실기준[[#This Row],[년월]]=대출자[년월]),0),MATCH(J$1,대출자[#Headers],0)),0)</f>
        <v>92</v>
      </c>
      <c r="K106" cm="1">
        <f t="array" ref="K106">IFERROR(INDEX(대출자[],MATCH(1,(자료실기준[[#This Row],[소장처명]]=대출자[소장처명])*(자료실기준[[#This Row],[년월]]=대출자[년월]),0),MATCH(K$1,대출자[#Headers],0)),0)</f>
        <v>9</v>
      </c>
      <c r="L106" cm="1">
        <f t="array" ref="L106">IFERROR(INDEX(대출자[],MATCH(1,(자료실기준[[#This Row],[소장처명]]=대출자[소장처명])*(자료실기준[[#This Row],[년월]]=대출자[년월]),0),MATCH(L$1,대출자[#Headers],0)),0)</f>
        <v>5</v>
      </c>
      <c r="M106" cm="1">
        <f t="array" ref="M106">IFERROR(INDEX(대출자[],MATCH(1,(자료실기준[[#This Row],[소장처명]]=대출자[소장처명])*(자료실기준[[#This Row],[년월]]=대출자[년월]),0),MATCH(M$1,대출자[#Headers],0)),0)</f>
        <v>151</v>
      </c>
      <c r="N106">
        <f>IFERROR(자료실기준[[#This Row],[어린이남자]]+자료실기준[[#This Row],[청소년남자]]+자료실기준[[#This Row],[성인남자]],0)</f>
        <v>66</v>
      </c>
      <c r="O106">
        <f>IFERROR(자료실기준[[#This Row],[어린이여자]]+자료실기준[[#This Row],[청소년여자]]+자료실기준[[#This Row],[성인여자]],0)</f>
        <v>99</v>
      </c>
      <c r="P106">
        <f>IFERROR(자료실기준[[#This Row],[남자]]+자료실기준[[#This Row],[여자]],0)</f>
        <v>165</v>
      </c>
      <c r="Q106" cm="1">
        <f t="array" ref="Q106">IFERROR(INDEX(대출권수[],MATCH(1,(자료실기준[[#This Row],[소장처명]]=대출권수[소장처명])*(대출권수[대출반납]="대출")*(자료실기준[[#This Row],[년월]]=대출권수[년월]),0),MATCH(Q$1,대출권수[#Headers],0)),0)</f>
        <v>19</v>
      </c>
      <c r="R106" cm="1">
        <f t="array" ref="R106">IFERROR(INDEX(대출권수[],MATCH(1,(자료실기준[[#This Row],[소장처명]]=대출권수[소장처명])*(대출권수[대출반납]="대출")*(자료실기준[[#This Row],[년월]]=대출권수[년월]),0),MATCH(R$1,대출권수[#Headers],0)),0)</f>
        <v>75</v>
      </c>
      <c r="S106" cm="1">
        <f t="array" ref="S106">IFERROR(INDEX(대출권수[],MATCH(1,(자료실기준[[#This Row],[소장처명]]=대출권수[소장처명])*(대출권수[대출반납]="대출")*(자료실기준[[#This Row],[년월]]=대출권수[년월]),0),MATCH(S$1,대출권수[#Headers],0)),0)</f>
        <v>8</v>
      </c>
      <c r="T106" cm="1">
        <f t="array" ref="T106">IFERROR(INDEX(대출권수[],MATCH(1,(자료실기준[[#This Row],[소장처명]]=대출권수[소장처명])*(대출권수[대출반납]="대출")*(자료실기준[[#This Row],[년월]]=대출권수[년월]),0),MATCH(T$1,대출권수[#Headers],0)),0)</f>
        <v>89</v>
      </c>
      <c r="U106" cm="1">
        <f t="array" ref="U106">IFERROR(INDEX(대출권수[],MATCH(1,(자료실기준[[#This Row],[소장처명]]=대출권수[소장처명])*(대출권수[대출반납]="대출")*(자료실기준[[#This Row],[년월]]=대출권수[년월]),0),MATCH(U$1,대출권수[#Headers],0)),0)</f>
        <v>30</v>
      </c>
      <c r="V106" cm="1">
        <f t="array" ref="V106">IFERROR(INDEX(대출권수[],MATCH(1,(자료실기준[[#This Row],[소장처명]]=대출권수[소장처명])*(대출권수[대출반납]="대출")*(자료실기준[[#This Row],[년월]]=대출권수[년월]),0),MATCH(V$1,대출권수[#Headers],0)),0)</f>
        <v>36</v>
      </c>
      <c r="W106" cm="1">
        <f t="array" ref="W106">IFERROR(INDEX(대출권수[],MATCH(1,(자료실기준[[#This Row],[소장처명]]=대출권수[소장처명])*(대출권수[대출반납]="대출")*(자료실기준[[#This Row],[년월]]=대출권수[년월]),0),MATCH(W$1,대출권수[#Headers],0)),0)</f>
        <v>25</v>
      </c>
      <c r="X106" cm="1">
        <f t="array" ref="X106">IFERROR(INDEX(대출권수[],MATCH(1,(자료실기준[[#This Row],[소장처명]]=대출권수[소장처명])*(대출권수[대출반납]="대출")*(자료실기준[[#This Row],[년월]]=대출권수[년월]),0),MATCH(X$1,대출권수[#Headers],0)),0)</f>
        <v>9</v>
      </c>
      <c r="Y106" cm="1">
        <f t="array" ref="Y106">IFERROR(INDEX(대출권수[],MATCH(1,(자료실기준[[#This Row],[소장처명]]=대출권수[소장처명])*(대출권수[대출반납]="대출")*(자료실기준[[#This Row],[년월]]=대출권수[년월]),0),MATCH(Y$1,대출권수[#Headers],0)),0)</f>
        <v>158</v>
      </c>
      <c r="Z106" cm="1">
        <f t="array" ref="Z106">IFERROR(INDEX(대출권수[],MATCH(1,(자료실기준[[#This Row],[소장처명]]=대출권수[소장처명])*(대출권수[대출반납]="대출")*(자료실기준[[#This Row],[년월]]=대출권수[년월]),0),MATCH(Z$1,대출권수[#Headers],0)),0)</f>
        <v>11</v>
      </c>
      <c r="AA106">
        <f>SUM(자료실기준[[#This Row],[총류]:[역사]])</f>
        <v>460</v>
      </c>
    </row>
    <row r="107" spans="1:27" x14ac:dyDescent="0.3">
      <c r="A107" s="5">
        <v>45413</v>
      </c>
      <c r="B107" t="s">
        <v>14</v>
      </c>
      <c r="C107" s="5" t="str">
        <f>TEXT(자료실기준[[#This Row],[년월]],"yy년m월")&amp;자료실기준[[#This Row],[소장처명]]</f>
        <v>24년5월어린이실(신간도서)</v>
      </c>
      <c r="D107" t="str">
        <f>IFERROR(INDEX(자료실범례[],MATCH($B107,자료실범례[소장처명],0),2),"종합자료실")</f>
        <v>어린이자료실</v>
      </c>
      <c r="E107" cm="1">
        <f t="array" ref="E107">IFERROR(INDEX(대출자[],MATCH(1,(자료실기준[[#This Row],[소장처명]]=대출자[소장처명])*(자료실기준[[#This Row],[년월]]=대출자[년월]),0),MATCH(E$1,대출자[#Headers],0)),0)</f>
        <v>24</v>
      </c>
      <c r="F107" cm="1">
        <f t="array" ref="F107">IFERROR(INDEX(대출자[],MATCH(1,(자료실기준[[#This Row],[소장처명]]=대출자[소장처명])*(자료실기준[[#This Row],[년월]]=대출자[년월]),0),MATCH(F$1,대출자[#Headers],0)),0)</f>
        <v>22</v>
      </c>
      <c r="G107" cm="1">
        <f t="array" ref="G107">IFERROR(INDEX(대출자[],MATCH(1,(자료실기준[[#This Row],[소장처명]]=대출자[소장처명])*(자료실기준[[#This Row],[년월]]=대출자[년월]),0),MATCH(G$1,대출자[#Headers],0)),0)</f>
        <v>4</v>
      </c>
      <c r="H107" cm="1">
        <f t="array" ref="H107">IFERROR(INDEX(대출자[],MATCH(1,(자료실기준[[#This Row],[소장처명]]=대출자[소장처명])*(자료실기준[[#This Row],[년월]]=대출자[년월]),0),MATCH(H$1,대출자[#Headers],0)),0)</f>
        <v>2</v>
      </c>
      <c r="I107" cm="1">
        <f t="array" ref="I107">IFERROR(INDEX(대출자[],MATCH(1,(자료실기준[[#This Row],[소장처명]]=대출자[소장처명])*(자료실기준[[#This Row],[년월]]=대출자[년월]),0),MATCH(I$1,대출자[#Headers],0)),0)</f>
        <v>13</v>
      </c>
      <c r="J107" cm="1">
        <f t="array" ref="J107">IFERROR(INDEX(대출자[],MATCH(1,(자료실기준[[#This Row],[소장처명]]=대출자[소장처명])*(자료실기준[[#This Row],[년월]]=대출자[년월]),0),MATCH(J$1,대출자[#Headers],0)),0)</f>
        <v>40</v>
      </c>
      <c r="K107" cm="1">
        <f t="array" ref="K107">IFERROR(INDEX(대출자[],MATCH(1,(자료실기준[[#This Row],[소장처명]]=대출자[소장처명])*(자료실기준[[#This Row],[년월]]=대출자[년월]),0),MATCH(K$1,대출자[#Headers],0)),0)</f>
        <v>46</v>
      </c>
      <c r="L107" cm="1">
        <f t="array" ref="L107">IFERROR(INDEX(대출자[],MATCH(1,(자료실기준[[#This Row],[소장처명]]=대출자[소장처명])*(자료실기준[[#This Row],[년월]]=대출자[년월]),0),MATCH(L$1,대출자[#Headers],0)),0)</f>
        <v>6</v>
      </c>
      <c r="M107" cm="1">
        <f t="array" ref="M107">IFERROR(INDEX(대출자[],MATCH(1,(자료실기준[[#This Row],[소장처명]]=대출자[소장처명])*(자료실기준[[#This Row],[년월]]=대출자[년월]),0),MATCH(M$1,대출자[#Headers],0)),0)</f>
        <v>53</v>
      </c>
      <c r="N107">
        <f>IFERROR(자료실기준[[#This Row],[어린이남자]]+자료실기준[[#This Row],[청소년남자]]+자료실기준[[#This Row],[성인남자]],0)</f>
        <v>41</v>
      </c>
      <c r="O107">
        <f>IFERROR(자료실기준[[#This Row],[어린이여자]]+자료실기준[[#This Row],[청소년여자]]+자료실기준[[#This Row],[성인여자]],0)</f>
        <v>64</v>
      </c>
      <c r="P107">
        <f>IFERROR(자료실기준[[#This Row],[남자]]+자료실기준[[#This Row],[여자]],0)</f>
        <v>105</v>
      </c>
      <c r="Q107" cm="1">
        <f t="array" ref="Q107">IFERROR(INDEX(대출권수[],MATCH(1,(자료실기준[[#This Row],[소장처명]]=대출권수[소장처명])*(대출권수[대출반납]="대출")*(자료실기준[[#This Row],[년월]]=대출권수[년월]),0),MATCH(Q$1,대출권수[#Headers],0)),0)</f>
        <v>2</v>
      </c>
      <c r="R107" cm="1">
        <f t="array" ref="R107">IFERROR(INDEX(대출권수[],MATCH(1,(자료실기준[[#This Row],[소장처명]]=대출권수[소장처명])*(대출권수[대출반납]="대출")*(자료실기준[[#This Row],[년월]]=대출권수[년월]),0),MATCH(R$1,대출권수[#Headers],0)),0)</f>
        <v>9</v>
      </c>
      <c r="S107" cm="1">
        <f t="array" ref="S107">IFERROR(INDEX(대출권수[],MATCH(1,(자료실기준[[#This Row],[소장처명]]=대출권수[소장처명])*(대출권수[대출반납]="대출")*(자료실기준[[#This Row],[년월]]=대출권수[년월]),0),MATCH(S$1,대출권수[#Headers],0)),0)</f>
        <v>14</v>
      </c>
      <c r="T107" cm="1">
        <f t="array" ref="T107">IFERROR(INDEX(대출권수[],MATCH(1,(자료실기준[[#This Row],[소장처명]]=대출권수[소장처명])*(대출권수[대출반납]="대출")*(자료실기준[[#This Row],[년월]]=대출권수[년월]),0),MATCH(T$1,대출권수[#Headers],0)),0)</f>
        <v>35</v>
      </c>
      <c r="U107" cm="1">
        <f t="array" ref="U107">IFERROR(INDEX(대출권수[],MATCH(1,(자료실기준[[#This Row],[소장처명]]=대출권수[소장처명])*(대출권수[대출반납]="대출")*(자료실기준[[#This Row],[년월]]=대출권수[년월]),0),MATCH(U$1,대출권수[#Headers],0)),0)</f>
        <v>43</v>
      </c>
      <c r="V107" cm="1">
        <f t="array" ref="V107">IFERROR(INDEX(대출권수[],MATCH(1,(자료실기준[[#This Row],[소장처명]]=대출권수[소장처명])*(대출권수[대출반납]="대출")*(자료실기준[[#This Row],[년월]]=대출권수[년월]),0),MATCH(V$1,대출권수[#Headers],0)),0)</f>
        <v>12</v>
      </c>
      <c r="W107" cm="1">
        <f t="array" ref="W107">IFERROR(INDEX(대출권수[],MATCH(1,(자료실기준[[#This Row],[소장처명]]=대출권수[소장처명])*(대출권수[대출반납]="대출")*(자료실기준[[#This Row],[년월]]=대출권수[년월]),0),MATCH(W$1,대출권수[#Headers],0)),0)</f>
        <v>8</v>
      </c>
      <c r="X107" cm="1">
        <f t="array" ref="X107">IFERROR(INDEX(대출권수[],MATCH(1,(자료실기준[[#This Row],[소장처명]]=대출권수[소장처명])*(대출권수[대출반납]="대출")*(자료실기준[[#This Row],[년월]]=대출권수[년월]),0),MATCH(X$1,대출권수[#Headers],0)),0)</f>
        <v>10</v>
      </c>
      <c r="Y107" cm="1">
        <f t="array" ref="Y107">IFERROR(INDEX(대출권수[],MATCH(1,(자료실기준[[#This Row],[소장처명]]=대출권수[소장처명])*(대출권수[대출반납]="대출")*(자료실기준[[#This Row],[년월]]=대출권수[년월]),0),MATCH(Y$1,대출권수[#Headers],0)),0)</f>
        <v>254</v>
      </c>
      <c r="Z107" cm="1">
        <f t="array" ref="Z107">IFERROR(INDEX(대출권수[],MATCH(1,(자료실기준[[#This Row],[소장처명]]=대출권수[소장처명])*(대출권수[대출반납]="대출")*(자료실기준[[#This Row],[년월]]=대출권수[년월]),0),MATCH(Z$1,대출권수[#Headers],0)),0)</f>
        <v>41</v>
      </c>
      <c r="AA107">
        <f>SUM(자료실기준[[#This Row],[총류]:[역사]])</f>
        <v>428</v>
      </c>
    </row>
    <row r="108" spans="1:27" x14ac:dyDescent="0.3">
      <c r="A108" s="5">
        <v>45413</v>
      </c>
      <c r="B108" t="s">
        <v>197</v>
      </c>
      <c r="C108" s="5" t="str">
        <f>TEXT(자료실기준[[#This Row],[년월]],"yy년m월")&amp;자료실기준[[#This Row],[소장처명]]</f>
        <v>24년5월경남독서한마당(종합)</v>
      </c>
      <c r="D108" t="str">
        <f>IFERROR(INDEX(자료실범례[],MATCH($B108,자료실범례[소장처명],0),2),"종합자료실")</f>
        <v>종합자료실</v>
      </c>
      <c r="E108" cm="1">
        <f t="array" ref="E108">IFERROR(INDEX(대출자[],MATCH(1,(자료실기준[[#This Row],[소장처명]]=대출자[소장처명])*(자료실기준[[#This Row],[년월]]=대출자[년월]),0),MATCH(E$1,대출자[#Headers],0)),0)</f>
        <v>0</v>
      </c>
      <c r="F108" cm="1">
        <f t="array" ref="F108">IFERROR(INDEX(대출자[],MATCH(1,(자료실기준[[#This Row],[소장처명]]=대출자[소장처명])*(자료실기준[[#This Row],[년월]]=대출자[년월]),0),MATCH(F$1,대출자[#Headers],0)),0)</f>
        <v>1</v>
      </c>
      <c r="G108" cm="1">
        <f t="array" ref="G108">IFERROR(INDEX(대출자[],MATCH(1,(자료실기준[[#This Row],[소장처명]]=대출자[소장처명])*(자료실기준[[#This Row],[년월]]=대출자[년월]),0),MATCH(G$1,대출자[#Headers],0)),0)</f>
        <v>1</v>
      </c>
      <c r="H108" cm="1">
        <f t="array" ref="H108">IFERROR(INDEX(대출자[],MATCH(1,(자료실기준[[#This Row],[소장처명]]=대출자[소장처명])*(자료실기준[[#This Row],[년월]]=대출자[년월]),0),MATCH(H$1,대출자[#Headers],0)),0)</f>
        <v>0</v>
      </c>
      <c r="I108" cm="1">
        <f t="array" ref="I108">IFERROR(INDEX(대출자[],MATCH(1,(자료실기준[[#This Row],[소장처명]]=대출자[소장처명])*(자료실기준[[#This Row],[년월]]=대출자[년월]),0),MATCH(I$1,대출자[#Headers],0)),0)</f>
        <v>3</v>
      </c>
      <c r="J108" cm="1">
        <f t="array" ref="J108">IFERROR(INDEX(대출자[],MATCH(1,(자료실기준[[#This Row],[소장처명]]=대출자[소장처명])*(자료실기준[[#This Row],[년월]]=대출자[년월]),0),MATCH(J$1,대출자[#Headers],0)),0)</f>
        <v>4</v>
      </c>
      <c r="K108" cm="1">
        <f t="array" ref="K108">IFERROR(INDEX(대출자[],MATCH(1,(자료실기준[[#This Row],[소장처명]]=대출자[소장처명])*(자료실기준[[#This Row],[년월]]=대출자[년월]),0),MATCH(K$1,대출자[#Headers],0)),0)</f>
        <v>1</v>
      </c>
      <c r="L108" cm="1">
        <f t="array" ref="L108">IFERROR(INDEX(대출자[],MATCH(1,(자료실기준[[#This Row],[소장처명]]=대출자[소장처명])*(자료실기준[[#This Row],[년월]]=대출자[년월]),0),MATCH(L$1,대출자[#Headers],0)),0)</f>
        <v>1</v>
      </c>
      <c r="M108" cm="1">
        <f t="array" ref="M108">IFERROR(INDEX(대출자[],MATCH(1,(자료실기준[[#This Row],[소장처명]]=대출자[소장처명])*(자료실기준[[#This Row],[년월]]=대출자[년월]),0),MATCH(M$1,대출자[#Headers],0)),0)</f>
        <v>7</v>
      </c>
      <c r="N108">
        <f>IFERROR(자료실기준[[#This Row],[어린이남자]]+자료실기준[[#This Row],[청소년남자]]+자료실기준[[#This Row],[성인남자]],0)</f>
        <v>4</v>
      </c>
      <c r="O108">
        <f>IFERROR(자료실기준[[#This Row],[어린이여자]]+자료실기준[[#This Row],[청소년여자]]+자료실기준[[#This Row],[성인여자]],0)</f>
        <v>5</v>
      </c>
      <c r="P108">
        <f>IFERROR(자료실기준[[#This Row],[남자]]+자료실기준[[#This Row],[여자]],0)</f>
        <v>9</v>
      </c>
      <c r="Q108" cm="1">
        <f t="array" ref="Q108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08" cm="1">
        <f t="array" ref="R108">IFERROR(INDEX(대출권수[],MATCH(1,(자료실기준[[#This Row],[소장처명]]=대출권수[소장처명])*(대출권수[대출반납]="대출")*(자료실기준[[#This Row],[년월]]=대출권수[년월]),0),MATCH(R$1,대출권수[#Headers],0)),0)</f>
        <v>2</v>
      </c>
      <c r="S108" cm="1">
        <f t="array" ref="S108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08" cm="1">
        <f t="array" ref="T108">IFERROR(INDEX(대출권수[],MATCH(1,(자료실기준[[#This Row],[소장처명]]=대출권수[소장처명])*(대출권수[대출반납]="대출")*(자료실기준[[#This Row],[년월]]=대출권수[년월]),0),MATCH(T$1,대출권수[#Headers],0)),0)</f>
        <v>3</v>
      </c>
      <c r="U108" cm="1">
        <f t="array" ref="U108">IFERROR(INDEX(대출권수[],MATCH(1,(자료실기준[[#This Row],[소장처명]]=대출권수[소장처명])*(대출권수[대출반납]="대출")*(자료실기준[[#This Row],[년월]]=대출권수[년월]),0),MATCH(U$1,대출권수[#Headers],0)),0)</f>
        <v>2</v>
      </c>
      <c r="V108" cm="1">
        <f t="array" ref="V108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08" cm="1">
        <f t="array" ref="W108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08" cm="1">
        <f t="array" ref="X108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08" cm="1">
        <f t="array" ref="Y108">IFERROR(INDEX(대출권수[],MATCH(1,(자료실기준[[#This Row],[소장처명]]=대출권수[소장처명])*(대출권수[대출반납]="대출")*(자료실기준[[#This Row],[년월]]=대출권수[년월]),0),MATCH(Y$1,대출권수[#Headers],0)),0)</f>
        <v>9</v>
      </c>
      <c r="Z108" cm="1">
        <f t="array" ref="Z108">IFERROR(INDEX(대출권수[],MATCH(1,(자료실기준[[#This Row],[소장처명]]=대출권수[소장처명])*(대출권수[대출반납]="대출")*(자료실기준[[#This Row],[년월]]=대출권수[년월]),0),MATCH(Z$1,대출권수[#Headers],0)),0)</f>
        <v>2</v>
      </c>
      <c r="AA108">
        <f>SUM(자료실기준[[#This Row],[총류]:[역사]])</f>
        <v>18</v>
      </c>
    </row>
    <row r="109" spans="1:27" x14ac:dyDescent="0.3">
      <c r="A109" s="5">
        <v>45413</v>
      </c>
      <c r="B109" t="s">
        <v>198</v>
      </c>
      <c r="C109" s="5" t="str">
        <f>TEXT(자료실기준[[#This Row],[년월]],"yy년m월")&amp;자료실기준[[#This Row],[소장처명]]</f>
        <v>24년5월경남독서한마당(어린이)</v>
      </c>
      <c r="D109" t="str">
        <f>IFERROR(INDEX(자료실범례[],MATCH($B109,자료실범례[소장처명],0),2),"종합자료실")</f>
        <v>어린이자료실</v>
      </c>
      <c r="E109" cm="1">
        <f t="array" ref="E109">IFERROR(INDEX(대출자[],MATCH(1,(자료실기준[[#This Row],[소장처명]]=대출자[소장처명])*(자료실기준[[#This Row],[년월]]=대출자[년월]),0),MATCH(E$1,대출자[#Headers],0)),0)</f>
        <v>5</v>
      </c>
      <c r="F109" cm="1">
        <f t="array" ref="F109">IFERROR(INDEX(대출자[],MATCH(1,(자료실기준[[#This Row],[소장처명]]=대출자[소장처명])*(자료실기준[[#This Row],[년월]]=대출자[년월]),0),MATCH(F$1,대출자[#Headers],0)),0)</f>
        <v>3</v>
      </c>
      <c r="G109" cm="1">
        <f t="array" ref="G109">IFERROR(INDEX(대출자[],MATCH(1,(자료실기준[[#This Row],[소장처명]]=대출자[소장처명])*(자료실기준[[#This Row],[년월]]=대출자[년월]),0),MATCH(G$1,대출자[#Headers],0)),0)</f>
        <v>0</v>
      </c>
      <c r="H109" cm="1">
        <f t="array" ref="H109">IFERROR(INDEX(대출자[],MATCH(1,(자료실기준[[#This Row],[소장처명]]=대출자[소장처명])*(자료실기준[[#This Row],[년월]]=대출자[년월]),0),MATCH(H$1,대출자[#Headers],0)),0)</f>
        <v>0</v>
      </c>
      <c r="I109" cm="1">
        <f t="array" ref="I109">IFERROR(INDEX(대출자[],MATCH(1,(자료실기준[[#This Row],[소장처명]]=대출자[소장처명])*(자료실기준[[#This Row],[년월]]=대출자[년월]),0),MATCH(I$1,대출자[#Headers],0)),0)</f>
        <v>1</v>
      </c>
      <c r="J109" cm="1">
        <f t="array" ref="J109">IFERROR(INDEX(대출자[],MATCH(1,(자료실기준[[#This Row],[소장처명]]=대출자[소장처명])*(자료실기준[[#This Row],[년월]]=대출자[년월]),0),MATCH(J$1,대출자[#Headers],0)),0)</f>
        <v>10</v>
      </c>
      <c r="K109" cm="1">
        <f t="array" ref="K109">IFERROR(INDEX(대출자[],MATCH(1,(자료실기준[[#This Row],[소장처명]]=대출자[소장처명])*(자료실기준[[#This Row],[년월]]=대출자[년월]),0),MATCH(K$1,대출자[#Headers],0)),0)</f>
        <v>8</v>
      </c>
      <c r="L109" cm="1">
        <f t="array" ref="L109">IFERROR(INDEX(대출자[],MATCH(1,(자료실기준[[#This Row],[소장처명]]=대출자[소장처명])*(자료실기준[[#This Row],[년월]]=대출자[년월]),0),MATCH(L$1,대출자[#Headers],0)),0)</f>
        <v>0</v>
      </c>
      <c r="M109" cm="1">
        <f t="array" ref="M109">IFERROR(INDEX(대출자[],MATCH(1,(자료실기준[[#This Row],[소장처명]]=대출자[소장처명])*(자료실기준[[#This Row],[년월]]=대출자[년월]),0),MATCH(M$1,대출자[#Headers],0)),0)</f>
        <v>11</v>
      </c>
      <c r="N109">
        <f>IFERROR(자료실기준[[#This Row],[어린이남자]]+자료실기준[[#This Row],[청소년남자]]+자료실기준[[#This Row],[성인남자]],0)</f>
        <v>6</v>
      </c>
      <c r="O109">
        <f>IFERROR(자료실기준[[#This Row],[어린이여자]]+자료실기준[[#This Row],[청소년여자]]+자료실기준[[#This Row],[성인여자]],0)</f>
        <v>13</v>
      </c>
      <c r="P109">
        <f>IFERROR(자료실기준[[#This Row],[남자]]+자료실기준[[#This Row],[여자]],0)</f>
        <v>19</v>
      </c>
      <c r="Q109" cm="1">
        <f t="array" ref="Q109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09" cm="1">
        <f t="array" ref="R109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09" cm="1">
        <f t="array" ref="S109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09" cm="1">
        <f t="array" ref="T109">IFERROR(INDEX(대출권수[],MATCH(1,(자료실기준[[#This Row],[소장처명]]=대출권수[소장처명])*(대출권수[대출반납]="대출")*(자료실기준[[#This Row],[년월]]=대출권수[년월]),0),MATCH(T$1,대출권수[#Headers],0)),0)</f>
        <v>3</v>
      </c>
      <c r="U109" cm="1">
        <f t="array" ref="U109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09" cm="1">
        <f t="array" ref="V109">IFERROR(INDEX(대출권수[],MATCH(1,(자료실기준[[#This Row],[소장처명]]=대출권수[소장처명])*(대출권수[대출반납]="대출")*(자료실기준[[#This Row],[년월]]=대출권수[년월]),0),MATCH(V$1,대출권수[#Headers],0)),0)</f>
        <v>3</v>
      </c>
      <c r="W109" cm="1">
        <f t="array" ref="W109">IFERROR(INDEX(대출권수[],MATCH(1,(자료실기준[[#This Row],[소장처명]]=대출권수[소장처명])*(대출권수[대출반납]="대출")*(자료실기준[[#This Row],[년월]]=대출권수[년월]),0),MATCH(W$1,대출권수[#Headers],0)),0)</f>
        <v>2</v>
      </c>
      <c r="X109" cm="1">
        <f t="array" ref="X109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09" cm="1">
        <f t="array" ref="Y109">IFERROR(INDEX(대출권수[],MATCH(1,(자료실기준[[#This Row],[소장처명]]=대출권수[소장처명])*(대출권수[대출반납]="대출")*(자료실기준[[#This Row],[년월]]=대출권수[년월]),0),MATCH(Y$1,대출권수[#Headers],0)),0)</f>
        <v>28</v>
      </c>
      <c r="Z109" cm="1">
        <f t="array" ref="Z109">IFERROR(INDEX(대출권수[],MATCH(1,(자료실기준[[#This Row],[소장처명]]=대출권수[소장처명])*(대출권수[대출반납]="대출")*(자료실기준[[#This Row],[년월]]=대출권수[년월]),0),MATCH(Z$1,대출권수[#Headers],0)),0)</f>
        <v>2</v>
      </c>
      <c r="AA109">
        <f>SUM(자료실기준[[#This Row],[총류]:[역사]])</f>
        <v>38</v>
      </c>
    </row>
    <row r="110" spans="1:27" x14ac:dyDescent="0.3">
      <c r="A110" s="5">
        <v>45413</v>
      </c>
      <c r="B110" t="s">
        <v>13</v>
      </c>
      <c r="C110" s="5" t="str">
        <f>TEXT(자료실기준[[#This Row],[년월]],"yy년m월")&amp;자료실기준[[#This Row],[소장처명]]</f>
        <v>24년5월어린이실(수상작)</v>
      </c>
      <c r="D110" t="str">
        <f>IFERROR(INDEX(자료실범례[],MATCH($B110,자료실범례[소장처명],0),2),"종합자료실")</f>
        <v>어린이자료실</v>
      </c>
      <c r="E110" cm="1">
        <f t="array" ref="E110">IFERROR(INDEX(대출자[],MATCH(1,(자료실기준[[#This Row],[소장처명]]=대출자[소장처명])*(자료실기준[[#This Row],[년월]]=대출자[년월]),0),MATCH(E$1,대출자[#Headers],0)),0)</f>
        <v>0</v>
      </c>
      <c r="F110" cm="1">
        <f t="array" ref="F110">IFERROR(INDEX(대출자[],MATCH(1,(자료실기준[[#This Row],[소장처명]]=대출자[소장처명])*(자료실기준[[#This Row],[년월]]=대출자[년월]),0),MATCH(F$1,대출자[#Headers],0)),0)</f>
        <v>0</v>
      </c>
      <c r="G110" cm="1">
        <f t="array" ref="G110">IFERROR(INDEX(대출자[],MATCH(1,(자료실기준[[#This Row],[소장처명]]=대출자[소장처명])*(자료실기준[[#This Row],[년월]]=대출자[년월]),0),MATCH(G$1,대출자[#Headers],0)),0)</f>
        <v>0</v>
      </c>
      <c r="H110" cm="1">
        <f t="array" ref="H110">IFERROR(INDEX(대출자[],MATCH(1,(자료실기준[[#This Row],[소장처명]]=대출자[소장처명])*(자료실기준[[#This Row],[년월]]=대출자[년월]),0),MATCH(H$1,대출자[#Headers],0)),0)</f>
        <v>0</v>
      </c>
      <c r="I110" cm="1">
        <f t="array" ref="I110">IFERROR(INDEX(대출자[],MATCH(1,(자료실기준[[#This Row],[소장처명]]=대출자[소장처명])*(자료실기준[[#This Row],[년월]]=대출자[년월]),0),MATCH(I$1,대출자[#Headers],0)),0)</f>
        <v>0</v>
      </c>
      <c r="J110" cm="1">
        <f t="array" ref="J110">IFERROR(INDEX(대출자[],MATCH(1,(자료실기준[[#This Row],[소장처명]]=대출자[소장처명])*(자료실기준[[#This Row],[년월]]=대출자[년월]),0),MATCH(J$1,대출자[#Headers],0)),0)</f>
        <v>2</v>
      </c>
      <c r="K110" cm="1">
        <f t="array" ref="K110">IFERROR(INDEX(대출자[],MATCH(1,(자료실기준[[#This Row],[소장처명]]=대출자[소장처명])*(자료실기준[[#This Row],[년월]]=대출자[년월]),0),MATCH(K$1,대출자[#Headers],0)),0)</f>
        <v>0</v>
      </c>
      <c r="L110" cm="1">
        <f t="array" ref="L110">IFERROR(INDEX(대출자[],MATCH(1,(자료실기준[[#This Row],[소장처명]]=대출자[소장처명])*(자료실기준[[#This Row],[년월]]=대출자[년월]),0),MATCH(L$1,대출자[#Headers],0)),0)</f>
        <v>0</v>
      </c>
      <c r="M110" cm="1">
        <f t="array" ref="M110">IFERROR(INDEX(대출자[],MATCH(1,(자료실기준[[#This Row],[소장처명]]=대출자[소장처명])*(자료실기준[[#This Row],[년월]]=대출자[년월]),0),MATCH(M$1,대출자[#Headers],0)),0)</f>
        <v>2</v>
      </c>
      <c r="N110">
        <f>IFERROR(자료실기준[[#This Row],[어린이남자]]+자료실기준[[#This Row],[청소년남자]]+자료실기준[[#This Row],[성인남자]],0)</f>
        <v>0</v>
      </c>
      <c r="O110">
        <f>IFERROR(자료실기준[[#This Row],[어린이여자]]+자료실기준[[#This Row],[청소년여자]]+자료실기준[[#This Row],[성인여자]],0)</f>
        <v>2</v>
      </c>
      <c r="P110">
        <f>IFERROR(자료실기준[[#This Row],[남자]]+자료실기준[[#This Row],[여자]],0)</f>
        <v>2</v>
      </c>
      <c r="Q110" cm="1">
        <f t="array" ref="Q110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10" cm="1">
        <f t="array" ref="R110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10" cm="1">
        <f t="array" ref="S110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10" cm="1">
        <f t="array" ref="T110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10" cm="1">
        <f t="array" ref="U110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10" cm="1">
        <f t="array" ref="V110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10" cm="1">
        <f t="array" ref="W110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10" cm="1">
        <f t="array" ref="X110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10" cm="1">
        <f t="array" ref="Y110">IFERROR(INDEX(대출권수[],MATCH(1,(자료실기준[[#This Row],[소장처명]]=대출권수[소장처명])*(대출권수[대출반납]="대출")*(자료실기준[[#This Row],[년월]]=대출권수[년월]),0),MATCH(Y$1,대출권수[#Headers],0)),0)</f>
        <v>2</v>
      </c>
      <c r="Z110" cm="1">
        <f t="array" ref="Z110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10">
        <f>SUM(자료실기준[[#This Row],[총류]:[역사]])</f>
        <v>2</v>
      </c>
    </row>
    <row r="111" spans="1:27" x14ac:dyDescent="0.3">
      <c r="A111" s="5">
        <v>45413</v>
      </c>
      <c r="B111" t="s">
        <v>15</v>
      </c>
      <c r="C111" s="5" t="str">
        <f>TEXT(자료실기준[[#This Row],[년월]],"yy년m월")&amp;자료실기준[[#This Row],[소장처명]]</f>
        <v>24년5월어린이실(학습만화)</v>
      </c>
      <c r="D111" t="str">
        <f>IFERROR(INDEX(자료실범례[],MATCH($B111,자료실범례[소장처명],0),2),"종합자료실")</f>
        <v>어린이자료실</v>
      </c>
      <c r="E111" cm="1">
        <f t="array" ref="E111">IFERROR(INDEX(대출자[],MATCH(1,(자료실기준[[#This Row],[소장처명]]=대출자[소장처명])*(자료실기준[[#This Row],[년월]]=대출자[년월]),0),MATCH(E$1,대출자[#Headers],0)),0)</f>
        <v>25</v>
      </c>
      <c r="F111" cm="1">
        <f t="array" ref="F111">IFERROR(INDEX(대출자[],MATCH(1,(자료실기준[[#This Row],[소장처명]]=대출자[소장처명])*(자료실기준[[#This Row],[년월]]=대출자[년월]),0),MATCH(F$1,대출자[#Headers],0)),0)</f>
        <v>11</v>
      </c>
      <c r="G111" cm="1">
        <f t="array" ref="G111">IFERROR(INDEX(대출자[],MATCH(1,(자료실기준[[#This Row],[소장처명]]=대출자[소장처명])*(자료실기준[[#This Row],[년월]]=대출자[년월]),0),MATCH(G$1,대출자[#Headers],0)),0)</f>
        <v>4</v>
      </c>
      <c r="H111" cm="1">
        <f t="array" ref="H111">IFERROR(INDEX(대출자[],MATCH(1,(자료실기준[[#This Row],[소장처명]]=대출자[소장처명])*(자료실기준[[#This Row],[년월]]=대출자[년월]),0),MATCH(H$1,대출자[#Headers],0)),0)</f>
        <v>2</v>
      </c>
      <c r="I111" cm="1">
        <f t="array" ref="I111">IFERROR(INDEX(대출자[],MATCH(1,(자료실기준[[#This Row],[소장처명]]=대출자[소장처명])*(자료실기준[[#This Row],[년월]]=대출자[년월]),0),MATCH(I$1,대출자[#Headers],0)),0)</f>
        <v>11</v>
      </c>
      <c r="J111" cm="1">
        <f t="array" ref="J111">IFERROR(INDEX(대출자[],MATCH(1,(자료실기준[[#This Row],[소장처명]]=대출자[소장처명])*(자료실기준[[#This Row],[년월]]=대출자[년월]),0),MATCH(J$1,대출자[#Headers],0)),0)</f>
        <v>24</v>
      </c>
      <c r="K111" cm="1">
        <f t="array" ref="K111">IFERROR(INDEX(대출자[],MATCH(1,(자료실기준[[#This Row],[소장처명]]=대출자[소장처명])*(자료실기준[[#This Row],[년월]]=대출자[년월]),0),MATCH(K$1,대출자[#Headers],0)),0)</f>
        <v>36</v>
      </c>
      <c r="L111" cm="1">
        <f t="array" ref="L111">IFERROR(INDEX(대출자[],MATCH(1,(자료실기준[[#This Row],[소장처명]]=대출자[소장처명])*(자료실기준[[#This Row],[년월]]=대출자[년월]),0),MATCH(L$1,대출자[#Headers],0)),0)</f>
        <v>6</v>
      </c>
      <c r="M111" cm="1">
        <f t="array" ref="M111">IFERROR(INDEX(대출자[],MATCH(1,(자료실기준[[#This Row],[소장처명]]=대출자[소장처명])*(자료실기준[[#This Row],[년월]]=대출자[년월]),0),MATCH(M$1,대출자[#Headers],0)),0)</f>
        <v>35</v>
      </c>
      <c r="N111">
        <f>IFERROR(자료실기준[[#This Row],[어린이남자]]+자료실기준[[#This Row],[청소년남자]]+자료실기준[[#This Row],[성인남자]],0)</f>
        <v>40</v>
      </c>
      <c r="O111">
        <f>IFERROR(자료실기준[[#This Row],[어린이여자]]+자료실기준[[#This Row],[청소년여자]]+자료실기준[[#This Row],[성인여자]],0)</f>
        <v>37</v>
      </c>
      <c r="P111">
        <f>IFERROR(자료실기준[[#This Row],[남자]]+자료실기준[[#This Row],[여자]],0)</f>
        <v>77</v>
      </c>
      <c r="Q111" cm="1">
        <f t="array" ref="Q111">IFERROR(INDEX(대출권수[],MATCH(1,(자료실기준[[#This Row],[소장처명]]=대출권수[소장처명])*(대출권수[대출반납]="대출")*(자료실기준[[#This Row],[년월]]=대출권수[년월]),0),MATCH(Q$1,대출권수[#Headers],0)),0)</f>
        <v>1</v>
      </c>
      <c r="R111" cm="1">
        <f t="array" ref="R111">IFERROR(INDEX(대출권수[],MATCH(1,(자료실기준[[#This Row],[소장처명]]=대출권수[소장처명])*(대출권수[대출반납]="대출")*(자료실기준[[#This Row],[년월]]=대출권수[년월]),0),MATCH(R$1,대출권수[#Headers],0)),0)</f>
        <v>1</v>
      </c>
      <c r="S111" cm="1">
        <f t="array" ref="S111">IFERROR(INDEX(대출권수[],MATCH(1,(자료실기준[[#This Row],[소장처명]]=대출권수[소장처명])*(대출권수[대출반납]="대출")*(자료실기준[[#This Row],[년월]]=대출권수[년월]),0),MATCH(S$1,대출권수[#Headers],0)),0)</f>
        <v>6</v>
      </c>
      <c r="T111" cm="1">
        <f t="array" ref="T111">IFERROR(INDEX(대출권수[],MATCH(1,(자료실기준[[#This Row],[소장처명]]=대출권수[소장처명])*(대출권수[대출반납]="대출")*(자료실기준[[#This Row],[년월]]=대출권수[년월]),0),MATCH(T$1,대출권수[#Headers],0)),0)</f>
        <v>4</v>
      </c>
      <c r="U111" cm="1">
        <f t="array" ref="U111">IFERROR(INDEX(대출권수[],MATCH(1,(자료실기준[[#This Row],[소장처명]]=대출권수[소장처명])*(대출권수[대출반납]="대출")*(자료실기준[[#This Row],[년월]]=대출권수[년월]),0),MATCH(U$1,대출권수[#Headers],0)),0)</f>
        <v>134</v>
      </c>
      <c r="V111" cm="1">
        <f t="array" ref="V111">IFERROR(INDEX(대출권수[],MATCH(1,(자료실기준[[#This Row],[소장처명]]=대출권수[소장처명])*(대출권수[대출반납]="대출")*(자료실기준[[#This Row],[년월]]=대출권수[년월]),0),MATCH(V$1,대출권수[#Headers],0)),0)</f>
        <v>16</v>
      </c>
      <c r="W111" cm="1">
        <f t="array" ref="W111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11" cm="1">
        <f t="array" ref="X111">IFERROR(INDEX(대출권수[],MATCH(1,(자료실기준[[#This Row],[소장처명]]=대출권수[소장처명])*(대출권수[대출반납]="대출")*(자료실기준[[#This Row],[년월]]=대출권수[년월]),0),MATCH(X$1,대출권수[#Headers],0)),0)</f>
        <v>75</v>
      </c>
      <c r="Y111" cm="1">
        <f t="array" ref="Y111">IFERROR(INDEX(대출권수[],MATCH(1,(자료실기준[[#This Row],[소장처명]]=대출권수[소장처명])*(대출권수[대출반납]="대출")*(자료실기준[[#This Row],[년월]]=대출권수[년월]),0),MATCH(Y$1,대출권수[#Headers],0)),0)</f>
        <v>33</v>
      </c>
      <c r="Z111" cm="1">
        <f t="array" ref="Z111">IFERROR(INDEX(대출권수[],MATCH(1,(자료실기준[[#This Row],[소장처명]]=대출권수[소장처명])*(대출권수[대출반납]="대출")*(자료실기준[[#This Row],[년월]]=대출권수[년월]),0),MATCH(Z$1,대출권수[#Headers],0)),0)</f>
        <v>133</v>
      </c>
      <c r="AA111">
        <f>SUM(자료실기준[[#This Row],[총류]:[역사]])</f>
        <v>403</v>
      </c>
    </row>
    <row r="112" spans="1:27" x14ac:dyDescent="0.3">
      <c r="A112" s="5">
        <v>45413</v>
      </c>
      <c r="B112" t="s">
        <v>4</v>
      </c>
      <c r="C112" s="5" t="str">
        <f>TEXT(자료실기준[[#This Row],[년월]],"yy년m월")&amp;자료실기준[[#This Row],[소장처명]]</f>
        <v>24년5월별관 서고(어린이자료실)</v>
      </c>
      <c r="D112" t="str">
        <f>IFERROR(INDEX(자료실범례[],MATCH($B112,자료실범례[소장처명],0),2),"종합자료실")</f>
        <v>어린이자료실</v>
      </c>
      <c r="E112" cm="1">
        <f t="array" ref="E112">IFERROR(INDEX(대출자[],MATCH(1,(자료실기준[[#This Row],[소장처명]]=대출자[소장처명])*(자료실기준[[#This Row],[년월]]=대출자[년월]),0),MATCH(E$1,대출자[#Headers],0)),0)</f>
        <v>3</v>
      </c>
      <c r="F112" cm="1">
        <f t="array" ref="F112">IFERROR(INDEX(대출자[],MATCH(1,(자료실기준[[#This Row],[소장처명]]=대출자[소장처명])*(자료실기준[[#This Row],[년월]]=대출자[년월]),0),MATCH(F$1,대출자[#Headers],0)),0)</f>
        <v>2</v>
      </c>
      <c r="G112" cm="1">
        <f t="array" ref="G112">IFERROR(INDEX(대출자[],MATCH(1,(자료실기준[[#This Row],[소장처명]]=대출자[소장처명])*(자료실기준[[#This Row],[년월]]=대출자[년월]),0),MATCH(G$1,대출자[#Headers],0)),0)</f>
        <v>0</v>
      </c>
      <c r="H112" cm="1">
        <f t="array" ref="H112">IFERROR(INDEX(대출자[],MATCH(1,(자료실기준[[#This Row],[소장처명]]=대출자[소장처명])*(자료실기준[[#This Row],[년월]]=대출자[년월]),0),MATCH(H$1,대출자[#Headers],0)),0)</f>
        <v>0</v>
      </c>
      <c r="I112" cm="1">
        <f t="array" ref="I112">IFERROR(INDEX(대출자[],MATCH(1,(자료실기준[[#This Row],[소장처명]]=대출자[소장처명])*(자료실기준[[#This Row],[년월]]=대출자[년월]),0),MATCH(I$1,대출자[#Headers],0)),0)</f>
        <v>2</v>
      </c>
      <c r="J112" cm="1">
        <f t="array" ref="J112">IFERROR(INDEX(대출자[],MATCH(1,(자료실기준[[#This Row],[소장처명]]=대출자[소장처명])*(자료실기준[[#This Row],[년월]]=대출자[년월]),0),MATCH(J$1,대출자[#Headers],0)),0)</f>
        <v>3</v>
      </c>
      <c r="K112" cm="1">
        <f t="array" ref="K112">IFERROR(INDEX(대출자[],MATCH(1,(자료실기준[[#This Row],[소장처명]]=대출자[소장처명])*(자료실기준[[#This Row],[년월]]=대출자[년월]),0),MATCH(K$1,대출자[#Headers],0)),0)</f>
        <v>5</v>
      </c>
      <c r="L112" cm="1">
        <f t="array" ref="L112">IFERROR(INDEX(대출자[],MATCH(1,(자료실기준[[#This Row],[소장처명]]=대출자[소장처명])*(자료실기준[[#This Row],[년월]]=대출자[년월]),0),MATCH(L$1,대출자[#Headers],0)),0)</f>
        <v>0</v>
      </c>
      <c r="M112" cm="1">
        <f t="array" ref="M112">IFERROR(INDEX(대출자[],MATCH(1,(자료실기준[[#This Row],[소장처명]]=대출자[소장처명])*(자료실기준[[#This Row],[년월]]=대출자[년월]),0),MATCH(M$1,대출자[#Headers],0)),0)</f>
        <v>5</v>
      </c>
      <c r="N112">
        <f>IFERROR(자료실기준[[#This Row],[어린이남자]]+자료실기준[[#This Row],[청소년남자]]+자료실기준[[#This Row],[성인남자]],0)</f>
        <v>5</v>
      </c>
      <c r="O112">
        <f>IFERROR(자료실기준[[#This Row],[어린이여자]]+자료실기준[[#This Row],[청소년여자]]+자료실기준[[#This Row],[성인여자]],0)</f>
        <v>5</v>
      </c>
      <c r="P112">
        <f>IFERROR(자료실기준[[#This Row],[남자]]+자료실기준[[#This Row],[여자]],0)</f>
        <v>10</v>
      </c>
      <c r="Q112" cm="1">
        <f t="array" ref="Q112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12" cm="1">
        <f t="array" ref="R112">IFERROR(INDEX(대출권수[],MATCH(1,(자료실기준[[#This Row],[소장처명]]=대출권수[소장처명])*(대출권수[대출반납]="대출")*(자료실기준[[#This Row],[년월]]=대출권수[년월]),0),MATCH(R$1,대출권수[#Headers],0)),0)</f>
        <v>2</v>
      </c>
      <c r="S112" cm="1">
        <f t="array" ref="S112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12" cm="1">
        <f t="array" ref="T112">IFERROR(INDEX(대출권수[],MATCH(1,(자료실기준[[#This Row],[소장처명]]=대출권수[소장처명])*(대출권수[대출반납]="대출")*(자료실기준[[#This Row],[년월]]=대출권수[년월]),0),MATCH(T$1,대출권수[#Headers],0)),0)</f>
        <v>1</v>
      </c>
      <c r="U112" cm="1">
        <f t="array" ref="U112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12" cm="1">
        <f t="array" ref="V112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12" cm="1">
        <f t="array" ref="W112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12" cm="1">
        <f t="array" ref="X112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12" cm="1">
        <f t="array" ref="Y112">IFERROR(INDEX(대출권수[],MATCH(1,(자료실기준[[#This Row],[소장처명]]=대출권수[소장처명])*(대출권수[대출반납]="대출")*(자료실기준[[#This Row],[년월]]=대출권수[년월]),0),MATCH(Y$1,대출권수[#Headers],0)),0)</f>
        <v>14</v>
      </c>
      <c r="Z112" cm="1">
        <f t="array" ref="Z112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12">
        <f>SUM(자료실기준[[#This Row],[총류]:[역사]])</f>
        <v>17</v>
      </c>
    </row>
    <row r="113" spans="1:27" x14ac:dyDescent="0.3">
      <c r="A113" s="5">
        <v>45413</v>
      </c>
      <c r="B113" t="s">
        <v>5</v>
      </c>
      <c r="C113" s="5" t="str">
        <f>TEXT(자료실기준[[#This Row],[년월]],"yy년m월")&amp;자료실기준[[#This Row],[소장처명]]</f>
        <v>24년5월별관 서고(종합자료실)</v>
      </c>
      <c r="D113" t="str">
        <f>IFERROR(INDEX(자료실범례[],MATCH($B113,자료실범례[소장처명],0),2),"종합자료실")</f>
        <v>종합자료실</v>
      </c>
      <c r="E113" cm="1">
        <f t="array" ref="E113">IFERROR(INDEX(대출자[],MATCH(1,(자료실기준[[#This Row],[소장처명]]=대출자[소장처명])*(자료실기준[[#This Row],[년월]]=대출자[년월]),0),MATCH(E$1,대출자[#Headers],0)),0)</f>
        <v>2</v>
      </c>
      <c r="F113" cm="1">
        <f t="array" ref="F113">IFERROR(INDEX(대출자[],MATCH(1,(자료실기준[[#This Row],[소장처명]]=대출자[소장처명])*(자료실기준[[#This Row],[년월]]=대출자[년월]),0),MATCH(F$1,대출자[#Headers],0)),0)</f>
        <v>0</v>
      </c>
      <c r="G113" cm="1">
        <f t="array" ref="G113">IFERROR(INDEX(대출자[],MATCH(1,(자료실기준[[#This Row],[소장처명]]=대출자[소장처명])*(자료실기준[[#This Row],[년월]]=대출자[년월]),0),MATCH(G$1,대출자[#Headers],0)),0)</f>
        <v>2</v>
      </c>
      <c r="H113" cm="1">
        <f t="array" ref="H113">IFERROR(INDEX(대출자[],MATCH(1,(자료실기준[[#This Row],[소장처명]]=대출자[소장처명])*(자료실기준[[#This Row],[년월]]=대출자[년월]),0),MATCH(H$1,대출자[#Headers],0)),0)</f>
        <v>2</v>
      </c>
      <c r="I113" cm="1">
        <f t="array" ref="I113">IFERROR(INDEX(대출자[],MATCH(1,(자료실기준[[#This Row],[소장처명]]=대출자[소장처명])*(자료실기준[[#This Row],[년월]]=대출자[년월]),0),MATCH(I$1,대출자[#Headers],0)),0)</f>
        <v>8</v>
      </c>
      <c r="J113" cm="1">
        <f t="array" ref="J113">IFERROR(INDEX(대출자[],MATCH(1,(자료실기준[[#This Row],[소장처명]]=대출자[소장처명])*(자료실기준[[#This Row],[년월]]=대출자[년월]),0),MATCH(J$1,대출자[#Headers],0)),0)</f>
        <v>12</v>
      </c>
      <c r="K113" cm="1">
        <f t="array" ref="K113">IFERROR(INDEX(대출자[],MATCH(1,(자료실기준[[#This Row],[소장처명]]=대출자[소장처명])*(자료실기준[[#This Row],[년월]]=대출자[년월]),0),MATCH(K$1,대출자[#Headers],0)),0)</f>
        <v>2</v>
      </c>
      <c r="L113" cm="1">
        <f t="array" ref="L113">IFERROR(INDEX(대출자[],MATCH(1,(자료실기준[[#This Row],[소장처명]]=대출자[소장처명])*(자료실기준[[#This Row],[년월]]=대출자[년월]),0),MATCH(L$1,대출자[#Headers],0)),0)</f>
        <v>4</v>
      </c>
      <c r="M113" cm="1">
        <f t="array" ref="M113">IFERROR(INDEX(대출자[],MATCH(1,(자료실기준[[#This Row],[소장처명]]=대출자[소장처명])*(자료실기준[[#This Row],[년월]]=대출자[년월]),0),MATCH(M$1,대출자[#Headers],0)),0)</f>
        <v>20</v>
      </c>
      <c r="N113">
        <f>IFERROR(자료실기준[[#This Row],[어린이남자]]+자료실기준[[#This Row],[청소년남자]]+자료실기준[[#This Row],[성인남자]],0)</f>
        <v>12</v>
      </c>
      <c r="O113">
        <f>IFERROR(자료실기준[[#This Row],[어린이여자]]+자료실기준[[#This Row],[청소년여자]]+자료실기준[[#This Row],[성인여자]],0)</f>
        <v>14</v>
      </c>
      <c r="P113">
        <f>IFERROR(자료실기준[[#This Row],[남자]]+자료실기준[[#This Row],[여자]],0)</f>
        <v>26</v>
      </c>
      <c r="Q113" cm="1">
        <f t="array" ref="Q113">IFERROR(INDEX(대출권수[],MATCH(1,(자료실기준[[#This Row],[소장처명]]=대출권수[소장처명])*(대출권수[대출반납]="대출")*(자료실기준[[#This Row],[년월]]=대출권수[년월]),0),MATCH(Q$1,대출권수[#Headers],0)),0)</f>
        <v>1</v>
      </c>
      <c r="R113" cm="1">
        <f t="array" ref="R113">IFERROR(INDEX(대출권수[],MATCH(1,(자료실기준[[#This Row],[소장처명]]=대출권수[소장처명])*(대출권수[대출반납]="대출")*(자료실기준[[#This Row],[년월]]=대출권수[년월]),0),MATCH(R$1,대출권수[#Headers],0)),0)</f>
        <v>2</v>
      </c>
      <c r="S113" cm="1">
        <f t="array" ref="S113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13" cm="1">
        <f t="array" ref="T113">IFERROR(INDEX(대출권수[],MATCH(1,(자료실기준[[#This Row],[소장처명]]=대출권수[소장처명])*(대출권수[대출반납]="대출")*(자료실기준[[#This Row],[년월]]=대출권수[년월]),0),MATCH(T$1,대출권수[#Headers],0)),0)</f>
        <v>6</v>
      </c>
      <c r="U113" cm="1">
        <f t="array" ref="U113">IFERROR(INDEX(대출권수[],MATCH(1,(자료실기준[[#This Row],[소장처명]]=대출권수[소장처명])*(대출권수[대출반납]="대출")*(자료실기준[[#This Row],[년월]]=대출권수[년월]),0),MATCH(U$1,대출권수[#Headers],0)),0)</f>
        <v>4</v>
      </c>
      <c r="V113" cm="1">
        <f t="array" ref="V113">IFERROR(INDEX(대출권수[],MATCH(1,(자료실기준[[#This Row],[소장처명]]=대출권수[소장처명])*(대출권수[대출반납]="대출")*(자료실기준[[#This Row],[년월]]=대출권수[년월]),0),MATCH(V$1,대출권수[#Headers],0)),0)</f>
        <v>8</v>
      </c>
      <c r="W113" cm="1">
        <f t="array" ref="W113">IFERROR(INDEX(대출권수[],MATCH(1,(자료실기준[[#This Row],[소장처명]]=대출권수[소장처명])*(대출권수[대출반납]="대출")*(자료실기준[[#This Row],[년월]]=대출권수[년월]),0),MATCH(W$1,대출권수[#Headers],0)),0)</f>
        <v>2</v>
      </c>
      <c r="X113" cm="1">
        <f t="array" ref="X113">IFERROR(INDEX(대출권수[],MATCH(1,(자료실기준[[#This Row],[소장처명]]=대출권수[소장처명])*(대출권수[대출반납]="대출")*(자료실기준[[#This Row],[년월]]=대출권수[년월]),0),MATCH(X$1,대출권수[#Headers],0)),0)</f>
        <v>1</v>
      </c>
      <c r="Y113" cm="1">
        <f t="array" ref="Y113">IFERROR(INDEX(대출권수[],MATCH(1,(자료실기준[[#This Row],[소장처명]]=대출권수[소장처명])*(대출권수[대출반납]="대출")*(자료실기준[[#This Row],[년월]]=대출권수[년월]),0),MATCH(Y$1,대출권수[#Headers],0)),0)</f>
        <v>10</v>
      </c>
      <c r="Z113" cm="1">
        <f t="array" ref="Z113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13">
        <f>SUM(자료실기준[[#This Row],[총류]:[역사]])</f>
        <v>34</v>
      </c>
    </row>
    <row r="114" spans="1:27" x14ac:dyDescent="0.3">
      <c r="A114" s="5">
        <v>45413</v>
      </c>
      <c r="B114" t="s">
        <v>7</v>
      </c>
      <c r="C114" s="5" t="str">
        <f>TEXT(자료실기준[[#This Row],[년월]],"yy년m월")&amp;자료실기준[[#This Row],[소장처명]]</f>
        <v>24년5월어린이실(교과1학년)</v>
      </c>
      <c r="D114" t="str">
        <f>IFERROR(INDEX(자료실범례[],MATCH($B114,자료실범례[소장처명],0),2),"종합자료실")</f>
        <v>어린이자료실</v>
      </c>
      <c r="E114" cm="1">
        <f t="array" ref="E114">IFERROR(INDEX(대출자[],MATCH(1,(자료실기준[[#This Row],[소장처명]]=대출자[소장처명])*(자료실기준[[#This Row],[년월]]=대출자[년월]),0),MATCH(E$1,대출자[#Headers],0)),0)</f>
        <v>4</v>
      </c>
      <c r="F114" cm="1">
        <f t="array" ref="F114">IFERROR(INDEX(대출자[],MATCH(1,(자료실기준[[#This Row],[소장처명]]=대출자[소장처명])*(자료실기준[[#This Row],[년월]]=대출자[년월]),0),MATCH(F$1,대출자[#Headers],0)),0)</f>
        <v>5</v>
      </c>
      <c r="G114" cm="1">
        <f t="array" ref="G114">IFERROR(INDEX(대출자[],MATCH(1,(자료실기준[[#This Row],[소장처명]]=대출자[소장처명])*(자료실기준[[#This Row],[년월]]=대출자[년월]),0),MATCH(G$1,대출자[#Headers],0)),0)</f>
        <v>0</v>
      </c>
      <c r="H114" cm="1">
        <f t="array" ref="H114">IFERROR(INDEX(대출자[],MATCH(1,(자료실기준[[#This Row],[소장처명]]=대출자[소장처명])*(자료실기준[[#This Row],[년월]]=대출자[년월]),0),MATCH(H$1,대출자[#Headers],0)),0)</f>
        <v>0</v>
      </c>
      <c r="I114" cm="1">
        <f t="array" ref="I114">IFERROR(INDEX(대출자[],MATCH(1,(자료실기준[[#This Row],[소장처명]]=대출자[소장처명])*(자료실기준[[#This Row],[년월]]=대출자[년월]),0),MATCH(I$1,대출자[#Headers],0)),0)</f>
        <v>4</v>
      </c>
      <c r="J114" cm="1">
        <f t="array" ref="J114">IFERROR(INDEX(대출자[],MATCH(1,(자료실기준[[#This Row],[소장처명]]=대출자[소장처명])*(자료실기준[[#This Row],[년월]]=대출자[년월]),0),MATCH(J$1,대출자[#Headers],0)),0)</f>
        <v>4</v>
      </c>
      <c r="K114" cm="1">
        <f t="array" ref="K114">IFERROR(INDEX(대출자[],MATCH(1,(자료실기준[[#This Row],[소장처명]]=대출자[소장처명])*(자료실기준[[#This Row],[년월]]=대출자[년월]),0),MATCH(K$1,대출자[#Headers],0)),0)</f>
        <v>9</v>
      </c>
      <c r="L114" cm="1">
        <f t="array" ref="L114">IFERROR(INDEX(대출자[],MATCH(1,(자료실기준[[#This Row],[소장처명]]=대출자[소장처명])*(자료실기준[[#This Row],[년월]]=대출자[년월]),0),MATCH(L$1,대출자[#Headers],0)),0)</f>
        <v>0</v>
      </c>
      <c r="M114" cm="1">
        <f t="array" ref="M114">IFERROR(INDEX(대출자[],MATCH(1,(자료실기준[[#This Row],[소장처명]]=대출자[소장처명])*(자료실기준[[#This Row],[년월]]=대출자[년월]),0),MATCH(M$1,대출자[#Headers],0)),0)</f>
        <v>8</v>
      </c>
      <c r="N114">
        <f>IFERROR(자료실기준[[#This Row],[어린이남자]]+자료실기준[[#This Row],[청소년남자]]+자료실기준[[#This Row],[성인남자]],0)</f>
        <v>8</v>
      </c>
      <c r="O114">
        <f>IFERROR(자료실기준[[#This Row],[어린이여자]]+자료실기준[[#This Row],[청소년여자]]+자료실기준[[#This Row],[성인여자]],0)</f>
        <v>9</v>
      </c>
      <c r="P114">
        <f>IFERROR(자료실기준[[#This Row],[남자]]+자료실기준[[#This Row],[여자]],0)</f>
        <v>17</v>
      </c>
      <c r="Q114" cm="1">
        <f t="array" ref="Q114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14" cm="1">
        <f t="array" ref="R114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14" cm="1">
        <f t="array" ref="S114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14" cm="1">
        <f t="array" ref="T114">IFERROR(INDEX(대출권수[],MATCH(1,(자료실기준[[#This Row],[소장처명]]=대출권수[소장처명])*(대출권수[대출반납]="대출")*(자료실기준[[#This Row],[년월]]=대출권수[년월]),0),MATCH(T$1,대출권수[#Headers],0)),0)</f>
        <v>6</v>
      </c>
      <c r="U114" cm="1">
        <f t="array" ref="U114">IFERROR(INDEX(대출권수[],MATCH(1,(자료실기준[[#This Row],[소장처명]]=대출권수[소장처명])*(대출권수[대출반납]="대출")*(자료실기준[[#This Row],[년월]]=대출권수[년월]),0),MATCH(U$1,대출권수[#Headers],0)),0)</f>
        <v>2</v>
      </c>
      <c r="V114" cm="1">
        <f t="array" ref="V114">IFERROR(INDEX(대출권수[],MATCH(1,(자료실기준[[#This Row],[소장처명]]=대출권수[소장처명])*(대출권수[대출반납]="대출")*(자료실기준[[#This Row],[년월]]=대출권수[년월]),0),MATCH(V$1,대출권수[#Headers],0)),0)</f>
        <v>2</v>
      </c>
      <c r="W114" cm="1">
        <f t="array" ref="W114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14" cm="1">
        <f t="array" ref="X114">IFERROR(INDEX(대출권수[],MATCH(1,(자료실기준[[#This Row],[소장처명]]=대출권수[소장처명])*(대출권수[대출반납]="대출")*(자료실기준[[#This Row],[년월]]=대출권수[년월]),0),MATCH(X$1,대출권수[#Headers],0)),0)</f>
        <v>2</v>
      </c>
      <c r="Y114" cm="1">
        <f t="array" ref="Y114">IFERROR(INDEX(대출권수[],MATCH(1,(자료실기준[[#This Row],[소장처명]]=대출권수[소장처명])*(대출권수[대출반납]="대출")*(자료실기준[[#This Row],[년월]]=대출권수[년월]),0),MATCH(Y$1,대출권수[#Headers],0)),0)</f>
        <v>33</v>
      </c>
      <c r="Z114" cm="1">
        <f t="array" ref="Z114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14">
        <f>SUM(자료실기준[[#This Row],[총류]:[역사]])</f>
        <v>45</v>
      </c>
    </row>
    <row r="115" spans="1:27" x14ac:dyDescent="0.3">
      <c r="A115" s="5">
        <v>45413</v>
      </c>
      <c r="B115" t="s">
        <v>8</v>
      </c>
      <c r="C115" s="5" t="str">
        <f>TEXT(자료실기준[[#This Row],[년월]],"yy년m월")&amp;자료실기준[[#This Row],[소장처명]]</f>
        <v>24년5월어린이실(교과2학년)</v>
      </c>
      <c r="D115" t="str">
        <f>IFERROR(INDEX(자료실범례[],MATCH($B115,자료실범례[소장처명],0),2),"종합자료실")</f>
        <v>어린이자료실</v>
      </c>
      <c r="E115" cm="1">
        <f t="array" ref="E115">IFERROR(INDEX(대출자[],MATCH(1,(자료실기준[[#This Row],[소장처명]]=대출자[소장처명])*(자료실기준[[#This Row],[년월]]=대출자[년월]),0),MATCH(E$1,대출자[#Headers],0)),0)</f>
        <v>4</v>
      </c>
      <c r="F115" cm="1">
        <f t="array" ref="F115">IFERROR(INDEX(대출자[],MATCH(1,(자료실기준[[#This Row],[소장처명]]=대출자[소장처명])*(자료실기준[[#This Row],[년월]]=대출자[년월]),0),MATCH(F$1,대출자[#Headers],0)),0)</f>
        <v>3</v>
      </c>
      <c r="G115" cm="1">
        <f t="array" ref="G115">IFERROR(INDEX(대출자[],MATCH(1,(자료실기준[[#This Row],[소장처명]]=대출자[소장처명])*(자료실기준[[#This Row],[년월]]=대출자[년월]),0),MATCH(G$1,대출자[#Headers],0)),0)</f>
        <v>1</v>
      </c>
      <c r="H115" cm="1">
        <f t="array" ref="H115">IFERROR(INDEX(대출자[],MATCH(1,(자료실기준[[#This Row],[소장처명]]=대출자[소장처명])*(자료실기준[[#This Row],[년월]]=대출자[년월]),0),MATCH(H$1,대출자[#Headers],0)),0)</f>
        <v>0</v>
      </c>
      <c r="I115" cm="1">
        <f t="array" ref="I115">IFERROR(INDEX(대출자[],MATCH(1,(자료실기준[[#This Row],[소장처명]]=대출자[소장처명])*(자료실기준[[#This Row],[년월]]=대출자[년월]),0),MATCH(I$1,대출자[#Headers],0)),0)</f>
        <v>2</v>
      </c>
      <c r="J115" cm="1">
        <f t="array" ref="J115">IFERROR(INDEX(대출자[],MATCH(1,(자료실기준[[#This Row],[소장처명]]=대출자[소장처명])*(자료실기준[[#This Row],[년월]]=대출자[년월]),0),MATCH(J$1,대출자[#Headers],0)),0)</f>
        <v>3</v>
      </c>
      <c r="K115" cm="1">
        <f t="array" ref="K115">IFERROR(INDEX(대출자[],MATCH(1,(자료실기준[[#This Row],[소장처명]]=대출자[소장처명])*(자료실기준[[#This Row],[년월]]=대출자[년월]),0),MATCH(K$1,대출자[#Headers],0)),0)</f>
        <v>7</v>
      </c>
      <c r="L115" cm="1">
        <f t="array" ref="L115">IFERROR(INDEX(대출자[],MATCH(1,(자료실기준[[#This Row],[소장처명]]=대출자[소장처명])*(자료실기준[[#This Row],[년월]]=대출자[년월]),0),MATCH(L$1,대출자[#Headers],0)),0)</f>
        <v>1</v>
      </c>
      <c r="M115" cm="1">
        <f t="array" ref="M115">IFERROR(INDEX(대출자[],MATCH(1,(자료실기준[[#This Row],[소장처명]]=대출자[소장처명])*(자료실기준[[#This Row],[년월]]=대출자[년월]),0),MATCH(M$1,대출자[#Headers],0)),0)</f>
        <v>5</v>
      </c>
      <c r="N115">
        <f>IFERROR(자료실기준[[#This Row],[어린이남자]]+자료실기준[[#This Row],[청소년남자]]+자료실기준[[#This Row],[성인남자]],0)</f>
        <v>7</v>
      </c>
      <c r="O115">
        <f>IFERROR(자료실기준[[#This Row],[어린이여자]]+자료실기준[[#This Row],[청소년여자]]+자료실기준[[#This Row],[성인여자]],0)</f>
        <v>6</v>
      </c>
      <c r="P115">
        <f>IFERROR(자료실기준[[#This Row],[남자]]+자료실기준[[#This Row],[여자]],0)</f>
        <v>13</v>
      </c>
      <c r="Q115" cm="1">
        <f t="array" ref="Q115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15" cm="1">
        <f t="array" ref="R115">IFERROR(INDEX(대출권수[],MATCH(1,(자료실기준[[#This Row],[소장처명]]=대출권수[소장처명])*(대출권수[대출반납]="대출")*(자료실기준[[#This Row],[년월]]=대출권수[년월]),0),MATCH(R$1,대출권수[#Headers],0)),0)</f>
        <v>2</v>
      </c>
      <c r="S115" cm="1">
        <f t="array" ref="S115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15" cm="1">
        <f t="array" ref="T115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15" cm="1">
        <f t="array" ref="U115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15" cm="1">
        <f t="array" ref="V115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15" cm="1">
        <f t="array" ref="W115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15" cm="1">
        <f t="array" ref="X115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15" cm="1">
        <f t="array" ref="Y115">IFERROR(INDEX(대출권수[],MATCH(1,(자료실기준[[#This Row],[소장처명]]=대출권수[소장처명])*(대출권수[대출반납]="대출")*(자료실기준[[#This Row],[년월]]=대출권수[년월]),0),MATCH(Y$1,대출권수[#Headers],0)),0)</f>
        <v>25</v>
      </c>
      <c r="Z115" cm="1">
        <f t="array" ref="Z115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15">
        <f>SUM(자료실기준[[#This Row],[총류]:[역사]])</f>
        <v>27</v>
      </c>
    </row>
    <row r="116" spans="1:27" x14ac:dyDescent="0.3">
      <c r="A116" s="5">
        <v>45413</v>
      </c>
      <c r="B116" t="s">
        <v>9</v>
      </c>
      <c r="C116" s="5" t="str">
        <f>TEXT(자료실기준[[#This Row],[년월]],"yy년m월")&amp;자료실기준[[#This Row],[소장처명]]</f>
        <v>24년5월어린이실(교과3학년)</v>
      </c>
      <c r="D116" t="str">
        <f>IFERROR(INDEX(자료실범례[],MATCH($B116,자료실범례[소장처명],0),2),"종합자료실")</f>
        <v>어린이자료실</v>
      </c>
      <c r="E116" cm="1">
        <f t="array" ref="E116">IFERROR(INDEX(대출자[],MATCH(1,(자료실기준[[#This Row],[소장처명]]=대출자[소장처명])*(자료실기준[[#This Row],[년월]]=대출자[년월]),0),MATCH(E$1,대출자[#Headers],0)),0)</f>
        <v>0</v>
      </c>
      <c r="F116" cm="1">
        <f t="array" ref="F116">IFERROR(INDEX(대출자[],MATCH(1,(자료실기준[[#This Row],[소장처명]]=대출자[소장처명])*(자료실기준[[#This Row],[년월]]=대출자[년월]),0),MATCH(F$1,대출자[#Headers],0)),0)</f>
        <v>3</v>
      </c>
      <c r="G116" cm="1">
        <f t="array" ref="G116">IFERROR(INDEX(대출자[],MATCH(1,(자료실기준[[#This Row],[소장처명]]=대출자[소장처명])*(자료실기준[[#This Row],[년월]]=대출자[년월]),0),MATCH(G$1,대출자[#Headers],0)),0)</f>
        <v>0</v>
      </c>
      <c r="H116" cm="1">
        <f t="array" ref="H116">IFERROR(INDEX(대출자[],MATCH(1,(자료실기준[[#This Row],[소장처명]]=대출자[소장처명])*(자료실기준[[#This Row],[년월]]=대출자[년월]),0),MATCH(H$1,대출자[#Headers],0)),0)</f>
        <v>0</v>
      </c>
      <c r="I116" cm="1">
        <f t="array" ref="I116">IFERROR(INDEX(대출자[],MATCH(1,(자료실기준[[#This Row],[소장처명]]=대출자[소장처명])*(자료실기준[[#This Row],[년월]]=대출자[년월]),0),MATCH(I$1,대출자[#Headers],0)),0)</f>
        <v>2</v>
      </c>
      <c r="J116" cm="1">
        <f t="array" ref="J116">IFERROR(INDEX(대출자[],MATCH(1,(자료실기준[[#This Row],[소장처명]]=대출자[소장처명])*(자료실기준[[#This Row],[년월]]=대출자[년월]),0),MATCH(J$1,대출자[#Headers],0)),0)</f>
        <v>4</v>
      </c>
      <c r="K116" cm="1">
        <f t="array" ref="K116">IFERROR(INDEX(대출자[],MATCH(1,(자료실기준[[#This Row],[소장처명]]=대출자[소장처명])*(자료실기준[[#This Row],[년월]]=대출자[년월]),0),MATCH(K$1,대출자[#Headers],0)),0)</f>
        <v>3</v>
      </c>
      <c r="L116" cm="1">
        <f t="array" ref="L116">IFERROR(INDEX(대출자[],MATCH(1,(자료실기준[[#This Row],[소장처명]]=대출자[소장처명])*(자료실기준[[#This Row],[년월]]=대출자[년월]),0),MATCH(L$1,대출자[#Headers],0)),0)</f>
        <v>0</v>
      </c>
      <c r="M116" cm="1">
        <f t="array" ref="M116">IFERROR(INDEX(대출자[],MATCH(1,(자료실기준[[#This Row],[소장처명]]=대출자[소장처명])*(자료실기준[[#This Row],[년월]]=대출자[년월]),0),MATCH(M$1,대출자[#Headers],0)),0)</f>
        <v>6</v>
      </c>
      <c r="N116">
        <f>IFERROR(자료실기준[[#This Row],[어린이남자]]+자료실기준[[#This Row],[청소년남자]]+자료실기준[[#This Row],[성인남자]],0)</f>
        <v>2</v>
      </c>
      <c r="O116">
        <f>IFERROR(자료실기준[[#This Row],[어린이여자]]+자료실기준[[#This Row],[청소년여자]]+자료실기준[[#This Row],[성인여자]],0)</f>
        <v>7</v>
      </c>
      <c r="P116">
        <f>IFERROR(자료실기준[[#This Row],[남자]]+자료실기준[[#This Row],[여자]],0)</f>
        <v>9</v>
      </c>
      <c r="Q116" cm="1">
        <f t="array" ref="Q116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16" cm="1">
        <f t="array" ref="R116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16" cm="1">
        <f t="array" ref="S116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16" cm="1">
        <f t="array" ref="T116">IFERROR(INDEX(대출권수[],MATCH(1,(자료실기준[[#This Row],[소장처명]]=대출권수[소장처명])*(대출권수[대출반납]="대출")*(자료실기준[[#This Row],[년월]]=대출권수[년월]),0),MATCH(T$1,대출권수[#Headers],0)),0)</f>
        <v>2</v>
      </c>
      <c r="U116" cm="1">
        <f t="array" ref="U116">IFERROR(INDEX(대출권수[],MATCH(1,(자료실기준[[#This Row],[소장처명]]=대출권수[소장처명])*(대출권수[대출반납]="대출")*(자료실기준[[#This Row],[년월]]=대출권수[년월]),0),MATCH(U$1,대출권수[#Headers],0)),0)</f>
        <v>5</v>
      </c>
      <c r="V116" cm="1">
        <f t="array" ref="V116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16" cm="1">
        <f t="array" ref="W116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16" cm="1">
        <f t="array" ref="X116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16" cm="1">
        <f t="array" ref="Y116">IFERROR(INDEX(대출권수[],MATCH(1,(자료실기준[[#This Row],[소장처명]]=대출권수[소장처명])*(대출권수[대출반납]="대출")*(자료실기준[[#This Row],[년월]]=대출권수[년월]),0),MATCH(Y$1,대출권수[#Headers],0)),0)</f>
        <v>3</v>
      </c>
      <c r="Z116" cm="1">
        <f t="array" ref="Z116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16">
        <f>SUM(자료실기준[[#This Row],[총류]:[역사]])</f>
        <v>10</v>
      </c>
    </row>
    <row r="117" spans="1:27" x14ac:dyDescent="0.3">
      <c r="A117" s="5">
        <v>45413</v>
      </c>
      <c r="B117" s="11" t="s">
        <v>10</v>
      </c>
      <c r="C117" s="5" t="str">
        <f>TEXT(자료실기준[[#This Row],[년월]],"yy년m월")&amp;자료실기준[[#This Row],[소장처명]]</f>
        <v>24년5월어린이실(교과4학년)</v>
      </c>
      <c r="D117" t="str">
        <f>IFERROR(INDEX(자료실범례[],MATCH($B117,자료실범례[소장처명],0),2),"종합자료실")</f>
        <v>어린이자료실</v>
      </c>
      <c r="E117" s="15" cm="1">
        <f t="array" ref="E117">IFERROR(INDEX(대출자[],MATCH(1,(자료실기준[[#This Row],[소장처명]]=대출자[소장처명])*(자료실기준[[#This Row],[년월]]=대출자[년월]),0),MATCH(E$1,대출자[#Headers],0)),0)</f>
        <v>1</v>
      </c>
      <c r="F117" s="15" cm="1">
        <f t="array" ref="F117">IFERROR(INDEX(대출자[],MATCH(1,(자료실기준[[#This Row],[소장처명]]=대출자[소장처명])*(자료실기준[[#This Row],[년월]]=대출자[년월]),0),MATCH(F$1,대출자[#Headers],0)),0)</f>
        <v>3</v>
      </c>
      <c r="G117" s="15" cm="1">
        <f t="array" ref="G117">IFERROR(INDEX(대출자[],MATCH(1,(자료실기준[[#This Row],[소장처명]]=대출자[소장처명])*(자료실기준[[#This Row],[년월]]=대출자[년월]),0),MATCH(G$1,대출자[#Headers],0)),0)</f>
        <v>0</v>
      </c>
      <c r="H117" s="15" cm="1">
        <f t="array" ref="H117">IFERROR(INDEX(대출자[],MATCH(1,(자료실기준[[#This Row],[소장처명]]=대출자[소장처명])*(자료실기준[[#This Row],[년월]]=대출자[년월]),0),MATCH(H$1,대출자[#Headers],0)),0)</f>
        <v>0</v>
      </c>
      <c r="I117" s="15" cm="1">
        <f t="array" ref="I117">IFERROR(INDEX(대출자[],MATCH(1,(자료실기준[[#This Row],[소장처명]]=대출자[소장처명])*(자료실기준[[#This Row],[년월]]=대출자[년월]),0),MATCH(I$1,대출자[#Headers],0)),0)</f>
        <v>1</v>
      </c>
      <c r="J117" s="15" cm="1">
        <f t="array" ref="J117">IFERROR(INDEX(대출자[],MATCH(1,(자료실기준[[#This Row],[소장처명]]=대출자[소장처명])*(자료실기준[[#This Row],[년월]]=대출자[년월]),0),MATCH(J$1,대출자[#Headers],0)),0)</f>
        <v>5</v>
      </c>
      <c r="K117" s="15" cm="1">
        <f t="array" ref="K117">IFERROR(INDEX(대출자[],MATCH(1,(자료실기준[[#This Row],[소장처명]]=대출자[소장처명])*(자료실기준[[#This Row],[년월]]=대출자[년월]),0),MATCH(K$1,대출자[#Headers],0)),0)</f>
        <v>4</v>
      </c>
      <c r="L117" s="15" cm="1">
        <f t="array" ref="L117">IFERROR(INDEX(대출자[],MATCH(1,(자료실기준[[#This Row],[소장처명]]=대출자[소장처명])*(자료실기준[[#This Row],[년월]]=대출자[년월]),0),MATCH(L$1,대출자[#Headers],0)),0)</f>
        <v>0</v>
      </c>
      <c r="M117" s="15" cm="1">
        <f t="array" ref="M117">IFERROR(INDEX(대출자[],MATCH(1,(자료실기준[[#This Row],[소장처명]]=대출자[소장처명])*(자료실기준[[#This Row],[년월]]=대출자[년월]),0),MATCH(M$1,대출자[#Headers],0)),0)</f>
        <v>6</v>
      </c>
      <c r="N117" s="15">
        <f>IFERROR(자료실기준[[#This Row],[어린이남자]]+자료실기준[[#This Row],[청소년남자]]+자료실기준[[#This Row],[성인남자]],0)</f>
        <v>2</v>
      </c>
      <c r="O117" s="15">
        <f>IFERROR(자료실기준[[#This Row],[어린이여자]]+자료실기준[[#This Row],[청소년여자]]+자료실기준[[#This Row],[성인여자]],0)</f>
        <v>8</v>
      </c>
      <c r="P117" s="15">
        <f>IFERROR(자료실기준[[#This Row],[남자]]+자료실기준[[#This Row],[여자]],0)</f>
        <v>10</v>
      </c>
      <c r="Q117" s="15" cm="1">
        <f t="array" ref="Q117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17" s="15" cm="1">
        <f t="array" ref="R117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17" s="15" cm="1">
        <f t="array" ref="S117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17" s="15" cm="1">
        <f t="array" ref="T117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17" s="15" cm="1">
        <f t="array" ref="U117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17" s="15" cm="1">
        <f t="array" ref="V117">IFERROR(INDEX(대출권수[],MATCH(1,(자료실기준[[#This Row],[소장처명]]=대출권수[소장처명])*(대출권수[대출반납]="대출")*(자료실기준[[#This Row],[년월]]=대출권수[년월]),0),MATCH(V$1,대출권수[#Headers],0)),0)</f>
        <v>1</v>
      </c>
      <c r="W117" s="15" cm="1">
        <f t="array" ref="W117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17" s="15" cm="1">
        <f t="array" ref="X117">IFERROR(INDEX(대출권수[],MATCH(1,(자료실기준[[#This Row],[소장처명]]=대출권수[소장처명])*(대출권수[대출반납]="대출")*(자료실기준[[#This Row],[년월]]=대출권수[년월]),0),MATCH(X$1,대출권수[#Headers],0)),0)</f>
        <v>2</v>
      </c>
      <c r="Y117" s="15" cm="1">
        <f t="array" ref="Y117">IFERROR(INDEX(대출권수[],MATCH(1,(자료실기준[[#This Row],[소장처명]]=대출권수[소장처명])*(대출권수[대출반납]="대출")*(자료실기준[[#This Row],[년월]]=대출권수[년월]),0),MATCH(Y$1,대출권수[#Headers],0)),0)</f>
        <v>8</v>
      </c>
      <c r="Z117" s="15" cm="1">
        <f t="array" ref="Z117">IFERROR(INDEX(대출권수[],MATCH(1,(자료실기준[[#This Row],[소장처명]]=대출권수[소장처명])*(대출권수[대출반납]="대출")*(자료실기준[[#This Row],[년월]]=대출권수[년월]),0),MATCH(Z$1,대출권수[#Headers],0)),0)</f>
        <v>7</v>
      </c>
      <c r="AA117" s="15">
        <f>SUM(자료실기준[[#This Row],[총류]:[역사]])</f>
        <v>18</v>
      </c>
    </row>
    <row r="118" spans="1:27" x14ac:dyDescent="0.3">
      <c r="A118" s="5">
        <v>45413</v>
      </c>
      <c r="B118" s="11" t="s">
        <v>11</v>
      </c>
      <c r="C118" s="5" t="str">
        <f>TEXT(자료실기준[[#This Row],[년월]],"yy년m월")&amp;자료실기준[[#This Row],[소장처명]]</f>
        <v>24년5월어린이실(교과5학년)</v>
      </c>
      <c r="D118" t="str">
        <f>IFERROR(INDEX(자료실범례[],MATCH($B118,자료실범례[소장처명],0),2),"종합자료실")</f>
        <v>어린이자료실</v>
      </c>
      <c r="E118" s="15" cm="1">
        <f t="array" ref="E118">IFERROR(INDEX(대출자[],MATCH(1,(자료실기준[[#This Row],[소장처명]]=대출자[소장처명])*(자료실기준[[#This Row],[년월]]=대출자[년월]),0),MATCH(E$1,대출자[#Headers],0)),0)</f>
        <v>5</v>
      </c>
      <c r="F118" s="15" cm="1">
        <f t="array" ref="F118">IFERROR(INDEX(대출자[],MATCH(1,(자료실기준[[#This Row],[소장처명]]=대출자[소장처명])*(자료실기준[[#This Row],[년월]]=대출자[년월]),0),MATCH(F$1,대출자[#Headers],0)),0)</f>
        <v>2</v>
      </c>
      <c r="G118" s="15" cm="1">
        <f t="array" ref="G118">IFERROR(INDEX(대출자[],MATCH(1,(자료실기준[[#This Row],[소장처명]]=대출자[소장처명])*(자료실기준[[#This Row],[년월]]=대출자[년월]),0),MATCH(G$1,대출자[#Headers],0)),0)</f>
        <v>0</v>
      </c>
      <c r="H118" s="15" cm="1">
        <f t="array" ref="H118">IFERROR(INDEX(대출자[],MATCH(1,(자료실기준[[#This Row],[소장처명]]=대출자[소장처명])*(자료실기준[[#This Row],[년월]]=대출자[년월]),0),MATCH(H$1,대출자[#Headers],0)),0)</f>
        <v>0</v>
      </c>
      <c r="I118" s="15" cm="1">
        <f t="array" ref="I118">IFERROR(INDEX(대출자[],MATCH(1,(자료실기준[[#This Row],[소장처명]]=대출자[소장처명])*(자료실기준[[#This Row],[년월]]=대출자[년월]),0),MATCH(I$1,대출자[#Headers],0)),0)</f>
        <v>1</v>
      </c>
      <c r="J118" s="15" cm="1">
        <f t="array" ref="J118">IFERROR(INDEX(대출자[],MATCH(1,(자료실기준[[#This Row],[소장처명]]=대출자[소장처명])*(자료실기준[[#This Row],[년월]]=대출자[년월]),0),MATCH(J$1,대출자[#Headers],0)),0)</f>
        <v>4</v>
      </c>
      <c r="K118" s="15" cm="1">
        <f t="array" ref="K118">IFERROR(INDEX(대출자[],MATCH(1,(자료실기준[[#This Row],[소장처명]]=대출자[소장처명])*(자료실기준[[#This Row],[년월]]=대출자[년월]),0),MATCH(K$1,대출자[#Headers],0)),0)</f>
        <v>7</v>
      </c>
      <c r="L118" s="15" cm="1">
        <f t="array" ref="L118">IFERROR(INDEX(대출자[],MATCH(1,(자료실기준[[#This Row],[소장처명]]=대출자[소장처명])*(자료실기준[[#This Row],[년월]]=대출자[년월]),0),MATCH(L$1,대출자[#Headers],0)),0)</f>
        <v>0</v>
      </c>
      <c r="M118" s="15" cm="1">
        <f t="array" ref="M118">IFERROR(INDEX(대출자[],MATCH(1,(자료실기준[[#This Row],[소장처명]]=대출자[소장처명])*(자료실기준[[#This Row],[년월]]=대출자[년월]),0),MATCH(M$1,대출자[#Headers],0)),0)</f>
        <v>5</v>
      </c>
      <c r="N118" s="15">
        <f>IFERROR(자료실기준[[#This Row],[어린이남자]]+자료실기준[[#This Row],[청소년남자]]+자료실기준[[#This Row],[성인남자]],0)</f>
        <v>6</v>
      </c>
      <c r="O118" s="15">
        <f>IFERROR(자료실기준[[#This Row],[어린이여자]]+자료실기준[[#This Row],[청소년여자]]+자료실기준[[#This Row],[성인여자]],0)</f>
        <v>6</v>
      </c>
      <c r="P118" s="15">
        <f>IFERROR(자료실기준[[#This Row],[남자]]+자료실기준[[#This Row],[여자]],0)</f>
        <v>12</v>
      </c>
      <c r="Q118" s="15" cm="1">
        <f t="array" ref="Q118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18" s="15" cm="1">
        <f t="array" ref="R118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18" s="15" cm="1">
        <f t="array" ref="S118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18" s="15" cm="1">
        <f t="array" ref="T118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18" s="15" cm="1">
        <f t="array" ref="U118">IFERROR(INDEX(대출권수[],MATCH(1,(자료실기준[[#This Row],[소장처명]]=대출권수[소장처명])*(대출권수[대출반납]="대출")*(자료실기준[[#This Row],[년월]]=대출권수[년월]),0),MATCH(U$1,대출권수[#Headers],0)),0)</f>
        <v>1</v>
      </c>
      <c r="V118" s="15" cm="1">
        <f t="array" ref="V118">IFERROR(INDEX(대출권수[],MATCH(1,(자료실기준[[#This Row],[소장처명]]=대출권수[소장처명])*(대출권수[대출반납]="대출")*(자료실기준[[#This Row],[년월]]=대출권수[년월]),0),MATCH(V$1,대출권수[#Headers],0)),0)</f>
        <v>1</v>
      </c>
      <c r="W118" s="15" cm="1">
        <f t="array" ref="W118">IFERROR(INDEX(대출권수[],MATCH(1,(자료실기준[[#This Row],[소장처명]]=대출권수[소장처명])*(대출권수[대출반납]="대출")*(자료실기준[[#This Row],[년월]]=대출권수[년월]),0),MATCH(W$1,대출권수[#Headers],0)),0)</f>
        <v>1</v>
      </c>
      <c r="X118" s="15" cm="1">
        <f t="array" ref="X118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18" s="15" cm="1">
        <f t="array" ref="Y118">IFERROR(INDEX(대출권수[],MATCH(1,(자료실기준[[#This Row],[소장처명]]=대출권수[소장처명])*(대출권수[대출반납]="대출")*(자료실기준[[#This Row],[년월]]=대출권수[년월]),0),MATCH(Y$1,대출권수[#Headers],0)),0)</f>
        <v>16</v>
      </c>
      <c r="Z118" s="15" cm="1">
        <f t="array" ref="Z118">IFERROR(INDEX(대출권수[],MATCH(1,(자료실기준[[#This Row],[소장처명]]=대출권수[소장처명])*(대출권수[대출반납]="대출")*(자료실기준[[#This Row],[년월]]=대출권수[년월]),0),MATCH(Z$1,대출권수[#Headers],0)),0)</f>
        <v>1</v>
      </c>
      <c r="AA118" s="15">
        <f>SUM(자료실기준[[#This Row],[총류]:[역사]])</f>
        <v>20</v>
      </c>
    </row>
    <row r="119" spans="1:27" x14ac:dyDescent="0.3">
      <c r="A119" s="5">
        <v>45413</v>
      </c>
      <c r="B119" s="11" t="s">
        <v>12</v>
      </c>
      <c r="C119" s="5" t="str">
        <f>TEXT(자료실기준[[#This Row],[년월]],"yy년m월")&amp;자료실기준[[#This Row],[소장처명]]</f>
        <v>24년5월어린이실(교과6학년)</v>
      </c>
      <c r="D119" t="str">
        <f>IFERROR(INDEX(자료실범례[],MATCH($B119,자료실범례[소장처명],0),2),"종합자료실")</f>
        <v>어린이자료실</v>
      </c>
      <c r="E119" s="15" cm="1">
        <f t="array" ref="E119">IFERROR(INDEX(대출자[],MATCH(1,(자료실기준[[#This Row],[소장처명]]=대출자[소장처명])*(자료실기준[[#This Row],[년월]]=대출자[년월]),0),MATCH(E$1,대출자[#Headers],0)),0)</f>
        <v>1</v>
      </c>
      <c r="F119" s="15" cm="1">
        <f t="array" ref="F119">IFERROR(INDEX(대출자[],MATCH(1,(자료실기준[[#This Row],[소장처명]]=대출자[소장처명])*(자료실기준[[#This Row],[년월]]=대출자[년월]),0),MATCH(F$1,대출자[#Headers],0)),0)</f>
        <v>1</v>
      </c>
      <c r="G119" s="15" cm="1">
        <f t="array" ref="G119">IFERROR(INDEX(대출자[],MATCH(1,(자료실기준[[#This Row],[소장처명]]=대출자[소장처명])*(자료실기준[[#This Row],[년월]]=대출자[년월]),0),MATCH(G$1,대출자[#Headers],0)),0)</f>
        <v>0</v>
      </c>
      <c r="H119" s="15" cm="1">
        <f t="array" ref="H119">IFERROR(INDEX(대출자[],MATCH(1,(자료실기준[[#This Row],[소장처명]]=대출자[소장처명])*(자료실기준[[#This Row],[년월]]=대출자[년월]),0),MATCH(H$1,대출자[#Headers],0)),0)</f>
        <v>0</v>
      </c>
      <c r="I119" s="15" cm="1">
        <f t="array" ref="I119">IFERROR(INDEX(대출자[],MATCH(1,(자료실기준[[#This Row],[소장처명]]=대출자[소장처명])*(자료실기준[[#This Row],[년월]]=대출자[년월]),0),MATCH(I$1,대출자[#Headers],0)),0)</f>
        <v>0</v>
      </c>
      <c r="J119" s="15" cm="1">
        <f t="array" ref="J119">IFERROR(INDEX(대출자[],MATCH(1,(자료실기준[[#This Row],[소장처명]]=대출자[소장처명])*(자료실기준[[#This Row],[년월]]=대출자[년월]),0),MATCH(J$1,대출자[#Headers],0)),0)</f>
        <v>4</v>
      </c>
      <c r="K119" s="15" cm="1">
        <f t="array" ref="K119">IFERROR(INDEX(대출자[],MATCH(1,(자료실기준[[#This Row],[소장처명]]=대출자[소장처명])*(자료실기준[[#This Row],[년월]]=대출자[년월]),0),MATCH(K$1,대출자[#Headers],0)),0)</f>
        <v>2</v>
      </c>
      <c r="L119" s="15" cm="1">
        <f t="array" ref="L119">IFERROR(INDEX(대출자[],MATCH(1,(자료실기준[[#This Row],[소장처명]]=대출자[소장처명])*(자료실기준[[#This Row],[년월]]=대출자[년월]),0),MATCH(L$1,대출자[#Headers],0)),0)</f>
        <v>0</v>
      </c>
      <c r="M119" s="15" cm="1">
        <f t="array" ref="M119">IFERROR(INDEX(대출자[],MATCH(1,(자료실기준[[#This Row],[소장처명]]=대출자[소장처명])*(자료실기준[[#This Row],[년월]]=대출자[년월]),0),MATCH(M$1,대출자[#Headers],0)),0)</f>
        <v>4</v>
      </c>
      <c r="N119" s="15">
        <f>IFERROR(자료실기준[[#This Row],[어린이남자]]+자료실기준[[#This Row],[청소년남자]]+자료실기준[[#This Row],[성인남자]],0)</f>
        <v>1</v>
      </c>
      <c r="O119" s="15">
        <f>IFERROR(자료실기준[[#This Row],[어린이여자]]+자료실기준[[#This Row],[청소년여자]]+자료실기준[[#This Row],[성인여자]],0)</f>
        <v>5</v>
      </c>
      <c r="P119" s="15">
        <f>IFERROR(자료실기준[[#This Row],[남자]]+자료실기준[[#This Row],[여자]],0)</f>
        <v>6</v>
      </c>
      <c r="Q119" s="15" cm="1">
        <f t="array" ref="Q119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19" s="15" cm="1">
        <f t="array" ref="R119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19" s="15" cm="1">
        <f t="array" ref="S119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19" s="15" cm="1">
        <f t="array" ref="T119">IFERROR(INDEX(대출권수[],MATCH(1,(자료실기준[[#This Row],[소장처명]]=대출권수[소장처명])*(대출권수[대출반납]="대출")*(자료실기준[[#This Row],[년월]]=대출권수[년월]),0),MATCH(T$1,대출권수[#Headers],0)),0)</f>
        <v>3</v>
      </c>
      <c r="U119" s="15" cm="1">
        <f t="array" ref="U119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19" s="15" cm="1">
        <f t="array" ref="V119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19" s="15" cm="1">
        <f t="array" ref="W119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19" s="15" cm="1">
        <f t="array" ref="X119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19" s="15" cm="1">
        <f t="array" ref="Y119">IFERROR(INDEX(대출권수[],MATCH(1,(자료실기준[[#This Row],[소장처명]]=대출권수[소장처명])*(대출권수[대출반납]="대출")*(자료실기준[[#This Row],[년월]]=대출권수[년월]),0),MATCH(Y$1,대출권수[#Headers],0)),0)</f>
        <v>1</v>
      </c>
      <c r="Z119" s="15" cm="1">
        <f t="array" ref="Z119">IFERROR(INDEX(대출권수[],MATCH(1,(자료실기준[[#This Row],[소장처명]]=대출권수[소장처명])*(대출권수[대출반납]="대출")*(자료실기준[[#This Row],[년월]]=대출권수[년월]),0),MATCH(Z$1,대출권수[#Headers],0)),0)</f>
        <v>2</v>
      </c>
      <c r="AA119" s="15">
        <f>SUM(자료실기준[[#This Row],[총류]:[역사]])</f>
        <v>6</v>
      </c>
    </row>
    <row r="120" spans="1:27" x14ac:dyDescent="0.3">
      <c r="A120" s="5">
        <v>45413</v>
      </c>
      <c r="B120" s="11" t="s">
        <v>0</v>
      </c>
      <c r="C120" s="5" t="str">
        <f>TEXT(자료실기준[[#This Row],[년월]],"yy년m월")&amp;자료실기준[[#This Row],[소장처명]]</f>
        <v>24년5월다문화자료실</v>
      </c>
      <c r="D120" t="str">
        <f>IFERROR(INDEX(자료실범례[],MATCH($B120,자료실범례[소장처명],0),2),"종합자료실")</f>
        <v>어린이자료실</v>
      </c>
      <c r="E120" s="15" cm="1">
        <f t="array" ref="E120">IFERROR(INDEX(대출자[],MATCH(1,(자료실기준[[#This Row],[소장처명]]=대출자[소장처명])*(자료실기준[[#This Row],[년월]]=대출자[년월]),0),MATCH(E$1,대출자[#Headers],0)),0)</f>
        <v>3</v>
      </c>
      <c r="F120" s="15" cm="1">
        <f t="array" ref="F120">IFERROR(INDEX(대출자[],MATCH(1,(자료실기준[[#This Row],[소장처명]]=대출자[소장처명])*(자료실기준[[#This Row],[년월]]=대출자[년월]),0),MATCH(F$1,대출자[#Headers],0)),0)</f>
        <v>0</v>
      </c>
      <c r="G120" s="15" cm="1">
        <f t="array" ref="G120">IFERROR(INDEX(대출자[],MATCH(1,(자료실기준[[#This Row],[소장처명]]=대출자[소장처명])*(자료실기준[[#This Row],[년월]]=대출자[년월]),0),MATCH(G$1,대출자[#Headers],0)),0)</f>
        <v>0</v>
      </c>
      <c r="H120" s="15" cm="1">
        <f t="array" ref="H120">IFERROR(INDEX(대출자[],MATCH(1,(자료실기준[[#This Row],[소장처명]]=대출자[소장처명])*(자료실기준[[#This Row],[년월]]=대출자[년월]),0),MATCH(H$1,대출자[#Headers],0)),0)</f>
        <v>0</v>
      </c>
      <c r="I120" s="15" cm="1">
        <f t="array" ref="I120">IFERROR(INDEX(대출자[],MATCH(1,(자료실기준[[#This Row],[소장처명]]=대출자[소장처명])*(자료실기준[[#This Row],[년월]]=대출자[년월]),0),MATCH(I$1,대출자[#Headers],0)),0)</f>
        <v>1</v>
      </c>
      <c r="J120" s="15" cm="1">
        <f t="array" ref="J120">IFERROR(INDEX(대출자[],MATCH(1,(자료실기준[[#This Row],[소장처명]]=대출자[소장처명])*(자료실기준[[#This Row],[년월]]=대출자[년월]),0),MATCH(J$1,대출자[#Headers],0)),0)</f>
        <v>5</v>
      </c>
      <c r="K120" s="15" cm="1">
        <f t="array" ref="K120">IFERROR(INDEX(대출자[],MATCH(1,(자료실기준[[#This Row],[소장처명]]=대출자[소장처명])*(자료실기준[[#This Row],[년월]]=대출자[년월]),0),MATCH(K$1,대출자[#Headers],0)),0)</f>
        <v>3</v>
      </c>
      <c r="L120" s="15" cm="1">
        <f t="array" ref="L120">IFERROR(INDEX(대출자[],MATCH(1,(자료실기준[[#This Row],[소장처명]]=대출자[소장처명])*(자료실기준[[#This Row],[년월]]=대출자[년월]),0),MATCH(L$1,대출자[#Headers],0)),0)</f>
        <v>0</v>
      </c>
      <c r="M120" s="15" cm="1">
        <f t="array" ref="M120">IFERROR(INDEX(대출자[],MATCH(1,(자료실기준[[#This Row],[소장처명]]=대출자[소장처명])*(자료실기준[[#This Row],[년월]]=대출자[년월]),0),MATCH(M$1,대출자[#Headers],0)),0)</f>
        <v>6</v>
      </c>
      <c r="N120" s="15">
        <f>IFERROR(자료실기준[[#This Row],[어린이남자]]+자료실기준[[#This Row],[청소년남자]]+자료실기준[[#This Row],[성인남자]],0)</f>
        <v>4</v>
      </c>
      <c r="O120" s="15">
        <f>IFERROR(자료실기준[[#This Row],[어린이여자]]+자료실기준[[#This Row],[청소년여자]]+자료실기준[[#This Row],[성인여자]],0)</f>
        <v>5</v>
      </c>
      <c r="P120" s="15">
        <f>IFERROR(자료실기준[[#This Row],[남자]]+자료실기준[[#This Row],[여자]],0)</f>
        <v>9</v>
      </c>
      <c r="Q120" s="15" cm="1">
        <f t="array" ref="Q120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20" s="15" cm="1">
        <f t="array" ref="R120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20" s="15" cm="1">
        <f t="array" ref="S120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20" s="15" cm="1">
        <f t="array" ref="T120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20" s="15" cm="1">
        <f t="array" ref="U120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20" s="15" cm="1">
        <f t="array" ref="V120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20" s="15" cm="1">
        <f t="array" ref="W120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20" s="15" cm="1">
        <f t="array" ref="X120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20" s="15" cm="1">
        <f t="array" ref="Y120">IFERROR(INDEX(대출권수[],MATCH(1,(자료실기준[[#This Row],[소장처명]]=대출권수[소장처명])*(대출권수[대출반납]="대출")*(자료실기준[[#This Row],[년월]]=대출권수[년월]),0),MATCH(Y$1,대출권수[#Headers],0)),0)</f>
        <v>14</v>
      </c>
      <c r="Z120" s="15" cm="1">
        <f t="array" ref="Z120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20" s="15">
        <f>SUM(자료실기준[[#This Row],[총류]:[역사]])</f>
        <v>14</v>
      </c>
    </row>
    <row r="121" spans="1:27" x14ac:dyDescent="0.3">
      <c r="A121" s="5">
        <v>45413</v>
      </c>
      <c r="B121" s="11" t="s">
        <v>1</v>
      </c>
      <c r="C121" s="5" t="str">
        <f>TEXT(자료실기준[[#This Row],[년월]],"yy년m월")&amp;자료실기준[[#This Row],[소장처명]]</f>
        <v>24년5월다문화자료실(영어유아)</v>
      </c>
      <c r="D121" t="str">
        <f>IFERROR(INDEX(자료실범례[],MATCH($B121,자료실범례[소장처명],0),2),"종합자료실")</f>
        <v>어린이자료실</v>
      </c>
      <c r="E121" s="15" cm="1">
        <f t="array" ref="E121">IFERROR(INDEX(대출자[],MATCH(1,(자료실기준[[#This Row],[소장처명]]=대출자[소장처명])*(자료실기준[[#This Row],[년월]]=대출자[년월]),0),MATCH(E$1,대출자[#Headers],0)),0)</f>
        <v>2</v>
      </c>
      <c r="F121" s="15" cm="1">
        <f t="array" ref="F121">IFERROR(INDEX(대출자[],MATCH(1,(자료실기준[[#This Row],[소장처명]]=대출자[소장처명])*(자료실기준[[#This Row],[년월]]=대출자[년월]),0),MATCH(F$1,대출자[#Headers],0)),0)</f>
        <v>1</v>
      </c>
      <c r="G121" s="15" cm="1">
        <f t="array" ref="G121">IFERROR(INDEX(대출자[],MATCH(1,(자료실기준[[#This Row],[소장처명]]=대출자[소장처명])*(자료실기준[[#This Row],[년월]]=대출자[년월]),0),MATCH(G$1,대출자[#Headers],0)),0)</f>
        <v>0</v>
      </c>
      <c r="H121" s="15" cm="1">
        <f t="array" ref="H121">IFERROR(INDEX(대출자[],MATCH(1,(자료실기준[[#This Row],[소장처명]]=대출자[소장처명])*(자료실기준[[#This Row],[년월]]=대출자[년월]),0),MATCH(H$1,대출자[#Headers],0)),0)</f>
        <v>0</v>
      </c>
      <c r="I121" s="15" cm="1">
        <f t="array" ref="I121">IFERROR(INDEX(대출자[],MATCH(1,(자료실기준[[#This Row],[소장처명]]=대출자[소장처명])*(자료실기준[[#This Row],[년월]]=대출자[년월]),0),MATCH(I$1,대출자[#Headers],0)),0)</f>
        <v>2</v>
      </c>
      <c r="J121" s="15" cm="1">
        <f t="array" ref="J121">IFERROR(INDEX(대출자[],MATCH(1,(자료실기준[[#This Row],[소장처명]]=대출자[소장처명])*(자료실기준[[#This Row],[년월]]=대출자[년월]),0),MATCH(J$1,대출자[#Headers],0)),0)</f>
        <v>3</v>
      </c>
      <c r="K121" s="15" cm="1">
        <f t="array" ref="K121">IFERROR(INDEX(대출자[],MATCH(1,(자료실기준[[#This Row],[소장처명]]=대출자[소장처명])*(자료실기준[[#This Row],[년월]]=대출자[년월]),0),MATCH(K$1,대출자[#Headers],0)),0)</f>
        <v>3</v>
      </c>
      <c r="L121" s="15" cm="1">
        <f t="array" ref="L121">IFERROR(INDEX(대출자[],MATCH(1,(자료실기준[[#This Row],[소장처명]]=대출자[소장처명])*(자료실기준[[#This Row],[년월]]=대출자[년월]),0),MATCH(L$1,대출자[#Headers],0)),0)</f>
        <v>0</v>
      </c>
      <c r="M121" s="15" cm="1">
        <f t="array" ref="M121">IFERROR(INDEX(대출자[],MATCH(1,(자료실기준[[#This Row],[소장처명]]=대출자[소장처명])*(자료실기준[[#This Row],[년월]]=대출자[년월]),0),MATCH(M$1,대출자[#Headers],0)),0)</f>
        <v>5</v>
      </c>
      <c r="N121" s="15">
        <f>IFERROR(자료실기준[[#This Row],[어린이남자]]+자료실기준[[#This Row],[청소년남자]]+자료실기준[[#This Row],[성인남자]],0)</f>
        <v>4</v>
      </c>
      <c r="O121" s="15">
        <f>IFERROR(자료실기준[[#This Row],[어린이여자]]+자료실기준[[#This Row],[청소년여자]]+자료실기준[[#This Row],[성인여자]],0)</f>
        <v>4</v>
      </c>
      <c r="P121" s="15">
        <f>IFERROR(자료실기준[[#This Row],[남자]]+자료실기준[[#This Row],[여자]],0)</f>
        <v>8</v>
      </c>
      <c r="Q121" s="15" cm="1">
        <f t="array" ref="Q121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21" s="15" cm="1">
        <f t="array" ref="R121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21" s="15" cm="1">
        <f t="array" ref="S121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21" s="15" cm="1">
        <f t="array" ref="T121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21" s="15" cm="1">
        <f t="array" ref="U121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21" s="15" cm="1">
        <f t="array" ref="V121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21" s="15" cm="1">
        <f t="array" ref="W121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21" s="15" cm="1">
        <f t="array" ref="X121">IFERROR(INDEX(대출권수[],MATCH(1,(자료실기준[[#This Row],[소장처명]]=대출권수[소장처명])*(대출권수[대출반납]="대출")*(자료실기준[[#This Row],[년월]]=대출권수[년월]),0),MATCH(X$1,대출권수[#Headers],0)),0)</f>
        <v>29</v>
      </c>
      <c r="Y121" s="15" cm="1">
        <f t="array" ref="Y121">IFERROR(INDEX(대출권수[],MATCH(1,(자료실기준[[#This Row],[소장처명]]=대출권수[소장처명])*(대출권수[대출반납]="대출")*(자료실기준[[#This Row],[년월]]=대출권수[년월]),0),MATCH(Y$1,대출권수[#Headers],0)),0)</f>
        <v>4</v>
      </c>
      <c r="Z121" s="15" cm="1">
        <f t="array" ref="Z121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21" s="15">
        <f>SUM(자료실기준[[#This Row],[총류]:[역사]])</f>
        <v>33</v>
      </c>
    </row>
    <row r="122" spans="1:27" x14ac:dyDescent="0.3">
      <c r="A122" s="5">
        <v>45413</v>
      </c>
      <c r="B122" s="11" t="s">
        <v>6</v>
      </c>
      <c r="C122" s="5" t="str">
        <f>TEXT(자료실기준[[#This Row],[년월]],"yy년m월")&amp;자료실기준[[#This Row],[소장처명]]</f>
        <v>24년5월스마트도서관</v>
      </c>
      <c r="D122" t="str">
        <f>IFERROR(INDEX(자료실범례[],MATCH($B122,자료실범례[소장처명],0),2),"종합자료실")</f>
        <v>종합자료실</v>
      </c>
      <c r="E122" s="15" cm="1">
        <f t="array" ref="E122">IFERROR(INDEX(대출자[],MATCH(1,(자료실기준[[#This Row],[소장처명]]=대출자[소장처명])*(자료실기준[[#This Row],[년월]]=대출자[년월]),0),MATCH(E$1,대출자[#Headers],0)),0)</f>
        <v>4</v>
      </c>
      <c r="F122" s="15" cm="1">
        <f t="array" ref="F122">IFERROR(INDEX(대출자[],MATCH(1,(자료실기준[[#This Row],[소장처명]]=대출자[소장처명])*(자료실기준[[#This Row],[년월]]=대출자[년월]),0),MATCH(F$1,대출자[#Headers],0)),0)</f>
        <v>7</v>
      </c>
      <c r="G122" s="15" cm="1">
        <f t="array" ref="G122">IFERROR(INDEX(대출자[],MATCH(1,(자료실기준[[#This Row],[소장처명]]=대출자[소장처명])*(자료실기준[[#This Row],[년월]]=대출자[년월]),0),MATCH(G$1,대출자[#Headers],0)),0)</f>
        <v>1</v>
      </c>
      <c r="H122" s="15" cm="1">
        <f t="array" ref="H122">IFERROR(INDEX(대출자[],MATCH(1,(자료실기준[[#This Row],[소장처명]]=대출자[소장처명])*(자료실기준[[#This Row],[년월]]=대출자[년월]),0),MATCH(H$1,대출자[#Headers],0)),0)</f>
        <v>3</v>
      </c>
      <c r="I122" s="15" cm="1">
        <f t="array" ref="I122">IFERROR(INDEX(대출자[],MATCH(1,(자료실기준[[#This Row],[소장처명]]=대출자[소장처명])*(자료실기준[[#This Row],[년월]]=대출자[년월]),0),MATCH(I$1,대출자[#Headers],0)),0)</f>
        <v>4</v>
      </c>
      <c r="J122" s="15" cm="1">
        <f t="array" ref="J122">IFERROR(INDEX(대출자[],MATCH(1,(자료실기준[[#This Row],[소장처명]]=대출자[소장처명])*(자료실기준[[#This Row],[년월]]=대출자[년월]),0),MATCH(J$1,대출자[#Headers],0)),0)</f>
        <v>11</v>
      </c>
      <c r="K122" s="15" cm="1">
        <f t="array" ref="K122">IFERROR(INDEX(대출자[],MATCH(1,(자료실기준[[#This Row],[소장처명]]=대출자[소장처명])*(자료실기준[[#This Row],[년월]]=대출자[년월]),0),MATCH(K$1,대출자[#Headers],0)),0)</f>
        <v>11</v>
      </c>
      <c r="L122" s="15" cm="1">
        <f t="array" ref="L122">IFERROR(INDEX(대출자[],MATCH(1,(자료실기준[[#This Row],[소장처명]]=대출자[소장처명])*(자료실기준[[#This Row],[년월]]=대출자[년월]),0),MATCH(L$1,대출자[#Headers],0)),0)</f>
        <v>4</v>
      </c>
      <c r="M122" s="15" cm="1">
        <f t="array" ref="M122">IFERROR(INDEX(대출자[],MATCH(1,(자료실기준[[#This Row],[소장처명]]=대출자[소장처명])*(자료실기준[[#This Row],[년월]]=대출자[년월]),0),MATCH(M$1,대출자[#Headers],0)),0)</f>
        <v>15</v>
      </c>
      <c r="N122" s="15">
        <f>IFERROR(자료실기준[[#This Row],[어린이남자]]+자료실기준[[#This Row],[청소년남자]]+자료실기준[[#This Row],[성인남자]],0)</f>
        <v>9</v>
      </c>
      <c r="O122" s="15">
        <f>IFERROR(자료실기준[[#This Row],[어린이여자]]+자료실기준[[#This Row],[청소년여자]]+자료실기준[[#This Row],[성인여자]],0)</f>
        <v>21</v>
      </c>
      <c r="P122" s="15">
        <f>IFERROR(자료실기준[[#This Row],[남자]]+자료실기준[[#This Row],[여자]],0)</f>
        <v>30</v>
      </c>
      <c r="Q122" s="15" cm="1">
        <f t="array" ref="Q122">IFERROR(INDEX(대출권수[],MATCH(1,(자료실기준[[#This Row],[소장처명]]=대출권수[소장처명])*(대출권수[대출반납]="대출")*(자료실기준[[#This Row],[년월]]=대출권수[년월]),0),MATCH(Q$1,대출권수[#Headers],0)),0)</f>
        <v>2</v>
      </c>
      <c r="R122" s="15" cm="1">
        <f t="array" ref="R122">IFERROR(INDEX(대출권수[],MATCH(1,(자료실기준[[#This Row],[소장처명]]=대출권수[소장처명])*(대출권수[대출반납]="대출")*(자료실기준[[#This Row],[년월]]=대출권수[년월]),0),MATCH(R$1,대출권수[#Headers],0)),0)</f>
        <v>1</v>
      </c>
      <c r="S122" s="15" cm="1">
        <f t="array" ref="S122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22" s="15" cm="1">
        <f t="array" ref="T122">IFERROR(INDEX(대출권수[],MATCH(1,(자료실기준[[#This Row],[소장처명]]=대출권수[소장처명])*(대출권수[대출반납]="대출")*(자료실기준[[#This Row],[년월]]=대출권수[년월]),0),MATCH(T$1,대출권수[#Headers],0)),0)</f>
        <v>8</v>
      </c>
      <c r="U122" s="15" cm="1">
        <f t="array" ref="U122">IFERROR(INDEX(대출권수[],MATCH(1,(자료실기준[[#This Row],[소장처명]]=대출권수[소장처명])*(대출권수[대출반납]="대출")*(자료실기준[[#This Row],[년월]]=대출권수[년월]),0),MATCH(U$1,대출권수[#Headers],0)),0)</f>
        <v>9</v>
      </c>
      <c r="V122" s="15" cm="1">
        <f t="array" ref="V122">IFERROR(INDEX(대출권수[],MATCH(1,(자료실기준[[#This Row],[소장처명]]=대출권수[소장처명])*(대출권수[대출반납]="대출")*(자료실기준[[#This Row],[년월]]=대출권수[년월]),0),MATCH(V$1,대출권수[#Headers],0)),0)</f>
        <v>4</v>
      </c>
      <c r="W122" s="15" cm="1">
        <f t="array" ref="W122">IFERROR(INDEX(대출권수[],MATCH(1,(자료실기준[[#This Row],[소장처명]]=대출권수[소장처명])*(대출권수[대출반납]="대출")*(자료실기준[[#This Row],[년월]]=대출권수[년월]),0),MATCH(W$1,대출권수[#Headers],0)),0)</f>
        <v>5</v>
      </c>
      <c r="X122" s="15" cm="1">
        <f t="array" ref="X122">IFERROR(INDEX(대출권수[],MATCH(1,(자료실기준[[#This Row],[소장처명]]=대출권수[소장처명])*(대출권수[대출반납]="대출")*(자료실기준[[#This Row],[년월]]=대출권수[년월]),0),MATCH(X$1,대출권수[#Headers],0)),0)</f>
        <v>3</v>
      </c>
      <c r="Y122" s="15" cm="1">
        <f t="array" ref="Y122">IFERROR(INDEX(대출권수[],MATCH(1,(자료실기준[[#This Row],[소장처명]]=대출권수[소장처명])*(대출권수[대출반납]="대출")*(자료실기준[[#This Row],[년월]]=대출권수[년월]),0),MATCH(Y$1,대출권수[#Headers],0)),0)</f>
        <v>37</v>
      </c>
      <c r="Z122" s="15" cm="1">
        <f t="array" ref="Z122">IFERROR(INDEX(대출권수[],MATCH(1,(자료실기준[[#This Row],[소장처명]]=대출권수[소장처명])*(대출권수[대출반납]="대출")*(자료실기준[[#This Row],[년월]]=대출권수[년월]),0),MATCH(Z$1,대출권수[#Headers],0)),0)</f>
        <v>2</v>
      </c>
      <c r="AA122" s="15">
        <f>SUM(자료실기준[[#This Row],[총류]:[역사]])</f>
        <v>71</v>
      </c>
    </row>
    <row r="123" spans="1:27" x14ac:dyDescent="0.3">
      <c r="A123" s="5">
        <v>45413</v>
      </c>
      <c r="B123" s="11" t="s">
        <v>18</v>
      </c>
      <c r="C123" s="5" t="str">
        <f>TEXT(자료실기준[[#This Row],[년월]],"yy년m월")&amp;자료실기준[[#This Row],[소장처명]]</f>
        <v>24년5월정기간행물(종합)</v>
      </c>
      <c r="D123" t="str">
        <f>IFERROR(INDEX(자료실범례[],MATCH($B123,자료실범례[소장처명],0),2),"종합자료실")</f>
        <v>종합자료실</v>
      </c>
      <c r="E123" s="15" cm="1">
        <f t="array" ref="E123">IFERROR(INDEX(대출자[],MATCH(1,(자료실기준[[#This Row],[소장처명]]=대출자[소장처명])*(자료실기준[[#This Row],[년월]]=대출자[년월]),0),MATCH(E$1,대출자[#Headers],0)),0)</f>
        <v>0</v>
      </c>
      <c r="F123" s="15" cm="1">
        <f t="array" ref="F123">IFERROR(INDEX(대출자[],MATCH(1,(자료실기준[[#This Row],[소장처명]]=대출자[소장처명])*(자료실기준[[#This Row],[년월]]=대출자[년월]),0),MATCH(F$1,대출자[#Headers],0)),0)</f>
        <v>0</v>
      </c>
      <c r="G123" s="15" cm="1">
        <f t="array" ref="G123">IFERROR(INDEX(대출자[],MATCH(1,(자료실기준[[#This Row],[소장처명]]=대출자[소장처명])*(자료실기준[[#This Row],[년월]]=대출자[년월]),0),MATCH(G$1,대출자[#Headers],0)),0)</f>
        <v>0</v>
      </c>
      <c r="H123" s="15" cm="1">
        <f t="array" ref="H123">IFERROR(INDEX(대출자[],MATCH(1,(자료실기준[[#This Row],[소장처명]]=대출자[소장처명])*(자료실기준[[#This Row],[년월]]=대출자[년월]),0),MATCH(H$1,대출자[#Headers],0)),0)</f>
        <v>0</v>
      </c>
      <c r="I123" s="15" cm="1">
        <f t="array" ref="I123">IFERROR(INDEX(대출자[],MATCH(1,(자료실기준[[#This Row],[소장처명]]=대출자[소장처명])*(자료실기준[[#This Row],[년월]]=대출자[년월]),0),MATCH(I$1,대출자[#Headers],0)),0)</f>
        <v>2</v>
      </c>
      <c r="J123" s="15" cm="1">
        <f t="array" ref="J123">IFERROR(INDEX(대출자[],MATCH(1,(자료실기준[[#This Row],[소장처명]]=대출자[소장처명])*(자료실기준[[#This Row],[년월]]=대출자[년월]),0),MATCH(J$1,대출자[#Headers],0)),0)</f>
        <v>0</v>
      </c>
      <c r="K123" s="15" cm="1">
        <f t="array" ref="K123">IFERROR(INDEX(대출자[],MATCH(1,(자료실기준[[#This Row],[소장처명]]=대출자[소장처명])*(자료실기준[[#This Row],[년월]]=대출자[년월]),0),MATCH(K$1,대출자[#Headers],0)),0)</f>
        <v>0</v>
      </c>
      <c r="L123" s="15" cm="1">
        <f t="array" ref="L123">IFERROR(INDEX(대출자[],MATCH(1,(자료실기준[[#This Row],[소장처명]]=대출자[소장처명])*(자료실기준[[#This Row],[년월]]=대출자[년월]),0),MATCH(L$1,대출자[#Headers],0)),0)</f>
        <v>0</v>
      </c>
      <c r="M123" s="15" cm="1">
        <f t="array" ref="M123">IFERROR(INDEX(대출자[],MATCH(1,(자료실기준[[#This Row],[소장처명]]=대출자[소장처명])*(자료실기준[[#This Row],[년월]]=대출자[년월]),0),MATCH(M$1,대출자[#Headers],0)),0)</f>
        <v>2</v>
      </c>
      <c r="N123" s="15">
        <f>IFERROR(자료실기준[[#This Row],[어린이남자]]+자료실기준[[#This Row],[청소년남자]]+자료실기준[[#This Row],[성인남자]],0)</f>
        <v>2</v>
      </c>
      <c r="O123" s="15">
        <f>IFERROR(자료실기준[[#This Row],[어린이여자]]+자료실기준[[#This Row],[청소년여자]]+자료실기준[[#This Row],[성인여자]],0)</f>
        <v>0</v>
      </c>
      <c r="P123" s="15">
        <f>IFERROR(자료실기준[[#This Row],[남자]]+자료실기준[[#This Row],[여자]],0)</f>
        <v>2</v>
      </c>
      <c r="Q123" s="15" cm="1">
        <f t="array" ref="Q123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23" s="15" cm="1">
        <f t="array" ref="R123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23" s="15" cm="1">
        <f t="array" ref="S123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23" s="15" cm="1">
        <f t="array" ref="T123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23" s="15" cm="1">
        <f t="array" ref="U123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23" s="15" cm="1">
        <f t="array" ref="V123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23" s="15" cm="1">
        <f t="array" ref="W123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23" s="15" cm="1">
        <f t="array" ref="X123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23" s="15" cm="1">
        <f t="array" ref="Y123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123" s="15" cm="1">
        <f t="array" ref="Z123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23" s="15">
        <f>SUM(자료실기준[[#This Row],[총류]:[역사]])</f>
        <v>0</v>
      </c>
    </row>
    <row r="124" spans="1:27" x14ac:dyDescent="0.3">
      <c r="A124" s="5">
        <v>45413</v>
      </c>
      <c r="B124" s="11" t="s">
        <v>17</v>
      </c>
      <c r="C124" s="5" t="str">
        <f>TEXT(자료실기준[[#This Row],[년월]],"yy년m월")&amp;자료실기준[[#This Row],[소장처명]]</f>
        <v>24년5월정기간행물(어린이)</v>
      </c>
      <c r="D124" t="str">
        <f>IFERROR(INDEX(자료실범례[],MATCH($B124,자료실범례[소장처명],0),2),"종합자료실")</f>
        <v>어린이자료실</v>
      </c>
      <c r="E124" s="15" cm="1">
        <f t="array" ref="E124">IFERROR(INDEX(대출자[],MATCH(1,(자료실기준[[#This Row],[소장처명]]=대출자[소장처명])*(자료실기준[[#This Row],[년월]]=대출자[년월]),0),MATCH(E$1,대출자[#Headers],0)),0)</f>
        <v>0</v>
      </c>
      <c r="F124" s="15" cm="1">
        <f t="array" ref="F124">IFERROR(INDEX(대출자[],MATCH(1,(자료실기준[[#This Row],[소장처명]]=대출자[소장처명])*(자료실기준[[#This Row],[년월]]=대출자[년월]),0),MATCH(F$1,대출자[#Headers],0)),0)</f>
        <v>0</v>
      </c>
      <c r="G124" s="15" cm="1">
        <f t="array" ref="G124">IFERROR(INDEX(대출자[],MATCH(1,(자료실기준[[#This Row],[소장처명]]=대출자[소장처명])*(자료실기준[[#This Row],[년월]]=대출자[년월]),0),MATCH(G$1,대출자[#Headers],0)),0)</f>
        <v>0</v>
      </c>
      <c r="H124" s="15" cm="1">
        <f t="array" ref="H124">IFERROR(INDEX(대출자[],MATCH(1,(자료실기준[[#This Row],[소장처명]]=대출자[소장처명])*(자료실기준[[#This Row],[년월]]=대출자[년월]),0),MATCH(H$1,대출자[#Headers],0)),0)</f>
        <v>0</v>
      </c>
      <c r="I124" s="15" cm="1">
        <f t="array" ref="I124">IFERROR(INDEX(대출자[],MATCH(1,(자료실기준[[#This Row],[소장처명]]=대출자[소장처명])*(자료실기준[[#This Row],[년월]]=대출자[년월]),0),MATCH(I$1,대출자[#Headers],0)),0)</f>
        <v>1</v>
      </c>
      <c r="J124" s="15" cm="1">
        <f t="array" ref="J124">IFERROR(INDEX(대출자[],MATCH(1,(자료실기준[[#This Row],[소장처명]]=대출자[소장처명])*(자료실기준[[#This Row],[년월]]=대출자[년월]),0),MATCH(J$1,대출자[#Headers],0)),0)</f>
        <v>2</v>
      </c>
      <c r="K124" s="15" cm="1">
        <f t="array" ref="K124">IFERROR(INDEX(대출자[],MATCH(1,(자료실기준[[#This Row],[소장처명]]=대출자[소장처명])*(자료실기준[[#This Row],[년월]]=대출자[년월]),0),MATCH(K$1,대출자[#Headers],0)),0)</f>
        <v>0</v>
      </c>
      <c r="L124" s="15" cm="1">
        <f t="array" ref="L124">IFERROR(INDEX(대출자[],MATCH(1,(자료실기준[[#This Row],[소장처명]]=대출자[소장처명])*(자료실기준[[#This Row],[년월]]=대출자[년월]),0),MATCH(L$1,대출자[#Headers],0)),0)</f>
        <v>0</v>
      </c>
      <c r="M124" s="15" cm="1">
        <f t="array" ref="M124">IFERROR(INDEX(대출자[],MATCH(1,(자료실기준[[#This Row],[소장처명]]=대출자[소장처명])*(자료실기준[[#This Row],[년월]]=대출자[년월]),0),MATCH(M$1,대출자[#Headers],0)),0)</f>
        <v>3</v>
      </c>
      <c r="N124" s="15">
        <f>IFERROR(자료실기준[[#This Row],[어린이남자]]+자료실기준[[#This Row],[청소년남자]]+자료실기준[[#This Row],[성인남자]],0)</f>
        <v>1</v>
      </c>
      <c r="O124" s="15">
        <f>IFERROR(자료실기준[[#This Row],[어린이여자]]+자료실기준[[#This Row],[청소년여자]]+자료실기준[[#This Row],[성인여자]],0)</f>
        <v>2</v>
      </c>
      <c r="P124" s="15">
        <f>IFERROR(자료실기준[[#This Row],[남자]]+자료실기준[[#This Row],[여자]],0)</f>
        <v>3</v>
      </c>
      <c r="Q124" s="15" cm="1">
        <f t="array" ref="Q124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24" s="15" cm="1">
        <f t="array" ref="R124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24" s="15" cm="1">
        <f t="array" ref="S124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24" s="15" cm="1">
        <f t="array" ref="T124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24" s="15" cm="1">
        <f t="array" ref="U124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24" s="15" cm="1">
        <f t="array" ref="V124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24" s="15" cm="1">
        <f t="array" ref="W124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24" s="15" cm="1">
        <f t="array" ref="X124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24" s="15" cm="1">
        <f t="array" ref="Y124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124" s="15" cm="1">
        <f t="array" ref="Z124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24" s="15">
        <f>SUM(자료실기준[[#This Row],[총류]:[역사]])</f>
        <v>0</v>
      </c>
    </row>
    <row r="125" spans="1:27" x14ac:dyDescent="0.3">
      <c r="A125" s="5">
        <v>45413</v>
      </c>
      <c r="B125" s="11" t="s">
        <v>454</v>
      </c>
      <c r="C125" s="5" t="str">
        <f>TEXT(자료실기준[[#This Row],[년월]],"yy년m월")&amp;자료실기준[[#This Row],[소장처명]]</f>
        <v>24년5월기타</v>
      </c>
      <c r="D125" t="str">
        <f>IFERROR(INDEX(자료실범례[],MATCH($B125,자료실범례[소장처명],0),2),"종합자료실")</f>
        <v>종합자료실</v>
      </c>
      <c r="E125" s="9">
        <f t="array" ref="E125">IFERROR(INDEX(대출자[],MATCH(1,(자료실기준[[#This Row],[소장처명]]=대출자[소장처명])*(자료실기준[[#This Row],[년월]]=대출자[년월]),0),MATCH(E$1,대출자[#Headers],0)),0)</f>
        <v>0</v>
      </c>
      <c r="F125" s="9">
        <f t="array" ref="F125">IFERROR(INDEX(대출자[],MATCH(1,(자료실기준[[#This Row],[소장처명]]=대출자[소장처명])*(자료실기준[[#This Row],[년월]]=대출자[년월]),0),MATCH(F$1,대출자[#Headers],0)),0)</f>
        <v>0</v>
      </c>
      <c r="G125" s="9">
        <f t="array" ref="G125">IFERROR(INDEX(대출자[],MATCH(1,(자료실기준[[#This Row],[소장처명]]=대출자[소장처명])*(자료실기준[[#This Row],[년월]]=대출자[년월]),0),MATCH(G$1,대출자[#Headers],0)),0)</f>
        <v>0</v>
      </c>
      <c r="H125" s="9">
        <f t="array" ref="H125">IFERROR(INDEX(대출자[],MATCH(1,(자료실기준[[#This Row],[소장처명]]=대출자[소장처명])*(자료실기준[[#This Row],[년월]]=대출자[년월]),0),MATCH(H$1,대출자[#Headers],0)),0)</f>
        <v>0</v>
      </c>
      <c r="I125" s="9">
        <f t="array" ref="I125">IFERROR(INDEX(대출자[],MATCH(1,(자료실기준[[#This Row],[소장처명]]=대출자[소장처명])*(자료실기준[[#This Row],[년월]]=대출자[년월]),0),MATCH(I$1,대출자[#Headers],0)),0)</f>
        <v>0</v>
      </c>
      <c r="J125" s="9">
        <f t="array" ref="J125">IFERROR(INDEX(대출자[],MATCH(1,(자료실기준[[#This Row],[소장처명]]=대출자[소장처명])*(자료실기준[[#This Row],[년월]]=대출자[년월]),0),MATCH(J$1,대출자[#Headers],0)),0)</f>
        <v>0</v>
      </c>
      <c r="K125" s="9">
        <f t="array" ref="K125">IFERROR(INDEX(대출자[],MATCH(1,(자료실기준[[#This Row],[소장처명]]=대출자[소장처명])*(자료실기준[[#This Row],[년월]]=대출자[년월]),0),MATCH(K$1,대출자[#Headers],0)),0)</f>
        <v>0</v>
      </c>
      <c r="L125" s="9">
        <f t="array" ref="L125">IFERROR(INDEX(대출자[],MATCH(1,(자료실기준[[#This Row],[소장처명]]=대출자[소장처명])*(자료실기준[[#This Row],[년월]]=대출자[년월]),0),MATCH(L$1,대출자[#Headers],0)),0)</f>
        <v>0</v>
      </c>
      <c r="M125" s="9">
        <f t="array" ref="M125">IFERROR(INDEX(대출자[],MATCH(1,(자료실기준[[#This Row],[소장처명]]=대출자[소장처명])*(자료실기준[[#This Row],[년월]]=대출자[년월]),0),MATCH(M$1,대출자[#Headers],0)),0)</f>
        <v>0</v>
      </c>
      <c r="N125" s="9">
        <f>IFERROR(자료실기준[[#This Row],[어린이남자]]+자료실기준[[#This Row],[청소년남자]]+자료실기준[[#This Row],[성인남자]],0)</f>
        <v>0</v>
      </c>
      <c r="O125" s="9">
        <f>IFERROR(자료실기준[[#This Row],[어린이여자]]+자료실기준[[#This Row],[청소년여자]]+자료실기준[[#This Row],[성인여자]],0)</f>
        <v>0</v>
      </c>
      <c r="P125" s="9">
        <f>IFERROR(자료실기준[[#This Row],[남자]]+자료실기준[[#This Row],[여자]],0)</f>
        <v>0</v>
      </c>
      <c r="Q125" s="9">
        <f t="array" ref="Q125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25" s="9">
        <f t="array" ref="R125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25" s="9">
        <f t="array" ref="S125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25" s="9">
        <f t="array" ref="T125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25" s="9">
        <f t="array" ref="U125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25" s="9">
        <f t="array" ref="V125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25" s="9">
        <f t="array" ref="W125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25" s="9">
        <f t="array" ref="X125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25" s="9">
        <f t="array" ref="Y125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125" s="9">
        <f t="array" ref="Z125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25" s="9">
        <f>SUM(자료실기준[[#This Row],[총류]:[역사]])</f>
        <v>0</v>
      </c>
    </row>
    <row r="126" spans="1:27" x14ac:dyDescent="0.3">
      <c r="A126" s="5">
        <v>45413</v>
      </c>
      <c r="B126" s="11"/>
      <c r="C126" s="5" t="str">
        <f>TEXT(자료실기준[[#This Row],[년월]],"yy년m월")&amp;자료실기준[[#This Row],[소장처명]]</f>
        <v>24년5월</v>
      </c>
      <c r="D126" t="str">
        <f>IFERROR(INDEX(자료실범례[],MATCH($B126,자료실범례[소장처명],0),2),"종합자료실")</f>
        <v>종합자료실</v>
      </c>
      <c r="E126" s="9">
        <f t="array" ref="E126">IFERROR(INDEX(대출자[],MATCH(1,(자료실기준[[#This Row],[소장처명]]=대출자[소장처명])*(자료실기준[[#This Row],[년월]]=대출자[년월]),0),MATCH(E$1,대출자[#Headers],0)),0)</f>
        <v>0</v>
      </c>
      <c r="F126" s="9">
        <f t="array" ref="F126">IFERROR(INDEX(대출자[],MATCH(1,(자료실기준[[#This Row],[소장처명]]=대출자[소장처명])*(자료실기준[[#This Row],[년월]]=대출자[년월]),0),MATCH(F$1,대출자[#Headers],0)),0)</f>
        <v>0</v>
      </c>
      <c r="G126" s="9">
        <f t="array" ref="G126">IFERROR(INDEX(대출자[],MATCH(1,(자료실기준[[#This Row],[소장처명]]=대출자[소장처명])*(자료실기준[[#This Row],[년월]]=대출자[년월]),0),MATCH(G$1,대출자[#Headers],0)),0)</f>
        <v>0</v>
      </c>
      <c r="H126" s="9">
        <f t="array" ref="H126">IFERROR(INDEX(대출자[],MATCH(1,(자료실기준[[#This Row],[소장처명]]=대출자[소장처명])*(자료실기준[[#This Row],[년월]]=대출자[년월]),0),MATCH(H$1,대출자[#Headers],0)),0)</f>
        <v>0</v>
      </c>
      <c r="I126" s="9">
        <f t="array" ref="I126">IFERROR(INDEX(대출자[],MATCH(1,(자료실기준[[#This Row],[소장처명]]=대출자[소장처명])*(자료실기준[[#This Row],[년월]]=대출자[년월]),0),MATCH(I$1,대출자[#Headers],0)),0)</f>
        <v>0</v>
      </c>
      <c r="J126" s="9">
        <f t="array" ref="J126">IFERROR(INDEX(대출자[],MATCH(1,(자료실기준[[#This Row],[소장처명]]=대출자[소장처명])*(자료실기준[[#This Row],[년월]]=대출자[년월]),0),MATCH(J$1,대출자[#Headers],0)),0)</f>
        <v>0</v>
      </c>
      <c r="K126" s="9">
        <f t="array" ref="K126">IFERROR(INDEX(대출자[],MATCH(1,(자료실기준[[#This Row],[소장처명]]=대출자[소장처명])*(자료실기준[[#This Row],[년월]]=대출자[년월]),0),MATCH(K$1,대출자[#Headers],0)),0)</f>
        <v>0</v>
      </c>
      <c r="L126" s="9">
        <f t="array" ref="L126">IFERROR(INDEX(대출자[],MATCH(1,(자료실기준[[#This Row],[소장처명]]=대출자[소장처명])*(자료실기준[[#This Row],[년월]]=대출자[년월]),0),MATCH(L$1,대출자[#Headers],0)),0)</f>
        <v>0</v>
      </c>
      <c r="M126" s="9">
        <f t="array" ref="M126">IFERROR(INDEX(대출자[],MATCH(1,(자료실기준[[#This Row],[소장처명]]=대출자[소장처명])*(자료실기준[[#This Row],[년월]]=대출자[년월]),0),MATCH(M$1,대출자[#Headers],0)),0)</f>
        <v>0</v>
      </c>
      <c r="N126" s="9">
        <f>IFERROR(자료실기준[[#This Row],[어린이남자]]+자료실기준[[#This Row],[청소년남자]]+자료실기준[[#This Row],[성인남자]],0)</f>
        <v>0</v>
      </c>
      <c r="O126" s="9">
        <f>IFERROR(자료실기준[[#This Row],[어린이여자]]+자료실기준[[#This Row],[청소년여자]]+자료실기준[[#This Row],[성인여자]],0)</f>
        <v>0</v>
      </c>
      <c r="P126" s="9">
        <f>IFERROR(자료실기준[[#This Row],[남자]]+자료실기준[[#This Row],[여자]],0)</f>
        <v>0</v>
      </c>
      <c r="Q126" s="9">
        <f t="array" ref="Q126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26" s="9">
        <f t="array" ref="R126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26" s="9">
        <f t="array" ref="S126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26" s="9">
        <f t="array" ref="T126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26" s="9">
        <f t="array" ref="U126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26" s="9">
        <f t="array" ref="V126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26" s="9">
        <f t="array" ref="W126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26" s="9">
        <f t="array" ref="X126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26" s="9">
        <f t="array" ref="Y126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126" s="9">
        <f t="array" ref="Z126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26" s="9">
        <f>SUM(자료실기준[[#This Row],[총류]:[역사]])</f>
        <v>0</v>
      </c>
    </row>
    <row r="127" spans="1:27" x14ac:dyDescent="0.3">
      <c r="A127" s="5">
        <v>45444</v>
      </c>
      <c r="B127" s="11" t="s">
        <v>21</v>
      </c>
      <c r="C127" s="5" t="str">
        <f>TEXT(자료실기준[[#This Row],[년월]],"yy년m월")&amp;자료실기준[[#This Row],[소장처명]]</f>
        <v>24년6월종합자료실</v>
      </c>
      <c r="D127" t="str">
        <f>IFERROR(INDEX(자료실범례[],MATCH($B127,자료실범례[소장처명],0),2),"종합자료실")</f>
        <v>종합자료실</v>
      </c>
      <c r="E127" s="9">
        <f t="array" ref="E127">IFERROR(INDEX(대출자[],MATCH(1,(자료실기준[[#This Row],[소장처명]]=대출자[소장처명])*(자료실기준[[#This Row],[년월]]=대출자[년월]),0),MATCH(E$1,대출자[#Headers],0)),0)</f>
        <v>12</v>
      </c>
      <c r="F127" s="9">
        <f t="array" ref="F127">IFERROR(INDEX(대출자[],MATCH(1,(자료실기준[[#This Row],[소장처명]]=대출자[소장처명])*(자료실기준[[#This Row],[년월]]=대출자[년월]),0),MATCH(F$1,대출자[#Headers],0)),0)</f>
        <v>7</v>
      </c>
      <c r="G127" s="9">
        <f t="array" ref="G127">IFERROR(INDEX(대출자[],MATCH(1,(자료실기준[[#This Row],[소장처명]]=대출자[소장처명])*(자료실기준[[#This Row],[년월]]=대출자[년월]),0),MATCH(G$1,대출자[#Headers],0)),0)</f>
        <v>16</v>
      </c>
      <c r="H127" s="9">
        <f t="array" ref="H127">IFERROR(INDEX(대출자[],MATCH(1,(자료실기준[[#This Row],[소장처명]]=대출자[소장처명])*(자료실기준[[#This Row],[년월]]=대출자[년월]),0),MATCH(H$1,대출자[#Headers],0)),0)</f>
        <v>32</v>
      </c>
      <c r="I127" s="9">
        <f t="array" ref="I127">IFERROR(INDEX(대출자[],MATCH(1,(자료실기준[[#This Row],[소장처명]]=대출자[소장처명])*(자료실기준[[#This Row],[년월]]=대출자[년월]),0),MATCH(I$1,대출자[#Headers],0)),0)</f>
        <v>106</v>
      </c>
      <c r="J127" s="9">
        <f t="array" ref="J127">IFERROR(INDEX(대출자[],MATCH(1,(자료실기준[[#This Row],[소장처명]]=대출자[소장처명])*(자료실기준[[#This Row],[년월]]=대출자[년월]),0),MATCH(J$1,대출자[#Headers],0)),0)</f>
        <v>211</v>
      </c>
      <c r="K127" s="9">
        <f t="array" ref="K127">IFERROR(INDEX(대출자[],MATCH(1,(자료실기준[[#This Row],[소장처명]]=대출자[소장처명])*(자료실기준[[#This Row],[년월]]=대출자[년월]),0),MATCH(K$1,대출자[#Headers],0)),0)</f>
        <v>19</v>
      </c>
      <c r="L127" s="9">
        <f t="array" ref="L127">IFERROR(INDEX(대출자[],MATCH(1,(자료실기준[[#This Row],[소장처명]]=대출자[소장처명])*(자료실기준[[#This Row],[년월]]=대출자[년월]),0),MATCH(L$1,대출자[#Headers],0)),0)</f>
        <v>48</v>
      </c>
      <c r="M127" s="9">
        <f t="array" ref="M127">IFERROR(INDEX(대출자[],MATCH(1,(자료실기준[[#This Row],[소장처명]]=대출자[소장처명])*(자료실기준[[#This Row],[년월]]=대출자[년월]),0),MATCH(M$1,대출자[#Headers],0)),0)</f>
        <v>317</v>
      </c>
      <c r="N127" s="9">
        <f>IFERROR(자료실기준[[#This Row],[어린이남자]]+자료실기준[[#This Row],[청소년남자]]+자료실기준[[#This Row],[성인남자]],0)</f>
        <v>134</v>
      </c>
      <c r="O127" s="9">
        <f>IFERROR(자료실기준[[#This Row],[어린이여자]]+자료실기준[[#This Row],[청소년여자]]+자료실기준[[#This Row],[성인여자]],0)</f>
        <v>250</v>
      </c>
      <c r="P127" s="9">
        <f>IFERROR(자료실기준[[#This Row],[남자]]+자료실기준[[#This Row],[여자]],0)</f>
        <v>384</v>
      </c>
      <c r="Q127" s="9">
        <f t="array" ref="Q127">IFERROR(INDEX(대출권수[],MATCH(1,(자료실기준[[#This Row],[소장처명]]=대출권수[소장처명])*(대출권수[대출반납]="대출")*(자료실기준[[#This Row],[년월]]=대출권수[년월]),0),MATCH(Q$1,대출권수[#Headers],0)),0)</f>
        <v>43</v>
      </c>
      <c r="R127" s="9">
        <f t="array" ref="R127">IFERROR(INDEX(대출권수[],MATCH(1,(자료실기준[[#This Row],[소장처명]]=대출권수[소장처명])*(대출권수[대출반납]="대출")*(자료실기준[[#This Row],[년월]]=대출권수[년월]),0),MATCH(R$1,대출권수[#Headers],0)),0)</f>
        <v>137</v>
      </c>
      <c r="S127" s="9">
        <f t="array" ref="S127">IFERROR(INDEX(대출권수[],MATCH(1,(자료실기준[[#This Row],[소장처명]]=대출권수[소장처명])*(대출권수[대출반납]="대출")*(자료실기준[[#This Row],[년월]]=대출권수[년월]),0),MATCH(S$1,대출권수[#Headers],0)),0)</f>
        <v>15</v>
      </c>
      <c r="T127" s="9">
        <f t="array" ref="T127">IFERROR(INDEX(대출권수[],MATCH(1,(자료실기준[[#This Row],[소장처명]]=대출권수[소장처명])*(대출권수[대출반납]="대출")*(자료실기준[[#This Row],[년월]]=대출권수[년월]),0),MATCH(T$1,대출권수[#Headers],0)),0)</f>
        <v>226</v>
      </c>
      <c r="U127" s="9">
        <f t="array" ref="U127">IFERROR(INDEX(대출권수[],MATCH(1,(자료실기준[[#This Row],[소장처명]]=대출권수[소장처명])*(대출권수[대출반납]="대출")*(자료실기준[[#This Row],[년월]]=대출권수[년월]),0),MATCH(U$1,대출권수[#Headers],0)),0)</f>
        <v>80</v>
      </c>
      <c r="V127" s="9">
        <f t="array" ref="V127">IFERROR(INDEX(대출권수[],MATCH(1,(자료실기준[[#This Row],[소장처명]]=대출권수[소장처명])*(대출권수[대출반납]="대출")*(자료실기준[[#This Row],[년월]]=대출권수[년월]),0),MATCH(V$1,대출권수[#Headers],0)),0)</f>
        <v>113</v>
      </c>
      <c r="W127" s="9">
        <f t="array" ref="W127">IFERROR(INDEX(대출권수[],MATCH(1,(자료실기준[[#This Row],[소장처명]]=대출권수[소장처명])*(대출권수[대출반납]="대출")*(자료실기준[[#This Row],[년월]]=대출권수[년월]),0),MATCH(W$1,대출권수[#Headers],0)),0)</f>
        <v>42</v>
      </c>
      <c r="X127" s="9">
        <f t="array" ref="X127">IFERROR(INDEX(대출권수[],MATCH(1,(자료실기준[[#This Row],[소장처명]]=대출권수[소장처명])*(대출권수[대출반납]="대출")*(자료실기준[[#This Row],[년월]]=대출권수[년월]),0),MATCH(X$1,대출권수[#Headers],0)),0)</f>
        <v>32</v>
      </c>
      <c r="Y127" s="9">
        <f t="array" ref="Y127">IFERROR(INDEX(대출권수[],MATCH(1,(자료실기준[[#This Row],[소장처명]]=대출권수[소장처명])*(대출권수[대출반납]="대출")*(자료실기준[[#This Row],[년월]]=대출권수[년월]),0),MATCH(Y$1,대출권수[#Headers],0)),0)</f>
        <v>509</v>
      </c>
      <c r="Z127" s="9">
        <f t="array" ref="Z127">IFERROR(INDEX(대출권수[],MATCH(1,(자료실기준[[#This Row],[소장처명]]=대출권수[소장처명])*(대출권수[대출반납]="대출")*(자료실기준[[#This Row],[년월]]=대출권수[년월]),0),MATCH(Z$1,대출권수[#Headers],0)),0)</f>
        <v>59</v>
      </c>
      <c r="AA127" s="9">
        <f>SUM(자료실기준[[#This Row],[총류]:[역사]])</f>
        <v>1256</v>
      </c>
    </row>
    <row r="128" spans="1:27" x14ac:dyDescent="0.3">
      <c r="A128" s="5">
        <v>45444</v>
      </c>
      <c r="B128" s="11" t="s">
        <v>16</v>
      </c>
      <c r="C128" s="5" t="str">
        <f>TEXT(자료실기준[[#This Row],[년월]],"yy년m월")&amp;자료실기준[[#This Row],[소장처명]]</f>
        <v>24년6월어린이자료실</v>
      </c>
      <c r="D128" t="str">
        <f>IFERROR(INDEX(자료실범례[],MATCH($B128,자료실범례[소장처명],0),2),"종합자료실")</f>
        <v>어린이자료실</v>
      </c>
      <c r="E128" s="9">
        <f t="array" ref="E128">IFERROR(INDEX(대출자[],MATCH(1,(자료실기준[[#This Row],[소장처명]]=대출자[소장처명])*(자료실기준[[#This Row],[년월]]=대출자[년월]),0),MATCH(E$1,대출자[#Headers],0)),0)</f>
        <v>54</v>
      </c>
      <c r="F128" s="9">
        <f t="array" ref="F128">IFERROR(INDEX(대출자[],MATCH(1,(자료실기준[[#This Row],[소장처명]]=대출자[소장처명])*(자료실기준[[#This Row],[년월]]=대출자[년월]),0),MATCH(F$1,대출자[#Headers],0)),0)</f>
        <v>56</v>
      </c>
      <c r="G128" s="9">
        <f t="array" ref="G128">IFERROR(INDEX(대출자[],MATCH(1,(자료실기준[[#This Row],[소장처명]]=대출자[소장처명])*(자료실기준[[#This Row],[년월]]=대출자[년월]),0),MATCH(G$1,대출자[#Headers],0)),0)</f>
        <v>4</v>
      </c>
      <c r="H128" s="9">
        <f t="array" ref="H128">IFERROR(INDEX(대출자[],MATCH(1,(자료실기준[[#This Row],[소장처명]]=대출자[소장처명])*(자료실기준[[#This Row],[년월]]=대출자[년월]),0),MATCH(H$1,대출자[#Headers],0)),0)</f>
        <v>8</v>
      </c>
      <c r="I128" s="9">
        <f t="array" ref="I128">IFERROR(INDEX(대출자[],MATCH(1,(자료실기준[[#This Row],[소장처명]]=대출자[소장처명])*(자료실기준[[#This Row],[년월]]=대출자[년월]),0),MATCH(I$1,대출자[#Headers],0)),0)</f>
        <v>44</v>
      </c>
      <c r="J128" s="9">
        <f t="array" ref="J128">IFERROR(INDEX(대출자[],MATCH(1,(자료실기준[[#This Row],[소장처명]]=대출자[소장처명])*(자료실기준[[#This Row],[년월]]=대출자[년월]),0),MATCH(J$1,대출자[#Headers],0)),0)</f>
        <v>75</v>
      </c>
      <c r="K128" s="9">
        <f t="array" ref="K128">IFERROR(INDEX(대출자[],MATCH(1,(자료실기준[[#This Row],[소장처명]]=대출자[소장처명])*(자료실기준[[#This Row],[년월]]=대출자[년월]),0),MATCH(K$1,대출자[#Headers],0)),0)</f>
        <v>110</v>
      </c>
      <c r="L128" s="9">
        <f t="array" ref="L128">IFERROR(INDEX(대출자[],MATCH(1,(자료실기준[[#This Row],[소장처명]]=대출자[소장처명])*(자료실기준[[#This Row],[년월]]=대출자[년월]),0),MATCH(L$1,대출자[#Headers],0)),0)</f>
        <v>12</v>
      </c>
      <c r="M128" s="9">
        <f t="array" ref="M128">IFERROR(INDEX(대출자[],MATCH(1,(자료실기준[[#This Row],[소장처명]]=대출자[소장처명])*(자료실기준[[#This Row],[년월]]=대출자[년월]),0),MATCH(M$1,대출자[#Headers],0)),0)</f>
        <v>119</v>
      </c>
      <c r="N128" s="9">
        <f>IFERROR(자료실기준[[#This Row],[어린이남자]]+자료실기준[[#This Row],[청소년남자]]+자료실기준[[#This Row],[성인남자]],0)</f>
        <v>102</v>
      </c>
      <c r="O128" s="9">
        <f>IFERROR(자료실기준[[#This Row],[어린이여자]]+자료실기준[[#This Row],[청소년여자]]+자료실기준[[#This Row],[성인여자]],0)</f>
        <v>139</v>
      </c>
      <c r="P128" s="9">
        <f>IFERROR(자료실기준[[#This Row],[남자]]+자료실기준[[#This Row],[여자]],0)</f>
        <v>241</v>
      </c>
      <c r="Q128" s="9">
        <f t="array" ref="Q128">IFERROR(INDEX(대출권수[],MATCH(1,(자료실기준[[#This Row],[소장처명]]=대출권수[소장처명])*(대출권수[대출반납]="대출")*(자료실기준[[#This Row],[년월]]=대출권수[년월]),0),MATCH(Q$1,대출권수[#Headers],0)),0)</f>
        <v>35</v>
      </c>
      <c r="R128" s="9">
        <f t="array" ref="R128">IFERROR(INDEX(대출권수[],MATCH(1,(자료실기준[[#This Row],[소장처명]]=대출권수[소장처명])*(대출권수[대출반납]="대출")*(자료실기준[[#This Row],[년월]]=대출권수[년월]),0),MATCH(R$1,대출권수[#Headers],0)),0)</f>
        <v>40</v>
      </c>
      <c r="S128" s="9">
        <f t="array" ref="S128">IFERROR(INDEX(대출권수[],MATCH(1,(자료실기준[[#This Row],[소장처명]]=대출권수[소장처명])*(대출권수[대출반납]="대출")*(자료실기준[[#This Row],[년월]]=대출권수[년월]),0),MATCH(S$1,대출권수[#Headers],0)),0)</f>
        <v>12</v>
      </c>
      <c r="T128" s="9">
        <f t="array" ref="T128">IFERROR(INDEX(대출권수[],MATCH(1,(자료실기준[[#This Row],[소장처명]]=대출권수[소장처명])*(대출권수[대출반납]="대출")*(자료실기준[[#This Row],[년월]]=대출권수[년월]),0),MATCH(T$1,대출권수[#Headers],0)),0)</f>
        <v>148</v>
      </c>
      <c r="U128" s="9">
        <f t="array" ref="U128">IFERROR(INDEX(대출권수[],MATCH(1,(자료실기준[[#This Row],[소장처명]]=대출권수[소장처명])*(대출권수[대출반납]="대출")*(자료실기준[[#This Row],[년월]]=대출권수[년월]),0),MATCH(U$1,대출권수[#Headers],0)),0)</f>
        <v>154</v>
      </c>
      <c r="V128" s="9">
        <f t="array" ref="V128">IFERROR(INDEX(대출권수[],MATCH(1,(자료실기준[[#This Row],[소장처명]]=대출권수[소장처명])*(대출권수[대출반납]="대출")*(자료실기준[[#This Row],[년월]]=대출권수[년월]),0),MATCH(V$1,대출권수[#Headers],0)),0)</f>
        <v>22</v>
      </c>
      <c r="W128" s="9">
        <f t="array" ref="W128">IFERROR(INDEX(대출권수[],MATCH(1,(자료실기준[[#This Row],[소장처명]]=대출권수[소장처명])*(대출권수[대출반납]="대출")*(자료실기준[[#This Row],[년월]]=대출권수[년월]),0),MATCH(W$1,대출권수[#Headers],0)),0)</f>
        <v>36</v>
      </c>
      <c r="X128" s="9">
        <f t="array" ref="X128">IFERROR(INDEX(대출권수[],MATCH(1,(자료실기준[[#This Row],[소장처명]]=대출권수[소장처명])*(대출권수[대출반납]="대출")*(자료실기준[[#This Row],[년월]]=대출권수[년월]),0),MATCH(X$1,대출권수[#Headers],0)),0)</f>
        <v>35</v>
      </c>
      <c r="Y128" s="9">
        <f t="array" ref="Y128">IFERROR(INDEX(대출권수[],MATCH(1,(자료실기준[[#This Row],[소장처명]]=대출권수[소장처명])*(대출권수[대출반납]="대출")*(자료실기준[[#This Row],[년월]]=대출권수[년월]),0),MATCH(Y$1,대출권수[#Headers],0)),0)</f>
        <v>887</v>
      </c>
      <c r="Z128" s="9">
        <f t="array" ref="Z128">IFERROR(INDEX(대출권수[],MATCH(1,(자료실기준[[#This Row],[소장처명]]=대출권수[소장처명])*(대출권수[대출반납]="대출")*(자료실기준[[#This Row],[년월]]=대출권수[년월]),0),MATCH(Z$1,대출권수[#Headers],0)),0)</f>
        <v>121</v>
      </c>
      <c r="AA128" s="9">
        <f>SUM(자료실기준[[#This Row],[총류]:[역사]])</f>
        <v>1490</v>
      </c>
    </row>
    <row r="129" spans="1:27" x14ac:dyDescent="0.3">
      <c r="A129" s="5">
        <v>45444</v>
      </c>
      <c r="B129" s="11" t="s">
        <v>2</v>
      </c>
      <c r="C129" s="5" t="str">
        <f>TEXT(자료실기준[[#This Row],[년월]],"yy년m월")&amp;자료실기준[[#This Row],[소장처명]]</f>
        <v>24년6월디지털자료실</v>
      </c>
      <c r="D129" t="str">
        <f>IFERROR(INDEX(자료실범례[],MATCH($B129,자료실범례[소장처명],0),2),"종합자료실")</f>
        <v>디지털자료실</v>
      </c>
      <c r="E129" s="9">
        <f t="array" ref="E129">IFERROR(INDEX(대출자[],MATCH(1,(자료실기준[[#This Row],[소장처명]]=대출자[소장처명])*(자료실기준[[#This Row],[년월]]=대출자[년월]),0),MATCH(E$1,대출자[#Headers],0)),0)</f>
        <v>2</v>
      </c>
      <c r="F129" s="9">
        <f t="array" ref="F129">IFERROR(INDEX(대출자[],MATCH(1,(자료실기준[[#This Row],[소장처명]]=대출자[소장처명])*(자료실기준[[#This Row],[년월]]=대출자[년월]),0),MATCH(F$1,대출자[#Headers],0)),0)</f>
        <v>0</v>
      </c>
      <c r="G129" s="9">
        <f t="array" ref="G129">IFERROR(INDEX(대출자[],MATCH(1,(자료실기준[[#This Row],[소장처명]]=대출자[소장처명])*(자료실기준[[#This Row],[년월]]=대출자[년월]),0),MATCH(G$1,대출자[#Headers],0)),0)</f>
        <v>0</v>
      </c>
      <c r="H129" s="9">
        <f t="array" ref="H129">IFERROR(INDEX(대출자[],MATCH(1,(자료실기준[[#This Row],[소장처명]]=대출자[소장처명])*(자료실기준[[#This Row],[년월]]=대출자[년월]),0),MATCH(H$1,대출자[#Headers],0)),0)</f>
        <v>0</v>
      </c>
      <c r="I129" s="9">
        <f t="array" ref="I129">IFERROR(INDEX(대출자[],MATCH(1,(자료실기준[[#This Row],[소장처명]]=대출자[소장처명])*(자료실기준[[#This Row],[년월]]=대출자[년월]),0),MATCH(I$1,대출자[#Headers],0)),0)</f>
        <v>4</v>
      </c>
      <c r="J129" s="9">
        <f t="array" ref="J129">IFERROR(INDEX(대출자[],MATCH(1,(자료실기준[[#This Row],[소장처명]]=대출자[소장처명])*(자료실기준[[#This Row],[년월]]=대출자[년월]),0),MATCH(J$1,대출자[#Headers],0)),0)</f>
        <v>3</v>
      </c>
      <c r="K129" s="9">
        <f t="array" ref="K129">IFERROR(INDEX(대출자[],MATCH(1,(자료실기준[[#This Row],[소장처명]]=대출자[소장처명])*(자료실기준[[#This Row],[년월]]=대출자[년월]),0),MATCH(K$1,대출자[#Headers],0)),0)</f>
        <v>2</v>
      </c>
      <c r="L129" s="9">
        <f t="array" ref="L129">IFERROR(INDEX(대출자[],MATCH(1,(자료실기준[[#This Row],[소장처명]]=대출자[소장처명])*(자료실기준[[#This Row],[년월]]=대출자[년월]),0),MATCH(L$1,대출자[#Headers],0)),0)</f>
        <v>0</v>
      </c>
      <c r="M129" s="9">
        <f t="array" ref="M129">IFERROR(INDEX(대출자[],MATCH(1,(자료실기준[[#This Row],[소장처명]]=대출자[소장처명])*(자료실기준[[#This Row],[년월]]=대출자[년월]),0),MATCH(M$1,대출자[#Headers],0)),0)</f>
        <v>7</v>
      </c>
      <c r="N129" s="9">
        <f>IFERROR(자료실기준[[#This Row],[어린이남자]]+자료실기준[[#This Row],[청소년남자]]+자료실기준[[#This Row],[성인남자]],0)</f>
        <v>6</v>
      </c>
      <c r="O129" s="9">
        <f>IFERROR(자료실기준[[#This Row],[어린이여자]]+자료실기준[[#This Row],[청소년여자]]+자료실기준[[#This Row],[성인여자]],0)</f>
        <v>3</v>
      </c>
      <c r="P129" s="9">
        <f>IFERROR(자료실기준[[#This Row],[남자]]+자료실기준[[#This Row],[여자]],0)</f>
        <v>9</v>
      </c>
      <c r="Q129" s="9">
        <f t="array" ref="Q129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29" s="9">
        <f t="array" ref="R129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29" s="9">
        <f t="array" ref="S129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29" s="9">
        <f t="array" ref="T129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29" s="9">
        <f t="array" ref="U129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29" s="9">
        <f t="array" ref="V129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29" s="9">
        <f t="array" ref="W129">IFERROR(INDEX(대출권수[],MATCH(1,(자료실기준[[#This Row],[소장처명]]=대출권수[소장처명])*(대출권수[대출반납]="대출")*(자료실기준[[#This Row],[년월]]=대출권수[년월]),0),MATCH(W$1,대출권수[#Headers],0)),0)</f>
        <v>38</v>
      </c>
      <c r="X129" s="9">
        <f t="array" ref="X129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29" s="9">
        <f t="array" ref="Y129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129" s="9">
        <f t="array" ref="Z129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29" s="9">
        <f>SUM(자료실기준[[#This Row],[총류]:[역사]])</f>
        <v>38</v>
      </c>
    </row>
    <row r="130" spans="1:27" x14ac:dyDescent="0.3">
      <c r="A130" s="5">
        <v>45444</v>
      </c>
      <c r="B130" s="11" t="s">
        <v>19</v>
      </c>
      <c r="C130" s="5" t="str">
        <f>TEXT(자료실기준[[#This Row],[년월]],"yy년m월")&amp;자료실기준[[#This Row],[소장처명]]</f>
        <v>24년6월종합실(신간도서)</v>
      </c>
      <c r="D130" t="str">
        <f>IFERROR(INDEX(자료실범례[],MATCH($B130,자료실범례[소장처명],0),2),"종합자료실")</f>
        <v>종합자료실</v>
      </c>
      <c r="E130" s="9">
        <f t="array" ref="E130">IFERROR(INDEX(대출자[],MATCH(1,(자료실기준[[#This Row],[소장처명]]=대출자[소장처명])*(자료실기준[[#This Row],[년월]]=대출자[년월]),0),MATCH(E$1,대출자[#Headers],0)),0)</f>
        <v>3</v>
      </c>
      <c r="F130" s="9">
        <f t="array" ref="F130">IFERROR(INDEX(대출자[],MATCH(1,(자료실기준[[#This Row],[소장처명]]=대출자[소장처명])*(자료실기준[[#This Row],[년월]]=대출자[년월]),0),MATCH(F$1,대출자[#Headers],0)),0)</f>
        <v>4</v>
      </c>
      <c r="G130" s="9">
        <f t="array" ref="G130">IFERROR(INDEX(대출자[],MATCH(1,(자료실기준[[#This Row],[소장처명]]=대출자[소장처명])*(자료실기준[[#This Row],[년월]]=대출자[년월]),0),MATCH(G$1,대출자[#Headers],0)),0)</f>
        <v>3</v>
      </c>
      <c r="H130" s="9">
        <f t="array" ref="H130">IFERROR(INDEX(대출자[],MATCH(1,(자료실기준[[#This Row],[소장처명]]=대출자[소장처명])*(자료실기준[[#This Row],[년월]]=대출자[년월]),0),MATCH(H$1,대출자[#Headers],0)),0)</f>
        <v>5</v>
      </c>
      <c r="I130" s="9">
        <f t="array" ref="I130">IFERROR(INDEX(대출자[],MATCH(1,(자료실기준[[#This Row],[소장처명]]=대출자[소장처명])*(자료실기준[[#This Row],[년월]]=대출자[년월]),0),MATCH(I$1,대출자[#Headers],0)),0)</f>
        <v>45</v>
      </c>
      <c r="J130" s="9">
        <f t="array" ref="J130">IFERROR(INDEX(대출자[],MATCH(1,(자료실기준[[#This Row],[소장처명]]=대출자[소장처명])*(자료실기준[[#This Row],[년월]]=대출자[년월]),0),MATCH(J$1,대출자[#Headers],0)),0)</f>
        <v>99</v>
      </c>
      <c r="K130" s="9">
        <f t="array" ref="K130">IFERROR(INDEX(대출자[],MATCH(1,(자료실기준[[#This Row],[소장처명]]=대출자[소장처명])*(자료실기준[[#This Row],[년월]]=대출자[년월]),0),MATCH(K$1,대출자[#Headers],0)),0)</f>
        <v>7</v>
      </c>
      <c r="L130" s="9">
        <f t="array" ref="L130">IFERROR(INDEX(대출자[],MATCH(1,(자료실기준[[#This Row],[소장처명]]=대출자[소장처명])*(자료실기준[[#This Row],[년월]]=대출자[년월]),0),MATCH(L$1,대출자[#Headers],0)),0)</f>
        <v>8</v>
      </c>
      <c r="M130" s="9">
        <f t="array" ref="M130">IFERROR(INDEX(대출자[],MATCH(1,(자료실기준[[#This Row],[소장처명]]=대출자[소장처명])*(자료실기준[[#This Row],[년월]]=대출자[년월]),0),MATCH(M$1,대출자[#Headers],0)),0)</f>
        <v>144</v>
      </c>
      <c r="N130" s="9">
        <f>IFERROR(자료실기준[[#This Row],[어린이남자]]+자료실기준[[#This Row],[청소년남자]]+자료실기준[[#This Row],[성인남자]],0)</f>
        <v>51</v>
      </c>
      <c r="O130" s="9">
        <f>IFERROR(자료실기준[[#This Row],[어린이여자]]+자료실기준[[#This Row],[청소년여자]]+자료실기준[[#This Row],[성인여자]],0)</f>
        <v>108</v>
      </c>
      <c r="P130" s="9">
        <f>IFERROR(자료실기준[[#This Row],[남자]]+자료실기준[[#This Row],[여자]],0)</f>
        <v>159</v>
      </c>
      <c r="Q130" s="9">
        <f t="array" ref="Q130">IFERROR(INDEX(대출권수[],MATCH(1,(자료실기준[[#This Row],[소장처명]]=대출권수[소장처명])*(대출권수[대출반납]="대출")*(자료실기준[[#This Row],[년월]]=대출권수[년월]),0),MATCH(Q$1,대출권수[#Headers],0)),0)</f>
        <v>9</v>
      </c>
      <c r="R130" s="9">
        <f t="array" ref="R130">IFERROR(INDEX(대출권수[],MATCH(1,(자료실기준[[#This Row],[소장처명]]=대출권수[소장처명])*(대출권수[대출반납]="대출")*(자료실기준[[#This Row],[년월]]=대출권수[년월]),0),MATCH(R$1,대출권수[#Headers],0)),0)</f>
        <v>58</v>
      </c>
      <c r="S130" s="9">
        <f t="array" ref="S130">IFERROR(INDEX(대출권수[],MATCH(1,(자료실기준[[#This Row],[소장처명]]=대출권수[소장처명])*(대출권수[대출반납]="대출")*(자료실기준[[#This Row],[년월]]=대출권수[년월]),0),MATCH(S$1,대출권수[#Headers],0)),0)</f>
        <v>7</v>
      </c>
      <c r="T130" s="9">
        <f t="array" ref="T130">IFERROR(INDEX(대출권수[],MATCH(1,(자료실기준[[#This Row],[소장처명]]=대출권수[소장처명])*(대출권수[대출반납]="대출")*(자료실기준[[#This Row],[년월]]=대출권수[년월]),0),MATCH(T$1,대출권수[#Headers],0)),0)</f>
        <v>82</v>
      </c>
      <c r="U130" s="9">
        <f t="array" ref="U130">IFERROR(INDEX(대출권수[],MATCH(1,(자료실기준[[#This Row],[소장처명]]=대출권수[소장처명])*(대출권수[대출반납]="대출")*(자료실기준[[#This Row],[년월]]=대출권수[년월]),0),MATCH(U$1,대출권수[#Headers],0)),0)</f>
        <v>19</v>
      </c>
      <c r="V130" s="9">
        <f t="array" ref="V130">IFERROR(INDEX(대출권수[],MATCH(1,(자료실기준[[#This Row],[소장처명]]=대출권수[소장처명])*(대출권수[대출반납]="대출")*(자료실기준[[#This Row],[년월]]=대출권수[년월]),0),MATCH(V$1,대출권수[#Headers],0)),0)</f>
        <v>40</v>
      </c>
      <c r="W130" s="9">
        <f t="array" ref="W130">IFERROR(INDEX(대출권수[],MATCH(1,(자료실기준[[#This Row],[소장처명]]=대출권수[소장처명])*(대출권수[대출반납]="대출")*(자료실기준[[#This Row],[년월]]=대출권수[년월]),0),MATCH(W$1,대출권수[#Headers],0)),0)</f>
        <v>13</v>
      </c>
      <c r="X130" s="9">
        <f t="array" ref="X130">IFERROR(INDEX(대출권수[],MATCH(1,(자료실기준[[#This Row],[소장처명]]=대출권수[소장처명])*(대출권수[대출반납]="대출")*(자료실기준[[#This Row],[년월]]=대출권수[년월]),0),MATCH(X$1,대출권수[#Headers],0)),0)</f>
        <v>16</v>
      </c>
      <c r="Y130" s="9">
        <f t="array" ref="Y130">IFERROR(INDEX(대출권수[],MATCH(1,(자료실기준[[#This Row],[소장처명]]=대출권수[소장처명])*(대출권수[대출반납]="대출")*(자료실기준[[#This Row],[년월]]=대출권수[년월]),0),MATCH(Y$1,대출권수[#Headers],0)),0)</f>
        <v>181</v>
      </c>
      <c r="Z130" s="9">
        <f t="array" ref="Z130">IFERROR(INDEX(대출권수[],MATCH(1,(자료실기준[[#This Row],[소장처명]]=대출권수[소장처명])*(대출권수[대출반납]="대출")*(자료실기준[[#This Row],[년월]]=대출권수[년월]),0),MATCH(Z$1,대출권수[#Headers],0)),0)</f>
        <v>12</v>
      </c>
      <c r="AA130" s="9">
        <f>SUM(자료실기준[[#This Row],[총류]:[역사]])</f>
        <v>437</v>
      </c>
    </row>
    <row r="131" spans="1:27" x14ac:dyDescent="0.3">
      <c r="A131" s="5">
        <v>45444</v>
      </c>
      <c r="B131" s="11" t="s">
        <v>14</v>
      </c>
      <c r="C131" s="5" t="str">
        <f>TEXT(자료실기준[[#This Row],[년월]],"yy년m월")&amp;자료실기준[[#This Row],[소장처명]]</f>
        <v>24년6월어린이실(신간도서)</v>
      </c>
      <c r="D131" t="str">
        <f>IFERROR(INDEX(자료실범례[],MATCH($B131,자료실범례[소장처명],0),2),"종합자료실")</f>
        <v>어린이자료실</v>
      </c>
      <c r="E131" s="9">
        <f t="array" ref="E131">IFERROR(INDEX(대출자[],MATCH(1,(자료실기준[[#This Row],[소장처명]]=대출자[소장처명])*(자료실기준[[#This Row],[년월]]=대출자[년월]),0),MATCH(E$1,대출자[#Headers],0)),0)</f>
        <v>15</v>
      </c>
      <c r="F131" s="9">
        <f t="array" ref="F131">IFERROR(INDEX(대출자[],MATCH(1,(자료실기준[[#This Row],[소장처명]]=대출자[소장처명])*(자료실기준[[#This Row],[년월]]=대출자[년월]),0),MATCH(F$1,대출자[#Headers],0)),0)</f>
        <v>24</v>
      </c>
      <c r="G131" s="9">
        <f t="array" ref="G131">IFERROR(INDEX(대출자[],MATCH(1,(자료실기준[[#This Row],[소장처명]]=대출자[소장처명])*(자료실기준[[#This Row],[년월]]=대출자[년월]),0),MATCH(G$1,대출자[#Headers],0)),0)</f>
        <v>2</v>
      </c>
      <c r="H131" s="9">
        <f t="array" ref="H131">IFERROR(INDEX(대출자[],MATCH(1,(자료실기준[[#This Row],[소장처명]]=대출자[소장처명])*(자료실기준[[#This Row],[년월]]=대출자[년월]),0),MATCH(H$1,대출자[#Headers],0)),0)</f>
        <v>1</v>
      </c>
      <c r="I131" s="9">
        <f t="array" ref="I131">IFERROR(INDEX(대출자[],MATCH(1,(자료실기준[[#This Row],[소장처명]]=대출자[소장처명])*(자료실기준[[#This Row],[년월]]=대출자[년월]),0),MATCH(I$1,대출자[#Headers],0)),0)</f>
        <v>13</v>
      </c>
      <c r="J131" s="9">
        <f t="array" ref="J131">IFERROR(INDEX(대출자[],MATCH(1,(자료실기준[[#This Row],[소장처명]]=대출자[소장처명])*(자료실기준[[#This Row],[년월]]=대출자[년월]),0),MATCH(J$1,대출자[#Headers],0)),0)</f>
        <v>33</v>
      </c>
      <c r="K131" s="9">
        <f t="array" ref="K131">IFERROR(INDEX(대출자[],MATCH(1,(자료실기준[[#This Row],[소장처명]]=대출자[소장처명])*(자료실기준[[#This Row],[년월]]=대출자[년월]),0),MATCH(K$1,대출자[#Headers],0)),0)</f>
        <v>39</v>
      </c>
      <c r="L131" s="9">
        <f t="array" ref="L131">IFERROR(INDEX(대출자[],MATCH(1,(자료실기준[[#This Row],[소장처명]]=대출자[소장처명])*(자료실기준[[#This Row],[년월]]=대출자[년월]),0),MATCH(L$1,대출자[#Headers],0)),0)</f>
        <v>3</v>
      </c>
      <c r="M131" s="9">
        <f t="array" ref="M131">IFERROR(INDEX(대출자[],MATCH(1,(자료실기준[[#This Row],[소장처명]]=대출자[소장처명])*(자료실기준[[#This Row],[년월]]=대출자[년월]),0),MATCH(M$1,대출자[#Headers],0)),0)</f>
        <v>46</v>
      </c>
      <c r="N131" s="9">
        <f>IFERROR(자료실기준[[#This Row],[어린이남자]]+자료실기준[[#This Row],[청소년남자]]+자료실기준[[#This Row],[성인남자]],0)</f>
        <v>30</v>
      </c>
      <c r="O131" s="9">
        <f>IFERROR(자료실기준[[#This Row],[어린이여자]]+자료실기준[[#This Row],[청소년여자]]+자료실기준[[#This Row],[성인여자]],0)</f>
        <v>58</v>
      </c>
      <c r="P131" s="9">
        <f>IFERROR(자료실기준[[#This Row],[남자]]+자료실기준[[#This Row],[여자]],0)</f>
        <v>88</v>
      </c>
      <c r="Q131" s="9">
        <f t="array" ref="Q131">IFERROR(INDEX(대출권수[],MATCH(1,(자료실기준[[#This Row],[소장처명]]=대출권수[소장처명])*(대출권수[대출반납]="대출")*(자료실기준[[#This Row],[년월]]=대출권수[년월]),0),MATCH(Q$1,대출권수[#Headers],0)),0)</f>
        <v>2</v>
      </c>
      <c r="R131" s="9">
        <f t="array" ref="R131">IFERROR(INDEX(대출권수[],MATCH(1,(자료실기준[[#This Row],[소장처명]]=대출권수[소장처명])*(대출권수[대출반납]="대출")*(자료실기준[[#This Row],[년월]]=대출권수[년월]),0),MATCH(R$1,대출권수[#Headers],0)),0)</f>
        <v>7</v>
      </c>
      <c r="S131" s="9">
        <f t="array" ref="S131">IFERROR(INDEX(대출권수[],MATCH(1,(자료실기준[[#This Row],[소장처명]]=대출권수[소장처명])*(대출권수[대출반납]="대출")*(자료실기준[[#This Row],[년월]]=대출권수[년월]),0),MATCH(S$1,대출권수[#Headers],0)),0)</f>
        <v>6</v>
      </c>
      <c r="T131" s="9">
        <f t="array" ref="T131">IFERROR(INDEX(대출권수[],MATCH(1,(자료실기준[[#This Row],[소장처명]]=대출권수[소장처명])*(대출권수[대출반납]="대출")*(자료실기준[[#This Row],[년월]]=대출권수[년월]),0),MATCH(T$1,대출권수[#Headers],0)),0)</f>
        <v>44</v>
      </c>
      <c r="U131" s="9">
        <f t="array" ref="U131">IFERROR(INDEX(대출권수[],MATCH(1,(자료실기준[[#This Row],[소장처명]]=대출권수[소장처명])*(대출권수[대출반납]="대출")*(자료실기준[[#This Row],[년월]]=대출권수[년월]),0),MATCH(U$1,대출권수[#Headers],0)),0)</f>
        <v>23</v>
      </c>
      <c r="V131" s="9">
        <f t="array" ref="V131">IFERROR(INDEX(대출권수[],MATCH(1,(자료실기준[[#This Row],[소장처명]]=대출권수[소장처명])*(대출권수[대출반납]="대출")*(자료실기준[[#This Row],[년월]]=대출권수[년월]),0),MATCH(V$1,대출권수[#Headers],0)),0)</f>
        <v>10</v>
      </c>
      <c r="W131" s="9">
        <f t="array" ref="W131">IFERROR(INDEX(대출권수[],MATCH(1,(자료실기준[[#This Row],[소장처명]]=대출권수[소장처명])*(대출권수[대출반납]="대출")*(자료실기준[[#This Row],[년월]]=대출권수[년월]),0),MATCH(W$1,대출권수[#Headers],0)),0)</f>
        <v>2</v>
      </c>
      <c r="X131" s="9">
        <f t="array" ref="X131">IFERROR(INDEX(대출권수[],MATCH(1,(자료실기준[[#This Row],[소장처명]]=대출권수[소장처명])*(대출권수[대출반납]="대출")*(자료실기준[[#This Row],[년월]]=대출권수[년월]),0),MATCH(X$1,대출권수[#Headers],0)),0)</f>
        <v>6</v>
      </c>
      <c r="Y131" s="9">
        <f t="array" ref="Y131">IFERROR(INDEX(대출권수[],MATCH(1,(자료실기준[[#This Row],[소장처명]]=대출권수[소장처명])*(대출권수[대출반납]="대출")*(자료실기준[[#This Row],[년월]]=대출권수[년월]),0),MATCH(Y$1,대출권수[#Headers],0)),0)</f>
        <v>193</v>
      </c>
      <c r="Z131" s="9">
        <f t="array" ref="Z131">IFERROR(INDEX(대출권수[],MATCH(1,(자료실기준[[#This Row],[소장처명]]=대출권수[소장처명])*(대출권수[대출반납]="대출")*(자료실기준[[#This Row],[년월]]=대출권수[년월]),0),MATCH(Z$1,대출권수[#Headers],0)),0)</f>
        <v>21</v>
      </c>
      <c r="AA131" s="9">
        <f>SUM(자료실기준[[#This Row],[총류]:[역사]])</f>
        <v>314</v>
      </c>
    </row>
    <row r="132" spans="1:27" x14ac:dyDescent="0.3">
      <c r="A132" s="5">
        <v>45444</v>
      </c>
      <c r="B132" s="11" t="s">
        <v>13</v>
      </c>
      <c r="C132" s="5" t="str">
        <f>TEXT(자료실기준[[#This Row],[년월]],"yy년m월")&amp;자료실기준[[#This Row],[소장처명]]</f>
        <v>24년6월어린이실(수상작)</v>
      </c>
      <c r="D132" t="str">
        <f>IFERROR(INDEX(자료실범례[],MATCH($B132,자료실범례[소장처명],0),2),"종합자료실")</f>
        <v>어린이자료실</v>
      </c>
      <c r="E132" s="9">
        <f t="array" ref="E132">IFERROR(INDEX(대출자[],MATCH(1,(자료실기준[[#This Row],[소장처명]]=대출자[소장처명])*(자료실기준[[#This Row],[년월]]=대출자[년월]),0),MATCH(E$1,대출자[#Headers],0)),0)</f>
        <v>0</v>
      </c>
      <c r="F132" s="9">
        <f t="array" ref="F132">IFERROR(INDEX(대출자[],MATCH(1,(자료실기준[[#This Row],[소장처명]]=대출자[소장처명])*(자료실기준[[#This Row],[년월]]=대출자[년월]),0),MATCH(F$1,대출자[#Headers],0)),0)</f>
        <v>1</v>
      </c>
      <c r="G132" s="9">
        <f t="array" ref="G132">IFERROR(INDEX(대출자[],MATCH(1,(자료실기준[[#This Row],[소장처명]]=대출자[소장처명])*(자료실기준[[#This Row],[년월]]=대출자[년월]),0),MATCH(G$1,대출자[#Headers],0)),0)</f>
        <v>0</v>
      </c>
      <c r="H132" s="9">
        <f t="array" ref="H132">IFERROR(INDEX(대출자[],MATCH(1,(자료실기준[[#This Row],[소장처명]]=대출자[소장처명])*(자료실기준[[#This Row],[년월]]=대출자[년월]),0),MATCH(H$1,대출자[#Headers],0)),0)</f>
        <v>0</v>
      </c>
      <c r="I132" s="9">
        <f t="array" ref="I132">IFERROR(INDEX(대출자[],MATCH(1,(자료실기준[[#This Row],[소장처명]]=대출자[소장처명])*(자료실기준[[#This Row],[년월]]=대출자[년월]),0),MATCH(I$1,대출자[#Headers],0)),0)</f>
        <v>0</v>
      </c>
      <c r="J132" s="9">
        <f t="array" ref="J132">IFERROR(INDEX(대출자[],MATCH(1,(자료실기준[[#This Row],[소장처명]]=대출자[소장처명])*(자료실기준[[#This Row],[년월]]=대출자[년월]),0),MATCH(J$1,대출자[#Headers],0)),0)</f>
        <v>3</v>
      </c>
      <c r="K132" s="9">
        <f t="array" ref="K132">IFERROR(INDEX(대출자[],MATCH(1,(자료실기준[[#This Row],[소장처명]]=대출자[소장처명])*(자료실기준[[#This Row],[년월]]=대출자[년월]),0),MATCH(K$1,대출자[#Headers],0)),0)</f>
        <v>1</v>
      </c>
      <c r="L132" s="9">
        <f t="array" ref="L132">IFERROR(INDEX(대출자[],MATCH(1,(자료실기준[[#This Row],[소장처명]]=대출자[소장처명])*(자료실기준[[#This Row],[년월]]=대출자[년월]),0),MATCH(L$1,대출자[#Headers],0)),0)</f>
        <v>0</v>
      </c>
      <c r="M132" s="9">
        <f t="array" ref="M132">IFERROR(INDEX(대출자[],MATCH(1,(자료실기준[[#This Row],[소장처명]]=대출자[소장처명])*(자료실기준[[#This Row],[년월]]=대출자[년월]),0),MATCH(M$1,대출자[#Headers],0)),0)</f>
        <v>3</v>
      </c>
      <c r="N132" s="9">
        <f>IFERROR(자료실기준[[#This Row],[어린이남자]]+자료실기준[[#This Row],[청소년남자]]+자료실기준[[#This Row],[성인남자]],0)</f>
        <v>0</v>
      </c>
      <c r="O132" s="9">
        <f>IFERROR(자료실기준[[#This Row],[어린이여자]]+자료실기준[[#This Row],[청소년여자]]+자료실기준[[#This Row],[성인여자]],0)</f>
        <v>4</v>
      </c>
      <c r="P132" s="9">
        <f>IFERROR(자료실기준[[#This Row],[남자]]+자료실기준[[#This Row],[여자]],0)</f>
        <v>4</v>
      </c>
      <c r="Q132" s="9">
        <f t="array" ref="Q132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32" s="9">
        <f t="array" ref="R132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32" s="9">
        <f t="array" ref="S132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32" s="9">
        <f t="array" ref="T132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32" s="9">
        <f t="array" ref="U132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32" s="9">
        <f t="array" ref="V132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32" s="9">
        <f t="array" ref="W132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32" s="9">
        <f t="array" ref="X132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32" s="9">
        <f t="array" ref="Y132">IFERROR(INDEX(대출권수[],MATCH(1,(자료실기준[[#This Row],[소장처명]]=대출권수[소장처명])*(대출권수[대출반납]="대출")*(자료실기준[[#This Row],[년월]]=대출권수[년월]),0),MATCH(Y$1,대출권수[#Headers],0)),0)</f>
        <v>15</v>
      </c>
      <c r="Z132" s="9">
        <f t="array" ref="Z132">IFERROR(INDEX(대출권수[],MATCH(1,(자료실기준[[#This Row],[소장처명]]=대출권수[소장처명])*(대출권수[대출반납]="대출")*(자료실기준[[#This Row],[년월]]=대출권수[년월]),0),MATCH(Z$1,대출권수[#Headers],0)),0)</f>
        <v>1</v>
      </c>
      <c r="AA132" s="9">
        <f>SUM(자료실기준[[#This Row],[총류]:[역사]])</f>
        <v>16</v>
      </c>
    </row>
    <row r="133" spans="1:27" x14ac:dyDescent="0.3">
      <c r="A133" s="5">
        <v>45444</v>
      </c>
      <c r="B133" s="11" t="s">
        <v>15</v>
      </c>
      <c r="C133" s="5" t="str">
        <f>TEXT(자료실기준[[#This Row],[년월]],"yy년m월")&amp;자료실기준[[#This Row],[소장처명]]</f>
        <v>24년6월어린이실(학습만화)</v>
      </c>
      <c r="D133" t="str">
        <f>IFERROR(INDEX(자료실범례[],MATCH($B133,자료실범례[소장처명],0),2),"종합자료실")</f>
        <v>어린이자료실</v>
      </c>
      <c r="E133" s="9">
        <f t="array" ref="E133">IFERROR(INDEX(대출자[],MATCH(1,(자료실기준[[#This Row],[소장처명]]=대출자[소장처명])*(자료실기준[[#This Row],[년월]]=대출자[년월]),0),MATCH(E$1,대출자[#Headers],0)),0)</f>
        <v>25</v>
      </c>
      <c r="F133" s="9">
        <f t="array" ref="F133">IFERROR(INDEX(대출자[],MATCH(1,(자료실기준[[#This Row],[소장처명]]=대출자[소장처명])*(자료실기준[[#This Row],[년월]]=대출자[년월]),0),MATCH(F$1,대출자[#Headers],0)),0)</f>
        <v>18</v>
      </c>
      <c r="G133" s="9">
        <f t="array" ref="G133">IFERROR(INDEX(대출자[],MATCH(1,(자료실기준[[#This Row],[소장처명]]=대출자[소장처명])*(자료실기준[[#This Row],[년월]]=대출자[년월]),0),MATCH(G$1,대출자[#Headers],0)),0)</f>
        <v>3</v>
      </c>
      <c r="H133" s="9">
        <f t="array" ref="H133">IFERROR(INDEX(대출자[],MATCH(1,(자료실기준[[#This Row],[소장처명]]=대출자[소장처명])*(자료실기준[[#This Row],[년월]]=대출자[년월]),0),MATCH(H$1,대출자[#Headers],0)),0)</f>
        <v>4</v>
      </c>
      <c r="I133" s="9">
        <f t="array" ref="I133">IFERROR(INDEX(대출자[],MATCH(1,(자료실기준[[#This Row],[소장처명]]=대출자[소장처명])*(자료실기준[[#This Row],[년월]]=대출자[년월]),0),MATCH(I$1,대출자[#Headers],0)),0)</f>
        <v>9</v>
      </c>
      <c r="J133" s="9">
        <f t="array" ref="J133">IFERROR(INDEX(대출자[],MATCH(1,(자료실기준[[#This Row],[소장처명]]=대출자[소장처명])*(자료실기준[[#This Row],[년월]]=대출자[년월]),0),MATCH(J$1,대출자[#Headers],0)),0)</f>
        <v>32</v>
      </c>
      <c r="K133" s="9">
        <f t="array" ref="K133">IFERROR(INDEX(대출자[],MATCH(1,(자료실기준[[#This Row],[소장처명]]=대출자[소장처명])*(자료실기준[[#This Row],[년월]]=대출자[년월]),0),MATCH(K$1,대출자[#Headers],0)),0)</f>
        <v>43</v>
      </c>
      <c r="L133" s="9">
        <f t="array" ref="L133">IFERROR(INDEX(대출자[],MATCH(1,(자료실기준[[#This Row],[소장처명]]=대출자[소장처명])*(자료실기준[[#This Row],[년월]]=대출자[년월]),0),MATCH(L$1,대출자[#Headers],0)),0)</f>
        <v>7</v>
      </c>
      <c r="M133" s="9">
        <f t="array" ref="M133">IFERROR(INDEX(대출자[],MATCH(1,(자료실기준[[#This Row],[소장처명]]=대출자[소장처명])*(자료실기준[[#This Row],[년월]]=대출자[년월]),0),MATCH(M$1,대출자[#Headers],0)),0)</f>
        <v>41</v>
      </c>
      <c r="N133" s="9">
        <f>IFERROR(자료실기준[[#This Row],[어린이남자]]+자료실기준[[#This Row],[청소년남자]]+자료실기준[[#This Row],[성인남자]],0)</f>
        <v>37</v>
      </c>
      <c r="O133" s="9">
        <f>IFERROR(자료실기준[[#This Row],[어린이여자]]+자료실기준[[#This Row],[청소년여자]]+자료실기준[[#This Row],[성인여자]],0)</f>
        <v>54</v>
      </c>
      <c r="P133" s="9">
        <f>IFERROR(자료실기준[[#This Row],[남자]]+자료실기준[[#This Row],[여자]],0)</f>
        <v>91</v>
      </c>
      <c r="Q133" s="9">
        <f t="array" ref="Q133">IFERROR(INDEX(대출권수[],MATCH(1,(자료실기준[[#This Row],[소장처명]]=대출권수[소장처명])*(대출권수[대출반납]="대출")*(자료실기준[[#This Row],[년월]]=대출권수[년월]),0),MATCH(Q$1,대출권수[#Headers],0)),0)</f>
        <v>1</v>
      </c>
      <c r="R133" s="9">
        <f t="array" ref="R133">IFERROR(INDEX(대출권수[],MATCH(1,(자료실기준[[#This Row],[소장처명]]=대출권수[소장처명])*(대출권수[대출반납]="대출")*(자료실기준[[#This Row],[년월]]=대출권수[년월]),0),MATCH(R$1,대출권수[#Headers],0)),0)</f>
        <v>1</v>
      </c>
      <c r="S133" s="9">
        <f t="array" ref="S133">IFERROR(INDEX(대출권수[],MATCH(1,(자료실기준[[#This Row],[소장처명]]=대출권수[소장처명])*(대출권수[대출반납]="대출")*(자료실기준[[#This Row],[년월]]=대출권수[년월]),0),MATCH(S$1,대출권수[#Headers],0)),0)</f>
        <v>19</v>
      </c>
      <c r="T133" s="9">
        <f t="array" ref="T133">IFERROR(INDEX(대출권수[],MATCH(1,(자료실기준[[#This Row],[소장처명]]=대출권수[소장처명])*(대출권수[대출반납]="대출")*(자료실기준[[#This Row],[년월]]=대출권수[년월]),0),MATCH(T$1,대출권수[#Headers],0)),0)</f>
        <v>7</v>
      </c>
      <c r="U133" s="9">
        <f t="array" ref="U133">IFERROR(INDEX(대출권수[],MATCH(1,(자료실기준[[#This Row],[소장처명]]=대출권수[소장처명])*(대출권수[대출반납]="대출")*(자료실기준[[#This Row],[년월]]=대출권수[년월]),0),MATCH(U$1,대출권수[#Headers],0)),0)</f>
        <v>161</v>
      </c>
      <c r="V133" s="9">
        <f t="array" ref="V133">IFERROR(INDEX(대출권수[],MATCH(1,(자료실기준[[#This Row],[소장처명]]=대출권수[소장처명])*(대출권수[대출반납]="대출")*(자료실기준[[#This Row],[년월]]=대출권수[년월]),0),MATCH(V$1,대출권수[#Headers],0)),0)</f>
        <v>34</v>
      </c>
      <c r="W133" s="9">
        <f t="array" ref="W133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33" s="9">
        <f t="array" ref="X133">IFERROR(INDEX(대출권수[],MATCH(1,(자료실기준[[#This Row],[소장처명]]=대출권수[소장처명])*(대출권수[대출반납]="대출")*(자료실기준[[#This Row],[년월]]=대출권수[년월]),0),MATCH(X$1,대출권수[#Headers],0)),0)</f>
        <v>62</v>
      </c>
      <c r="Y133" s="9">
        <f t="array" ref="Y133">IFERROR(INDEX(대출권수[],MATCH(1,(자료실기준[[#This Row],[소장처명]]=대출권수[소장처명])*(대출권수[대출반납]="대출")*(자료실기준[[#This Row],[년월]]=대출권수[년월]),0),MATCH(Y$1,대출권수[#Headers],0)),0)</f>
        <v>18</v>
      </c>
      <c r="Z133" s="9">
        <f t="array" ref="Z133">IFERROR(INDEX(대출권수[],MATCH(1,(자료실기준[[#This Row],[소장처명]]=대출권수[소장처명])*(대출권수[대출반납]="대출")*(자료실기준[[#This Row],[년월]]=대출권수[년월]),0),MATCH(Z$1,대출권수[#Headers],0)),0)</f>
        <v>118</v>
      </c>
      <c r="AA133" s="9">
        <f>SUM(자료실기준[[#This Row],[총류]:[역사]])</f>
        <v>421</v>
      </c>
    </row>
    <row r="134" spans="1:27" x14ac:dyDescent="0.3">
      <c r="A134" s="5">
        <v>45444</v>
      </c>
      <c r="B134" s="11" t="s">
        <v>20</v>
      </c>
      <c r="C134" s="5" t="str">
        <f>TEXT(자료실기준[[#This Row],[년월]],"yy년m월")&amp;자료실기준[[#This Row],[소장처명]]</f>
        <v>24년6월종합실(청소년 진로)</v>
      </c>
      <c r="D134" t="str">
        <f>IFERROR(INDEX(자료실범례[],MATCH($B134,자료실범례[소장처명],0),2),"종합자료실")</f>
        <v>종합자료실</v>
      </c>
      <c r="E134" s="9">
        <f t="array" ref="E134">IFERROR(INDEX(대출자[],MATCH(1,(자료실기준[[#This Row],[소장처명]]=대출자[소장처명])*(자료실기준[[#This Row],[년월]]=대출자[년월]),0),MATCH(E$1,대출자[#Headers],0)),0)</f>
        <v>0</v>
      </c>
      <c r="F134" s="9">
        <f t="array" ref="F134">IFERROR(INDEX(대출자[],MATCH(1,(자료실기준[[#This Row],[소장처명]]=대출자[소장처명])*(자료실기준[[#This Row],[년월]]=대출자[년월]),0),MATCH(F$1,대출자[#Headers],0)),0)</f>
        <v>0</v>
      </c>
      <c r="G134" s="9">
        <f t="array" ref="G134">IFERROR(INDEX(대출자[],MATCH(1,(자료실기준[[#This Row],[소장처명]]=대출자[소장처명])*(자료실기준[[#This Row],[년월]]=대출자[년월]),0),MATCH(G$1,대출자[#Headers],0)),0)</f>
        <v>1</v>
      </c>
      <c r="H134" s="9">
        <f t="array" ref="H134">IFERROR(INDEX(대출자[],MATCH(1,(자료실기준[[#This Row],[소장처명]]=대출자[소장처명])*(자료실기준[[#This Row],[년월]]=대출자[년월]),0),MATCH(H$1,대출자[#Headers],0)),0)</f>
        <v>0</v>
      </c>
      <c r="I134" s="9">
        <f t="array" ref="I134">IFERROR(INDEX(대출자[],MATCH(1,(자료실기준[[#This Row],[소장처명]]=대출자[소장처명])*(자료실기준[[#This Row],[년월]]=대출자[년월]),0),MATCH(I$1,대출자[#Headers],0)),0)</f>
        <v>1</v>
      </c>
      <c r="J134" s="9">
        <f t="array" ref="J134">IFERROR(INDEX(대출자[],MATCH(1,(자료실기준[[#This Row],[소장처명]]=대출자[소장처명])*(자료실기준[[#This Row],[년월]]=대출자[년월]),0),MATCH(J$1,대출자[#Headers],0)),0)</f>
        <v>0</v>
      </c>
      <c r="K134" s="9">
        <f t="array" ref="K134">IFERROR(INDEX(대출자[],MATCH(1,(자료실기준[[#This Row],[소장처명]]=대출자[소장처명])*(자료실기준[[#This Row],[년월]]=대출자[년월]),0),MATCH(K$1,대출자[#Headers],0)),0)</f>
        <v>0</v>
      </c>
      <c r="L134" s="9">
        <f t="array" ref="L134">IFERROR(INDEX(대출자[],MATCH(1,(자료실기준[[#This Row],[소장처명]]=대출자[소장처명])*(자료실기준[[#This Row],[년월]]=대출자[년월]),0),MATCH(L$1,대출자[#Headers],0)),0)</f>
        <v>1</v>
      </c>
      <c r="M134" s="9">
        <f t="array" ref="M134">IFERROR(INDEX(대출자[],MATCH(1,(자료실기준[[#This Row],[소장처명]]=대출자[소장처명])*(자료실기준[[#This Row],[년월]]=대출자[년월]),0),MATCH(M$1,대출자[#Headers],0)),0)</f>
        <v>1</v>
      </c>
      <c r="N134" s="9">
        <f>IFERROR(자료실기준[[#This Row],[어린이남자]]+자료실기준[[#This Row],[청소년남자]]+자료실기준[[#This Row],[성인남자]],0)</f>
        <v>2</v>
      </c>
      <c r="O134" s="9">
        <f>IFERROR(자료실기준[[#This Row],[어린이여자]]+자료실기준[[#This Row],[청소년여자]]+자료실기준[[#This Row],[성인여자]],0)</f>
        <v>0</v>
      </c>
      <c r="P134" s="9">
        <f>IFERROR(자료실기준[[#This Row],[남자]]+자료실기준[[#This Row],[여자]],0)</f>
        <v>2</v>
      </c>
      <c r="Q134" s="9">
        <f t="array" ref="Q134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34" s="9">
        <f t="array" ref="R134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34" s="9">
        <f t="array" ref="S134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34" s="9">
        <f t="array" ref="T134">IFERROR(INDEX(대출권수[],MATCH(1,(자료실기준[[#This Row],[소장처명]]=대출권수[소장처명])*(대출권수[대출반납]="대출")*(자료실기준[[#This Row],[년월]]=대출권수[년월]),0),MATCH(T$1,대출권수[#Headers],0)),0)</f>
        <v>2</v>
      </c>
      <c r="U134" s="9">
        <f t="array" ref="U134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34" s="9">
        <f t="array" ref="V134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34" s="9">
        <f t="array" ref="W134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34" s="9">
        <f t="array" ref="X134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34" s="9">
        <f t="array" ref="Y134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134" s="9">
        <f t="array" ref="Z134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34" s="9">
        <f>SUM(자료실기준[[#This Row],[총류]:[역사]])</f>
        <v>2</v>
      </c>
    </row>
    <row r="135" spans="1:27" x14ac:dyDescent="0.3">
      <c r="A135" s="5">
        <v>45444</v>
      </c>
      <c r="B135" s="11" t="s">
        <v>3</v>
      </c>
      <c r="C135" s="5" t="str">
        <f>TEXT(자료실기준[[#This Row],[년월]],"yy년m월")&amp;자료실기준[[#This Row],[소장처명]]</f>
        <v>24년6월별관 서고(디지털자료실)</v>
      </c>
      <c r="D135" t="str">
        <f>IFERROR(INDEX(자료실범례[],MATCH($B135,자료실범례[소장처명],0),2),"종합자료실")</f>
        <v>디지털자료실</v>
      </c>
      <c r="E135" s="9">
        <f t="array" ref="E135">IFERROR(INDEX(대출자[],MATCH(1,(자료실기준[[#This Row],[소장처명]]=대출자[소장처명])*(자료실기준[[#This Row],[년월]]=대출자[년월]),0),MATCH(E$1,대출자[#Headers],0)),0)</f>
        <v>0</v>
      </c>
      <c r="F135" s="9">
        <f t="array" ref="F135">IFERROR(INDEX(대출자[],MATCH(1,(자료실기준[[#This Row],[소장처명]]=대출자[소장처명])*(자료실기준[[#This Row],[년월]]=대출자[년월]),0),MATCH(F$1,대출자[#Headers],0)),0)</f>
        <v>0</v>
      </c>
      <c r="G135" s="9">
        <f t="array" ref="G135">IFERROR(INDEX(대출자[],MATCH(1,(자료실기준[[#This Row],[소장처명]]=대출자[소장처명])*(자료실기준[[#This Row],[년월]]=대출자[년월]),0),MATCH(G$1,대출자[#Headers],0)),0)</f>
        <v>0</v>
      </c>
      <c r="H135" s="9">
        <f t="array" ref="H135">IFERROR(INDEX(대출자[],MATCH(1,(자료실기준[[#This Row],[소장처명]]=대출자[소장처명])*(자료실기준[[#This Row],[년월]]=대출자[년월]),0),MATCH(H$1,대출자[#Headers],0)),0)</f>
        <v>0</v>
      </c>
      <c r="I135" s="9">
        <f t="array" ref="I135">IFERROR(INDEX(대출자[],MATCH(1,(자료실기준[[#This Row],[소장처명]]=대출자[소장처명])*(자료실기준[[#This Row],[년월]]=대출자[년월]),0),MATCH(I$1,대출자[#Headers],0)),0)</f>
        <v>0</v>
      </c>
      <c r="J135" s="9">
        <f t="array" ref="J135">IFERROR(INDEX(대출자[],MATCH(1,(자료실기준[[#This Row],[소장처명]]=대출자[소장처명])*(자료실기준[[#This Row],[년월]]=대출자[년월]),0),MATCH(J$1,대출자[#Headers],0)),0)</f>
        <v>0</v>
      </c>
      <c r="K135" s="9">
        <f t="array" ref="K135">IFERROR(INDEX(대출자[],MATCH(1,(자료실기준[[#This Row],[소장처명]]=대출자[소장처명])*(자료실기준[[#This Row],[년월]]=대출자[년월]),0),MATCH(K$1,대출자[#Headers],0)),0)</f>
        <v>0</v>
      </c>
      <c r="L135" s="9">
        <f t="array" ref="L135">IFERROR(INDEX(대출자[],MATCH(1,(자료실기준[[#This Row],[소장처명]]=대출자[소장처명])*(자료실기준[[#This Row],[년월]]=대출자[년월]),0),MATCH(L$1,대출자[#Headers],0)),0)</f>
        <v>0</v>
      </c>
      <c r="M135" s="9">
        <f t="array" ref="M135">IFERROR(INDEX(대출자[],MATCH(1,(자료실기준[[#This Row],[소장처명]]=대출자[소장처명])*(자료실기준[[#This Row],[년월]]=대출자[년월]),0),MATCH(M$1,대출자[#Headers],0)),0)</f>
        <v>0</v>
      </c>
      <c r="N135" s="9">
        <f>IFERROR(자료실기준[[#This Row],[어린이남자]]+자료실기준[[#This Row],[청소년남자]]+자료실기준[[#This Row],[성인남자]],0)</f>
        <v>0</v>
      </c>
      <c r="O135" s="9">
        <f>IFERROR(자료실기준[[#This Row],[어린이여자]]+자료실기준[[#This Row],[청소년여자]]+자료실기준[[#This Row],[성인여자]],0)</f>
        <v>0</v>
      </c>
      <c r="P135" s="9">
        <f>IFERROR(자료실기준[[#This Row],[남자]]+자료실기준[[#This Row],[여자]],0)</f>
        <v>0</v>
      </c>
      <c r="Q135" s="9">
        <f t="array" ref="Q135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35" s="9">
        <f t="array" ref="R135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35" s="9">
        <f t="array" ref="S135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35" s="9">
        <f t="array" ref="T135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35" s="9">
        <f t="array" ref="U135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35" s="9">
        <f t="array" ref="V135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35" s="9">
        <f t="array" ref="W135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35" s="9">
        <f t="array" ref="X135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35" s="9">
        <f t="array" ref="Y135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135" s="9">
        <f t="array" ref="Z135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35" s="9">
        <f>SUM(자료실기준[[#This Row],[총류]:[역사]])</f>
        <v>0</v>
      </c>
    </row>
    <row r="136" spans="1:27" x14ac:dyDescent="0.3">
      <c r="A136" s="5">
        <v>45444</v>
      </c>
      <c r="B136" s="11" t="s">
        <v>4</v>
      </c>
      <c r="C136" s="5" t="str">
        <f>TEXT(자료실기준[[#This Row],[년월]],"yy년m월")&amp;자료실기준[[#This Row],[소장처명]]</f>
        <v>24년6월별관 서고(어린이자료실)</v>
      </c>
      <c r="D136" t="str">
        <f>IFERROR(INDEX(자료실범례[],MATCH($B136,자료실범례[소장처명],0),2),"종합자료실")</f>
        <v>어린이자료실</v>
      </c>
      <c r="E136" s="9">
        <f t="array" ref="E136">IFERROR(INDEX(대출자[],MATCH(1,(자료실기준[[#This Row],[소장처명]]=대출자[소장처명])*(자료실기준[[#This Row],[년월]]=대출자[년월]),0),MATCH(E$1,대출자[#Headers],0)),0)</f>
        <v>0</v>
      </c>
      <c r="F136" s="9">
        <f t="array" ref="F136">IFERROR(INDEX(대출자[],MATCH(1,(자료실기준[[#This Row],[소장처명]]=대출자[소장처명])*(자료실기준[[#This Row],[년월]]=대출자[년월]),0),MATCH(F$1,대출자[#Headers],0)),0)</f>
        <v>1</v>
      </c>
      <c r="G136" s="9">
        <f t="array" ref="G136">IFERROR(INDEX(대출자[],MATCH(1,(자료실기준[[#This Row],[소장처명]]=대출자[소장처명])*(자료실기준[[#This Row],[년월]]=대출자[년월]),0),MATCH(G$1,대출자[#Headers],0)),0)</f>
        <v>0</v>
      </c>
      <c r="H136" s="9">
        <f t="array" ref="H136">IFERROR(INDEX(대출자[],MATCH(1,(자료실기준[[#This Row],[소장처명]]=대출자[소장처명])*(자료실기준[[#This Row],[년월]]=대출자[년월]),0),MATCH(H$1,대출자[#Headers],0)),0)</f>
        <v>0</v>
      </c>
      <c r="I136" s="9">
        <f t="array" ref="I136">IFERROR(INDEX(대출자[],MATCH(1,(자료실기준[[#This Row],[소장처명]]=대출자[소장처명])*(자료실기준[[#This Row],[년월]]=대출자[년월]),0),MATCH(I$1,대출자[#Headers],0)),0)</f>
        <v>0</v>
      </c>
      <c r="J136" s="9">
        <f t="array" ref="J136">IFERROR(INDEX(대출자[],MATCH(1,(자료실기준[[#This Row],[소장처명]]=대출자[소장처명])*(자료실기준[[#This Row],[년월]]=대출자[년월]),0),MATCH(J$1,대출자[#Headers],0)),0)</f>
        <v>6</v>
      </c>
      <c r="K136" s="9">
        <f t="array" ref="K136">IFERROR(INDEX(대출자[],MATCH(1,(자료실기준[[#This Row],[소장처명]]=대출자[소장처명])*(자료실기준[[#This Row],[년월]]=대출자[년월]),0),MATCH(K$1,대출자[#Headers],0)),0)</f>
        <v>1</v>
      </c>
      <c r="L136" s="9">
        <f t="array" ref="L136">IFERROR(INDEX(대출자[],MATCH(1,(자료실기준[[#This Row],[소장처명]]=대출자[소장처명])*(자료실기준[[#This Row],[년월]]=대출자[년월]),0),MATCH(L$1,대출자[#Headers],0)),0)</f>
        <v>0</v>
      </c>
      <c r="M136" s="9">
        <f t="array" ref="M136">IFERROR(INDEX(대출자[],MATCH(1,(자료실기준[[#This Row],[소장처명]]=대출자[소장처명])*(자료실기준[[#This Row],[년월]]=대출자[년월]),0),MATCH(M$1,대출자[#Headers],0)),0)</f>
        <v>6</v>
      </c>
      <c r="N136" s="9">
        <f>IFERROR(자료실기준[[#This Row],[어린이남자]]+자료실기준[[#This Row],[청소년남자]]+자료실기준[[#This Row],[성인남자]],0)</f>
        <v>0</v>
      </c>
      <c r="O136" s="9">
        <f>IFERROR(자료실기준[[#This Row],[어린이여자]]+자료실기준[[#This Row],[청소년여자]]+자료실기준[[#This Row],[성인여자]],0)</f>
        <v>7</v>
      </c>
      <c r="P136" s="9">
        <f>IFERROR(자료실기준[[#This Row],[남자]]+자료실기준[[#This Row],[여자]],0)</f>
        <v>7</v>
      </c>
      <c r="Q136" s="9">
        <f t="array" ref="Q136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36" s="9">
        <f t="array" ref="R136">IFERROR(INDEX(대출권수[],MATCH(1,(자료실기준[[#This Row],[소장처명]]=대출권수[소장처명])*(대출권수[대출반납]="대출")*(자료실기준[[#This Row],[년월]]=대출권수[년월]),0),MATCH(R$1,대출권수[#Headers],0)),0)</f>
        <v>1</v>
      </c>
      <c r="S136" s="9">
        <f t="array" ref="S136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36" s="9">
        <f t="array" ref="T136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36" s="9">
        <f t="array" ref="U136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36" s="9">
        <f t="array" ref="V136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36" s="9">
        <f t="array" ref="W136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36" s="9">
        <f t="array" ref="X136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36" s="9">
        <f t="array" ref="Y136">IFERROR(INDEX(대출권수[],MATCH(1,(자료실기준[[#This Row],[소장처명]]=대출권수[소장처명])*(대출권수[대출반납]="대출")*(자료실기준[[#This Row],[년월]]=대출권수[년월]),0),MATCH(Y$1,대출권수[#Headers],0)),0)</f>
        <v>5</v>
      </c>
      <c r="Z136" s="9">
        <f t="array" ref="Z136">IFERROR(INDEX(대출권수[],MATCH(1,(자료실기준[[#This Row],[소장처명]]=대출권수[소장처명])*(대출권수[대출반납]="대출")*(자료실기준[[#This Row],[년월]]=대출권수[년월]),0),MATCH(Z$1,대출권수[#Headers],0)),0)</f>
        <v>1</v>
      </c>
      <c r="AA136" s="9">
        <f>SUM(자료실기준[[#This Row],[총류]:[역사]])</f>
        <v>7</v>
      </c>
    </row>
    <row r="137" spans="1:27" x14ac:dyDescent="0.3">
      <c r="A137" s="5">
        <v>45444</v>
      </c>
      <c r="B137" s="11" t="s">
        <v>5</v>
      </c>
      <c r="C137" s="5" t="str">
        <f>TEXT(자료실기준[[#This Row],[년월]],"yy년m월")&amp;자료실기준[[#This Row],[소장처명]]</f>
        <v>24년6월별관 서고(종합자료실)</v>
      </c>
      <c r="D137" t="str">
        <f>IFERROR(INDEX(자료실범례[],MATCH($B137,자료실범례[소장처명],0),2),"종합자료실")</f>
        <v>종합자료실</v>
      </c>
      <c r="E137" s="9">
        <f t="array" ref="E137">IFERROR(INDEX(대출자[],MATCH(1,(자료실기준[[#This Row],[소장처명]]=대출자[소장처명])*(자료실기준[[#This Row],[년월]]=대출자[년월]),0),MATCH(E$1,대출자[#Headers],0)),0)</f>
        <v>0</v>
      </c>
      <c r="F137" s="9">
        <f t="array" ref="F137">IFERROR(INDEX(대출자[],MATCH(1,(자료실기준[[#This Row],[소장처명]]=대출자[소장처명])*(자료실기준[[#This Row],[년월]]=대출자[년월]),0),MATCH(F$1,대출자[#Headers],0)),0)</f>
        <v>0</v>
      </c>
      <c r="G137" s="9">
        <f t="array" ref="G137">IFERROR(INDEX(대출자[],MATCH(1,(자료실기준[[#This Row],[소장처명]]=대출자[소장처명])*(자료실기준[[#This Row],[년월]]=대출자[년월]),0),MATCH(G$1,대출자[#Headers],0)),0)</f>
        <v>1</v>
      </c>
      <c r="H137" s="9">
        <f t="array" ref="H137">IFERROR(INDEX(대출자[],MATCH(1,(자료실기준[[#This Row],[소장처명]]=대출자[소장처명])*(자료실기준[[#This Row],[년월]]=대출자[년월]),0),MATCH(H$1,대출자[#Headers],0)),0)</f>
        <v>4</v>
      </c>
      <c r="I137" s="9">
        <f t="array" ref="I137">IFERROR(INDEX(대출자[],MATCH(1,(자료실기준[[#This Row],[소장처명]]=대출자[소장처명])*(자료실기준[[#This Row],[년월]]=대출자[년월]),0),MATCH(I$1,대출자[#Headers],0)),0)</f>
        <v>12</v>
      </c>
      <c r="J137" s="9">
        <f t="array" ref="J137">IFERROR(INDEX(대출자[],MATCH(1,(자료실기준[[#This Row],[소장처명]]=대출자[소장처명])*(자료실기준[[#This Row],[년월]]=대출자[년월]),0),MATCH(J$1,대출자[#Headers],0)),0)</f>
        <v>13</v>
      </c>
      <c r="K137" s="9">
        <f t="array" ref="K137">IFERROR(INDEX(대출자[],MATCH(1,(자료실기준[[#This Row],[소장처명]]=대출자[소장처명])*(자료실기준[[#This Row],[년월]]=대출자[년월]),0),MATCH(K$1,대출자[#Headers],0)),0)</f>
        <v>0</v>
      </c>
      <c r="L137" s="9">
        <f t="array" ref="L137">IFERROR(INDEX(대출자[],MATCH(1,(자료실기준[[#This Row],[소장처명]]=대출자[소장처명])*(자료실기준[[#This Row],[년월]]=대출자[년월]),0),MATCH(L$1,대출자[#Headers],0)),0)</f>
        <v>5</v>
      </c>
      <c r="M137" s="9">
        <f t="array" ref="M137">IFERROR(INDEX(대출자[],MATCH(1,(자료실기준[[#This Row],[소장처명]]=대출자[소장처명])*(자료실기준[[#This Row],[년월]]=대출자[년월]),0),MATCH(M$1,대출자[#Headers],0)),0)</f>
        <v>25</v>
      </c>
      <c r="N137" s="9">
        <f>IFERROR(자료실기준[[#This Row],[어린이남자]]+자료실기준[[#This Row],[청소년남자]]+자료실기준[[#This Row],[성인남자]],0)</f>
        <v>13</v>
      </c>
      <c r="O137" s="9">
        <f>IFERROR(자료실기준[[#This Row],[어린이여자]]+자료실기준[[#This Row],[청소년여자]]+자료실기준[[#This Row],[성인여자]],0)</f>
        <v>17</v>
      </c>
      <c r="P137" s="9">
        <f>IFERROR(자료실기준[[#This Row],[남자]]+자료실기준[[#This Row],[여자]],0)</f>
        <v>30</v>
      </c>
      <c r="Q137" s="9">
        <f t="array" ref="Q137">IFERROR(INDEX(대출권수[],MATCH(1,(자료실기준[[#This Row],[소장처명]]=대출권수[소장처명])*(대출권수[대출반납]="대출")*(자료실기준[[#This Row],[년월]]=대출권수[년월]),0),MATCH(Q$1,대출권수[#Headers],0)),0)</f>
        <v>1</v>
      </c>
      <c r="R137" s="9">
        <f t="array" ref="R137">IFERROR(INDEX(대출권수[],MATCH(1,(자료실기준[[#This Row],[소장처명]]=대출권수[소장처명])*(대출권수[대출반납]="대출")*(자료실기준[[#This Row],[년월]]=대출권수[년월]),0),MATCH(R$1,대출권수[#Headers],0)),0)</f>
        <v>5</v>
      </c>
      <c r="S137" s="9">
        <f t="array" ref="S137">IFERROR(INDEX(대출권수[],MATCH(1,(자료실기준[[#This Row],[소장처명]]=대출권수[소장처명])*(대출권수[대출반납]="대출")*(자료실기준[[#This Row],[년월]]=대출권수[년월]),0),MATCH(S$1,대출권수[#Headers],0)),0)</f>
        <v>1</v>
      </c>
      <c r="T137" s="9">
        <f t="array" ref="T137">IFERROR(INDEX(대출권수[],MATCH(1,(자료실기준[[#This Row],[소장처명]]=대출권수[소장처명])*(대출권수[대출반납]="대출")*(자료실기준[[#This Row],[년월]]=대출권수[년월]),0),MATCH(T$1,대출권수[#Headers],0)),0)</f>
        <v>5</v>
      </c>
      <c r="U137" s="9">
        <f t="array" ref="U137">IFERROR(INDEX(대출권수[],MATCH(1,(자료실기준[[#This Row],[소장처명]]=대출권수[소장처명])*(대출권수[대출반납]="대출")*(자료실기준[[#This Row],[년월]]=대출권수[년월]),0),MATCH(U$1,대출권수[#Headers],0)),0)</f>
        <v>3</v>
      </c>
      <c r="V137" s="9">
        <f t="array" ref="V137">IFERROR(INDEX(대출권수[],MATCH(1,(자료실기준[[#This Row],[소장처명]]=대출권수[소장처명])*(대출권수[대출반납]="대출")*(자료실기준[[#This Row],[년월]]=대출권수[년월]),0),MATCH(V$1,대출권수[#Headers],0)),0)</f>
        <v>5</v>
      </c>
      <c r="W137" s="9">
        <f t="array" ref="W137">IFERROR(INDEX(대출권수[],MATCH(1,(자료실기준[[#This Row],[소장처명]]=대출권수[소장처명])*(대출권수[대출반납]="대출")*(자료실기준[[#This Row],[년월]]=대출권수[년월]),0),MATCH(W$1,대출권수[#Headers],0)),0)</f>
        <v>3</v>
      </c>
      <c r="X137" s="9">
        <f t="array" ref="X137">IFERROR(INDEX(대출권수[],MATCH(1,(자료실기준[[#This Row],[소장처명]]=대출권수[소장처명])*(대출권수[대출반납]="대출")*(자료실기준[[#This Row],[년월]]=대출권수[년월]),0),MATCH(X$1,대출권수[#Headers],0)),0)</f>
        <v>2</v>
      </c>
      <c r="Y137" s="9">
        <f t="array" ref="Y137">IFERROR(INDEX(대출권수[],MATCH(1,(자료실기준[[#This Row],[소장처명]]=대출권수[소장처명])*(대출권수[대출반납]="대출")*(자료실기준[[#This Row],[년월]]=대출권수[년월]),0),MATCH(Y$1,대출권수[#Headers],0)),0)</f>
        <v>10</v>
      </c>
      <c r="Z137" s="9">
        <f t="array" ref="Z137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37" s="9">
        <f>SUM(자료실기준[[#This Row],[총류]:[역사]])</f>
        <v>35</v>
      </c>
    </row>
    <row r="138" spans="1:27" x14ac:dyDescent="0.3">
      <c r="A138" s="5">
        <v>45444</v>
      </c>
      <c r="B138" s="11" t="s">
        <v>7</v>
      </c>
      <c r="C138" s="5" t="str">
        <f>TEXT(자료실기준[[#This Row],[년월]],"yy년m월")&amp;자료실기준[[#This Row],[소장처명]]</f>
        <v>24년6월어린이실(교과1학년)</v>
      </c>
      <c r="D138" t="str">
        <f>IFERROR(INDEX(자료실범례[],MATCH($B138,자료실범례[소장처명],0),2),"종합자료실")</f>
        <v>어린이자료실</v>
      </c>
      <c r="E138" s="9">
        <f t="array" ref="E138">IFERROR(INDEX(대출자[],MATCH(1,(자료실기준[[#This Row],[소장처명]]=대출자[소장처명])*(자료실기준[[#This Row],[년월]]=대출자[년월]),0),MATCH(E$1,대출자[#Headers],0)),0)</f>
        <v>6</v>
      </c>
      <c r="F138" s="9">
        <f t="array" ref="F138">IFERROR(INDEX(대출자[],MATCH(1,(자료실기준[[#This Row],[소장처명]]=대출자[소장처명])*(자료실기준[[#This Row],[년월]]=대출자[년월]),0),MATCH(F$1,대출자[#Headers],0)),0)</f>
        <v>6</v>
      </c>
      <c r="G138" s="9">
        <f t="array" ref="G138">IFERROR(INDEX(대출자[],MATCH(1,(자료실기준[[#This Row],[소장처명]]=대출자[소장처명])*(자료실기준[[#This Row],[년월]]=대출자[년월]),0),MATCH(G$1,대출자[#Headers],0)),0)</f>
        <v>0</v>
      </c>
      <c r="H138" s="9">
        <f t="array" ref="H138">IFERROR(INDEX(대출자[],MATCH(1,(자료실기준[[#This Row],[소장처명]]=대출자[소장처명])*(자료실기준[[#This Row],[년월]]=대출자[년월]),0),MATCH(H$1,대출자[#Headers],0)),0)</f>
        <v>0</v>
      </c>
      <c r="I138" s="9">
        <f t="array" ref="I138">IFERROR(INDEX(대출자[],MATCH(1,(자료실기준[[#This Row],[소장처명]]=대출자[소장처명])*(자료실기준[[#This Row],[년월]]=대출자[년월]),0),MATCH(I$1,대출자[#Headers],0)),0)</f>
        <v>1</v>
      </c>
      <c r="J138" s="9">
        <f t="array" ref="J138">IFERROR(INDEX(대출자[],MATCH(1,(자료실기준[[#This Row],[소장처명]]=대출자[소장처명])*(자료실기준[[#This Row],[년월]]=대출자[년월]),0),MATCH(J$1,대출자[#Headers],0)),0)</f>
        <v>8</v>
      </c>
      <c r="K138" s="9">
        <f t="array" ref="K138">IFERROR(INDEX(대출자[],MATCH(1,(자료실기준[[#This Row],[소장처명]]=대출자[소장처명])*(자료실기준[[#This Row],[년월]]=대출자[년월]),0),MATCH(K$1,대출자[#Headers],0)),0)</f>
        <v>12</v>
      </c>
      <c r="L138" s="9">
        <f t="array" ref="L138">IFERROR(INDEX(대출자[],MATCH(1,(자료실기준[[#This Row],[소장처명]]=대출자[소장처명])*(자료실기준[[#This Row],[년월]]=대출자[년월]),0),MATCH(L$1,대출자[#Headers],0)),0)</f>
        <v>0</v>
      </c>
      <c r="M138" s="9">
        <f t="array" ref="M138">IFERROR(INDEX(대출자[],MATCH(1,(자료실기준[[#This Row],[소장처명]]=대출자[소장처명])*(자료실기준[[#This Row],[년월]]=대출자[년월]),0),MATCH(M$1,대출자[#Headers],0)),0)</f>
        <v>9</v>
      </c>
      <c r="N138" s="9">
        <f>IFERROR(자료실기준[[#This Row],[어린이남자]]+자료실기준[[#This Row],[청소년남자]]+자료실기준[[#This Row],[성인남자]],0)</f>
        <v>7</v>
      </c>
      <c r="O138" s="9">
        <f>IFERROR(자료실기준[[#This Row],[어린이여자]]+자료실기준[[#This Row],[청소년여자]]+자료실기준[[#This Row],[성인여자]],0)</f>
        <v>14</v>
      </c>
      <c r="P138" s="9">
        <f>IFERROR(자료실기준[[#This Row],[남자]]+자료실기준[[#This Row],[여자]],0)</f>
        <v>21</v>
      </c>
      <c r="Q138" s="9">
        <f t="array" ref="Q138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38" s="9">
        <f t="array" ref="R138">IFERROR(INDEX(대출권수[],MATCH(1,(자료실기준[[#This Row],[소장처명]]=대출권수[소장처명])*(대출권수[대출반납]="대출")*(자료실기준[[#This Row],[년월]]=대출권수[년월]),0),MATCH(R$1,대출권수[#Headers],0)),0)</f>
        <v>2</v>
      </c>
      <c r="S138" s="9">
        <f t="array" ref="S138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38" s="9">
        <f t="array" ref="T138">IFERROR(INDEX(대출권수[],MATCH(1,(자료실기준[[#This Row],[소장처명]]=대출권수[소장처명])*(대출권수[대출반납]="대출")*(자료실기준[[#This Row],[년월]]=대출권수[년월]),0),MATCH(T$1,대출권수[#Headers],0)),0)</f>
        <v>8</v>
      </c>
      <c r="U138" s="9">
        <f t="array" ref="U138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38" s="9">
        <f t="array" ref="V138">IFERROR(INDEX(대출권수[],MATCH(1,(자료실기준[[#This Row],[소장처명]]=대출권수[소장처명])*(대출권수[대출반납]="대출")*(자료실기준[[#This Row],[년월]]=대출권수[년월]),0),MATCH(V$1,대출권수[#Headers],0)),0)</f>
        <v>3</v>
      </c>
      <c r="W138" s="9">
        <f t="array" ref="W138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38" s="9">
        <f t="array" ref="X138">IFERROR(INDEX(대출권수[],MATCH(1,(자료실기준[[#This Row],[소장처명]]=대출권수[소장처명])*(대출권수[대출반납]="대출")*(자료실기준[[#This Row],[년월]]=대출권수[년월]),0),MATCH(X$1,대출권수[#Headers],0)),0)</f>
        <v>1</v>
      </c>
      <c r="Y138" s="9">
        <f t="array" ref="Y138">IFERROR(INDEX(대출권수[],MATCH(1,(자료실기준[[#This Row],[소장처명]]=대출권수[소장처명])*(대출권수[대출반납]="대출")*(자료실기준[[#This Row],[년월]]=대출권수[년월]),0),MATCH(Y$1,대출권수[#Headers],0)),0)</f>
        <v>31</v>
      </c>
      <c r="Z138" s="9">
        <f t="array" ref="Z138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38" s="9">
        <f>SUM(자료실기준[[#This Row],[총류]:[역사]])</f>
        <v>45</v>
      </c>
    </row>
    <row r="139" spans="1:27" x14ac:dyDescent="0.3">
      <c r="A139" s="5">
        <v>45444</v>
      </c>
      <c r="B139" s="11" t="s">
        <v>8</v>
      </c>
      <c r="C139" s="5" t="str">
        <f>TEXT(자료실기준[[#This Row],[년월]],"yy년m월")&amp;자료실기준[[#This Row],[소장처명]]</f>
        <v>24년6월어린이실(교과2학년)</v>
      </c>
      <c r="D139" t="str">
        <f>IFERROR(INDEX(자료실범례[],MATCH($B139,자료실범례[소장처명],0),2),"종합자료실")</f>
        <v>어린이자료실</v>
      </c>
      <c r="E139" s="9">
        <f t="array" ref="E139">IFERROR(INDEX(대출자[],MATCH(1,(자료실기준[[#This Row],[소장처명]]=대출자[소장처명])*(자료실기준[[#This Row],[년월]]=대출자[년월]),0),MATCH(E$1,대출자[#Headers],0)),0)</f>
        <v>1</v>
      </c>
      <c r="F139" s="9">
        <f t="array" ref="F139">IFERROR(INDEX(대출자[],MATCH(1,(자료실기준[[#This Row],[소장처명]]=대출자[소장처명])*(자료실기준[[#This Row],[년월]]=대출자[년월]),0),MATCH(F$1,대출자[#Headers],0)),0)</f>
        <v>4</v>
      </c>
      <c r="G139" s="9">
        <f t="array" ref="G139">IFERROR(INDEX(대출자[],MATCH(1,(자료실기준[[#This Row],[소장처명]]=대출자[소장처명])*(자료실기준[[#This Row],[년월]]=대출자[년월]),0),MATCH(G$1,대출자[#Headers],0)),0)</f>
        <v>1</v>
      </c>
      <c r="H139" s="9">
        <f t="array" ref="H139">IFERROR(INDEX(대출자[],MATCH(1,(자료실기준[[#This Row],[소장처명]]=대출자[소장처명])*(자료실기준[[#This Row],[년월]]=대출자[년월]),0),MATCH(H$1,대출자[#Headers],0)),0)</f>
        <v>0</v>
      </c>
      <c r="I139" s="9">
        <f t="array" ref="I139">IFERROR(INDEX(대출자[],MATCH(1,(자료실기준[[#This Row],[소장처명]]=대출자[소장처명])*(자료실기준[[#This Row],[년월]]=대출자[년월]),0),MATCH(I$1,대출자[#Headers],0)),0)</f>
        <v>1</v>
      </c>
      <c r="J139" s="9">
        <f t="array" ref="J139">IFERROR(INDEX(대출자[],MATCH(1,(자료실기준[[#This Row],[소장처명]]=대출자[소장처명])*(자료실기준[[#This Row],[년월]]=대출자[년월]),0),MATCH(J$1,대출자[#Headers],0)),0)</f>
        <v>3</v>
      </c>
      <c r="K139" s="9">
        <f t="array" ref="K139">IFERROR(INDEX(대출자[],MATCH(1,(자료실기준[[#This Row],[소장처명]]=대출자[소장처명])*(자료실기준[[#This Row],[년월]]=대출자[년월]),0),MATCH(K$1,대출자[#Headers],0)),0)</f>
        <v>5</v>
      </c>
      <c r="L139" s="9">
        <f t="array" ref="L139">IFERROR(INDEX(대출자[],MATCH(1,(자료실기준[[#This Row],[소장처명]]=대출자[소장처명])*(자료실기준[[#This Row],[년월]]=대출자[년월]),0),MATCH(L$1,대출자[#Headers],0)),0)</f>
        <v>1</v>
      </c>
      <c r="M139" s="9">
        <f t="array" ref="M139">IFERROR(INDEX(대출자[],MATCH(1,(자료실기준[[#This Row],[소장처명]]=대출자[소장처명])*(자료실기준[[#This Row],[년월]]=대출자[년월]),0),MATCH(M$1,대출자[#Headers],0)),0)</f>
        <v>4</v>
      </c>
      <c r="N139" s="9">
        <f>IFERROR(자료실기준[[#This Row],[어린이남자]]+자료실기준[[#This Row],[청소년남자]]+자료실기준[[#This Row],[성인남자]],0)</f>
        <v>3</v>
      </c>
      <c r="O139" s="9">
        <f>IFERROR(자료실기준[[#This Row],[어린이여자]]+자료실기준[[#This Row],[청소년여자]]+자료실기준[[#This Row],[성인여자]],0)</f>
        <v>7</v>
      </c>
      <c r="P139" s="9">
        <f>IFERROR(자료실기준[[#This Row],[남자]]+자료실기준[[#This Row],[여자]],0)</f>
        <v>10</v>
      </c>
      <c r="Q139" s="9">
        <f t="array" ref="Q139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39" s="9">
        <f t="array" ref="R139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39" s="9">
        <f t="array" ref="S139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39" s="9">
        <f t="array" ref="T139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39" s="9">
        <f t="array" ref="U139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39" s="9">
        <f t="array" ref="V139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39" s="9">
        <f t="array" ref="W139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39" s="9">
        <f t="array" ref="X139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39" s="9">
        <f t="array" ref="Y139">IFERROR(INDEX(대출권수[],MATCH(1,(자료실기준[[#This Row],[소장처명]]=대출권수[소장처명])*(대출권수[대출반납]="대출")*(자료실기준[[#This Row],[년월]]=대출권수[년월]),0),MATCH(Y$1,대출권수[#Headers],0)),0)</f>
        <v>13</v>
      </c>
      <c r="Z139" s="9">
        <f t="array" ref="Z139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39" s="9">
        <f>SUM(자료실기준[[#This Row],[총류]:[역사]])</f>
        <v>13</v>
      </c>
    </row>
    <row r="140" spans="1:27" x14ac:dyDescent="0.3">
      <c r="A140" s="5">
        <v>45444</v>
      </c>
      <c r="B140" s="11" t="s">
        <v>9</v>
      </c>
      <c r="C140" s="5" t="str">
        <f>TEXT(자료실기준[[#This Row],[년월]],"yy년m월")&amp;자료실기준[[#This Row],[소장처명]]</f>
        <v>24년6월어린이실(교과3학년)</v>
      </c>
      <c r="D140" t="str">
        <f>IFERROR(INDEX(자료실범례[],MATCH($B140,자료실범례[소장처명],0),2),"종합자료실")</f>
        <v>어린이자료실</v>
      </c>
      <c r="E140" s="9">
        <f t="array" ref="E140">IFERROR(INDEX(대출자[],MATCH(1,(자료실기준[[#This Row],[소장처명]]=대출자[소장처명])*(자료실기준[[#This Row],[년월]]=대출자[년월]),0),MATCH(E$1,대출자[#Headers],0)),0)</f>
        <v>3</v>
      </c>
      <c r="F140" s="9">
        <f t="array" ref="F140">IFERROR(INDEX(대출자[],MATCH(1,(자료실기준[[#This Row],[소장처명]]=대출자[소장처명])*(자료실기준[[#This Row],[년월]]=대출자[년월]),0),MATCH(F$1,대출자[#Headers],0)),0)</f>
        <v>1</v>
      </c>
      <c r="G140" s="9">
        <f t="array" ref="G140">IFERROR(INDEX(대출자[],MATCH(1,(자료실기준[[#This Row],[소장처명]]=대출자[소장처명])*(자료실기준[[#This Row],[년월]]=대출자[년월]),0),MATCH(G$1,대출자[#Headers],0)),0)</f>
        <v>1</v>
      </c>
      <c r="H140" s="9">
        <f t="array" ref="H140">IFERROR(INDEX(대출자[],MATCH(1,(자료실기준[[#This Row],[소장처명]]=대출자[소장처명])*(자료실기준[[#This Row],[년월]]=대출자[년월]),0),MATCH(H$1,대출자[#Headers],0)),0)</f>
        <v>0</v>
      </c>
      <c r="I140" s="9">
        <f t="array" ref="I140">IFERROR(INDEX(대출자[],MATCH(1,(자료실기준[[#This Row],[소장처명]]=대출자[소장처명])*(자료실기준[[#This Row],[년월]]=대출자[년월]),0),MATCH(I$1,대출자[#Headers],0)),0)</f>
        <v>0</v>
      </c>
      <c r="J140" s="9">
        <f t="array" ref="J140">IFERROR(INDEX(대출자[],MATCH(1,(자료실기준[[#This Row],[소장처명]]=대출자[소장처명])*(자료실기준[[#This Row],[년월]]=대출자[년월]),0),MATCH(J$1,대출자[#Headers],0)),0)</f>
        <v>0</v>
      </c>
      <c r="K140" s="9">
        <f t="array" ref="K140">IFERROR(INDEX(대출자[],MATCH(1,(자료실기준[[#This Row],[소장처명]]=대출자[소장처명])*(자료실기준[[#This Row],[년월]]=대출자[년월]),0),MATCH(K$1,대출자[#Headers],0)),0)</f>
        <v>4</v>
      </c>
      <c r="L140" s="9">
        <f t="array" ref="L140">IFERROR(INDEX(대출자[],MATCH(1,(자료실기준[[#This Row],[소장처명]]=대출자[소장처명])*(자료실기준[[#This Row],[년월]]=대출자[년월]),0),MATCH(L$1,대출자[#Headers],0)),0)</f>
        <v>1</v>
      </c>
      <c r="M140" s="9">
        <f t="array" ref="M140">IFERROR(INDEX(대출자[],MATCH(1,(자료실기준[[#This Row],[소장처명]]=대출자[소장처명])*(자료실기준[[#This Row],[년월]]=대출자[년월]),0),MATCH(M$1,대출자[#Headers],0)),0)</f>
        <v>0</v>
      </c>
      <c r="N140" s="9">
        <f>IFERROR(자료실기준[[#This Row],[어린이남자]]+자료실기준[[#This Row],[청소년남자]]+자료실기준[[#This Row],[성인남자]],0)</f>
        <v>4</v>
      </c>
      <c r="O140" s="9">
        <f>IFERROR(자료실기준[[#This Row],[어린이여자]]+자료실기준[[#This Row],[청소년여자]]+자료실기준[[#This Row],[성인여자]],0)</f>
        <v>1</v>
      </c>
      <c r="P140" s="9">
        <f>IFERROR(자료실기준[[#This Row],[남자]]+자료실기준[[#This Row],[여자]],0)</f>
        <v>5</v>
      </c>
      <c r="Q140" s="9">
        <f t="array" ref="Q140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40" s="9">
        <f t="array" ref="R140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40" s="9">
        <f t="array" ref="S140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40" s="9">
        <f t="array" ref="T140">IFERROR(INDEX(대출권수[],MATCH(1,(자료실기준[[#This Row],[소장처명]]=대출권수[소장처명])*(대출권수[대출반납]="대출")*(자료실기준[[#This Row],[년월]]=대출권수[년월]),0),MATCH(T$1,대출권수[#Headers],0)),0)</f>
        <v>1</v>
      </c>
      <c r="U140" s="9">
        <f t="array" ref="U140">IFERROR(INDEX(대출권수[],MATCH(1,(자료실기준[[#This Row],[소장처명]]=대출권수[소장처명])*(대출권수[대출반납]="대출")*(자료실기준[[#This Row],[년월]]=대출권수[년월]),0),MATCH(U$1,대출권수[#Headers],0)),0)</f>
        <v>1</v>
      </c>
      <c r="V140" s="9">
        <f t="array" ref="V140">IFERROR(INDEX(대출권수[],MATCH(1,(자료실기준[[#This Row],[소장처명]]=대출권수[소장처명])*(대출권수[대출반납]="대출")*(자료실기준[[#This Row],[년월]]=대출권수[년월]),0),MATCH(V$1,대출권수[#Headers],0)),0)</f>
        <v>2</v>
      </c>
      <c r="W140" s="9">
        <f t="array" ref="W140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40" s="9">
        <f t="array" ref="X140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40" s="9">
        <f t="array" ref="Y140">IFERROR(INDEX(대출권수[],MATCH(1,(자료실기준[[#This Row],[소장처명]]=대출권수[소장처명])*(대출권수[대출반납]="대출")*(자료실기준[[#This Row],[년월]]=대출권수[년월]),0),MATCH(Y$1,대출권수[#Headers],0)),0)</f>
        <v>5</v>
      </c>
      <c r="Z140" s="9">
        <f t="array" ref="Z140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40" s="9">
        <f>SUM(자료실기준[[#This Row],[총류]:[역사]])</f>
        <v>9</v>
      </c>
    </row>
    <row r="141" spans="1:27" x14ac:dyDescent="0.3">
      <c r="A141" s="5">
        <v>45444</v>
      </c>
      <c r="B141" t="s">
        <v>10</v>
      </c>
      <c r="C141" s="5" t="str">
        <f>TEXT(자료실기준[[#This Row],[년월]],"yy년m월")&amp;자료실기준[[#This Row],[소장처명]]</f>
        <v>24년6월어린이실(교과4학년)</v>
      </c>
      <c r="D141" t="str">
        <f>IFERROR(INDEX(자료실범례[],MATCH($B141,자료실범례[소장처명],0),2),"종합자료실")</f>
        <v>어린이자료실</v>
      </c>
      <c r="E141" s="9">
        <f t="array" ref="E141">IFERROR(INDEX(대출자[],MATCH(1,(자료실기준[[#This Row],[소장처명]]=대출자[소장처명])*(자료실기준[[#This Row],[년월]]=대출자[년월]),0),MATCH(E$1,대출자[#Headers],0)),0)</f>
        <v>1</v>
      </c>
      <c r="F141" s="9">
        <f t="array" ref="F141">IFERROR(INDEX(대출자[],MATCH(1,(자료실기준[[#This Row],[소장처명]]=대출자[소장처명])*(자료실기준[[#This Row],[년월]]=대출자[년월]),0),MATCH(F$1,대출자[#Headers],0)),0)</f>
        <v>3</v>
      </c>
      <c r="G141" s="9">
        <f t="array" ref="G141">IFERROR(INDEX(대출자[],MATCH(1,(자료실기준[[#This Row],[소장처명]]=대출자[소장처명])*(자료실기준[[#This Row],[년월]]=대출자[년월]),0),MATCH(G$1,대출자[#Headers],0)),0)</f>
        <v>0</v>
      </c>
      <c r="H141" s="9">
        <f t="array" ref="H141">IFERROR(INDEX(대출자[],MATCH(1,(자료실기준[[#This Row],[소장처명]]=대출자[소장처명])*(자료실기준[[#This Row],[년월]]=대출자[년월]),0),MATCH(H$1,대출자[#Headers],0)),0)</f>
        <v>0</v>
      </c>
      <c r="I141" s="9">
        <f t="array" ref="I141">IFERROR(INDEX(대출자[],MATCH(1,(자료실기준[[#This Row],[소장처명]]=대출자[소장처명])*(자료실기준[[#This Row],[년월]]=대출자[년월]),0),MATCH(I$1,대출자[#Headers],0)),0)</f>
        <v>0</v>
      </c>
      <c r="J141" s="9">
        <f t="array" ref="J141">IFERROR(INDEX(대출자[],MATCH(1,(자료실기준[[#This Row],[소장처명]]=대출자[소장처명])*(자료실기준[[#This Row],[년월]]=대출자[년월]),0),MATCH(J$1,대출자[#Headers],0)),0)</f>
        <v>1</v>
      </c>
      <c r="K141" s="9">
        <f t="array" ref="K141">IFERROR(INDEX(대출자[],MATCH(1,(자료실기준[[#This Row],[소장처명]]=대출자[소장처명])*(자료실기준[[#This Row],[년월]]=대출자[년월]),0),MATCH(K$1,대출자[#Headers],0)),0)</f>
        <v>4</v>
      </c>
      <c r="L141" s="9">
        <f t="array" ref="L141">IFERROR(INDEX(대출자[],MATCH(1,(자료실기준[[#This Row],[소장처명]]=대출자[소장처명])*(자료실기준[[#This Row],[년월]]=대출자[년월]),0),MATCH(L$1,대출자[#Headers],0)),0)</f>
        <v>0</v>
      </c>
      <c r="M141" s="9">
        <f t="array" ref="M141">IFERROR(INDEX(대출자[],MATCH(1,(자료실기준[[#This Row],[소장처명]]=대출자[소장처명])*(자료실기준[[#This Row],[년월]]=대출자[년월]),0),MATCH(M$1,대출자[#Headers],0)),0)</f>
        <v>1</v>
      </c>
      <c r="N141" s="9">
        <f>IFERROR(자료실기준[[#This Row],[어린이남자]]+자료실기준[[#This Row],[청소년남자]]+자료실기준[[#This Row],[성인남자]],0)</f>
        <v>1</v>
      </c>
      <c r="O141" s="9">
        <f>IFERROR(자료실기준[[#This Row],[어린이여자]]+자료실기준[[#This Row],[청소년여자]]+자료실기준[[#This Row],[성인여자]],0)</f>
        <v>4</v>
      </c>
      <c r="P141" s="9">
        <f>IFERROR(자료실기준[[#This Row],[남자]]+자료실기준[[#This Row],[여자]],0)</f>
        <v>5</v>
      </c>
      <c r="Q141" s="9">
        <f t="array" ref="Q141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41" s="9">
        <f t="array" ref="R141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41" s="9">
        <f t="array" ref="S141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41" s="9">
        <f t="array" ref="T141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41" s="9">
        <f t="array" ref="U141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41" s="9">
        <f t="array" ref="V141">IFERROR(INDEX(대출권수[],MATCH(1,(자료실기준[[#This Row],[소장처명]]=대출권수[소장처명])*(대출권수[대출반납]="대출")*(자료실기준[[#This Row],[년월]]=대출권수[년월]),0),MATCH(V$1,대출권수[#Headers],0)),0)</f>
        <v>1</v>
      </c>
      <c r="W141" s="9">
        <f t="array" ref="W141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41" s="9">
        <f t="array" ref="X141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41" s="9">
        <f t="array" ref="Y141">IFERROR(INDEX(대출권수[],MATCH(1,(자료실기준[[#This Row],[소장처명]]=대출권수[소장처명])*(대출권수[대출반납]="대출")*(자료실기준[[#This Row],[년월]]=대출권수[년월]),0),MATCH(Y$1,대출권수[#Headers],0)),0)</f>
        <v>11</v>
      </c>
      <c r="Z141" s="9">
        <f t="array" ref="Z141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41" s="9">
        <f>SUM(자료실기준[[#This Row],[총류]:[역사]])</f>
        <v>12</v>
      </c>
    </row>
    <row r="142" spans="1:27" x14ac:dyDescent="0.3">
      <c r="A142" s="5">
        <v>45444</v>
      </c>
      <c r="B142" t="s">
        <v>11</v>
      </c>
      <c r="C142" s="5" t="str">
        <f>TEXT(자료실기준[[#This Row],[년월]],"yy년m월")&amp;자료실기준[[#This Row],[소장처명]]</f>
        <v>24년6월어린이실(교과5학년)</v>
      </c>
      <c r="D142" t="str">
        <f>IFERROR(INDEX(자료실범례[],MATCH($B142,자료실범례[소장처명],0),2),"종합자료실")</f>
        <v>어린이자료실</v>
      </c>
      <c r="E142" s="9">
        <f t="array" ref="E142">IFERROR(INDEX(대출자[],MATCH(1,(자료실기준[[#This Row],[소장처명]]=대출자[소장처명])*(자료실기준[[#This Row],[년월]]=대출자[년월]),0),MATCH(E$1,대출자[#Headers],0)),0)</f>
        <v>3</v>
      </c>
      <c r="F142" s="9">
        <f t="array" ref="F142">IFERROR(INDEX(대출자[],MATCH(1,(자료실기준[[#This Row],[소장처명]]=대출자[소장처명])*(자료실기준[[#This Row],[년월]]=대출자[년월]),0),MATCH(F$1,대출자[#Headers],0)),0)</f>
        <v>2</v>
      </c>
      <c r="G142" s="9">
        <f t="array" ref="G142">IFERROR(INDEX(대출자[],MATCH(1,(자료실기준[[#This Row],[소장처명]]=대출자[소장처명])*(자료실기준[[#This Row],[년월]]=대출자[년월]),0),MATCH(G$1,대출자[#Headers],0)),0)</f>
        <v>0</v>
      </c>
      <c r="H142" s="9">
        <f t="array" ref="H142">IFERROR(INDEX(대출자[],MATCH(1,(자료실기준[[#This Row],[소장처명]]=대출자[소장처명])*(자료실기준[[#This Row],[년월]]=대출자[년월]),0),MATCH(H$1,대출자[#Headers],0)),0)</f>
        <v>1</v>
      </c>
      <c r="I142" s="9">
        <f t="array" ref="I142">IFERROR(INDEX(대출자[],MATCH(1,(자료실기준[[#This Row],[소장처명]]=대출자[소장처명])*(자료실기준[[#This Row],[년월]]=대출자[년월]),0),MATCH(I$1,대출자[#Headers],0)),0)</f>
        <v>1</v>
      </c>
      <c r="J142" s="9">
        <f t="array" ref="J142">IFERROR(INDEX(대출자[],MATCH(1,(자료실기준[[#This Row],[소장처명]]=대출자[소장처명])*(자료실기준[[#This Row],[년월]]=대출자[년월]),0),MATCH(J$1,대출자[#Headers],0)),0)</f>
        <v>1</v>
      </c>
      <c r="K142" s="9">
        <f t="array" ref="K142">IFERROR(INDEX(대출자[],MATCH(1,(자료실기준[[#This Row],[소장처명]]=대출자[소장처명])*(자료실기준[[#This Row],[년월]]=대출자[년월]),0),MATCH(K$1,대출자[#Headers],0)),0)</f>
        <v>5</v>
      </c>
      <c r="L142" s="9">
        <f t="array" ref="L142">IFERROR(INDEX(대출자[],MATCH(1,(자료실기준[[#This Row],[소장처명]]=대출자[소장처명])*(자료실기준[[#This Row],[년월]]=대출자[년월]),0),MATCH(L$1,대출자[#Headers],0)),0)</f>
        <v>1</v>
      </c>
      <c r="M142" s="9">
        <f t="array" ref="M142">IFERROR(INDEX(대출자[],MATCH(1,(자료실기준[[#This Row],[소장처명]]=대출자[소장처명])*(자료실기준[[#This Row],[년월]]=대출자[년월]),0),MATCH(M$1,대출자[#Headers],0)),0)</f>
        <v>2</v>
      </c>
      <c r="N142" s="9">
        <f>IFERROR(자료실기준[[#This Row],[어린이남자]]+자료실기준[[#This Row],[청소년남자]]+자료실기준[[#This Row],[성인남자]],0)</f>
        <v>4</v>
      </c>
      <c r="O142" s="9">
        <f>IFERROR(자료실기준[[#This Row],[어린이여자]]+자료실기준[[#This Row],[청소년여자]]+자료실기준[[#This Row],[성인여자]],0)</f>
        <v>4</v>
      </c>
      <c r="P142" s="9">
        <f>IFERROR(자료실기준[[#This Row],[남자]]+자료실기준[[#This Row],[여자]],0)</f>
        <v>8</v>
      </c>
      <c r="Q142" s="9">
        <f t="array" ref="Q142">IFERROR(INDEX(대출권수[],MATCH(1,(자료실기준[[#This Row],[소장처명]]=대출권수[소장처명])*(대출권수[대출반납]="대출")*(자료실기준[[#This Row],[년월]]=대출권수[년월]),0),MATCH(Q$1,대출권수[#Headers],0)),0)</f>
        <v>3</v>
      </c>
      <c r="R142" s="9">
        <f t="array" ref="R142">IFERROR(INDEX(대출권수[],MATCH(1,(자료실기준[[#This Row],[소장처명]]=대출권수[소장처명])*(대출권수[대출반납]="대출")*(자료실기준[[#This Row],[년월]]=대출권수[년월]),0),MATCH(R$1,대출권수[#Headers],0)),0)</f>
        <v>5</v>
      </c>
      <c r="S142" s="9">
        <f t="array" ref="S142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42" s="9">
        <f t="array" ref="T142">IFERROR(INDEX(대출권수[],MATCH(1,(자료실기준[[#This Row],[소장처명]]=대출권수[소장처명])*(대출권수[대출반납]="대출")*(자료실기준[[#This Row],[년월]]=대출권수[년월]),0),MATCH(T$1,대출권수[#Headers],0)),0)</f>
        <v>6</v>
      </c>
      <c r="U142" s="9">
        <f t="array" ref="U142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42" s="9">
        <f t="array" ref="V142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42" s="9">
        <f t="array" ref="W142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42" s="9">
        <f t="array" ref="X142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42" s="9">
        <f t="array" ref="Y142">IFERROR(INDEX(대출권수[],MATCH(1,(자료실기준[[#This Row],[소장처명]]=대출권수[소장처명])*(대출권수[대출반납]="대출")*(자료실기준[[#This Row],[년월]]=대출권수[년월]),0),MATCH(Y$1,대출권수[#Headers],0)),0)</f>
        <v>6</v>
      </c>
      <c r="Z142" s="9">
        <f t="array" ref="Z142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42" s="9">
        <f>SUM(자료실기준[[#This Row],[총류]:[역사]])</f>
        <v>20</v>
      </c>
    </row>
    <row r="143" spans="1:27" x14ac:dyDescent="0.3">
      <c r="A143" s="5">
        <v>45444</v>
      </c>
      <c r="B143" t="s">
        <v>12</v>
      </c>
      <c r="C143" s="5" t="str">
        <f>TEXT(자료실기준[[#This Row],[년월]],"yy년m월")&amp;자료실기준[[#This Row],[소장처명]]</f>
        <v>24년6월어린이실(교과6학년)</v>
      </c>
      <c r="D143" t="str">
        <f>IFERROR(INDEX(자료실범례[],MATCH($B143,자료실범례[소장처명],0),2),"종합자료실")</f>
        <v>어린이자료실</v>
      </c>
      <c r="E143" s="9">
        <f t="array" ref="E143">IFERROR(INDEX(대출자[],MATCH(1,(자료실기준[[#This Row],[소장처명]]=대출자[소장처명])*(자료실기준[[#This Row],[년월]]=대출자[년월]),0),MATCH(E$1,대출자[#Headers],0)),0)</f>
        <v>2</v>
      </c>
      <c r="F143" s="9">
        <f t="array" ref="F143">IFERROR(INDEX(대출자[],MATCH(1,(자료실기준[[#This Row],[소장처명]]=대출자[소장처명])*(자료실기준[[#This Row],[년월]]=대출자[년월]),0),MATCH(F$1,대출자[#Headers],0)),0)</f>
        <v>0</v>
      </c>
      <c r="G143" s="9">
        <f t="array" ref="G143">IFERROR(INDEX(대출자[],MATCH(1,(자료실기준[[#This Row],[소장처명]]=대출자[소장처명])*(자료실기준[[#This Row],[년월]]=대출자[년월]),0),MATCH(G$1,대출자[#Headers],0)),0)</f>
        <v>0</v>
      </c>
      <c r="H143" s="9">
        <f t="array" ref="H143">IFERROR(INDEX(대출자[],MATCH(1,(자료실기준[[#This Row],[소장처명]]=대출자[소장처명])*(자료실기준[[#This Row],[년월]]=대출자[년월]),0),MATCH(H$1,대출자[#Headers],0)),0)</f>
        <v>0</v>
      </c>
      <c r="I143" s="9">
        <f t="array" ref="I143">IFERROR(INDEX(대출자[],MATCH(1,(자료실기준[[#This Row],[소장처명]]=대출자[소장처명])*(자료실기준[[#This Row],[년월]]=대출자[년월]),0),MATCH(I$1,대출자[#Headers],0)),0)</f>
        <v>0</v>
      </c>
      <c r="J143" s="9">
        <f t="array" ref="J143">IFERROR(INDEX(대출자[],MATCH(1,(자료실기준[[#This Row],[소장처명]]=대출자[소장처명])*(자료실기준[[#This Row],[년월]]=대출자[년월]),0),MATCH(J$1,대출자[#Headers],0)),0)</f>
        <v>2</v>
      </c>
      <c r="K143" s="9">
        <f t="array" ref="K143">IFERROR(INDEX(대출자[],MATCH(1,(자료실기준[[#This Row],[소장처명]]=대출자[소장처명])*(자료실기준[[#This Row],[년월]]=대출자[년월]),0),MATCH(K$1,대출자[#Headers],0)),0)</f>
        <v>2</v>
      </c>
      <c r="L143" s="9">
        <f t="array" ref="L143">IFERROR(INDEX(대출자[],MATCH(1,(자료실기준[[#This Row],[소장처명]]=대출자[소장처명])*(자료실기준[[#This Row],[년월]]=대출자[년월]),0),MATCH(L$1,대출자[#Headers],0)),0)</f>
        <v>0</v>
      </c>
      <c r="M143" s="9">
        <f t="array" ref="M143">IFERROR(INDEX(대출자[],MATCH(1,(자료실기준[[#This Row],[소장처명]]=대출자[소장처명])*(자료실기준[[#This Row],[년월]]=대출자[년월]),0),MATCH(M$1,대출자[#Headers],0)),0)</f>
        <v>2</v>
      </c>
      <c r="N143" s="9">
        <f>IFERROR(자료실기준[[#This Row],[어린이남자]]+자료실기준[[#This Row],[청소년남자]]+자료실기준[[#This Row],[성인남자]],0)</f>
        <v>2</v>
      </c>
      <c r="O143" s="9">
        <f>IFERROR(자료실기준[[#This Row],[어린이여자]]+자료실기준[[#This Row],[청소년여자]]+자료실기준[[#This Row],[성인여자]],0)</f>
        <v>2</v>
      </c>
      <c r="P143" s="9">
        <f>IFERROR(자료실기준[[#This Row],[남자]]+자료실기준[[#This Row],[여자]],0)</f>
        <v>4</v>
      </c>
      <c r="Q143" s="9">
        <f t="array" ref="Q143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43" s="9">
        <f t="array" ref="R143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43" s="9">
        <f t="array" ref="S143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43" s="9">
        <f t="array" ref="T143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43" s="9">
        <f t="array" ref="U143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43" s="9">
        <f t="array" ref="V143">IFERROR(INDEX(대출권수[],MATCH(1,(자료실기준[[#This Row],[소장처명]]=대출권수[소장처명])*(대출권수[대출반납]="대출")*(자료실기준[[#This Row],[년월]]=대출권수[년월]),0),MATCH(V$1,대출권수[#Headers],0)),0)</f>
        <v>2</v>
      </c>
      <c r="W143" s="9">
        <f t="array" ref="W143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43" s="9">
        <f t="array" ref="X143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43" s="9">
        <f t="array" ref="Y143">IFERROR(INDEX(대출권수[],MATCH(1,(자료실기준[[#This Row],[소장처명]]=대출권수[소장처명])*(대출권수[대출반납]="대출")*(자료실기준[[#This Row],[년월]]=대출권수[년월]),0),MATCH(Y$1,대출권수[#Headers],0)),0)</f>
        <v>2</v>
      </c>
      <c r="Z143" s="9">
        <f t="array" ref="Z143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43" s="9">
        <f>SUM(자료실기준[[#This Row],[총류]:[역사]])</f>
        <v>4</v>
      </c>
    </row>
    <row r="144" spans="1:27" x14ac:dyDescent="0.3">
      <c r="A144" s="5">
        <v>45444</v>
      </c>
      <c r="B144" t="s">
        <v>0</v>
      </c>
      <c r="C144" s="5" t="str">
        <f>TEXT(자료실기준[[#This Row],[년월]],"yy년m월")&amp;자료실기준[[#This Row],[소장처명]]</f>
        <v>24년6월다문화자료실</v>
      </c>
      <c r="D144" t="str">
        <f>IFERROR(INDEX(자료실범례[],MATCH($B144,자료실범례[소장처명],0),2),"종합자료실")</f>
        <v>어린이자료실</v>
      </c>
      <c r="E144" s="9">
        <f t="array" ref="E144">IFERROR(INDEX(대출자[],MATCH(1,(자료실기준[[#This Row],[소장처명]]=대출자[소장처명])*(자료실기준[[#This Row],[년월]]=대출자[년월]),0),MATCH(E$1,대출자[#Headers],0)),0)</f>
        <v>3</v>
      </c>
      <c r="F144" s="9">
        <f t="array" ref="F144">IFERROR(INDEX(대출자[],MATCH(1,(자료실기준[[#This Row],[소장처명]]=대출자[소장처명])*(자료실기준[[#This Row],[년월]]=대출자[년월]),0),MATCH(F$1,대출자[#Headers],0)),0)</f>
        <v>0</v>
      </c>
      <c r="G144" s="9">
        <f t="array" ref="G144">IFERROR(INDEX(대출자[],MATCH(1,(자료실기준[[#This Row],[소장처명]]=대출자[소장처명])*(자료실기준[[#This Row],[년월]]=대출자[년월]),0),MATCH(G$1,대출자[#Headers],0)),0)</f>
        <v>0</v>
      </c>
      <c r="H144" s="9">
        <f t="array" ref="H144">IFERROR(INDEX(대출자[],MATCH(1,(자료실기준[[#This Row],[소장처명]]=대출자[소장처명])*(자료실기준[[#This Row],[년월]]=대출자[년월]),0),MATCH(H$1,대출자[#Headers],0)),0)</f>
        <v>0</v>
      </c>
      <c r="I144" s="9">
        <f t="array" ref="I144">IFERROR(INDEX(대출자[],MATCH(1,(자료실기준[[#This Row],[소장처명]]=대출자[소장처명])*(자료실기준[[#This Row],[년월]]=대출자[년월]),0),MATCH(I$1,대출자[#Headers],0)),0)</f>
        <v>5</v>
      </c>
      <c r="J144" s="9">
        <f t="array" ref="J144">IFERROR(INDEX(대출자[],MATCH(1,(자료실기준[[#This Row],[소장처명]]=대출자[소장처명])*(자료실기준[[#This Row],[년월]]=대출자[년월]),0),MATCH(J$1,대출자[#Headers],0)),0)</f>
        <v>2</v>
      </c>
      <c r="K144" s="9">
        <f t="array" ref="K144">IFERROR(INDEX(대출자[],MATCH(1,(자료실기준[[#This Row],[소장처명]]=대출자[소장처명])*(자료실기준[[#This Row],[년월]]=대출자[년월]),0),MATCH(K$1,대출자[#Headers],0)),0)</f>
        <v>3</v>
      </c>
      <c r="L144" s="9">
        <f t="array" ref="L144">IFERROR(INDEX(대출자[],MATCH(1,(자료실기준[[#This Row],[소장처명]]=대출자[소장처명])*(자료실기준[[#This Row],[년월]]=대출자[년월]),0),MATCH(L$1,대출자[#Headers],0)),0)</f>
        <v>0</v>
      </c>
      <c r="M144" s="9">
        <f t="array" ref="M144">IFERROR(INDEX(대출자[],MATCH(1,(자료실기준[[#This Row],[소장처명]]=대출자[소장처명])*(자료실기준[[#This Row],[년월]]=대출자[년월]),0),MATCH(M$1,대출자[#Headers],0)),0)</f>
        <v>7</v>
      </c>
      <c r="N144" s="9">
        <f>IFERROR(자료실기준[[#This Row],[어린이남자]]+자료실기준[[#This Row],[청소년남자]]+자료실기준[[#This Row],[성인남자]],0)</f>
        <v>8</v>
      </c>
      <c r="O144" s="9">
        <f>IFERROR(자료실기준[[#This Row],[어린이여자]]+자료실기준[[#This Row],[청소년여자]]+자료실기준[[#This Row],[성인여자]],0)</f>
        <v>2</v>
      </c>
      <c r="P144" s="9">
        <f>IFERROR(자료실기준[[#This Row],[남자]]+자료실기준[[#This Row],[여자]],0)</f>
        <v>10</v>
      </c>
      <c r="Q144" s="9">
        <f t="array" ref="Q144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44" s="9">
        <f t="array" ref="R144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44" s="9">
        <f t="array" ref="S144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44" s="9">
        <f t="array" ref="T144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44" s="9">
        <f t="array" ref="U144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44" s="9">
        <f t="array" ref="V144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44" s="9">
        <f t="array" ref="W144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44" s="9">
        <f t="array" ref="X144">IFERROR(INDEX(대출권수[],MATCH(1,(자료실기준[[#This Row],[소장처명]]=대출권수[소장처명])*(대출권수[대출반납]="대출")*(자료실기준[[#This Row],[년월]]=대출권수[년월]),0),MATCH(X$1,대출권수[#Headers],0)),0)</f>
        <v>2</v>
      </c>
      <c r="Y144" s="9">
        <f t="array" ref="Y144">IFERROR(INDEX(대출권수[],MATCH(1,(자료실기준[[#This Row],[소장처명]]=대출권수[소장처명])*(대출권수[대출반납]="대출")*(자료실기준[[#This Row],[년월]]=대출권수[년월]),0),MATCH(Y$1,대출권수[#Headers],0)),0)</f>
        <v>25</v>
      </c>
      <c r="Z144" s="9">
        <f t="array" ref="Z144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44" s="9">
        <f>SUM(자료실기준[[#This Row],[총류]:[역사]])</f>
        <v>27</v>
      </c>
    </row>
    <row r="145" spans="1:27" x14ac:dyDescent="0.3">
      <c r="A145" s="5">
        <v>45444</v>
      </c>
      <c r="B145" t="s">
        <v>1</v>
      </c>
      <c r="C145" s="5" t="str">
        <f>TEXT(자료실기준[[#This Row],[년월]],"yy년m월")&amp;자료실기준[[#This Row],[소장처명]]</f>
        <v>24년6월다문화자료실(영어유아)</v>
      </c>
      <c r="D145" t="str">
        <f>IFERROR(INDEX(자료실범례[],MATCH($B145,자료실범례[소장처명],0),2),"종합자료실")</f>
        <v>어린이자료실</v>
      </c>
      <c r="E145" s="9">
        <f t="array" ref="E145">IFERROR(INDEX(대출자[],MATCH(1,(자료실기준[[#This Row],[소장처명]]=대출자[소장처명])*(자료실기준[[#This Row],[년월]]=대출자[년월]),0),MATCH(E$1,대출자[#Headers],0)),0)</f>
        <v>4</v>
      </c>
      <c r="F145" s="9">
        <f t="array" ref="F145">IFERROR(INDEX(대출자[],MATCH(1,(자료실기준[[#This Row],[소장처명]]=대출자[소장처명])*(자료실기준[[#This Row],[년월]]=대출자[년월]),0),MATCH(F$1,대출자[#Headers],0)),0)</f>
        <v>1</v>
      </c>
      <c r="G145" s="9">
        <f t="array" ref="G145">IFERROR(INDEX(대출자[],MATCH(1,(자료실기준[[#This Row],[소장처명]]=대출자[소장처명])*(자료실기준[[#This Row],[년월]]=대출자[년월]),0),MATCH(G$1,대출자[#Headers],0)),0)</f>
        <v>0</v>
      </c>
      <c r="H145" s="9">
        <f t="array" ref="H145">IFERROR(INDEX(대출자[],MATCH(1,(자료실기준[[#This Row],[소장처명]]=대출자[소장처명])*(자료실기준[[#This Row],[년월]]=대출자[년월]),0),MATCH(H$1,대출자[#Headers],0)),0)</f>
        <v>1</v>
      </c>
      <c r="I145" s="9">
        <f t="array" ref="I145">IFERROR(INDEX(대출자[],MATCH(1,(자료실기준[[#This Row],[소장처명]]=대출자[소장처명])*(자료실기준[[#This Row],[년월]]=대출자[년월]),0),MATCH(I$1,대출자[#Headers],0)),0)</f>
        <v>2</v>
      </c>
      <c r="J145" s="9">
        <f t="array" ref="J145">IFERROR(INDEX(대출자[],MATCH(1,(자료실기준[[#This Row],[소장처명]]=대출자[소장처명])*(자료실기준[[#This Row],[년월]]=대출자[년월]),0),MATCH(J$1,대출자[#Headers],0)),0)</f>
        <v>3</v>
      </c>
      <c r="K145" s="9">
        <f t="array" ref="K145">IFERROR(INDEX(대출자[],MATCH(1,(자료실기준[[#This Row],[소장처명]]=대출자[소장처명])*(자료실기준[[#This Row],[년월]]=대출자[년월]),0),MATCH(K$1,대출자[#Headers],0)),0)</f>
        <v>5</v>
      </c>
      <c r="L145" s="9">
        <f t="array" ref="L145">IFERROR(INDEX(대출자[],MATCH(1,(자료실기준[[#This Row],[소장처명]]=대출자[소장처명])*(자료실기준[[#This Row],[년월]]=대출자[년월]),0),MATCH(L$1,대출자[#Headers],0)),0)</f>
        <v>1</v>
      </c>
      <c r="M145" s="9">
        <f t="array" ref="M145">IFERROR(INDEX(대출자[],MATCH(1,(자료실기준[[#This Row],[소장처명]]=대출자[소장처명])*(자료실기준[[#This Row],[년월]]=대출자[년월]),0),MATCH(M$1,대출자[#Headers],0)),0)</f>
        <v>5</v>
      </c>
      <c r="N145" s="9">
        <f>IFERROR(자료실기준[[#This Row],[어린이남자]]+자료실기준[[#This Row],[청소년남자]]+자료실기준[[#This Row],[성인남자]],0)</f>
        <v>6</v>
      </c>
      <c r="O145" s="9">
        <f>IFERROR(자료실기준[[#This Row],[어린이여자]]+자료실기준[[#This Row],[청소년여자]]+자료실기준[[#This Row],[성인여자]],0)</f>
        <v>5</v>
      </c>
      <c r="P145" s="9">
        <f>IFERROR(자료실기준[[#This Row],[남자]]+자료실기준[[#This Row],[여자]],0)</f>
        <v>11</v>
      </c>
      <c r="Q145" s="9">
        <f t="array" ref="Q145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45" s="9">
        <f t="array" ref="R145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45" s="9">
        <f t="array" ref="S145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45" s="9">
        <f t="array" ref="T145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45" s="9">
        <f t="array" ref="U145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45" s="9">
        <f t="array" ref="V145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45" s="9">
        <f t="array" ref="W145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45" s="9">
        <f t="array" ref="X145">IFERROR(INDEX(대출권수[],MATCH(1,(자료실기준[[#This Row],[소장처명]]=대출권수[소장처명])*(대출권수[대출반납]="대출")*(자료실기준[[#This Row],[년월]]=대출권수[년월]),0),MATCH(X$1,대출권수[#Headers],0)),0)</f>
        <v>33</v>
      </c>
      <c r="Y145" s="9">
        <f t="array" ref="Y145">IFERROR(INDEX(대출권수[],MATCH(1,(자료실기준[[#This Row],[소장처명]]=대출권수[소장처명])*(대출권수[대출반납]="대출")*(자료실기준[[#This Row],[년월]]=대출권수[년월]),0),MATCH(Y$1,대출권수[#Headers],0)),0)</f>
        <v>6</v>
      </c>
      <c r="Z145" s="9">
        <f t="array" ref="Z145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45" s="9">
        <f>SUM(자료실기준[[#This Row],[총류]:[역사]])</f>
        <v>39</v>
      </c>
    </row>
    <row r="146" spans="1:27" x14ac:dyDescent="0.3">
      <c r="A146" s="5">
        <v>45444</v>
      </c>
      <c r="B146" t="s">
        <v>6</v>
      </c>
      <c r="C146" s="5" t="str">
        <f>TEXT(자료실기준[[#This Row],[년월]],"yy년m월")&amp;자료실기준[[#This Row],[소장처명]]</f>
        <v>24년6월스마트도서관</v>
      </c>
      <c r="D146" t="str">
        <f>IFERROR(INDEX(자료실범례[],MATCH($B146,자료실범례[소장처명],0),2),"종합자료실")</f>
        <v>종합자료실</v>
      </c>
      <c r="E146" s="9">
        <f t="array" ref="E146">IFERROR(INDEX(대출자[],MATCH(1,(자료실기준[[#This Row],[소장처명]]=대출자[소장처명])*(자료실기준[[#This Row],[년월]]=대출자[년월]),0),MATCH(E$1,대출자[#Headers],0)),0)</f>
        <v>14</v>
      </c>
      <c r="F146" s="9">
        <f t="array" ref="F146">IFERROR(INDEX(대출자[],MATCH(1,(자료실기준[[#This Row],[소장처명]]=대출자[소장처명])*(자료실기준[[#This Row],[년월]]=대출자[년월]),0),MATCH(F$1,대출자[#Headers],0)),0)</f>
        <v>10</v>
      </c>
      <c r="G146" s="9">
        <f t="array" ref="G146">IFERROR(INDEX(대출자[],MATCH(1,(자료실기준[[#This Row],[소장처명]]=대출자[소장처명])*(자료실기준[[#This Row],[년월]]=대출자[년월]),0),MATCH(G$1,대출자[#Headers],0)),0)</f>
        <v>1</v>
      </c>
      <c r="H146" s="9">
        <f t="array" ref="H146">IFERROR(INDEX(대출자[],MATCH(1,(자료실기준[[#This Row],[소장처명]]=대출자[소장처명])*(자료실기준[[#This Row],[년월]]=대출자[년월]),0),MATCH(H$1,대출자[#Headers],0)),0)</f>
        <v>6</v>
      </c>
      <c r="I146" s="9">
        <f t="array" ref="I146">IFERROR(INDEX(대출자[],MATCH(1,(자료실기준[[#This Row],[소장처명]]=대출자[소장처명])*(자료실기준[[#This Row],[년월]]=대출자[년월]),0),MATCH(I$1,대출자[#Headers],0)),0)</f>
        <v>6</v>
      </c>
      <c r="J146" s="9">
        <f t="array" ref="J146">IFERROR(INDEX(대출자[],MATCH(1,(자료실기준[[#This Row],[소장처명]]=대출자[소장처명])*(자료실기준[[#This Row],[년월]]=대출자[년월]),0),MATCH(J$1,대출자[#Headers],0)),0)</f>
        <v>32</v>
      </c>
      <c r="K146" s="9">
        <f t="array" ref="K146">IFERROR(INDEX(대출자[],MATCH(1,(자료실기준[[#This Row],[소장처명]]=대출자[소장처명])*(자료실기준[[#This Row],[년월]]=대출자[년월]),0),MATCH(K$1,대출자[#Headers],0)),0)</f>
        <v>24</v>
      </c>
      <c r="L146" s="9">
        <f t="array" ref="L146">IFERROR(INDEX(대출자[],MATCH(1,(자료실기준[[#This Row],[소장처명]]=대출자[소장처명])*(자료실기준[[#This Row],[년월]]=대출자[년월]),0),MATCH(L$1,대출자[#Headers],0)),0)</f>
        <v>7</v>
      </c>
      <c r="M146" s="9">
        <f t="array" ref="M146">IFERROR(INDEX(대출자[],MATCH(1,(자료실기준[[#This Row],[소장처명]]=대출자[소장처명])*(자료실기준[[#This Row],[년월]]=대출자[년월]),0),MATCH(M$1,대출자[#Headers],0)),0)</f>
        <v>38</v>
      </c>
      <c r="N146" s="9">
        <f>IFERROR(자료실기준[[#This Row],[어린이남자]]+자료실기준[[#This Row],[청소년남자]]+자료실기준[[#This Row],[성인남자]],0)</f>
        <v>21</v>
      </c>
      <c r="O146" s="9">
        <f>IFERROR(자료실기준[[#This Row],[어린이여자]]+자료실기준[[#This Row],[청소년여자]]+자료실기준[[#This Row],[성인여자]],0)</f>
        <v>48</v>
      </c>
      <c r="P146" s="9">
        <f>IFERROR(자료실기준[[#This Row],[남자]]+자료실기준[[#This Row],[여자]],0)</f>
        <v>69</v>
      </c>
      <c r="Q146" s="9">
        <f t="array" ref="Q146">IFERROR(INDEX(대출권수[],MATCH(1,(자료실기준[[#This Row],[소장처명]]=대출권수[소장처명])*(대출권수[대출반납]="대출")*(자료실기준[[#This Row],[년월]]=대출권수[년월]),0),MATCH(Q$1,대출권수[#Headers],0)),0)</f>
        <v>4</v>
      </c>
      <c r="R146" s="9">
        <f t="array" ref="R146">IFERROR(INDEX(대출권수[],MATCH(1,(자료실기준[[#This Row],[소장처명]]=대출권수[소장처명])*(대출권수[대출반납]="대출")*(자료실기준[[#This Row],[년월]]=대출권수[년월]),0),MATCH(R$1,대출권수[#Headers],0)),0)</f>
        <v>7</v>
      </c>
      <c r="S146" s="9">
        <f t="array" ref="S146">IFERROR(INDEX(대출권수[],MATCH(1,(자료실기준[[#This Row],[소장처명]]=대출권수[소장처명])*(대출권수[대출반납]="대출")*(자료실기준[[#This Row],[년월]]=대출권수[년월]),0),MATCH(S$1,대출권수[#Headers],0)),0)</f>
        <v>3</v>
      </c>
      <c r="T146" s="9">
        <f t="array" ref="T146">IFERROR(INDEX(대출권수[],MATCH(1,(자료실기준[[#This Row],[소장처명]]=대출권수[소장처명])*(대출권수[대출반납]="대출")*(자료실기준[[#This Row],[년월]]=대출권수[년월]),0),MATCH(T$1,대출권수[#Headers],0)),0)</f>
        <v>19</v>
      </c>
      <c r="U146" s="9">
        <f t="array" ref="U146">IFERROR(INDEX(대출권수[],MATCH(1,(자료실기준[[#This Row],[소장처명]]=대출권수[소장처명])*(대출권수[대출반납]="대출")*(자료실기준[[#This Row],[년월]]=대출권수[년월]),0),MATCH(U$1,대출권수[#Headers],0)),0)</f>
        <v>12</v>
      </c>
      <c r="V146" s="9">
        <f t="array" ref="V146">IFERROR(INDEX(대출권수[],MATCH(1,(자료실기준[[#This Row],[소장처명]]=대출권수[소장처명])*(대출권수[대출반납]="대출")*(자료실기준[[#This Row],[년월]]=대출권수[년월]),0),MATCH(V$1,대출권수[#Headers],0)),0)</f>
        <v>15</v>
      </c>
      <c r="W146" s="9">
        <f t="array" ref="W146">IFERROR(INDEX(대출권수[],MATCH(1,(자료실기준[[#This Row],[소장처명]]=대출권수[소장처명])*(대출권수[대출반납]="대출")*(자료실기준[[#This Row],[년월]]=대출권수[년월]),0),MATCH(W$1,대출권수[#Headers],0)),0)</f>
        <v>6</v>
      </c>
      <c r="X146" s="9">
        <f t="array" ref="X146">IFERROR(INDEX(대출권수[],MATCH(1,(자료실기준[[#This Row],[소장처명]]=대출권수[소장처명])*(대출권수[대출반납]="대출")*(자료실기준[[#This Row],[년월]]=대출권수[년월]),0),MATCH(X$1,대출권수[#Headers],0)),0)</f>
        <v>3</v>
      </c>
      <c r="Y146" s="9">
        <f t="array" ref="Y146">IFERROR(INDEX(대출권수[],MATCH(1,(자료실기준[[#This Row],[소장처명]]=대출권수[소장처명])*(대출권수[대출반납]="대출")*(자료실기준[[#This Row],[년월]]=대출권수[년월]),0),MATCH(Y$1,대출권수[#Headers],0)),0)</f>
        <v>85</v>
      </c>
      <c r="Z146" s="9">
        <f t="array" ref="Z146">IFERROR(INDEX(대출권수[],MATCH(1,(자료실기준[[#This Row],[소장처명]]=대출권수[소장처명])*(대출권수[대출반납]="대출")*(자료실기준[[#This Row],[년월]]=대출권수[년월]),0),MATCH(Z$1,대출권수[#Headers],0)),0)</f>
        <v>3</v>
      </c>
      <c r="AA146" s="9">
        <f>SUM(자료실기준[[#This Row],[총류]:[역사]])</f>
        <v>157</v>
      </c>
    </row>
    <row r="147" spans="1:27" x14ac:dyDescent="0.3">
      <c r="A147" s="5">
        <v>45444</v>
      </c>
      <c r="B147" t="s">
        <v>18</v>
      </c>
      <c r="C147" s="5" t="str">
        <f>TEXT(자료실기준[[#This Row],[년월]],"yy년m월")&amp;자료실기준[[#This Row],[소장처명]]</f>
        <v>24년6월정기간행물(종합)</v>
      </c>
      <c r="D147" t="str">
        <f>IFERROR(INDEX(자료실범례[],MATCH($B147,자료실범례[소장처명],0),2),"종합자료실")</f>
        <v>종합자료실</v>
      </c>
      <c r="E147" s="9">
        <f t="array" ref="E147">IFERROR(INDEX(대출자[],MATCH(1,(자료실기준[[#This Row],[소장처명]]=대출자[소장처명])*(자료실기준[[#This Row],[년월]]=대출자[년월]),0),MATCH(E$1,대출자[#Headers],0)),0)</f>
        <v>0</v>
      </c>
      <c r="F147" s="9">
        <f t="array" ref="F147">IFERROR(INDEX(대출자[],MATCH(1,(자료실기준[[#This Row],[소장처명]]=대출자[소장처명])*(자료실기준[[#This Row],[년월]]=대출자[년월]),0),MATCH(F$1,대출자[#Headers],0)),0)</f>
        <v>0</v>
      </c>
      <c r="G147" s="9">
        <f t="array" ref="G147">IFERROR(INDEX(대출자[],MATCH(1,(자료실기준[[#This Row],[소장처명]]=대출자[소장처명])*(자료실기준[[#This Row],[년월]]=대출자[년월]),0),MATCH(G$1,대출자[#Headers],0)),0)</f>
        <v>0</v>
      </c>
      <c r="H147" s="9">
        <f t="array" ref="H147">IFERROR(INDEX(대출자[],MATCH(1,(자료실기준[[#This Row],[소장처명]]=대출자[소장처명])*(자료실기준[[#This Row],[년월]]=대출자[년월]),0),MATCH(H$1,대출자[#Headers],0)),0)</f>
        <v>0</v>
      </c>
      <c r="I147" s="9">
        <f t="array" ref="I147">IFERROR(INDEX(대출자[],MATCH(1,(자료실기준[[#This Row],[소장처명]]=대출자[소장처명])*(자료실기준[[#This Row],[년월]]=대출자[년월]),0),MATCH(I$1,대출자[#Headers],0)),0)</f>
        <v>1</v>
      </c>
      <c r="J147" s="9">
        <f t="array" ref="J147">IFERROR(INDEX(대출자[],MATCH(1,(자료실기준[[#This Row],[소장처명]]=대출자[소장처명])*(자료실기준[[#This Row],[년월]]=대출자[년월]),0),MATCH(J$1,대출자[#Headers],0)),0)</f>
        <v>0</v>
      </c>
      <c r="K147" s="9">
        <f t="array" ref="K147">IFERROR(INDEX(대출자[],MATCH(1,(자료실기준[[#This Row],[소장처명]]=대출자[소장처명])*(자료실기준[[#This Row],[년월]]=대출자[년월]),0),MATCH(K$1,대출자[#Headers],0)),0)</f>
        <v>0</v>
      </c>
      <c r="L147" s="9">
        <f t="array" ref="L147">IFERROR(INDEX(대출자[],MATCH(1,(자료실기준[[#This Row],[소장처명]]=대출자[소장처명])*(자료실기준[[#This Row],[년월]]=대출자[년월]),0),MATCH(L$1,대출자[#Headers],0)),0)</f>
        <v>0</v>
      </c>
      <c r="M147" s="9">
        <f t="array" ref="M147">IFERROR(INDEX(대출자[],MATCH(1,(자료실기준[[#This Row],[소장처명]]=대출자[소장처명])*(자료실기준[[#This Row],[년월]]=대출자[년월]),0),MATCH(M$1,대출자[#Headers],0)),0)</f>
        <v>1</v>
      </c>
      <c r="N147" s="9">
        <f>IFERROR(자료실기준[[#This Row],[어린이남자]]+자료실기준[[#This Row],[청소년남자]]+자료실기준[[#This Row],[성인남자]],0)</f>
        <v>1</v>
      </c>
      <c r="O147" s="9">
        <f>IFERROR(자료실기준[[#This Row],[어린이여자]]+자료실기준[[#This Row],[청소년여자]]+자료실기준[[#This Row],[성인여자]],0)</f>
        <v>0</v>
      </c>
      <c r="P147" s="9">
        <f>IFERROR(자료실기준[[#This Row],[남자]]+자료실기준[[#This Row],[여자]],0)</f>
        <v>1</v>
      </c>
      <c r="Q147" s="9">
        <f t="array" ref="Q147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47" s="9">
        <f t="array" ref="R147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47" s="9">
        <f t="array" ref="S147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47" s="9">
        <f t="array" ref="T147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47" s="9">
        <f t="array" ref="U147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47" s="9">
        <f t="array" ref="V147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47" s="9">
        <f t="array" ref="W147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47" s="9">
        <f t="array" ref="X147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47" s="9">
        <f t="array" ref="Y147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147" s="9">
        <f t="array" ref="Z147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47" s="9">
        <f>SUM(자료실기준[[#This Row],[총류]:[역사]])</f>
        <v>0</v>
      </c>
    </row>
    <row r="148" spans="1:27" x14ac:dyDescent="0.3">
      <c r="A148" s="5">
        <v>45444</v>
      </c>
      <c r="B148" t="s">
        <v>17</v>
      </c>
      <c r="C148" s="5" t="str">
        <f>TEXT(자료실기준[[#This Row],[년월]],"yy년m월")&amp;자료실기준[[#This Row],[소장처명]]</f>
        <v>24년6월정기간행물(어린이)</v>
      </c>
      <c r="D148" t="str">
        <f>IFERROR(INDEX(자료실범례[],MATCH($B148,자료실범례[소장처명],0),2),"종합자료실")</f>
        <v>어린이자료실</v>
      </c>
      <c r="E148" s="9">
        <f t="array" ref="E148">IFERROR(INDEX(대출자[],MATCH(1,(자료실기준[[#This Row],[소장처명]]=대출자[소장처명])*(자료실기준[[#This Row],[년월]]=대출자[년월]),0),MATCH(E$1,대출자[#Headers],0)),0)</f>
        <v>0</v>
      </c>
      <c r="F148" s="9">
        <f t="array" ref="F148">IFERROR(INDEX(대출자[],MATCH(1,(자료실기준[[#This Row],[소장처명]]=대출자[소장처명])*(자료실기준[[#This Row],[년월]]=대출자[년월]),0),MATCH(F$1,대출자[#Headers],0)),0)</f>
        <v>1</v>
      </c>
      <c r="G148" s="9">
        <f t="array" ref="G148">IFERROR(INDEX(대출자[],MATCH(1,(자료실기준[[#This Row],[소장처명]]=대출자[소장처명])*(자료실기준[[#This Row],[년월]]=대출자[년월]),0),MATCH(G$1,대출자[#Headers],0)),0)</f>
        <v>0</v>
      </c>
      <c r="H148" s="9">
        <f t="array" ref="H148">IFERROR(INDEX(대출자[],MATCH(1,(자료실기준[[#This Row],[소장처명]]=대출자[소장처명])*(자료실기준[[#This Row],[년월]]=대출자[년월]),0),MATCH(H$1,대출자[#Headers],0)),0)</f>
        <v>0</v>
      </c>
      <c r="I148" s="9">
        <f t="array" ref="I148">IFERROR(INDEX(대출자[],MATCH(1,(자료실기준[[#This Row],[소장처명]]=대출자[소장처명])*(자료실기준[[#This Row],[년월]]=대출자[년월]),0),MATCH(I$1,대출자[#Headers],0)),0)</f>
        <v>0</v>
      </c>
      <c r="J148" s="9">
        <f t="array" ref="J148">IFERROR(INDEX(대출자[],MATCH(1,(자료실기준[[#This Row],[소장처명]]=대출자[소장처명])*(자료실기준[[#This Row],[년월]]=대출자[년월]),0),MATCH(J$1,대출자[#Headers],0)),0)</f>
        <v>2</v>
      </c>
      <c r="K148" s="9">
        <f t="array" ref="K148">IFERROR(INDEX(대출자[],MATCH(1,(자료실기준[[#This Row],[소장처명]]=대출자[소장처명])*(자료실기준[[#This Row],[년월]]=대출자[년월]),0),MATCH(K$1,대출자[#Headers],0)),0)</f>
        <v>1</v>
      </c>
      <c r="L148" s="9">
        <f t="array" ref="L148">IFERROR(INDEX(대출자[],MATCH(1,(자료실기준[[#This Row],[소장처명]]=대출자[소장처명])*(자료실기준[[#This Row],[년월]]=대출자[년월]),0),MATCH(L$1,대출자[#Headers],0)),0)</f>
        <v>0</v>
      </c>
      <c r="M148" s="9">
        <f t="array" ref="M148">IFERROR(INDEX(대출자[],MATCH(1,(자료실기준[[#This Row],[소장처명]]=대출자[소장처명])*(자료실기준[[#This Row],[년월]]=대출자[년월]),0),MATCH(M$1,대출자[#Headers],0)),0)</f>
        <v>2</v>
      </c>
      <c r="N148" s="9">
        <f>IFERROR(자료실기준[[#This Row],[어린이남자]]+자료실기준[[#This Row],[청소년남자]]+자료실기준[[#This Row],[성인남자]],0)</f>
        <v>0</v>
      </c>
      <c r="O148" s="9">
        <f>IFERROR(자료실기준[[#This Row],[어린이여자]]+자료실기준[[#This Row],[청소년여자]]+자료실기준[[#This Row],[성인여자]],0)</f>
        <v>3</v>
      </c>
      <c r="P148" s="9">
        <f>IFERROR(자료실기준[[#This Row],[남자]]+자료실기준[[#This Row],[여자]],0)</f>
        <v>3</v>
      </c>
      <c r="Q148" s="9">
        <f t="array" ref="Q148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48" s="9">
        <f t="array" ref="R148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48" s="9">
        <f t="array" ref="S148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48" s="9">
        <f t="array" ref="T148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48" s="9">
        <f t="array" ref="U148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48" s="9">
        <f t="array" ref="V148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48" s="9">
        <f t="array" ref="W148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48" s="9">
        <f t="array" ref="X148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48" s="9">
        <f t="array" ref="Y148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148" s="9">
        <f t="array" ref="Z148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48" s="9">
        <f>SUM(자료실기준[[#This Row],[총류]:[역사]])</f>
        <v>0</v>
      </c>
    </row>
    <row r="149" spans="1:27" x14ac:dyDescent="0.3">
      <c r="A149" s="5">
        <v>45444</v>
      </c>
      <c r="B149" t="s">
        <v>197</v>
      </c>
      <c r="C149" s="5" t="str">
        <f>TEXT(자료실기준[[#This Row],[년월]],"yy년m월")&amp;자료실기준[[#This Row],[소장처명]]</f>
        <v>24년6월경남독서한마당(종합)</v>
      </c>
      <c r="D149" t="str">
        <f>IFERROR(INDEX(자료실범례[],MATCH($B149,자료실범례[소장처명],0),2),"종합자료실")</f>
        <v>종합자료실</v>
      </c>
      <c r="E149" s="9">
        <f t="array" ref="E149">IFERROR(INDEX(대출자[],MATCH(1,(자료실기준[[#This Row],[소장처명]]=대출자[소장처명])*(자료실기준[[#This Row],[년월]]=대출자[년월]),0),MATCH(E$1,대출자[#Headers],0)),0)</f>
        <v>0</v>
      </c>
      <c r="F149" s="9">
        <f t="array" ref="F149">IFERROR(INDEX(대출자[],MATCH(1,(자료실기준[[#This Row],[소장처명]]=대출자[소장처명])*(자료실기준[[#This Row],[년월]]=대출자[년월]),0),MATCH(F$1,대출자[#Headers],0)),0)</f>
        <v>2</v>
      </c>
      <c r="G149" s="9">
        <f t="array" ref="G149">IFERROR(INDEX(대출자[],MATCH(1,(자료실기준[[#This Row],[소장처명]]=대출자[소장처명])*(자료실기준[[#This Row],[년월]]=대출자[년월]),0),MATCH(G$1,대출자[#Headers],0)),0)</f>
        <v>1</v>
      </c>
      <c r="H149" s="9">
        <f t="array" ref="H149">IFERROR(INDEX(대출자[],MATCH(1,(자료실기준[[#This Row],[소장처명]]=대출자[소장처명])*(자료실기준[[#This Row],[년월]]=대출자[년월]),0),MATCH(H$1,대출자[#Headers],0)),0)</f>
        <v>0</v>
      </c>
      <c r="I149" s="9">
        <f t="array" ref="I149">IFERROR(INDEX(대출자[],MATCH(1,(자료실기준[[#This Row],[소장처명]]=대출자[소장처명])*(자료실기준[[#This Row],[년월]]=대출자[년월]),0),MATCH(I$1,대출자[#Headers],0)),0)</f>
        <v>2</v>
      </c>
      <c r="J149" s="9">
        <f t="array" ref="J149">IFERROR(INDEX(대출자[],MATCH(1,(자료실기준[[#This Row],[소장처명]]=대출자[소장처명])*(자료실기준[[#This Row],[년월]]=대출자[년월]),0),MATCH(J$1,대출자[#Headers],0)),0)</f>
        <v>7</v>
      </c>
      <c r="K149" s="9">
        <f t="array" ref="K149">IFERROR(INDEX(대출자[],MATCH(1,(자료실기준[[#This Row],[소장처명]]=대출자[소장처명])*(자료실기준[[#This Row],[년월]]=대출자[년월]),0),MATCH(K$1,대출자[#Headers],0)),0)</f>
        <v>2</v>
      </c>
      <c r="L149" s="9">
        <f t="array" ref="L149">IFERROR(INDEX(대출자[],MATCH(1,(자료실기준[[#This Row],[소장처명]]=대출자[소장처명])*(자료실기준[[#This Row],[년월]]=대출자[년월]),0),MATCH(L$1,대출자[#Headers],0)),0)</f>
        <v>1</v>
      </c>
      <c r="M149" s="9">
        <f t="array" ref="M149">IFERROR(INDEX(대출자[],MATCH(1,(자료실기준[[#This Row],[소장처명]]=대출자[소장처명])*(자료실기준[[#This Row],[년월]]=대출자[년월]),0),MATCH(M$1,대출자[#Headers],0)),0)</f>
        <v>9</v>
      </c>
      <c r="N149" s="9">
        <f>IFERROR(자료실기준[[#This Row],[어린이남자]]+자료실기준[[#This Row],[청소년남자]]+자료실기준[[#This Row],[성인남자]],0)</f>
        <v>3</v>
      </c>
      <c r="O149" s="9">
        <f>IFERROR(자료실기준[[#This Row],[어린이여자]]+자료실기준[[#This Row],[청소년여자]]+자료실기준[[#This Row],[성인여자]],0)</f>
        <v>9</v>
      </c>
      <c r="P149" s="9">
        <f>IFERROR(자료실기준[[#This Row],[남자]]+자료실기준[[#This Row],[여자]],0)</f>
        <v>12</v>
      </c>
      <c r="Q149" s="9">
        <f t="array" ref="Q149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49" s="9">
        <f t="array" ref="R149">IFERROR(INDEX(대출권수[],MATCH(1,(자료실기준[[#This Row],[소장처명]]=대출권수[소장처명])*(대출권수[대출반납]="대출")*(자료실기준[[#This Row],[년월]]=대출권수[년월]),0),MATCH(R$1,대출권수[#Headers],0)),0)</f>
        <v>5</v>
      </c>
      <c r="S149" s="9">
        <f t="array" ref="S149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49" s="9">
        <f t="array" ref="T149">IFERROR(INDEX(대출권수[],MATCH(1,(자료실기준[[#This Row],[소장처명]]=대출권수[소장처명])*(대출권수[대출반납]="대출")*(자료실기준[[#This Row],[년월]]=대출권수[년월]),0),MATCH(T$1,대출권수[#Headers],0)),0)</f>
        <v>4</v>
      </c>
      <c r="U149" s="9">
        <f t="array" ref="U149">IFERROR(INDEX(대출권수[],MATCH(1,(자료실기준[[#This Row],[소장처명]]=대출권수[소장처명])*(대출권수[대출반납]="대출")*(자료실기준[[#This Row],[년월]]=대출권수[년월]),0),MATCH(U$1,대출권수[#Headers],0)),0)</f>
        <v>3</v>
      </c>
      <c r="V149" s="9">
        <f t="array" ref="V149">IFERROR(INDEX(대출권수[],MATCH(1,(자료실기준[[#This Row],[소장처명]]=대출권수[소장처명])*(대출권수[대출반납]="대출")*(자료실기준[[#This Row],[년월]]=대출권수[년월]),0),MATCH(V$1,대출권수[#Headers],0)),0)</f>
        <v>4</v>
      </c>
      <c r="W149" s="9">
        <f t="array" ref="W149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49" s="9">
        <f t="array" ref="X149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49" s="9">
        <f t="array" ref="Y149">IFERROR(INDEX(대출권수[],MATCH(1,(자료실기준[[#This Row],[소장처명]]=대출권수[소장처명])*(대출권수[대출반납]="대출")*(자료실기준[[#This Row],[년월]]=대출권수[년월]),0),MATCH(Y$1,대출권수[#Headers],0)),0)</f>
        <v>17</v>
      </c>
      <c r="Z149" s="9">
        <f t="array" ref="Z149">IFERROR(INDEX(대출권수[],MATCH(1,(자료실기준[[#This Row],[소장처명]]=대출권수[소장처명])*(대출권수[대출반납]="대출")*(자료실기준[[#This Row],[년월]]=대출권수[년월]),0),MATCH(Z$1,대출권수[#Headers],0)),0)</f>
        <v>3</v>
      </c>
      <c r="AA149" s="9">
        <f>SUM(자료실기준[[#This Row],[총류]:[역사]])</f>
        <v>36</v>
      </c>
    </row>
    <row r="150" spans="1:27" x14ac:dyDescent="0.3">
      <c r="A150" s="5">
        <v>45444</v>
      </c>
      <c r="B150" t="s">
        <v>198</v>
      </c>
      <c r="C150" s="5" t="str">
        <f>TEXT(자료실기준[[#This Row],[년월]],"yy년m월")&amp;자료실기준[[#This Row],[소장처명]]</f>
        <v>24년6월경남독서한마당(어린이)</v>
      </c>
      <c r="D150" t="str">
        <f>IFERROR(INDEX(자료실범례[],MATCH($B150,자료실범례[소장처명],0),2),"종합자료실")</f>
        <v>어린이자료실</v>
      </c>
      <c r="E150" s="9">
        <f t="array" ref="E150">IFERROR(INDEX(대출자[],MATCH(1,(자료실기준[[#This Row],[소장처명]]=대출자[소장처명])*(자료실기준[[#This Row],[년월]]=대출자[년월]),0),MATCH(E$1,대출자[#Headers],0)),0)</f>
        <v>3</v>
      </c>
      <c r="F150" s="9">
        <f t="array" ref="F150">IFERROR(INDEX(대출자[],MATCH(1,(자료실기준[[#This Row],[소장처명]]=대출자[소장처명])*(자료실기준[[#This Row],[년월]]=대출자[년월]),0),MATCH(F$1,대출자[#Headers],0)),0)</f>
        <v>6</v>
      </c>
      <c r="G150" s="9">
        <f t="array" ref="G150">IFERROR(INDEX(대출자[],MATCH(1,(자료실기준[[#This Row],[소장처명]]=대출자[소장처명])*(자료실기준[[#This Row],[년월]]=대출자[년월]),0),MATCH(G$1,대출자[#Headers],0)),0)</f>
        <v>0</v>
      </c>
      <c r="H150" s="9">
        <f t="array" ref="H150">IFERROR(INDEX(대출자[],MATCH(1,(자료실기준[[#This Row],[소장처명]]=대출자[소장처명])*(자료실기준[[#This Row],[년월]]=대출자[년월]),0),MATCH(H$1,대출자[#Headers],0)),0)</f>
        <v>0</v>
      </c>
      <c r="I150" s="9">
        <f t="array" ref="I150">IFERROR(INDEX(대출자[],MATCH(1,(자료실기준[[#This Row],[소장처명]]=대출자[소장처명])*(자료실기준[[#This Row],[년월]]=대출자[년월]),0),MATCH(I$1,대출자[#Headers],0)),0)</f>
        <v>4</v>
      </c>
      <c r="J150" s="9">
        <f t="array" ref="J150">IFERROR(INDEX(대출자[],MATCH(1,(자료실기준[[#This Row],[소장처명]]=대출자[소장처명])*(자료실기준[[#This Row],[년월]]=대출자[년월]),0),MATCH(J$1,대출자[#Headers],0)),0)</f>
        <v>7</v>
      </c>
      <c r="K150" s="9">
        <f t="array" ref="K150">IFERROR(INDEX(대출자[],MATCH(1,(자료실기준[[#This Row],[소장처명]]=대출자[소장처명])*(자료실기준[[#This Row],[년월]]=대출자[년월]),0),MATCH(K$1,대출자[#Headers],0)),0)</f>
        <v>9</v>
      </c>
      <c r="L150" s="9">
        <f t="array" ref="L150">IFERROR(INDEX(대출자[],MATCH(1,(자료실기준[[#This Row],[소장처명]]=대출자[소장처명])*(자료실기준[[#This Row],[년월]]=대출자[년월]),0),MATCH(L$1,대출자[#Headers],0)),0)</f>
        <v>0</v>
      </c>
      <c r="M150" s="9">
        <f t="array" ref="M150">IFERROR(INDEX(대출자[],MATCH(1,(자료실기준[[#This Row],[소장처명]]=대출자[소장처명])*(자료실기준[[#This Row],[년월]]=대출자[년월]),0),MATCH(M$1,대출자[#Headers],0)),0)</f>
        <v>11</v>
      </c>
      <c r="N150" s="9">
        <f>IFERROR(자료실기준[[#This Row],[어린이남자]]+자료실기준[[#This Row],[청소년남자]]+자료실기준[[#This Row],[성인남자]],0)</f>
        <v>7</v>
      </c>
      <c r="O150" s="9">
        <f>IFERROR(자료실기준[[#This Row],[어린이여자]]+자료실기준[[#This Row],[청소년여자]]+자료실기준[[#This Row],[성인여자]],0)</f>
        <v>13</v>
      </c>
      <c r="P150" s="9">
        <f>IFERROR(자료실기준[[#This Row],[남자]]+자료실기준[[#This Row],[여자]],0)</f>
        <v>20</v>
      </c>
      <c r="Q150" s="9">
        <f t="array" ref="Q150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50" s="9">
        <f t="array" ref="R150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50" s="9">
        <f t="array" ref="S150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50" s="9">
        <f t="array" ref="T150">IFERROR(INDEX(대출권수[],MATCH(1,(자료실기준[[#This Row],[소장처명]]=대출권수[소장처명])*(대출권수[대출반납]="대출")*(자료실기준[[#This Row],[년월]]=대출권수[년월]),0),MATCH(T$1,대출권수[#Headers],0)),0)</f>
        <v>4</v>
      </c>
      <c r="U150" s="9">
        <f t="array" ref="U150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50" s="9">
        <f t="array" ref="V150">IFERROR(INDEX(대출권수[],MATCH(1,(자료실기준[[#This Row],[소장처명]]=대출권수[소장처명])*(대출권수[대출반납]="대출")*(자료실기준[[#This Row],[년월]]=대출권수[년월]),0),MATCH(V$1,대출권수[#Headers],0)),0)</f>
        <v>3</v>
      </c>
      <c r="W150" s="9">
        <f t="array" ref="W150">IFERROR(INDEX(대출권수[],MATCH(1,(자료실기준[[#This Row],[소장처명]]=대출권수[소장처명])*(대출권수[대출반납]="대출")*(자료실기준[[#This Row],[년월]]=대출권수[년월]),0),MATCH(W$1,대출권수[#Headers],0)),0)</f>
        <v>6</v>
      </c>
      <c r="X150" s="9">
        <f t="array" ref="X150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50" s="9">
        <f t="array" ref="Y150">IFERROR(INDEX(대출권수[],MATCH(1,(자료실기준[[#This Row],[소장처명]]=대출권수[소장처명])*(대출권수[대출반납]="대출")*(자료실기준[[#This Row],[년월]]=대출권수[년월]),0),MATCH(Y$1,대출권수[#Headers],0)),0)</f>
        <v>35</v>
      </c>
      <c r="Z150" s="9">
        <f t="array" ref="Z150">IFERROR(INDEX(대출권수[],MATCH(1,(자료실기준[[#This Row],[소장처명]]=대출권수[소장처명])*(대출권수[대출반납]="대출")*(자료실기준[[#This Row],[년월]]=대출권수[년월]),0),MATCH(Z$1,대출권수[#Headers],0)),0)</f>
        <v>1</v>
      </c>
      <c r="AA150" s="9">
        <f>SUM(자료실기준[[#This Row],[총류]:[역사]])</f>
        <v>49</v>
      </c>
    </row>
    <row r="151" spans="1:27" x14ac:dyDescent="0.3">
      <c r="A151" s="5">
        <v>45444</v>
      </c>
      <c r="B151" t="s">
        <v>454</v>
      </c>
      <c r="C151" s="5" t="str">
        <f>TEXT(자료실기준[[#This Row],[년월]],"yy년m월")&amp;자료실기준[[#This Row],[소장처명]]</f>
        <v>24년6월기타</v>
      </c>
      <c r="D151" t="str">
        <f>IFERROR(INDEX(자료실범례[],MATCH($B151,자료실범례[소장처명],0),2),"종합자료실")</f>
        <v>종합자료실</v>
      </c>
      <c r="E151" s="9">
        <f t="array" ref="E151">IFERROR(INDEX(대출자[],MATCH(1,(자료실기준[[#This Row],[소장처명]]=대출자[소장처명])*(자료실기준[[#This Row],[년월]]=대출자[년월]),0),MATCH(E$1,대출자[#Headers],0)),0)</f>
        <v>0</v>
      </c>
      <c r="F151" s="9">
        <f t="array" ref="F151">IFERROR(INDEX(대출자[],MATCH(1,(자료실기준[[#This Row],[소장처명]]=대출자[소장처명])*(자료실기준[[#This Row],[년월]]=대출자[년월]),0),MATCH(F$1,대출자[#Headers],0)),0)</f>
        <v>0</v>
      </c>
      <c r="G151" s="9">
        <f t="array" ref="G151">IFERROR(INDEX(대출자[],MATCH(1,(자료실기준[[#This Row],[소장처명]]=대출자[소장처명])*(자료실기준[[#This Row],[년월]]=대출자[년월]),0),MATCH(G$1,대출자[#Headers],0)),0)</f>
        <v>0</v>
      </c>
      <c r="H151" s="9">
        <f t="array" ref="H151">IFERROR(INDEX(대출자[],MATCH(1,(자료실기준[[#This Row],[소장처명]]=대출자[소장처명])*(자료실기준[[#This Row],[년월]]=대출자[년월]),0),MATCH(H$1,대출자[#Headers],0)),0)</f>
        <v>0</v>
      </c>
      <c r="I151" s="9">
        <f t="array" ref="I151">IFERROR(INDEX(대출자[],MATCH(1,(자료실기준[[#This Row],[소장처명]]=대출자[소장처명])*(자료실기준[[#This Row],[년월]]=대출자[년월]),0),MATCH(I$1,대출자[#Headers],0)),0)</f>
        <v>1</v>
      </c>
      <c r="J151" s="9">
        <f t="array" ref="J151">IFERROR(INDEX(대출자[],MATCH(1,(자료실기준[[#This Row],[소장처명]]=대출자[소장처명])*(자료실기준[[#This Row],[년월]]=대출자[년월]),0),MATCH(J$1,대출자[#Headers],0)),0)</f>
        <v>0</v>
      </c>
      <c r="K151" s="9">
        <f t="array" ref="K151">IFERROR(INDEX(대출자[],MATCH(1,(자료실기준[[#This Row],[소장처명]]=대출자[소장처명])*(자료실기준[[#This Row],[년월]]=대출자[년월]),0),MATCH(K$1,대출자[#Headers],0)),0)</f>
        <v>0</v>
      </c>
      <c r="L151" s="9">
        <f t="array" ref="L151">IFERROR(INDEX(대출자[],MATCH(1,(자료실기준[[#This Row],[소장처명]]=대출자[소장처명])*(자료실기준[[#This Row],[년월]]=대출자[년월]),0),MATCH(L$1,대출자[#Headers],0)),0)</f>
        <v>0</v>
      </c>
      <c r="M151" s="9">
        <f t="array" ref="M151">IFERROR(INDEX(대출자[],MATCH(1,(자료실기준[[#This Row],[소장처명]]=대출자[소장처명])*(자료실기준[[#This Row],[년월]]=대출자[년월]),0),MATCH(M$1,대출자[#Headers],0)),0)</f>
        <v>1</v>
      </c>
      <c r="N151" s="9">
        <f>IFERROR(자료실기준[[#This Row],[어린이남자]]+자료실기준[[#This Row],[청소년남자]]+자료실기준[[#This Row],[성인남자]],0)</f>
        <v>1</v>
      </c>
      <c r="O151" s="9">
        <f>IFERROR(자료실기준[[#This Row],[어린이여자]]+자료실기준[[#This Row],[청소년여자]]+자료실기준[[#This Row],[성인여자]],0)</f>
        <v>0</v>
      </c>
      <c r="P151" s="9">
        <f>IFERROR(자료실기준[[#This Row],[남자]]+자료실기준[[#This Row],[여자]],0)</f>
        <v>1</v>
      </c>
      <c r="Q151" s="9">
        <f t="array" ref="Q151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51" s="9">
        <f t="array" ref="R151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51" s="9">
        <f t="array" ref="S151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51" s="9">
        <f t="array" ref="T151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51" s="9">
        <f t="array" ref="U151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51" s="9">
        <f t="array" ref="V151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51" s="9">
        <f t="array" ref="W151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51" s="9">
        <f t="array" ref="X151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51" s="9">
        <f t="array" ref="Y151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151" s="9">
        <f t="array" ref="Z151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51" s="9">
        <f>SUM(자료실기준[[#This Row],[총류]:[역사]])</f>
        <v>0</v>
      </c>
    </row>
    <row r="152" spans="1:27" x14ac:dyDescent="0.3">
      <c r="A152" s="5">
        <v>45444</v>
      </c>
      <c r="C152" s="5" t="str">
        <f>TEXT(자료실기준[[#This Row],[년월]],"yy년m월")&amp;자료실기준[[#This Row],[소장처명]]</f>
        <v>24년6월</v>
      </c>
      <c r="D152" t="str">
        <f>IFERROR(INDEX(자료실범례[],MATCH($B152,자료실범례[소장처명],0),2),"종합자료실")</f>
        <v>종합자료실</v>
      </c>
      <c r="E152" s="9">
        <f t="array" ref="E152">IFERROR(INDEX(대출자[],MATCH(1,(자료실기준[[#This Row],[소장처명]]=대출자[소장처명])*(자료실기준[[#This Row],[년월]]=대출자[년월]),0),MATCH(E$1,대출자[#Headers],0)),0)</f>
        <v>0</v>
      </c>
      <c r="F152" s="9">
        <f t="array" ref="F152">IFERROR(INDEX(대출자[],MATCH(1,(자료실기준[[#This Row],[소장처명]]=대출자[소장처명])*(자료실기준[[#This Row],[년월]]=대출자[년월]),0),MATCH(F$1,대출자[#Headers],0)),0)</f>
        <v>0</v>
      </c>
      <c r="G152" s="9">
        <f t="array" ref="G152">IFERROR(INDEX(대출자[],MATCH(1,(자료실기준[[#This Row],[소장처명]]=대출자[소장처명])*(자료실기준[[#This Row],[년월]]=대출자[년월]),0),MATCH(G$1,대출자[#Headers],0)),0)</f>
        <v>0</v>
      </c>
      <c r="H152" s="9">
        <f t="array" ref="H152">IFERROR(INDEX(대출자[],MATCH(1,(자료실기준[[#This Row],[소장처명]]=대출자[소장처명])*(자료실기준[[#This Row],[년월]]=대출자[년월]),0),MATCH(H$1,대출자[#Headers],0)),0)</f>
        <v>0</v>
      </c>
      <c r="I152" s="9">
        <f t="array" ref="I152">IFERROR(INDEX(대출자[],MATCH(1,(자료실기준[[#This Row],[소장처명]]=대출자[소장처명])*(자료실기준[[#This Row],[년월]]=대출자[년월]),0),MATCH(I$1,대출자[#Headers],0)),0)</f>
        <v>0</v>
      </c>
      <c r="J152" s="9">
        <f t="array" ref="J152">IFERROR(INDEX(대출자[],MATCH(1,(자료실기준[[#This Row],[소장처명]]=대출자[소장처명])*(자료실기준[[#This Row],[년월]]=대출자[년월]),0),MATCH(J$1,대출자[#Headers],0)),0)</f>
        <v>0</v>
      </c>
      <c r="K152" s="9">
        <f t="array" ref="K152">IFERROR(INDEX(대출자[],MATCH(1,(자료실기준[[#This Row],[소장처명]]=대출자[소장처명])*(자료실기준[[#This Row],[년월]]=대출자[년월]),0),MATCH(K$1,대출자[#Headers],0)),0)</f>
        <v>0</v>
      </c>
      <c r="L152" s="9">
        <f t="array" ref="L152">IFERROR(INDEX(대출자[],MATCH(1,(자료실기준[[#This Row],[소장처명]]=대출자[소장처명])*(자료실기준[[#This Row],[년월]]=대출자[년월]),0),MATCH(L$1,대출자[#Headers],0)),0)</f>
        <v>0</v>
      </c>
      <c r="M152" s="9">
        <f t="array" ref="M152">IFERROR(INDEX(대출자[],MATCH(1,(자료실기준[[#This Row],[소장처명]]=대출자[소장처명])*(자료실기준[[#This Row],[년월]]=대출자[년월]),0),MATCH(M$1,대출자[#Headers],0)),0)</f>
        <v>0</v>
      </c>
      <c r="N152" s="9">
        <f>IFERROR(자료실기준[[#This Row],[어린이남자]]+자료실기준[[#This Row],[청소년남자]]+자료실기준[[#This Row],[성인남자]],0)</f>
        <v>0</v>
      </c>
      <c r="O152" s="9">
        <f>IFERROR(자료실기준[[#This Row],[어린이여자]]+자료실기준[[#This Row],[청소년여자]]+자료실기준[[#This Row],[성인여자]],0)</f>
        <v>0</v>
      </c>
      <c r="P152" s="9">
        <f>IFERROR(자료실기준[[#This Row],[남자]]+자료실기준[[#This Row],[여자]],0)</f>
        <v>0</v>
      </c>
      <c r="Q152" s="9">
        <f t="array" ref="Q152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52" s="9">
        <f t="array" ref="R152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52" s="9">
        <f t="array" ref="S152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52" s="9">
        <f t="array" ref="T152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52" s="9">
        <f t="array" ref="U152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52" s="9">
        <f t="array" ref="V152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52" s="9">
        <f t="array" ref="W152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52" s="9">
        <f t="array" ref="X152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52" s="9">
        <f t="array" ref="Y152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152" s="9">
        <f t="array" ref="Z152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52" s="9">
        <f>SUM(자료실기준[[#This Row],[총류]:[역사]])</f>
        <v>0</v>
      </c>
    </row>
    <row r="153" spans="1:27" x14ac:dyDescent="0.3">
      <c r="A153" s="5">
        <v>45474</v>
      </c>
      <c r="B153" t="s">
        <v>21</v>
      </c>
      <c r="C153" s="5" t="str">
        <f>TEXT(자료실기준[[#This Row],[년월]],"yy년m월")&amp;자료실기준[[#This Row],[소장처명]]</f>
        <v>24년7월종합자료실</v>
      </c>
      <c r="D153" t="str">
        <f>IFERROR(INDEX(자료실범례[],MATCH($B153,자료실범례[소장처명],0),2),"종합자료실")</f>
        <v>종합자료실</v>
      </c>
      <c r="E153" s="9">
        <f t="array" ref="E153">IFERROR(INDEX(대출자[],MATCH(1,(자료실기준[[#This Row],[소장처명]]=대출자[소장처명])*(자료실기준[[#This Row],[년월]]=대출자[년월]),0),MATCH(E$1,대출자[#Headers],0)),0)</f>
        <v>13</v>
      </c>
      <c r="F153" s="9">
        <f t="array" ref="F153">IFERROR(INDEX(대출자[],MATCH(1,(자료실기준[[#This Row],[소장처명]]=대출자[소장처명])*(자료실기준[[#This Row],[년월]]=대출자[년월]),0),MATCH(F$1,대출자[#Headers],0)),0)</f>
        <v>14</v>
      </c>
      <c r="G153" s="9">
        <f t="array" ref="G153">IFERROR(INDEX(대출자[],MATCH(1,(자료실기준[[#This Row],[소장처명]]=대출자[소장처명])*(자료실기준[[#This Row],[년월]]=대출자[년월]),0),MATCH(G$1,대출자[#Headers],0)),0)</f>
        <v>11</v>
      </c>
      <c r="H153" s="9">
        <f t="array" ref="H153">IFERROR(INDEX(대출자[],MATCH(1,(자료실기준[[#This Row],[소장처명]]=대출자[소장처명])*(자료실기준[[#This Row],[년월]]=대출자[년월]),0),MATCH(H$1,대출자[#Headers],0)),0)</f>
        <v>22</v>
      </c>
      <c r="I153" s="9">
        <f t="array" ref="I153">IFERROR(INDEX(대출자[],MATCH(1,(자료실기준[[#This Row],[소장처명]]=대출자[소장처명])*(자료실기준[[#This Row],[년월]]=대출자[년월]),0),MATCH(I$1,대출자[#Headers],0)),0)</f>
        <v>120</v>
      </c>
      <c r="J153" s="9">
        <f t="array" ref="J153">IFERROR(INDEX(대출자[],MATCH(1,(자료실기준[[#This Row],[소장처명]]=대출자[소장처명])*(자료실기준[[#This Row],[년월]]=대출자[년월]),0),MATCH(J$1,대출자[#Headers],0)),0)</f>
        <v>244</v>
      </c>
      <c r="K153" s="9">
        <f t="array" ref="K153">IFERROR(INDEX(대출자[],MATCH(1,(자료실기준[[#This Row],[소장처명]]=대출자[소장처명])*(자료실기준[[#This Row],[년월]]=대출자[년월]),0),MATCH(K$1,대출자[#Headers],0)),0)</f>
        <v>27</v>
      </c>
      <c r="L153" s="9">
        <f t="array" ref="L153">IFERROR(INDEX(대출자[],MATCH(1,(자료실기준[[#This Row],[소장처명]]=대출자[소장처명])*(자료실기준[[#This Row],[년월]]=대출자[년월]),0),MATCH(L$1,대출자[#Headers],0)),0)</f>
        <v>33</v>
      </c>
      <c r="M153" s="9">
        <f t="array" ref="M153">IFERROR(INDEX(대출자[],MATCH(1,(자료실기준[[#This Row],[소장처명]]=대출자[소장처명])*(자료실기준[[#This Row],[년월]]=대출자[년월]),0),MATCH(M$1,대출자[#Headers],0)),0)</f>
        <v>364</v>
      </c>
      <c r="N153" s="9">
        <f>IFERROR(자료실기준[[#This Row],[어린이남자]]+자료실기준[[#This Row],[청소년남자]]+자료실기준[[#This Row],[성인남자]],0)</f>
        <v>144</v>
      </c>
      <c r="O153" s="9">
        <f>IFERROR(자료실기준[[#This Row],[어린이여자]]+자료실기준[[#This Row],[청소년여자]]+자료실기준[[#This Row],[성인여자]],0)</f>
        <v>280</v>
      </c>
      <c r="P153" s="9">
        <f>IFERROR(자료실기준[[#This Row],[남자]]+자료실기준[[#This Row],[여자]],0)</f>
        <v>424</v>
      </c>
      <c r="Q153" s="9">
        <f t="array" ref="Q153">IFERROR(INDEX(대출권수[],MATCH(1,(자료실기준[[#This Row],[소장처명]]=대출권수[소장처명])*(대출권수[대출반납]="대출")*(자료실기준[[#This Row],[년월]]=대출권수[년월]),0),MATCH(Q$1,대출권수[#Headers],0)),0)</f>
        <v>35</v>
      </c>
      <c r="R153" s="9">
        <f t="array" ref="R153">IFERROR(INDEX(대출권수[],MATCH(1,(자료실기준[[#This Row],[소장처명]]=대출권수[소장처명])*(대출권수[대출반납]="대출")*(자료실기준[[#This Row],[년월]]=대출권수[년월]),0),MATCH(R$1,대출권수[#Headers],0)),0)</f>
        <v>131</v>
      </c>
      <c r="S153" s="9">
        <f t="array" ref="S153">IFERROR(INDEX(대출권수[],MATCH(1,(자료실기준[[#This Row],[소장처명]]=대출권수[소장처명])*(대출권수[대출반납]="대출")*(자료실기준[[#This Row],[년월]]=대출권수[년월]),0),MATCH(S$1,대출권수[#Headers],0)),0)</f>
        <v>28</v>
      </c>
      <c r="T153" s="9">
        <f t="array" ref="T153">IFERROR(INDEX(대출권수[],MATCH(1,(자료실기준[[#This Row],[소장처명]]=대출권수[소장처명])*(대출권수[대출반납]="대출")*(자료실기준[[#This Row],[년월]]=대출권수[년월]),0),MATCH(T$1,대출권수[#Headers],0)),0)</f>
        <v>241</v>
      </c>
      <c r="U153" s="9">
        <f t="array" ref="U153">IFERROR(INDEX(대출권수[],MATCH(1,(자료실기준[[#This Row],[소장처명]]=대출권수[소장처명])*(대출권수[대출반납]="대출")*(자료실기준[[#This Row],[년월]]=대출권수[년월]),0),MATCH(U$1,대출권수[#Headers],0)),0)</f>
        <v>53</v>
      </c>
      <c r="V153" s="9">
        <f t="array" ref="V153">IFERROR(INDEX(대출권수[],MATCH(1,(자료실기준[[#This Row],[소장처명]]=대출권수[소장처명])*(대출권수[대출반납]="대출")*(자료실기준[[#This Row],[년월]]=대출권수[년월]),0),MATCH(V$1,대출권수[#Headers],0)),0)</f>
        <v>115</v>
      </c>
      <c r="W153" s="9">
        <f t="array" ref="W153">IFERROR(INDEX(대출권수[],MATCH(1,(자료실기준[[#This Row],[소장처명]]=대출권수[소장처명])*(대출권수[대출반납]="대출")*(자료실기준[[#This Row],[년월]]=대출권수[년월]),0),MATCH(W$1,대출권수[#Headers],0)),0)</f>
        <v>43</v>
      </c>
      <c r="X153" s="9">
        <f t="array" ref="X153">IFERROR(INDEX(대출권수[],MATCH(1,(자료실기준[[#This Row],[소장처명]]=대출권수[소장처명])*(대출권수[대출반납]="대출")*(자료실기준[[#This Row],[년월]]=대출권수[년월]),0),MATCH(X$1,대출권수[#Headers],0)),0)</f>
        <v>41</v>
      </c>
      <c r="Y153" s="9">
        <f t="array" ref="Y153">IFERROR(INDEX(대출권수[],MATCH(1,(자료실기준[[#This Row],[소장처명]]=대출권수[소장처명])*(대출권수[대출반납]="대출")*(자료실기준[[#This Row],[년월]]=대출권수[년월]),0),MATCH(Y$1,대출권수[#Headers],0)),0)</f>
        <v>710</v>
      </c>
      <c r="Z153" s="9">
        <f t="array" ref="Z153">IFERROR(INDEX(대출권수[],MATCH(1,(자료실기준[[#This Row],[소장처명]]=대출권수[소장처명])*(대출권수[대출반납]="대출")*(자료실기준[[#This Row],[년월]]=대출권수[년월]),0),MATCH(Z$1,대출권수[#Headers],0)),0)</f>
        <v>73</v>
      </c>
      <c r="AA153" s="9">
        <f>SUM(자료실기준[[#This Row],[총류]:[역사]])</f>
        <v>1470</v>
      </c>
    </row>
    <row r="154" spans="1:27" x14ac:dyDescent="0.3">
      <c r="A154" s="5">
        <v>45474</v>
      </c>
      <c r="B154" t="s">
        <v>16</v>
      </c>
      <c r="C154" s="5" t="str">
        <f>TEXT(자료실기준[[#This Row],[년월]],"yy년m월")&amp;자료실기준[[#This Row],[소장처명]]</f>
        <v>24년7월어린이자료실</v>
      </c>
      <c r="D154" t="str">
        <f>IFERROR(INDEX(자료실범례[],MATCH($B154,자료실범례[소장처명],0),2),"종합자료실")</f>
        <v>어린이자료실</v>
      </c>
      <c r="E154" s="9">
        <f t="array" ref="E154">IFERROR(INDEX(대출자[],MATCH(1,(자료실기준[[#This Row],[소장처명]]=대출자[소장처명])*(자료실기준[[#This Row],[년월]]=대출자[년월]),0),MATCH(E$1,대출자[#Headers],0)),0)</f>
        <v>63</v>
      </c>
      <c r="F154" s="9">
        <f t="array" ref="F154">IFERROR(INDEX(대출자[],MATCH(1,(자료실기준[[#This Row],[소장처명]]=대출자[소장처명])*(자료실기준[[#This Row],[년월]]=대출자[년월]),0),MATCH(F$1,대출자[#Headers],0)),0)</f>
        <v>59</v>
      </c>
      <c r="G154" s="9">
        <f t="array" ref="G154">IFERROR(INDEX(대출자[],MATCH(1,(자료실기준[[#This Row],[소장처명]]=대출자[소장처명])*(자료실기준[[#This Row],[년월]]=대출자[년월]),0),MATCH(G$1,대출자[#Headers],0)),0)</f>
        <v>5</v>
      </c>
      <c r="H154" s="9">
        <f t="array" ref="H154">IFERROR(INDEX(대출자[],MATCH(1,(자료실기준[[#This Row],[소장처명]]=대출자[소장처명])*(자료실기준[[#This Row],[년월]]=대출자[년월]),0),MATCH(H$1,대출자[#Headers],0)),0)</f>
        <v>8</v>
      </c>
      <c r="I154" s="9">
        <f t="array" ref="I154">IFERROR(INDEX(대출자[],MATCH(1,(자료실기준[[#This Row],[소장처명]]=대출자[소장처명])*(자료실기준[[#This Row],[년월]]=대출자[년월]),0),MATCH(I$1,대출자[#Headers],0)),0)</f>
        <v>42</v>
      </c>
      <c r="J154" s="9">
        <f t="array" ref="J154">IFERROR(INDEX(대출자[],MATCH(1,(자료실기준[[#This Row],[소장처명]]=대출자[소장처명])*(자료실기준[[#This Row],[년월]]=대출자[년월]),0),MATCH(J$1,대출자[#Headers],0)),0)</f>
        <v>101</v>
      </c>
      <c r="K154" s="9">
        <f t="array" ref="K154">IFERROR(INDEX(대출자[],MATCH(1,(자료실기준[[#This Row],[소장처명]]=대출자[소장처명])*(자료실기준[[#This Row],[년월]]=대출자[년월]),0),MATCH(K$1,대출자[#Headers],0)),0)</f>
        <v>122</v>
      </c>
      <c r="L154" s="9">
        <f t="array" ref="L154">IFERROR(INDEX(대출자[],MATCH(1,(자료실기준[[#This Row],[소장처명]]=대출자[소장처명])*(자료실기준[[#This Row],[년월]]=대출자[년월]),0),MATCH(L$1,대출자[#Headers],0)),0)</f>
        <v>13</v>
      </c>
      <c r="M154" s="9">
        <f t="array" ref="M154">IFERROR(INDEX(대출자[],MATCH(1,(자료실기준[[#This Row],[소장처명]]=대출자[소장처명])*(자료실기준[[#This Row],[년월]]=대출자[년월]),0),MATCH(M$1,대출자[#Headers],0)),0)</f>
        <v>143</v>
      </c>
      <c r="N154" s="9">
        <f>IFERROR(자료실기준[[#This Row],[어린이남자]]+자료실기준[[#This Row],[청소년남자]]+자료실기준[[#This Row],[성인남자]],0)</f>
        <v>110</v>
      </c>
      <c r="O154" s="9">
        <f>IFERROR(자료실기준[[#This Row],[어린이여자]]+자료실기준[[#This Row],[청소년여자]]+자료실기준[[#This Row],[성인여자]],0)</f>
        <v>168</v>
      </c>
      <c r="P154" s="9">
        <f>IFERROR(자료실기준[[#This Row],[남자]]+자료실기준[[#This Row],[여자]],0)</f>
        <v>278</v>
      </c>
      <c r="Q154" s="9">
        <f t="array" ref="Q154">IFERROR(INDEX(대출권수[],MATCH(1,(자료실기준[[#This Row],[소장처명]]=대출권수[소장처명])*(대출권수[대출반납]="대출")*(자료실기준[[#This Row],[년월]]=대출권수[년월]),0),MATCH(Q$1,대출권수[#Headers],0)),0)</f>
        <v>45</v>
      </c>
      <c r="R154" s="9">
        <f t="array" ref="R154">IFERROR(INDEX(대출권수[],MATCH(1,(자료실기준[[#This Row],[소장처명]]=대출권수[소장처명])*(대출권수[대출반납]="대출")*(자료실기준[[#This Row],[년월]]=대출권수[년월]),0),MATCH(R$1,대출권수[#Headers],0)),0)</f>
        <v>56</v>
      </c>
      <c r="S154" s="9">
        <f t="array" ref="S154">IFERROR(INDEX(대출권수[],MATCH(1,(자료실기준[[#This Row],[소장처명]]=대출권수[소장처명])*(대출권수[대출반납]="대출")*(자료실기준[[#This Row],[년월]]=대출권수[년월]),0),MATCH(S$1,대출권수[#Headers],0)),0)</f>
        <v>22</v>
      </c>
      <c r="T154" s="9">
        <f t="array" ref="T154">IFERROR(INDEX(대출권수[],MATCH(1,(자료실기준[[#This Row],[소장처명]]=대출권수[소장처명])*(대출권수[대출반납]="대출")*(자료실기준[[#This Row],[년월]]=대출권수[년월]),0),MATCH(T$1,대출권수[#Headers],0)),0)</f>
        <v>166</v>
      </c>
      <c r="U154" s="9">
        <f t="array" ref="U154">IFERROR(INDEX(대출권수[],MATCH(1,(자료실기준[[#This Row],[소장처명]]=대출권수[소장처명])*(대출권수[대출반납]="대출")*(자료실기준[[#This Row],[년월]]=대출권수[년월]),0),MATCH(U$1,대출권수[#Headers],0)),0)</f>
        <v>230</v>
      </c>
      <c r="V154" s="9">
        <f t="array" ref="V154">IFERROR(INDEX(대출권수[],MATCH(1,(자료실기준[[#This Row],[소장처명]]=대출권수[소장처명])*(대출권수[대출반납]="대출")*(자료실기준[[#This Row],[년월]]=대출권수[년월]),0),MATCH(V$1,대출권수[#Headers],0)),0)</f>
        <v>33</v>
      </c>
      <c r="W154" s="9">
        <f t="array" ref="W154">IFERROR(INDEX(대출권수[],MATCH(1,(자료실기준[[#This Row],[소장처명]]=대출권수[소장처명])*(대출권수[대출반납]="대출")*(자료실기준[[#This Row],[년월]]=대출권수[년월]),0),MATCH(W$1,대출권수[#Headers],0)),0)</f>
        <v>24</v>
      </c>
      <c r="X154" s="9">
        <f t="array" ref="X154">IFERROR(INDEX(대출권수[],MATCH(1,(자료실기준[[#This Row],[소장처명]]=대출권수[소장처명])*(대출권수[대출반납]="대출")*(자료실기준[[#This Row],[년월]]=대출권수[년월]),0),MATCH(X$1,대출권수[#Headers],0)),0)</f>
        <v>23</v>
      </c>
      <c r="Y154" s="9">
        <f t="array" ref="Y154">IFERROR(INDEX(대출권수[],MATCH(1,(자료실기준[[#This Row],[소장처명]]=대출권수[소장처명])*(대출권수[대출반납]="대출")*(자료실기준[[#This Row],[년월]]=대출권수[년월]),0),MATCH(Y$1,대출권수[#Headers],0)),0)</f>
        <v>1012</v>
      </c>
      <c r="Z154" s="9">
        <f t="array" ref="Z154">IFERROR(INDEX(대출권수[],MATCH(1,(자료실기준[[#This Row],[소장처명]]=대출권수[소장처명])*(대출권수[대출반납]="대출")*(자료실기준[[#This Row],[년월]]=대출권수[년월]),0),MATCH(Z$1,대출권수[#Headers],0)),0)</f>
        <v>111</v>
      </c>
      <c r="AA154" s="9">
        <f>SUM(자료실기준[[#This Row],[총류]:[역사]])</f>
        <v>1722</v>
      </c>
    </row>
    <row r="155" spans="1:27" x14ac:dyDescent="0.3">
      <c r="A155" s="5">
        <v>45474</v>
      </c>
      <c r="B155" t="s">
        <v>2</v>
      </c>
      <c r="C155" s="5" t="str">
        <f>TEXT(자료실기준[[#This Row],[년월]],"yy년m월")&amp;자료실기준[[#This Row],[소장처명]]</f>
        <v>24년7월디지털자료실</v>
      </c>
      <c r="D155" t="str">
        <f>IFERROR(INDEX(자료실범례[],MATCH($B155,자료실범례[소장처명],0),2),"종합자료실")</f>
        <v>디지털자료실</v>
      </c>
      <c r="E155" s="9">
        <f t="array" ref="E155">IFERROR(INDEX(대출자[],MATCH(1,(자료실기준[[#This Row],[소장처명]]=대출자[소장처명])*(자료실기준[[#This Row],[년월]]=대출자[년월]),0),MATCH(E$1,대출자[#Headers],0)),0)</f>
        <v>1</v>
      </c>
      <c r="F155" s="9">
        <f t="array" ref="F155">IFERROR(INDEX(대출자[],MATCH(1,(자료실기준[[#This Row],[소장처명]]=대출자[소장처명])*(자료실기준[[#This Row],[년월]]=대출자[년월]),0),MATCH(F$1,대출자[#Headers],0)),0)</f>
        <v>2</v>
      </c>
      <c r="G155" s="9">
        <f t="array" ref="G155">IFERROR(INDEX(대출자[],MATCH(1,(자료실기준[[#This Row],[소장처명]]=대출자[소장처명])*(자료실기준[[#This Row],[년월]]=대출자[년월]),0),MATCH(G$1,대출자[#Headers],0)),0)</f>
        <v>0</v>
      </c>
      <c r="H155" s="9">
        <f t="array" ref="H155">IFERROR(INDEX(대출자[],MATCH(1,(자료실기준[[#This Row],[소장처명]]=대출자[소장처명])*(자료실기준[[#This Row],[년월]]=대출자[년월]),0),MATCH(H$1,대출자[#Headers],0)),0)</f>
        <v>0</v>
      </c>
      <c r="I155" s="9">
        <f t="array" ref="I155">IFERROR(INDEX(대출자[],MATCH(1,(자료실기준[[#This Row],[소장처명]]=대출자[소장처명])*(자료실기준[[#This Row],[년월]]=대출자[년월]),0),MATCH(I$1,대출자[#Headers],0)),0)</f>
        <v>6</v>
      </c>
      <c r="J155" s="9">
        <f t="array" ref="J155">IFERROR(INDEX(대출자[],MATCH(1,(자료실기준[[#This Row],[소장처명]]=대출자[소장처명])*(자료실기준[[#This Row],[년월]]=대출자[년월]),0),MATCH(J$1,대출자[#Headers],0)),0)</f>
        <v>9</v>
      </c>
      <c r="K155" s="9">
        <f t="array" ref="K155">IFERROR(INDEX(대출자[],MATCH(1,(자료실기준[[#This Row],[소장처명]]=대출자[소장처명])*(자료실기준[[#This Row],[년월]]=대출자[년월]),0),MATCH(K$1,대출자[#Headers],0)),0)</f>
        <v>3</v>
      </c>
      <c r="L155" s="9">
        <f t="array" ref="L155">IFERROR(INDEX(대출자[],MATCH(1,(자료실기준[[#This Row],[소장처명]]=대출자[소장처명])*(자료실기준[[#This Row],[년월]]=대출자[년월]),0),MATCH(L$1,대출자[#Headers],0)),0)</f>
        <v>0</v>
      </c>
      <c r="M155" s="9">
        <f t="array" ref="M155">IFERROR(INDEX(대출자[],MATCH(1,(자료실기준[[#This Row],[소장처명]]=대출자[소장처명])*(자료실기준[[#This Row],[년월]]=대출자[년월]),0),MATCH(M$1,대출자[#Headers],0)),0)</f>
        <v>15</v>
      </c>
      <c r="N155" s="9">
        <f>IFERROR(자료실기준[[#This Row],[어린이남자]]+자료실기준[[#This Row],[청소년남자]]+자료실기준[[#This Row],[성인남자]],0)</f>
        <v>7</v>
      </c>
      <c r="O155" s="9">
        <f>IFERROR(자료실기준[[#This Row],[어린이여자]]+자료실기준[[#This Row],[청소년여자]]+자료실기준[[#This Row],[성인여자]],0)</f>
        <v>11</v>
      </c>
      <c r="P155" s="9">
        <f>IFERROR(자료실기준[[#This Row],[남자]]+자료실기준[[#This Row],[여자]],0)</f>
        <v>18</v>
      </c>
      <c r="Q155" s="9">
        <f t="array" ref="Q155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55" s="9">
        <f t="array" ref="R155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55" s="9">
        <f t="array" ref="S155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55" s="9">
        <f t="array" ref="T155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55" s="9">
        <f t="array" ref="U155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55" s="9">
        <f t="array" ref="V155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55" s="9">
        <f t="array" ref="W155">IFERROR(INDEX(대출권수[],MATCH(1,(자료실기준[[#This Row],[소장처명]]=대출권수[소장처명])*(대출권수[대출반납]="대출")*(자료실기준[[#This Row],[년월]]=대출권수[년월]),0),MATCH(W$1,대출권수[#Headers],0)),0)</f>
        <v>49</v>
      </c>
      <c r="X155" s="9">
        <f t="array" ref="X155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55" s="9">
        <f t="array" ref="Y155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155" s="9">
        <f t="array" ref="Z155">IFERROR(INDEX(대출권수[],MATCH(1,(자료실기준[[#This Row],[소장처명]]=대출권수[소장처명])*(대출권수[대출반납]="대출")*(자료실기준[[#This Row],[년월]]=대출권수[년월]),0),MATCH(Z$1,대출권수[#Headers],0)),0)</f>
        <v>1</v>
      </c>
      <c r="AA155" s="9">
        <f>SUM(자료실기준[[#This Row],[총류]:[역사]])</f>
        <v>50</v>
      </c>
    </row>
    <row r="156" spans="1:27" x14ac:dyDescent="0.3">
      <c r="A156" s="5">
        <v>45474</v>
      </c>
      <c r="B156" t="s">
        <v>19</v>
      </c>
      <c r="C156" s="5" t="str">
        <f>TEXT(자료실기준[[#This Row],[년월]],"yy년m월")&amp;자료실기준[[#This Row],[소장처명]]</f>
        <v>24년7월종합실(신간도서)</v>
      </c>
      <c r="D156" t="str">
        <f>IFERROR(INDEX(자료실범례[],MATCH($B156,자료실범례[소장처명],0),2),"종합자료실")</f>
        <v>종합자료실</v>
      </c>
      <c r="E156" s="9">
        <f t="array" ref="E156">IFERROR(INDEX(대출자[],MATCH(1,(자료실기준[[#This Row],[소장처명]]=대출자[소장처명])*(자료실기준[[#This Row],[년월]]=대출자[년월]),0),MATCH(E$1,대출자[#Headers],0)),0)</f>
        <v>2</v>
      </c>
      <c r="F156" s="9">
        <f t="array" ref="F156">IFERROR(INDEX(대출자[],MATCH(1,(자료실기준[[#This Row],[소장처명]]=대출자[소장처명])*(자료실기준[[#This Row],[년월]]=대출자[년월]),0),MATCH(F$1,대출자[#Headers],0)),0)</f>
        <v>3</v>
      </c>
      <c r="G156" s="9">
        <f t="array" ref="G156">IFERROR(INDEX(대출자[],MATCH(1,(자료실기준[[#This Row],[소장처명]]=대출자[소장처명])*(자료실기준[[#This Row],[년월]]=대출자[년월]),0),MATCH(G$1,대출자[#Headers],0)),0)</f>
        <v>4</v>
      </c>
      <c r="H156" s="9">
        <f t="array" ref="H156">IFERROR(INDEX(대출자[],MATCH(1,(자료실기준[[#This Row],[소장처명]]=대출자[소장처명])*(자료실기준[[#This Row],[년월]]=대출자[년월]),0),MATCH(H$1,대출자[#Headers],0)),0)</f>
        <v>5</v>
      </c>
      <c r="I156" s="9">
        <f t="array" ref="I156">IFERROR(INDEX(대출자[],MATCH(1,(자료실기준[[#This Row],[소장처명]]=대출자[소장처명])*(자료실기준[[#This Row],[년월]]=대출자[년월]),0),MATCH(I$1,대출자[#Headers],0)),0)</f>
        <v>52</v>
      </c>
      <c r="J156" s="9">
        <f t="array" ref="J156">IFERROR(INDEX(대출자[],MATCH(1,(자료실기준[[#This Row],[소장처명]]=대출자[소장처명])*(자료실기준[[#This Row],[년월]]=대출자[년월]),0),MATCH(J$1,대출자[#Headers],0)),0)</f>
        <v>121</v>
      </c>
      <c r="K156" s="9">
        <f t="array" ref="K156">IFERROR(INDEX(대출자[],MATCH(1,(자료실기준[[#This Row],[소장처명]]=대출자[소장처명])*(자료실기준[[#This Row],[년월]]=대출자[년월]),0),MATCH(K$1,대출자[#Headers],0)),0)</f>
        <v>5</v>
      </c>
      <c r="L156" s="9">
        <f t="array" ref="L156">IFERROR(INDEX(대출자[],MATCH(1,(자료실기준[[#This Row],[소장처명]]=대출자[소장처명])*(자료실기준[[#This Row],[년월]]=대출자[년월]),0),MATCH(L$1,대출자[#Headers],0)),0)</f>
        <v>9</v>
      </c>
      <c r="M156" s="9">
        <f t="array" ref="M156">IFERROR(INDEX(대출자[],MATCH(1,(자료실기준[[#This Row],[소장처명]]=대출자[소장처명])*(자료실기준[[#This Row],[년월]]=대출자[년월]),0),MATCH(M$1,대출자[#Headers],0)),0)</f>
        <v>173</v>
      </c>
      <c r="N156" s="9">
        <f>IFERROR(자료실기준[[#This Row],[어린이남자]]+자료실기준[[#This Row],[청소년남자]]+자료실기준[[#This Row],[성인남자]],0)</f>
        <v>58</v>
      </c>
      <c r="O156" s="9">
        <f>IFERROR(자료실기준[[#This Row],[어린이여자]]+자료실기준[[#This Row],[청소년여자]]+자료실기준[[#This Row],[성인여자]],0)</f>
        <v>129</v>
      </c>
      <c r="P156" s="9">
        <f>IFERROR(자료실기준[[#This Row],[남자]]+자료실기준[[#This Row],[여자]],0)</f>
        <v>187</v>
      </c>
      <c r="Q156" s="9">
        <f t="array" ref="Q156">IFERROR(INDEX(대출권수[],MATCH(1,(자료실기준[[#This Row],[소장처명]]=대출권수[소장처명])*(대출권수[대출반납]="대출")*(자료실기준[[#This Row],[년월]]=대출권수[년월]),0),MATCH(Q$1,대출권수[#Headers],0)),0)</f>
        <v>17</v>
      </c>
      <c r="R156" s="9">
        <f t="array" ref="R156">IFERROR(INDEX(대출권수[],MATCH(1,(자료실기준[[#This Row],[소장처명]]=대출권수[소장처명])*(대출권수[대출반납]="대출")*(자료실기준[[#This Row],[년월]]=대출권수[년월]),0),MATCH(R$1,대출권수[#Headers],0)),0)</f>
        <v>84</v>
      </c>
      <c r="S156" s="9">
        <f t="array" ref="S156">IFERROR(INDEX(대출권수[],MATCH(1,(자료실기준[[#This Row],[소장처명]]=대출권수[소장처명])*(대출권수[대출반납]="대출")*(자료실기준[[#This Row],[년월]]=대출권수[년월]),0),MATCH(S$1,대출권수[#Headers],0)),0)</f>
        <v>18</v>
      </c>
      <c r="T156" s="9">
        <f t="array" ref="T156">IFERROR(INDEX(대출권수[],MATCH(1,(자료실기준[[#This Row],[소장처명]]=대출권수[소장처명])*(대출권수[대출반납]="대출")*(자료실기준[[#This Row],[년월]]=대출권수[년월]),0),MATCH(T$1,대출권수[#Headers],0)),0)</f>
        <v>77</v>
      </c>
      <c r="U156" s="9">
        <f t="array" ref="U156">IFERROR(INDEX(대출권수[],MATCH(1,(자료실기준[[#This Row],[소장처명]]=대출권수[소장처명])*(대출권수[대출반납]="대출")*(자료실기준[[#This Row],[년월]]=대출권수[년월]),0),MATCH(U$1,대출권수[#Headers],0)),0)</f>
        <v>24</v>
      </c>
      <c r="V156" s="9">
        <f t="array" ref="V156">IFERROR(INDEX(대출권수[],MATCH(1,(자료실기준[[#This Row],[소장처명]]=대출권수[소장처명])*(대출권수[대출반납]="대출")*(자료실기준[[#This Row],[년월]]=대출권수[년월]),0),MATCH(V$1,대출권수[#Headers],0)),0)</f>
        <v>42</v>
      </c>
      <c r="W156" s="9">
        <f t="array" ref="W156">IFERROR(INDEX(대출권수[],MATCH(1,(자료실기준[[#This Row],[소장처명]]=대출권수[소장처명])*(대출권수[대출반납]="대출")*(자료실기준[[#This Row],[년월]]=대출권수[년월]),0),MATCH(W$1,대출권수[#Headers],0)),0)</f>
        <v>21</v>
      </c>
      <c r="X156" s="9">
        <f t="array" ref="X156">IFERROR(INDEX(대출권수[],MATCH(1,(자료실기준[[#This Row],[소장처명]]=대출권수[소장처명])*(대출권수[대출반납]="대출")*(자료실기준[[#This Row],[년월]]=대출권수[년월]),0),MATCH(X$1,대출권수[#Headers],0)),0)</f>
        <v>21</v>
      </c>
      <c r="Y156" s="9">
        <f t="array" ref="Y156">IFERROR(INDEX(대출권수[],MATCH(1,(자료실기준[[#This Row],[소장처명]]=대출권수[소장처명])*(대출권수[대출반납]="대출")*(자료실기준[[#This Row],[년월]]=대출권수[년월]),0),MATCH(Y$1,대출권수[#Headers],0)),0)</f>
        <v>198</v>
      </c>
      <c r="Z156" s="9">
        <f t="array" ref="Z156">IFERROR(INDEX(대출권수[],MATCH(1,(자료실기준[[#This Row],[소장처명]]=대출권수[소장처명])*(대출권수[대출반납]="대출")*(자료실기준[[#This Row],[년월]]=대출권수[년월]),0),MATCH(Z$1,대출권수[#Headers],0)),0)</f>
        <v>21</v>
      </c>
      <c r="AA156" s="9">
        <f>SUM(자료실기준[[#This Row],[총류]:[역사]])</f>
        <v>523</v>
      </c>
    </row>
    <row r="157" spans="1:27" x14ac:dyDescent="0.3">
      <c r="A157" s="5">
        <v>45474</v>
      </c>
      <c r="B157" t="s">
        <v>14</v>
      </c>
      <c r="C157" s="5" t="str">
        <f>TEXT(자료실기준[[#This Row],[년월]],"yy년m월")&amp;자료실기준[[#This Row],[소장처명]]</f>
        <v>24년7월어린이실(신간도서)</v>
      </c>
      <c r="D157" t="str">
        <f>IFERROR(INDEX(자료실범례[],MATCH($B157,자료실범례[소장처명],0),2),"종합자료실")</f>
        <v>어린이자료실</v>
      </c>
      <c r="E157" s="9">
        <f t="array" ref="E157">IFERROR(INDEX(대출자[],MATCH(1,(자료실기준[[#This Row],[소장처명]]=대출자[소장처명])*(자료실기준[[#This Row],[년월]]=대출자[년월]),0),MATCH(E$1,대출자[#Headers],0)),0)</f>
        <v>20</v>
      </c>
      <c r="F157" s="9">
        <f t="array" ref="F157">IFERROR(INDEX(대출자[],MATCH(1,(자료실기준[[#This Row],[소장처명]]=대출자[소장처명])*(자료실기준[[#This Row],[년월]]=대출자[년월]),0),MATCH(F$1,대출자[#Headers],0)),0)</f>
        <v>25</v>
      </c>
      <c r="G157" s="9">
        <f t="array" ref="G157">IFERROR(INDEX(대출자[],MATCH(1,(자료실기준[[#This Row],[소장처명]]=대출자[소장처명])*(자료실기준[[#This Row],[년월]]=대출자[년월]),0),MATCH(G$1,대출자[#Headers],0)),0)</f>
        <v>1</v>
      </c>
      <c r="H157" s="9">
        <f t="array" ref="H157">IFERROR(INDEX(대출자[],MATCH(1,(자료실기준[[#This Row],[소장처명]]=대출자[소장처명])*(자료실기준[[#This Row],[년월]]=대출자[년월]),0),MATCH(H$1,대출자[#Headers],0)),0)</f>
        <v>2</v>
      </c>
      <c r="I157" s="9">
        <f t="array" ref="I157">IFERROR(INDEX(대출자[],MATCH(1,(자료실기준[[#This Row],[소장처명]]=대출자[소장처명])*(자료실기준[[#This Row],[년월]]=대출자[년월]),0),MATCH(I$1,대출자[#Headers],0)),0)</f>
        <v>13</v>
      </c>
      <c r="J157" s="9">
        <f t="array" ref="J157">IFERROR(INDEX(대출자[],MATCH(1,(자료실기준[[#This Row],[소장처명]]=대출자[소장처명])*(자료실기준[[#This Row],[년월]]=대출자[년월]),0),MATCH(J$1,대출자[#Headers],0)),0)</f>
        <v>45</v>
      </c>
      <c r="K157" s="9">
        <f t="array" ref="K157">IFERROR(INDEX(대출자[],MATCH(1,(자료실기준[[#This Row],[소장처명]]=대출자[소장처명])*(자료실기준[[#This Row],[년월]]=대출자[년월]),0),MATCH(K$1,대출자[#Headers],0)),0)</f>
        <v>45</v>
      </c>
      <c r="L157" s="9">
        <f t="array" ref="L157">IFERROR(INDEX(대출자[],MATCH(1,(자료실기준[[#This Row],[소장처명]]=대출자[소장처명])*(자료실기준[[#This Row],[년월]]=대출자[년월]),0),MATCH(L$1,대출자[#Headers],0)),0)</f>
        <v>3</v>
      </c>
      <c r="M157" s="9">
        <f t="array" ref="M157">IFERROR(INDEX(대출자[],MATCH(1,(자료실기준[[#This Row],[소장처명]]=대출자[소장처명])*(자료실기준[[#This Row],[년월]]=대출자[년월]),0),MATCH(M$1,대출자[#Headers],0)),0)</f>
        <v>58</v>
      </c>
      <c r="N157" s="9">
        <f>IFERROR(자료실기준[[#This Row],[어린이남자]]+자료실기준[[#This Row],[청소년남자]]+자료실기준[[#This Row],[성인남자]],0)</f>
        <v>34</v>
      </c>
      <c r="O157" s="9">
        <f>IFERROR(자료실기준[[#This Row],[어린이여자]]+자료실기준[[#This Row],[청소년여자]]+자료실기준[[#This Row],[성인여자]],0)</f>
        <v>72</v>
      </c>
      <c r="P157" s="9">
        <f>IFERROR(자료실기준[[#This Row],[남자]]+자료실기준[[#This Row],[여자]],0)</f>
        <v>106</v>
      </c>
      <c r="Q157" s="9">
        <f t="array" ref="Q157">IFERROR(INDEX(대출권수[],MATCH(1,(자료실기준[[#This Row],[소장처명]]=대출권수[소장처명])*(대출권수[대출반납]="대출")*(자료실기준[[#This Row],[년월]]=대출권수[년월]),0),MATCH(Q$1,대출권수[#Headers],0)),0)</f>
        <v>2</v>
      </c>
      <c r="R157" s="9">
        <f t="array" ref="R157">IFERROR(INDEX(대출권수[],MATCH(1,(자료실기준[[#This Row],[소장처명]]=대출권수[소장처명])*(대출권수[대출반납]="대출")*(자료실기준[[#This Row],[년월]]=대출권수[년월]),0),MATCH(R$1,대출권수[#Headers],0)),0)</f>
        <v>11</v>
      </c>
      <c r="S157" s="9">
        <f t="array" ref="S157">IFERROR(INDEX(대출권수[],MATCH(1,(자료실기준[[#This Row],[소장처명]]=대출권수[소장처명])*(대출권수[대출반납]="대출")*(자료실기준[[#This Row],[년월]]=대출권수[년월]),0),MATCH(S$1,대출권수[#Headers],0)),0)</f>
        <v>4</v>
      </c>
      <c r="T157" s="9">
        <f t="array" ref="T157">IFERROR(INDEX(대출권수[],MATCH(1,(자료실기준[[#This Row],[소장처명]]=대출권수[소장처명])*(대출권수[대출반납]="대출")*(자료실기준[[#This Row],[년월]]=대출권수[년월]),0),MATCH(T$1,대출권수[#Headers],0)),0)</f>
        <v>35</v>
      </c>
      <c r="U157" s="9">
        <f t="array" ref="U157">IFERROR(INDEX(대출권수[],MATCH(1,(자료실기준[[#This Row],[소장처명]]=대출권수[소장처명])*(대출권수[대출반납]="대출")*(자료실기준[[#This Row],[년월]]=대출권수[년월]),0),MATCH(U$1,대출권수[#Headers],0)),0)</f>
        <v>25</v>
      </c>
      <c r="V157" s="9">
        <f t="array" ref="V157">IFERROR(INDEX(대출권수[],MATCH(1,(자료실기준[[#This Row],[소장처명]]=대출권수[소장처명])*(대출권수[대출반납]="대출")*(자료실기준[[#This Row],[년월]]=대출권수[년월]),0),MATCH(V$1,대출권수[#Headers],0)),0)</f>
        <v>7</v>
      </c>
      <c r="W157" s="9">
        <f t="array" ref="W157">IFERROR(INDEX(대출권수[],MATCH(1,(자료실기준[[#This Row],[소장처명]]=대출권수[소장처명])*(대출권수[대출반납]="대출")*(자료실기준[[#This Row],[년월]]=대출권수[년월]),0),MATCH(W$1,대출권수[#Headers],0)),0)</f>
        <v>2</v>
      </c>
      <c r="X157" s="9">
        <f t="array" ref="X157">IFERROR(INDEX(대출권수[],MATCH(1,(자료실기준[[#This Row],[소장처명]]=대출권수[소장처명])*(대출권수[대출반납]="대출")*(자료실기준[[#This Row],[년월]]=대출권수[년월]),0),MATCH(X$1,대출권수[#Headers],0)),0)</f>
        <v>8</v>
      </c>
      <c r="Y157" s="9">
        <f t="array" ref="Y157">IFERROR(INDEX(대출권수[],MATCH(1,(자료실기준[[#This Row],[소장처명]]=대출권수[소장처명])*(대출권수[대출반납]="대출")*(자료실기준[[#This Row],[년월]]=대출권수[년월]),0),MATCH(Y$1,대출권수[#Headers],0)),0)</f>
        <v>170</v>
      </c>
      <c r="Z157" s="9">
        <f t="array" ref="Z157">IFERROR(INDEX(대출권수[],MATCH(1,(자료실기준[[#This Row],[소장처명]]=대출권수[소장처명])*(대출권수[대출반납]="대출")*(자료실기준[[#This Row],[년월]]=대출권수[년월]),0),MATCH(Z$1,대출권수[#Headers],0)),0)</f>
        <v>18</v>
      </c>
      <c r="AA157" s="9">
        <f>SUM(자료실기준[[#This Row],[총류]:[역사]])</f>
        <v>282</v>
      </c>
    </row>
    <row r="158" spans="1:27" x14ac:dyDescent="0.3">
      <c r="A158" s="5">
        <v>45474</v>
      </c>
      <c r="B158" t="s">
        <v>13</v>
      </c>
      <c r="C158" s="5" t="str">
        <f>TEXT(자료실기준[[#This Row],[년월]],"yy년m월")&amp;자료실기준[[#This Row],[소장처명]]</f>
        <v>24년7월어린이실(수상작)</v>
      </c>
      <c r="D158" t="str">
        <f>IFERROR(INDEX(자료실범례[],MATCH($B158,자료실범례[소장처명],0),2),"종합자료실")</f>
        <v>어린이자료실</v>
      </c>
      <c r="E158" s="9">
        <f t="array" ref="E158">IFERROR(INDEX(대출자[],MATCH(1,(자료실기준[[#This Row],[소장처명]]=대출자[소장처명])*(자료실기준[[#This Row],[년월]]=대출자[년월]),0),MATCH(E$1,대출자[#Headers],0)),0)</f>
        <v>1</v>
      </c>
      <c r="F158" s="9">
        <f t="array" ref="F158">IFERROR(INDEX(대출자[],MATCH(1,(자료실기준[[#This Row],[소장처명]]=대출자[소장처명])*(자료실기준[[#This Row],[년월]]=대출자[년월]),0),MATCH(F$1,대출자[#Headers],0)),0)</f>
        <v>1</v>
      </c>
      <c r="G158" s="9">
        <f t="array" ref="G158">IFERROR(INDEX(대출자[],MATCH(1,(자료실기준[[#This Row],[소장처명]]=대출자[소장처명])*(자료실기준[[#This Row],[년월]]=대출자[년월]),0),MATCH(G$1,대출자[#Headers],0)),0)</f>
        <v>0</v>
      </c>
      <c r="H158" s="9">
        <f t="array" ref="H158">IFERROR(INDEX(대출자[],MATCH(1,(자료실기준[[#This Row],[소장처명]]=대출자[소장처명])*(자료실기준[[#This Row],[년월]]=대출자[년월]),0),MATCH(H$1,대출자[#Headers],0)),0)</f>
        <v>0</v>
      </c>
      <c r="I158" s="9">
        <f t="array" ref="I158">IFERROR(INDEX(대출자[],MATCH(1,(자료실기준[[#This Row],[소장처명]]=대출자[소장처명])*(자료실기준[[#This Row],[년월]]=대출자[년월]),0),MATCH(I$1,대출자[#Headers],0)),0)</f>
        <v>2</v>
      </c>
      <c r="J158" s="9">
        <f t="array" ref="J158">IFERROR(INDEX(대출자[],MATCH(1,(자료실기준[[#This Row],[소장처명]]=대출자[소장처명])*(자료실기준[[#This Row],[년월]]=대출자[년월]),0),MATCH(J$1,대출자[#Headers],0)),0)</f>
        <v>2</v>
      </c>
      <c r="K158" s="9">
        <f t="array" ref="K158">IFERROR(INDEX(대출자[],MATCH(1,(자료실기준[[#This Row],[소장처명]]=대출자[소장처명])*(자료실기준[[#This Row],[년월]]=대출자[년월]),0),MATCH(K$1,대출자[#Headers],0)),0)</f>
        <v>2</v>
      </c>
      <c r="L158" s="9">
        <f t="array" ref="L158">IFERROR(INDEX(대출자[],MATCH(1,(자료실기준[[#This Row],[소장처명]]=대출자[소장처명])*(자료실기준[[#This Row],[년월]]=대출자[년월]),0),MATCH(L$1,대출자[#Headers],0)),0)</f>
        <v>0</v>
      </c>
      <c r="M158" s="9">
        <f t="array" ref="M158">IFERROR(INDEX(대출자[],MATCH(1,(자료실기준[[#This Row],[소장처명]]=대출자[소장처명])*(자료실기준[[#This Row],[년월]]=대출자[년월]),0),MATCH(M$1,대출자[#Headers],0)),0)</f>
        <v>4</v>
      </c>
      <c r="N158" s="9">
        <f>IFERROR(자료실기준[[#This Row],[어린이남자]]+자료실기준[[#This Row],[청소년남자]]+자료실기준[[#This Row],[성인남자]],0)</f>
        <v>3</v>
      </c>
      <c r="O158" s="9">
        <f>IFERROR(자료실기준[[#This Row],[어린이여자]]+자료실기준[[#This Row],[청소년여자]]+자료실기준[[#This Row],[성인여자]],0)</f>
        <v>3</v>
      </c>
      <c r="P158" s="9">
        <f>IFERROR(자료실기준[[#This Row],[남자]]+자료실기준[[#This Row],[여자]],0)</f>
        <v>6</v>
      </c>
      <c r="Q158" s="9">
        <f t="array" ref="Q158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58" s="9">
        <f t="array" ref="R158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58" s="9">
        <f t="array" ref="S158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58" s="9">
        <f t="array" ref="T158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58" s="9">
        <f t="array" ref="U158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58" s="9">
        <f t="array" ref="V158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58" s="9">
        <f t="array" ref="W158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58" s="9">
        <f t="array" ref="X158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58" s="9">
        <f t="array" ref="Y158">IFERROR(INDEX(대출권수[],MATCH(1,(자료실기준[[#This Row],[소장처명]]=대출권수[소장처명])*(대출권수[대출반납]="대출")*(자료실기준[[#This Row],[년월]]=대출권수[년월]),0),MATCH(Y$1,대출권수[#Headers],0)),0)</f>
        <v>8</v>
      </c>
      <c r="Z158" s="9">
        <f t="array" ref="Z158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58" s="9">
        <f>SUM(자료실기준[[#This Row],[총류]:[역사]])</f>
        <v>8</v>
      </c>
    </row>
    <row r="159" spans="1:27" x14ac:dyDescent="0.3">
      <c r="A159" s="5">
        <v>45474</v>
      </c>
      <c r="B159" t="s">
        <v>15</v>
      </c>
      <c r="C159" s="5" t="str">
        <f>TEXT(자료실기준[[#This Row],[년월]],"yy년m월")&amp;자료실기준[[#This Row],[소장처명]]</f>
        <v>24년7월어린이실(학습만화)</v>
      </c>
      <c r="D159" t="str">
        <f>IFERROR(INDEX(자료실범례[],MATCH($B159,자료실범례[소장처명],0),2),"종합자료실")</f>
        <v>어린이자료실</v>
      </c>
      <c r="E159" s="9">
        <f t="array" ref="E159">IFERROR(INDEX(대출자[],MATCH(1,(자료실기준[[#This Row],[소장처명]]=대출자[소장처명])*(자료실기준[[#This Row],[년월]]=대출자[년월]),0),MATCH(E$1,대출자[#Headers],0)),0)</f>
        <v>26</v>
      </c>
      <c r="F159" s="9">
        <f t="array" ref="F159">IFERROR(INDEX(대출자[],MATCH(1,(자료실기준[[#This Row],[소장처명]]=대출자[소장처명])*(자료실기준[[#This Row],[년월]]=대출자[년월]),0),MATCH(F$1,대출자[#Headers],0)),0)</f>
        <v>22</v>
      </c>
      <c r="G159" s="9">
        <f t="array" ref="G159">IFERROR(INDEX(대출자[],MATCH(1,(자료실기준[[#This Row],[소장처명]]=대출자[소장처명])*(자료실기준[[#This Row],[년월]]=대출자[년월]),0),MATCH(G$1,대출자[#Headers],0)),0)</f>
        <v>1</v>
      </c>
      <c r="H159" s="9">
        <f t="array" ref="H159">IFERROR(INDEX(대출자[],MATCH(1,(자료실기준[[#This Row],[소장처명]]=대출자[소장처명])*(자료실기준[[#This Row],[년월]]=대출자[년월]),0),MATCH(H$1,대출자[#Headers],0)),0)</f>
        <v>4</v>
      </c>
      <c r="I159" s="9">
        <f t="array" ref="I159">IFERROR(INDEX(대출자[],MATCH(1,(자료실기준[[#This Row],[소장처명]]=대출자[소장처명])*(자료실기준[[#This Row],[년월]]=대출자[년월]),0),MATCH(I$1,대출자[#Headers],0)),0)</f>
        <v>15</v>
      </c>
      <c r="J159" s="9">
        <f t="array" ref="J159">IFERROR(INDEX(대출자[],MATCH(1,(자료실기준[[#This Row],[소장처명]]=대출자[소장처명])*(자료실기준[[#This Row],[년월]]=대출자[년월]),0),MATCH(J$1,대출자[#Headers],0)),0)</f>
        <v>35</v>
      </c>
      <c r="K159" s="9">
        <f t="array" ref="K159">IFERROR(INDEX(대출자[],MATCH(1,(자료실기준[[#This Row],[소장처명]]=대출자[소장처명])*(자료실기준[[#This Row],[년월]]=대출자[년월]),0),MATCH(K$1,대출자[#Headers],0)),0)</f>
        <v>48</v>
      </c>
      <c r="L159" s="9">
        <f t="array" ref="L159">IFERROR(INDEX(대출자[],MATCH(1,(자료실기준[[#This Row],[소장처명]]=대출자[소장처명])*(자료실기준[[#This Row],[년월]]=대출자[년월]),0),MATCH(L$1,대출자[#Headers],0)),0)</f>
        <v>5</v>
      </c>
      <c r="M159" s="9">
        <f t="array" ref="M159">IFERROR(INDEX(대출자[],MATCH(1,(자료실기준[[#This Row],[소장처명]]=대출자[소장처명])*(자료실기준[[#This Row],[년월]]=대출자[년월]),0),MATCH(M$1,대출자[#Headers],0)),0)</f>
        <v>50</v>
      </c>
      <c r="N159" s="9">
        <f>IFERROR(자료실기준[[#This Row],[어린이남자]]+자료실기준[[#This Row],[청소년남자]]+자료실기준[[#This Row],[성인남자]],0)</f>
        <v>42</v>
      </c>
      <c r="O159" s="9">
        <f>IFERROR(자료실기준[[#This Row],[어린이여자]]+자료실기준[[#This Row],[청소년여자]]+자료실기준[[#This Row],[성인여자]],0)</f>
        <v>61</v>
      </c>
      <c r="P159" s="9">
        <f>IFERROR(자료실기준[[#This Row],[남자]]+자료실기준[[#This Row],[여자]],0)</f>
        <v>103</v>
      </c>
      <c r="Q159" s="9">
        <f t="array" ref="Q159">IFERROR(INDEX(대출권수[],MATCH(1,(자료실기준[[#This Row],[소장처명]]=대출권수[소장처명])*(대출권수[대출반납]="대출")*(자료실기준[[#This Row],[년월]]=대출권수[년월]),0),MATCH(Q$1,대출권수[#Headers],0)),0)</f>
        <v>5</v>
      </c>
      <c r="R159" s="9">
        <f t="array" ref="R159">IFERROR(INDEX(대출권수[],MATCH(1,(자료실기준[[#This Row],[소장처명]]=대출권수[소장처명])*(대출권수[대출반납]="대출")*(자료실기준[[#This Row],[년월]]=대출권수[년월]),0),MATCH(R$1,대출권수[#Headers],0)),0)</f>
        <v>3</v>
      </c>
      <c r="S159" s="9">
        <f t="array" ref="S159">IFERROR(INDEX(대출권수[],MATCH(1,(자료실기준[[#This Row],[소장처명]]=대출권수[소장처명])*(대출권수[대출반납]="대출")*(자료실기준[[#This Row],[년월]]=대출권수[년월]),0),MATCH(S$1,대출권수[#Headers],0)),0)</f>
        <v>21</v>
      </c>
      <c r="T159" s="9">
        <f t="array" ref="T159">IFERROR(INDEX(대출권수[],MATCH(1,(자료실기준[[#This Row],[소장처명]]=대출권수[소장처명])*(대출권수[대출반납]="대출")*(자료실기준[[#This Row],[년월]]=대출권수[년월]),0),MATCH(T$1,대출권수[#Headers],0)),0)</f>
        <v>2</v>
      </c>
      <c r="U159" s="9">
        <f t="array" ref="U159">IFERROR(INDEX(대출권수[],MATCH(1,(자료실기준[[#This Row],[소장처명]]=대출권수[소장처명])*(대출권수[대출반납]="대출")*(자료실기준[[#This Row],[년월]]=대출권수[년월]),0),MATCH(U$1,대출권수[#Headers],0)),0)</f>
        <v>185</v>
      </c>
      <c r="V159" s="9">
        <f t="array" ref="V159">IFERROR(INDEX(대출권수[],MATCH(1,(자료실기준[[#This Row],[소장처명]]=대출권수[소장처명])*(대출권수[대출반납]="대출")*(자료실기준[[#This Row],[년월]]=대출권수[년월]),0),MATCH(V$1,대출권수[#Headers],0)),0)</f>
        <v>19</v>
      </c>
      <c r="W159" s="9">
        <f t="array" ref="W159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59" s="9">
        <f t="array" ref="X159">IFERROR(INDEX(대출권수[],MATCH(1,(자료실기준[[#This Row],[소장처명]]=대출권수[소장처명])*(대출권수[대출반납]="대출")*(자료실기준[[#This Row],[년월]]=대출권수[년월]),0),MATCH(X$1,대출권수[#Headers],0)),0)</f>
        <v>61</v>
      </c>
      <c r="Y159" s="9">
        <f t="array" ref="Y159">IFERROR(INDEX(대출권수[],MATCH(1,(자료실기준[[#This Row],[소장처명]]=대출권수[소장처명])*(대출권수[대출반납]="대출")*(자료실기준[[#This Row],[년월]]=대출권수[년월]),0),MATCH(Y$1,대출권수[#Headers],0)),0)</f>
        <v>24</v>
      </c>
      <c r="Z159" s="9">
        <f t="array" ref="Z159">IFERROR(INDEX(대출권수[],MATCH(1,(자료실기준[[#This Row],[소장처명]]=대출권수[소장처명])*(대출권수[대출반납]="대출")*(자료실기준[[#This Row],[년월]]=대출권수[년월]),0),MATCH(Z$1,대출권수[#Headers],0)),0)</f>
        <v>117</v>
      </c>
      <c r="AA159" s="9">
        <f>SUM(자료실기준[[#This Row],[총류]:[역사]])</f>
        <v>437</v>
      </c>
    </row>
    <row r="160" spans="1:27" x14ac:dyDescent="0.3">
      <c r="A160" s="5">
        <v>45474</v>
      </c>
      <c r="B160" t="s">
        <v>20</v>
      </c>
      <c r="C160" s="5" t="str">
        <f>TEXT(자료실기준[[#This Row],[년월]],"yy년m월")&amp;자료실기준[[#This Row],[소장처명]]</f>
        <v>24년7월종합실(청소년 진로)</v>
      </c>
      <c r="D160" t="str">
        <f>IFERROR(INDEX(자료실범례[],MATCH($B160,자료실범례[소장처명],0),2),"종합자료실")</f>
        <v>종합자료실</v>
      </c>
      <c r="E160" s="9">
        <f t="array" ref="E160">IFERROR(INDEX(대출자[],MATCH(1,(자료실기준[[#This Row],[소장처명]]=대출자[소장처명])*(자료실기준[[#This Row],[년월]]=대출자[년월]),0),MATCH(E$1,대출자[#Headers],0)),0)</f>
        <v>0</v>
      </c>
      <c r="F160" s="9">
        <f t="array" ref="F160">IFERROR(INDEX(대출자[],MATCH(1,(자료실기준[[#This Row],[소장처명]]=대출자[소장처명])*(자료실기준[[#This Row],[년월]]=대출자[년월]),0),MATCH(F$1,대출자[#Headers],0)),0)</f>
        <v>0</v>
      </c>
      <c r="G160" s="9">
        <f t="array" ref="G160">IFERROR(INDEX(대출자[],MATCH(1,(자료실기준[[#This Row],[소장처명]]=대출자[소장처명])*(자료실기준[[#This Row],[년월]]=대출자[년월]),0),MATCH(G$1,대출자[#Headers],0)),0)</f>
        <v>0</v>
      </c>
      <c r="H160" s="9">
        <f t="array" ref="H160">IFERROR(INDEX(대출자[],MATCH(1,(자료실기준[[#This Row],[소장처명]]=대출자[소장처명])*(자료실기준[[#This Row],[년월]]=대출자[년월]),0),MATCH(H$1,대출자[#Headers],0)),0)</f>
        <v>0</v>
      </c>
      <c r="I160" s="9">
        <f t="array" ref="I160">IFERROR(INDEX(대출자[],MATCH(1,(자료실기준[[#This Row],[소장처명]]=대출자[소장처명])*(자료실기준[[#This Row],[년월]]=대출자[년월]),0),MATCH(I$1,대출자[#Headers],0)),0)</f>
        <v>0</v>
      </c>
      <c r="J160" s="9">
        <f t="array" ref="J160">IFERROR(INDEX(대출자[],MATCH(1,(자료실기준[[#This Row],[소장처명]]=대출자[소장처명])*(자료실기준[[#This Row],[년월]]=대출자[년월]),0),MATCH(J$1,대출자[#Headers],0)),0)</f>
        <v>1</v>
      </c>
      <c r="K160" s="9">
        <f t="array" ref="K160">IFERROR(INDEX(대출자[],MATCH(1,(자료실기준[[#This Row],[소장처명]]=대출자[소장처명])*(자료실기준[[#This Row],[년월]]=대출자[년월]),0),MATCH(K$1,대출자[#Headers],0)),0)</f>
        <v>0</v>
      </c>
      <c r="L160" s="9">
        <f t="array" ref="L160">IFERROR(INDEX(대출자[],MATCH(1,(자료실기준[[#This Row],[소장처명]]=대출자[소장처명])*(자료실기준[[#This Row],[년월]]=대출자[년월]),0),MATCH(L$1,대출자[#Headers],0)),0)</f>
        <v>0</v>
      </c>
      <c r="M160" s="9">
        <f t="array" ref="M160">IFERROR(INDEX(대출자[],MATCH(1,(자료실기준[[#This Row],[소장처명]]=대출자[소장처명])*(자료실기준[[#This Row],[년월]]=대출자[년월]),0),MATCH(M$1,대출자[#Headers],0)),0)</f>
        <v>1</v>
      </c>
      <c r="N160" s="9">
        <f>IFERROR(자료실기준[[#This Row],[어린이남자]]+자료실기준[[#This Row],[청소년남자]]+자료실기준[[#This Row],[성인남자]],0)</f>
        <v>0</v>
      </c>
      <c r="O160" s="9">
        <f>IFERROR(자료실기준[[#This Row],[어린이여자]]+자료실기준[[#This Row],[청소년여자]]+자료실기준[[#This Row],[성인여자]],0)</f>
        <v>1</v>
      </c>
      <c r="P160" s="9">
        <f>IFERROR(자료실기준[[#This Row],[남자]]+자료실기준[[#This Row],[여자]],0)</f>
        <v>1</v>
      </c>
      <c r="Q160" s="9">
        <f t="array" ref="Q160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60" s="9">
        <f t="array" ref="R160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60" s="9">
        <f t="array" ref="S160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60" s="9">
        <f t="array" ref="T160">IFERROR(INDEX(대출권수[],MATCH(1,(자료실기준[[#This Row],[소장처명]]=대출권수[소장처명])*(대출권수[대출반납]="대출")*(자료실기준[[#This Row],[년월]]=대출권수[년월]),0),MATCH(T$1,대출권수[#Headers],0)),0)</f>
        <v>1</v>
      </c>
      <c r="U160" s="9">
        <f t="array" ref="U160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60" s="9">
        <f t="array" ref="V160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60" s="9">
        <f t="array" ref="W160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60" s="9">
        <f t="array" ref="X160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60" s="9">
        <f t="array" ref="Y160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160" s="9">
        <f t="array" ref="Z160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60" s="9">
        <f>SUM(자료실기준[[#This Row],[총류]:[역사]])</f>
        <v>1</v>
      </c>
    </row>
    <row r="161" spans="1:27" x14ac:dyDescent="0.3">
      <c r="A161" s="5">
        <v>45474</v>
      </c>
      <c r="B161" t="s">
        <v>3</v>
      </c>
      <c r="C161" s="5" t="str">
        <f>TEXT(자료실기준[[#This Row],[년월]],"yy년m월")&amp;자료실기준[[#This Row],[소장처명]]</f>
        <v>24년7월별관 서고(디지털자료실)</v>
      </c>
      <c r="D161" t="str">
        <f>IFERROR(INDEX(자료실범례[],MATCH($B161,자료실범례[소장처명],0),2),"종합자료실")</f>
        <v>디지털자료실</v>
      </c>
      <c r="E161" s="9">
        <f t="array" ref="E161">IFERROR(INDEX(대출자[],MATCH(1,(자료실기준[[#This Row],[소장처명]]=대출자[소장처명])*(자료실기준[[#This Row],[년월]]=대출자[년월]),0),MATCH(E$1,대출자[#Headers],0)),0)</f>
        <v>0</v>
      </c>
      <c r="F161" s="9">
        <f t="array" ref="F161">IFERROR(INDEX(대출자[],MATCH(1,(자료실기준[[#This Row],[소장처명]]=대출자[소장처명])*(자료실기준[[#This Row],[년월]]=대출자[년월]),0),MATCH(F$1,대출자[#Headers],0)),0)</f>
        <v>0</v>
      </c>
      <c r="G161" s="9">
        <f t="array" ref="G161">IFERROR(INDEX(대출자[],MATCH(1,(자료실기준[[#This Row],[소장처명]]=대출자[소장처명])*(자료실기준[[#This Row],[년월]]=대출자[년월]),0),MATCH(G$1,대출자[#Headers],0)),0)</f>
        <v>0</v>
      </c>
      <c r="H161" s="9">
        <f t="array" ref="H161">IFERROR(INDEX(대출자[],MATCH(1,(자료실기준[[#This Row],[소장처명]]=대출자[소장처명])*(자료실기준[[#This Row],[년월]]=대출자[년월]),0),MATCH(H$1,대출자[#Headers],0)),0)</f>
        <v>0</v>
      </c>
      <c r="I161" s="9">
        <f t="array" ref="I161">IFERROR(INDEX(대출자[],MATCH(1,(자료실기준[[#This Row],[소장처명]]=대출자[소장처명])*(자료실기준[[#This Row],[년월]]=대출자[년월]),0),MATCH(I$1,대출자[#Headers],0)),0)</f>
        <v>0</v>
      </c>
      <c r="J161" s="9">
        <f t="array" ref="J161">IFERROR(INDEX(대출자[],MATCH(1,(자료실기준[[#This Row],[소장처명]]=대출자[소장처명])*(자료실기준[[#This Row],[년월]]=대출자[년월]),0),MATCH(J$1,대출자[#Headers],0)),0)</f>
        <v>0</v>
      </c>
      <c r="K161" s="9">
        <f t="array" ref="K161">IFERROR(INDEX(대출자[],MATCH(1,(자료실기준[[#This Row],[소장처명]]=대출자[소장처명])*(자료실기준[[#This Row],[년월]]=대출자[년월]),0),MATCH(K$1,대출자[#Headers],0)),0)</f>
        <v>0</v>
      </c>
      <c r="L161" s="9">
        <f t="array" ref="L161">IFERROR(INDEX(대출자[],MATCH(1,(자료실기준[[#This Row],[소장처명]]=대출자[소장처명])*(자료실기준[[#This Row],[년월]]=대출자[년월]),0),MATCH(L$1,대출자[#Headers],0)),0)</f>
        <v>0</v>
      </c>
      <c r="M161" s="9">
        <f t="array" ref="M161">IFERROR(INDEX(대출자[],MATCH(1,(자료실기준[[#This Row],[소장처명]]=대출자[소장처명])*(자료실기준[[#This Row],[년월]]=대출자[년월]),0),MATCH(M$1,대출자[#Headers],0)),0)</f>
        <v>0</v>
      </c>
      <c r="N161" s="9">
        <f>IFERROR(자료실기준[[#This Row],[어린이남자]]+자료실기준[[#This Row],[청소년남자]]+자료실기준[[#This Row],[성인남자]],0)</f>
        <v>0</v>
      </c>
      <c r="O161" s="9">
        <f>IFERROR(자료실기준[[#This Row],[어린이여자]]+자료실기준[[#This Row],[청소년여자]]+자료실기준[[#This Row],[성인여자]],0)</f>
        <v>0</v>
      </c>
      <c r="P161" s="9">
        <f>IFERROR(자료실기준[[#This Row],[남자]]+자료실기준[[#This Row],[여자]],0)</f>
        <v>0</v>
      </c>
      <c r="Q161" s="9">
        <f t="array" ref="Q161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61" s="9">
        <f t="array" ref="R161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61" s="9">
        <f t="array" ref="S161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61" s="9">
        <f t="array" ref="T161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61" s="9">
        <f t="array" ref="U161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61" s="9">
        <f t="array" ref="V161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61" s="9">
        <f t="array" ref="W161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61" s="9">
        <f t="array" ref="X161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61" s="9">
        <f t="array" ref="Y161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161" s="9">
        <f t="array" ref="Z161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61" s="9">
        <f>SUM(자료실기준[[#This Row],[총류]:[역사]])</f>
        <v>0</v>
      </c>
    </row>
    <row r="162" spans="1:27" x14ac:dyDescent="0.3">
      <c r="A162" s="5">
        <v>45474</v>
      </c>
      <c r="B162" t="s">
        <v>4</v>
      </c>
      <c r="C162" s="5" t="str">
        <f>TEXT(자료실기준[[#This Row],[년월]],"yy년m월")&amp;자료실기준[[#This Row],[소장처명]]</f>
        <v>24년7월별관 서고(어린이자료실)</v>
      </c>
      <c r="D162" t="str">
        <f>IFERROR(INDEX(자료실범례[],MATCH($B162,자료실범례[소장처명],0),2),"종합자료실")</f>
        <v>어린이자료실</v>
      </c>
      <c r="E162" s="9">
        <f t="array" ref="E162">IFERROR(INDEX(대출자[],MATCH(1,(자료실기준[[#This Row],[소장처명]]=대출자[소장처명])*(자료실기준[[#This Row],[년월]]=대출자[년월]),0),MATCH(E$1,대출자[#Headers],0)),0)</f>
        <v>2</v>
      </c>
      <c r="F162" s="9">
        <f t="array" ref="F162">IFERROR(INDEX(대출자[],MATCH(1,(자료실기준[[#This Row],[소장처명]]=대출자[소장처명])*(자료실기준[[#This Row],[년월]]=대출자[년월]),0),MATCH(F$1,대출자[#Headers],0)),0)</f>
        <v>1</v>
      </c>
      <c r="G162" s="9">
        <f t="array" ref="G162">IFERROR(INDEX(대출자[],MATCH(1,(자료실기준[[#This Row],[소장처명]]=대출자[소장처명])*(자료실기준[[#This Row],[년월]]=대출자[년월]),0),MATCH(G$1,대출자[#Headers],0)),0)</f>
        <v>0</v>
      </c>
      <c r="H162" s="9">
        <f t="array" ref="H162">IFERROR(INDEX(대출자[],MATCH(1,(자료실기준[[#This Row],[소장처명]]=대출자[소장처명])*(자료실기준[[#This Row],[년월]]=대출자[년월]),0),MATCH(H$1,대출자[#Headers],0)),0)</f>
        <v>0</v>
      </c>
      <c r="I162" s="9">
        <f t="array" ref="I162">IFERROR(INDEX(대출자[],MATCH(1,(자료실기준[[#This Row],[소장처명]]=대출자[소장처명])*(자료실기준[[#This Row],[년월]]=대출자[년월]),0),MATCH(I$1,대출자[#Headers],0)),0)</f>
        <v>0</v>
      </c>
      <c r="J162" s="9">
        <f t="array" ref="J162">IFERROR(INDEX(대출자[],MATCH(1,(자료실기준[[#This Row],[소장처명]]=대출자[소장처명])*(자료실기준[[#This Row],[년월]]=대출자[년월]),0),MATCH(J$1,대출자[#Headers],0)),0)</f>
        <v>4</v>
      </c>
      <c r="K162" s="9">
        <f t="array" ref="K162">IFERROR(INDEX(대출자[],MATCH(1,(자료실기준[[#This Row],[소장처명]]=대출자[소장처명])*(자료실기준[[#This Row],[년월]]=대출자[년월]),0),MATCH(K$1,대출자[#Headers],0)),0)</f>
        <v>3</v>
      </c>
      <c r="L162" s="9">
        <f t="array" ref="L162">IFERROR(INDEX(대출자[],MATCH(1,(자료실기준[[#This Row],[소장처명]]=대출자[소장처명])*(자료실기준[[#This Row],[년월]]=대출자[년월]),0),MATCH(L$1,대출자[#Headers],0)),0)</f>
        <v>0</v>
      </c>
      <c r="M162" s="9">
        <f t="array" ref="M162">IFERROR(INDEX(대출자[],MATCH(1,(자료실기준[[#This Row],[소장처명]]=대출자[소장처명])*(자료실기준[[#This Row],[년월]]=대출자[년월]),0),MATCH(M$1,대출자[#Headers],0)),0)</f>
        <v>4</v>
      </c>
      <c r="N162" s="9">
        <f>IFERROR(자료실기준[[#This Row],[어린이남자]]+자료실기준[[#This Row],[청소년남자]]+자료실기준[[#This Row],[성인남자]],0)</f>
        <v>2</v>
      </c>
      <c r="O162" s="9">
        <f>IFERROR(자료실기준[[#This Row],[어린이여자]]+자료실기준[[#This Row],[청소년여자]]+자료실기준[[#This Row],[성인여자]],0)</f>
        <v>5</v>
      </c>
      <c r="P162" s="9">
        <f>IFERROR(자료실기준[[#This Row],[남자]]+자료실기준[[#This Row],[여자]],0)</f>
        <v>7</v>
      </c>
      <c r="Q162" s="9">
        <f t="array" ref="Q162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62" s="9">
        <f t="array" ref="R162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62" s="9">
        <f t="array" ref="S162">IFERROR(INDEX(대출권수[],MATCH(1,(자료실기준[[#This Row],[소장처명]]=대출권수[소장처명])*(대출권수[대출반납]="대출")*(자료실기준[[#This Row],[년월]]=대출권수[년월]),0),MATCH(S$1,대출권수[#Headers],0)),0)</f>
        <v>1</v>
      </c>
      <c r="T162" s="9">
        <f t="array" ref="T162">IFERROR(INDEX(대출권수[],MATCH(1,(자료실기준[[#This Row],[소장처명]]=대출권수[소장처명])*(대출권수[대출반납]="대출")*(자료실기준[[#This Row],[년월]]=대출권수[년월]),0),MATCH(T$1,대출권수[#Headers],0)),0)</f>
        <v>1</v>
      </c>
      <c r="U162" s="9">
        <f t="array" ref="U162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62" s="9">
        <f t="array" ref="V162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62" s="9">
        <f t="array" ref="W162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62" s="9">
        <f t="array" ref="X162">IFERROR(INDEX(대출권수[],MATCH(1,(자료실기준[[#This Row],[소장처명]]=대출권수[소장처명])*(대출권수[대출반납]="대출")*(자료실기준[[#This Row],[년월]]=대출권수[년월]),0),MATCH(X$1,대출권수[#Headers],0)),0)</f>
        <v>1</v>
      </c>
      <c r="Y162" s="9">
        <f t="array" ref="Y162">IFERROR(INDEX(대출권수[],MATCH(1,(자료실기준[[#This Row],[소장처명]]=대출권수[소장처명])*(대출권수[대출반납]="대출")*(자료실기준[[#This Row],[년월]]=대출권수[년월]),0),MATCH(Y$1,대출권수[#Headers],0)),0)</f>
        <v>4</v>
      </c>
      <c r="Z162" s="9">
        <f t="array" ref="Z162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62" s="9">
        <f>SUM(자료실기준[[#This Row],[총류]:[역사]])</f>
        <v>7</v>
      </c>
    </row>
    <row r="163" spans="1:27" x14ac:dyDescent="0.3">
      <c r="A163" s="5">
        <v>45474</v>
      </c>
      <c r="B163" t="s">
        <v>5</v>
      </c>
      <c r="C163" s="5" t="str">
        <f>TEXT(자료실기준[[#This Row],[년월]],"yy년m월")&amp;자료실기준[[#This Row],[소장처명]]</f>
        <v>24년7월별관 서고(종합자료실)</v>
      </c>
      <c r="D163" t="str">
        <f>IFERROR(INDEX(자료실범례[],MATCH($B163,자료실범례[소장처명],0),2),"종합자료실")</f>
        <v>종합자료실</v>
      </c>
      <c r="E163" s="9">
        <f t="array" ref="E163">IFERROR(INDEX(대출자[],MATCH(1,(자료실기준[[#This Row],[소장처명]]=대출자[소장처명])*(자료실기준[[#This Row],[년월]]=대출자[년월]),0),MATCH(E$1,대출자[#Headers],0)),0)</f>
        <v>1</v>
      </c>
      <c r="F163" s="9">
        <f t="array" ref="F163">IFERROR(INDEX(대출자[],MATCH(1,(자료실기준[[#This Row],[소장처명]]=대출자[소장처명])*(자료실기준[[#This Row],[년월]]=대출자[년월]),0),MATCH(F$1,대출자[#Headers],0)),0)</f>
        <v>1</v>
      </c>
      <c r="G163" s="9">
        <f t="array" ref="G163">IFERROR(INDEX(대출자[],MATCH(1,(자료실기준[[#This Row],[소장처명]]=대출자[소장처명])*(자료실기준[[#This Row],[년월]]=대출자[년월]),0),MATCH(G$1,대출자[#Headers],0)),0)</f>
        <v>1</v>
      </c>
      <c r="H163" s="9">
        <f t="array" ref="H163">IFERROR(INDEX(대출자[],MATCH(1,(자료실기준[[#This Row],[소장처명]]=대출자[소장처명])*(자료실기준[[#This Row],[년월]]=대출자[년월]),0),MATCH(H$1,대출자[#Headers],0)),0)</f>
        <v>1</v>
      </c>
      <c r="I163" s="9">
        <f t="array" ref="I163">IFERROR(INDEX(대출자[],MATCH(1,(자료실기준[[#This Row],[소장처명]]=대출자[소장처명])*(자료실기준[[#This Row],[년월]]=대출자[년월]),0),MATCH(I$1,대출자[#Headers],0)),0)</f>
        <v>6</v>
      </c>
      <c r="J163" s="9">
        <f t="array" ref="J163">IFERROR(INDEX(대출자[],MATCH(1,(자료실기준[[#This Row],[소장처명]]=대출자[소장처명])*(자료실기준[[#This Row],[년월]]=대출자[년월]),0),MATCH(J$1,대출자[#Headers],0)),0)</f>
        <v>20</v>
      </c>
      <c r="K163" s="9">
        <f t="array" ref="K163">IFERROR(INDEX(대출자[],MATCH(1,(자료실기준[[#This Row],[소장처명]]=대출자[소장처명])*(자료실기준[[#This Row],[년월]]=대출자[년월]),0),MATCH(K$1,대출자[#Headers],0)),0)</f>
        <v>2</v>
      </c>
      <c r="L163" s="9">
        <f t="array" ref="L163">IFERROR(INDEX(대출자[],MATCH(1,(자료실기준[[#This Row],[소장처명]]=대출자[소장처명])*(자료실기준[[#This Row],[년월]]=대출자[년월]),0),MATCH(L$1,대출자[#Headers],0)),0)</f>
        <v>2</v>
      </c>
      <c r="M163" s="9">
        <f t="array" ref="M163">IFERROR(INDEX(대출자[],MATCH(1,(자료실기준[[#This Row],[소장처명]]=대출자[소장처명])*(자료실기준[[#This Row],[년월]]=대출자[년월]),0),MATCH(M$1,대출자[#Headers],0)),0)</f>
        <v>26</v>
      </c>
      <c r="N163" s="9">
        <f>IFERROR(자료실기준[[#This Row],[어린이남자]]+자료실기준[[#This Row],[청소년남자]]+자료실기준[[#This Row],[성인남자]],0)</f>
        <v>8</v>
      </c>
      <c r="O163" s="9">
        <f>IFERROR(자료실기준[[#This Row],[어린이여자]]+자료실기준[[#This Row],[청소년여자]]+자료실기준[[#This Row],[성인여자]],0)</f>
        <v>22</v>
      </c>
      <c r="P163" s="9">
        <f>IFERROR(자료실기준[[#This Row],[남자]]+자료실기준[[#This Row],[여자]],0)</f>
        <v>30</v>
      </c>
      <c r="Q163" s="9">
        <f t="array" ref="Q163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63" s="9">
        <f t="array" ref="R163">IFERROR(INDEX(대출권수[],MATCH(1,(자료실기준[[#This Row],[소장처명]]=대출권수[소장처명])*(대출권수[대출반납]="대출")*(자료실기준[[#This Row],[년월]]=대출권수[년월]),0),MATCH(R$1,대출권수[#Headers],0)),0)</f>
        <v>7</v>
      </c>
      <c r="S163" s="9">
        <f t="array" ref="S163">IFERROR(INDEX(대출권수[],MATCH(1,(자료실기준[[#This Row],[소장처명]]=대출권수[소장처명])*(대출권수[대출반납]="대출")*(자료실기준[[#This Row],[년월]]=대출권수[년월]),0),MATCH(S$1,대출권수[#Headers],0)),0)</f>
        <v>1</v>
      </c>
      <c r="T163" s="9">
        <f t="array" ref="T163">IFERROR(INDEX(대출권수[],MATCH(1,(자료실기준[[#This Row],[소장처명]]=대출권수[소장처명])*(대출권수[대출반납]="대출")*(자료실기준[[#This Row],[년월]]=대출권수[년월]),0),MATCH(T$1,대출권수[#Headers],0)),0)</f>
        <v>4</v>
      </c>
      <c r="U163" s="9">
        <f t="array" ref="U163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63" s="9">
        <f t="array" ref="V163">IFERROR(INDEX(대출권수[],MATCH(1,(자료실기준[[#This Row],[소장처명]]=대출권수[소장처명])*(대출권수[대출반납]="대출")*(자료실기준[[#This Row],[년월]]=대출권수[년월]),0),MATCH(V$1,대출권수[#Headers],0)),0)</f>
        <v>4</v>
      </c>
      <c r="W163" s="9">
        <f t="array" ref="W163">IFERROR(INDEX(대출권수[],MATCH(1,(자료실기준[[#This Row],[소장처명]]=대출권수[소장처명])*(대출권수[대출반납]="대출")*(자료실기준[[#This Row],[년월]]=대출권수[년월]),0),MATCH(W$1,대출권수[#Headers],0)),0)</f>
        <v>2</v>
      </c>
      <c r="X163" s="9">
        <f t="array" ref="X163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63" s="9">
        <f t="array" ref="Y163">IFERROR(INDEX(대출권수[],MATCH(1,(자료실기준[[#This Row],[소장처명]]=대출권수[소장처명])*(대출권수[대출반납]="대출")*(자료실기준[[#This Row],[년월]]=대출권수[년월]),0),MATCH(Y$1,대출권수[#Headers],0)),0)</f>
        <v>15</v>
      </c>
      <c r="Z163" s="9">
        <f t="array" ref="Z163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63" s="9">
        <f>SUM(자료실기준[[#This Row],[총류]:[역사]])</f>
        <v>33</v>
      </c>
    </row>
    <row r="164" spans="1:27" x14ac:dyDescent="0.3">
      <c r="A164" s="5">
        <v>45474</v>
      </c>
      <c r="B164" t="s">
        <v>7</v>
      </c>
      <c r="C164" s="5" t="str">
        <f>TEXT(자료실기준[[#This Row],[년월]],"yy년m월")&amp;자료실기준[[#This Row],[소장처명]]</f>
        <v>24년7월어린이실(교과1학년)</v>
      </c>
      <c r="D164" t="str">
        <f>IFERROR(INDEX(자료실범례[],MATCH($B164,자료실범례[소장처명],0),2),"종합자료실")</f>
        <v>어린이자료실</v>
      </c>
      <c r="E164" s="9">
        <f t="array" ref="E164">IFERROR(INDEX(대출자[],MATCH(1,(자료실기준[[#This Row],[소장처명]]=대출자[소장처명])*(자료실기준[[#This Row],[년월]]=대출자[년월]),0),MATCH(E$1,대출자[#Headers],0)),0)</f>
        <v>0</v>
      </c>
      <c r="F164" s="9">
        <f t="array" ref="F164">IFERROR(INDEX(대출자[],MATCH(1,(자료실기준[[#This Row],[소장처명]]=대출자[소장처명])*(자료실기준[[#This Row],[년월]]=대출자[년월]),0),MATCH(F$1,대출자[#Headers],0)),0)</f>
        <v>3</v>
      </c>
      <c r="G164" s="9">
        <f t="array" ref="G164">IFERROR(INDEX(대출자[],MATCH(1,(자료실기준[[#This Row],[소장처명]]=대출자[소장처명])*(자료실기준[[#This Row],[년월]]=대출자[년월]),0),MATCH(G$1,대출자[#Headers],0)),0)</f>
        <v>1</v>
      </c>
      <c r="H164" s="9">
        <f t="array" ref="H164">IFERROR(INDEX(대출자[],MATCH(1,(자료실기준[[#This Row],[소장처명]]=대출자[소장처명])*(자료실기준[[#This Row],[년월]]=대출자[년월]),0),MATCH(H$1,대출자[#Headers],0)),0)</f>
        <v>0</v>
      </c>
      <c r="I164" s="9">
        <f t="array" ref="I164">IFERROR(INDEX(대출자[],MATCH(1,(자료실기준[[#This Row],[소장처명]]=대출자[소장처명])*(자료실기준[[#This Row],[년월]]=대출자[년월]),0),MATCH(I$1,대출자[#Headers],0)),0)</f>
        <v>3</v>
      </c>
      <c r="J164" s="9">
        <f t="array" ref="J164">IFERROR(INDEX(대출자[],MATCH(1,(자료실기준[[#This Row],[소장처명]]=대출자[소장처명])*(자료실기준[[#This Row],[년월]]=대출자[년월]),0),MATCH(J$1,대출자[#Headers],0)),0)</f>
        <v>5</v>
      </c>
      <c r="K164" s="9">
        <f t="array" ref="K164">IFERROR(INDEX(대출자[],MATCH(1,(자료실기준[[#This Row],[소장처명]]=대출자[소장처명])*(자료실기준[[#This Row],[년월]]=대출자[년월]),0),MATCH(K$1,대출자[#Headers],0)),0)</f>
        <v>3</v>
      </c>
      <c r="L164" s="9">
        <f t="array" ref="L164">IFERROR(INDEX(대출자[],MATCH(1,(자료실기준[[#This Row],[소장처명]]=대출자[소장처명])*(자료실기준[[#This Row],[년월]]=대출자[년월]),0),MATCH(L$1,대출자[#Headers],0)),0)</f>
        <v>1</v>
      </c>
      <c r="M164" s="9">
        <f t="array" ref="M164">IFERROR(INDEX(대출자[],MATCH(1,(자료실기준[[#This Row],[소장처명]]=대출자[소장처명])*(자료실기준[[#This Row],[년월]]=대출자[년월]),0),MATCH(M$1,대출자[#Headers],0)),0)</f>
        <v>8</v>
      </c>
      <c r="N164" s="9">
        <f>IFERROR(자료실기준[[#This Row],[어린이남자]]+자료실기준[[#This Row],[청소년남자]]+자료실기준[[#This Row],[성인남자]],0)</f>
        <v>4</v>
      </c>
      <c r="O164" s="9">
        <f>IFERROR(자료실기준[[#This Row],[어린이여자]]+자료실기준[[#This Row],[청소년여자]]+자료실기준[[#This Row],[성인여자]],0)</f>
        <v>8</v>
      </c>
      <c r="P164" s="9">
        <f>IFERROR(자료실기준[[#This Row],[남자]]+자료실기준[[#This Row],[여자]],0)</f>
        <v>12</v>
      </c>
      <c r="Q164" s="9">
        <f t="array" ref="Q164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64" s="9">
        <f t="array" ref="R164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64" s="9">
        <f t="array" ref="S164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64" s="9">
        <f t="array" ref="T164">IFERROR(INDEX(대출권수[],MATCH(1,(자료실기준[[#This Row],[소장처명]]=대출권수[소장처명])*(대출권수[대출반납]="대출")*(자료실기준[[#This Row],[년월]]=대출권수[년월]),0),MATCH(T$1,대출권수[#Headers],0)),0)</f>
        <v>5</v>
      </c>
      <c r="U164" s="9">
        <f t="array" ref="U164">IFERROR(INDEX(대출권수[],MATCH(1,(자료실기준[[#This Row],[소장처명]]=대출권수[소장처명])*(대출권수[대출반납]="대출")*(자료실기준[[#This Row],[년월]]=대출권수[년월]),0),MATCH(U$1,대출권수[#Headers],0)),0)</f>
        <v>3</v>
      </c>
      <c r="V164" s="9">
        <f t="array" ref="V164">IFERROR(INDEX(대출권수[],MATCH(1,(자료실기준[[#This Row],[소장처명]]=대출권수[소장처명])*(대출권수[대출반납]="대출")*(자료실기준[[#This Row],[년월]]=대출권수[년월]),0),MATCH(V$1,대출권수[#Headers],0)),0)</f>
        <v>1</v>
      </c>
      <c r="W164" s="9">
        <f t="array" ref="W164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64" s="9">
        <f t="array" ref="X164">IFERROR(INDEX(대출권수[],MATCH(1,(자료실기준[[#This Row],[소장처명]]=대출권수[소장처명])*(대출권수[대출반납]="대출")*(자료실기준[[#This Row],[년월]]=대출권수[년월]),0),MATCH(X$1,대출권수[#Headers],0)),0)</f>
        <v>2</v>
      </c>
      <c r="Y164" s="9">
        <f t="array" ref="Y164">IFERROR(INDEX(대출권수[],MATCH(1,(자료실기준[[#This Row],[소장처명]]=대출권수[소장처명])*(대출권수[대출반납]="대출")*(자료실기준[[#This Row],[년월]]=대출권수[년월]),0),MATCH(Y$1,대출권수[#Headers],0)),0)</f>
        <v>20</v>
      </c>
      <c r="Z164" s="9">
        <f t="array" ref="Z164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64" s="9">
        <f>SUM(자료실기준[[#This Row],[총류]:[역사]])</f>
        <v>31</v>
      </c>
    </row>
    <row r="165" spans="1:27" x14ac:dyDescent="0.3">
      <c r="A165" s="5">
        <v>45474</v>
      </c>
      <c r="B165" t="s">
        <v>8</v>
      </c>
      <c r="C165" s="5" t="str">
        <f>TEXT(자료실기준[[#This Row],[년월]],"yy년m월")&amp;자료실기준[[#This Row],[소장처명]]</f>
        <v>24년7월어린이실(교과2학년)</v>
      </c>
      <c r="D165" t="str">
        <f>IFERROR(INDEX(자료실범례[],MATCH($B165,자료실범례[소장처명],0),2),"종합자료실")</f>
        <v>어린이자료실</v>
      </c>
      <c r="E165" s="9">
        <f t="array" ref="E165">IFERROR(INDEX(대출자[],MATCH(1,(자료실기준[[#This Row],[소장처명]]=대출자[소장처명])*(자료실기준[[#This Row],[년월]]=대출자[년월]),0),MATCH(E$1,대출자[#Headers],0)),0)</f>
        <v>1</v>
      </c>
      <c r="F165" s="9">
        <f t="array" ref="F165">IFERROR(INDEX(대출자[],MATCH(1,(자료실기준[[#This Row],[소장처명]]=대출자[소장처명])*(자료실기준[[#This Row],[년월]]=대출자[년월]),0),MATCH(F$1,대출자[#Headers],0)),0)</f>
        <v>1</v>
      </c>
      <c r="G165" s="9">
        <f t="array" ref="G165">IFERROR(INDEX(대출자[],MATCH(1,(자료실기준[[#This Row],[소장처명]]=대출자[소장처명])*(자료실기준[[#This Row],[년월]]=대출자[년월]),0),MATCH(G$1,대출자[#Headers],0)),0)</f>
        <v>1</v>
      </c>
      <c r="H165" s="9">
        <f t="array" ref="H165">IFERROR(INDEX(대출자[],MATCH(1,(자료실기준[[#This Row],[소장처명]]=대출자[소장처명])*(자료실기준[[#This Row],[년월]]=대출자[년월]),0),MATCH(H$1,대출자[#Headers],0)),0)</f>
        <v>0</v>
      </c>
      <c r="I165" s="9">
        <f t="array" ref="I165">IFERROR(INDEX(대출자[],MATCH(1,(자료실기준[[#This Row],[소장처명]]=대출자[소장처명])*(자료실기준[[#This Row],[년월]]=대출자[년월]),0),MATCH(I$1,대출자[#Headers],0)),0)</f>
        <v>1</v>
      </c>
      <c r="J165" s="9">
        <f t="array" ref="J165">IFERROR(INDEX(대출자[],MATCH(1,(자료실기준[[#This Row],[소장처명]]=대출자[소장처명])*(자료실기준[[#This Row],[년월]]=대출자[년월]),0),MATCH(J$1,대출자[#Headers],0)),0)</f>
        <v>7</v>
      </c>
      <c r="K165" s="9">
        <f t="array" ref="K165">IFERROR(INDEX(대출자[],MATCH(1,(자료실기준[[#This Row],[소장처명]]=대출자[소장처명])*(자료실기준[[#This Row],[년월]]=대출자[년월]),0),MATCH(K$1,대출자[#Headers],0)),0)</f>
        <v>2</v>
      </c>
      <c r="L165" s="9">
        <f t="array" ref="L165">IFERROR(INDEX(대출자[],MATCH(1,(자료실기준[[#This Row],[소장처명]]=대출자[소장처명])*(자료실기준[[#This Row],[년월]]=대출자[년월]),0),MATCH(L$1,대출자[#Headers],0)),0)</f>
        <v>1</v>
      </c>
      <c r="M165" s="9">
        <f t="array" ref="M165">IFERROR(INDEX(대출자[],MATCH(1,(자료실기준[[#This Row],[소장처명]]=대출자[소장처명])*(자료실기준[[#This Row],[년월]]=대출자[년월]),0),MATCH(M$1,대출자[#Headers],0)),0)</f>
        <v>8</v>
      </c>
      <c r="N165" s="9">
        <f>IFERROR(자료실기준[[#This Row],[어린이남자]]+자료실기준[[#This Row],[청소년남자]]+자료실기준[[#This Row],[성인남자]],0)</f>
        <v>3</v>
      </c>
      <c r="O165" s="9">
        <f>IFERROR(자료실기준[[#This Row],[어린이여자]]+자료실기준[[#This Row],[청소년여자]]+자료실기준[[#This Row],[성인여자]],0)</f>
        <v>8</v>
      </c>
      <c r="P165" s="9">
        <f>IFERROR(자료실기준[[#This Row],[남자]]+자료실기준[[#This Row],[여자]],0)</f>
        <v>11</v>
      </c>
      <c r="Q165" s="9">
        <f t="array" ref="Q165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65" s="9">
        <f t="array" ref="R165">IFERROR(INDEX(대출권수[],MATCH(1,(자료실기준[[#This Row],[소장처명]]=대출권수[소장처명])*(대출권수[대출반납]="대출")*(자료실기준[[#This Row],[년월]]=대출권수[년월]),0),MATCH(R$1,대출권수[#Headers],0)),0)</f>
        <v>1</v>
      </c>
      <c r="S165" s="9">
        <f t="array" ref="S165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65" s="9">
        <f t="array" ref="T165">IFERROR(INDEX(대출권수[],MATCH(1,(자료실기준[[#This Row],[소장처명]]=대출권수[소장처명])*(대출권수[대출반납]="대출")*(자료실기준[[#This Row],[년월]]=대출권수[년월]),0),MATCH(T$1,대출권수[#Headers],0)),0)</f>
        <v>2</v>
      </c>
      <c r="U165" s="9">
        <f t="array" ref="U165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65" s="9">
        <f t="array" ref="V165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65" s="9">
        <f t="array" ref="W165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65" s="9">
        <f t="array" ref="X165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65" s="9">
        <f t="array" ref="Y165">IFERROR(INDEX(대출권수[],MATCH(1,(자료실기준[[#This Row],[소장처명]]=대출권수[소장처명])*(대출권수[대출반납]="대출")*(자료실기준[[#This Row],[년월]]=대출권수[년월]),0),MATCH(Y$1,대출권수[#Headers],0)),0)</f>
        <v>10</v>
      </c>
      <c r="Z165" s="9">
        <f t="array" ref="Z165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65" s="9">
        <f>SUM(자료실기준[[#This Row],[총류]:[역사]])</f>
        <v>13</v>
      </c>
    </row>
    <row r="166" spans="1:27" x14ac:dyDescent="0.3">
      <c r="A166" s="5">
        <v>45474</v>
      </c>
      <c r="B166" s="15" t="s">
        <v>9</v>
      </c>
      <c r="C166" s="5" t="str">
        <f>TEXT(자료실기준[[#This Row],[년월]],"yy년m월")&amp;자료실기준[[#This Row],[소장처명]]</f>
        <v>24년7월어린이실(교과3학년)</v>
      </c>
      <c r="D166" t="str">
        <f>IFERROR(INDEX(자료실범례[],MATCH($B166,자료실범례[소장처명],0),2),"종합자료실")</f>
        <v>어린이자료실</v>
      </c>
      <c r="E166" s="9">
        <f t="array" ref="E166">IFERROR(INDEX(대출자[],MATCH(1,(자료실기준[[#This Row],[소장처명]]=대출자[소장처명])*(자료실기준[[#This Row],[년월]]=대출자[년월]),0),MATCH(E$1,대출자[#Headers],0)),0)</f>
        <v>1</v>
      </c>
      <c r="F166" s="9">
        <f t="array" ref="F166">IFERROR(INDEX(대출자[],MATCH(1,(자료실기준[[#This Row],[소장처명]]=대출자[소장처명])*(자료실기준[[#This Row],[년월]]=대출자[년월]),0),MATCH(F$1,대출자[#Headers],0)),0)</f>
        <v>1</v>
      </c>
      <c r="G166" s="9">
        <f t="array" ref="G166">IFERROR(INDEX(대출자[],MATCH(1,(자료실기준[[#This Row],[소장처명]]=대출자[소장처명])*(자료실기준[[#This Row],[년월]]=대출자[년월]),0),MATCH(G$1,대출자[#Headers],0)),0)</f>
        <v>1</v>
      </c>
      <c r="H166" s="9">
        <f t="array" ref="H166">IFERROR(INDEX(대출자[],MATCH(1,(자료실기준[[#This Row],[소장처명]]=대출자[소장처명])*(자료실기준[[#This Row],[년월]]=대출자[년월]),0),MATCH(H$1,대출자[#Headers],0)),0)</f>
        <v>0</v>
      </c>
      <c r="I166" s="9">
        <f t="array" ref="I166">IFERROR(INDEX(대출자[],MATCH(1,(자료실기준[[#This Row],[소장처명]]=대출자[소장처명])*(자료실기준[[#This Row],[년월]]=대출자[년월]),0),MATCH(I$1,대출자[#Headers],0)),0)</f>
        <v>1</v>
      </c>
      <c r="J166" s="9">
        <f t="array" ref="J166">IFERROR(INDEX(대출자[],MATCH(1,(자료실기준[[#This Row],[소장처명]]=대출자[소장처명])*(자료실기준[[#This Row],[년월]]=대출자[년월]),0),MATCH(J$1,대출자[#Headers],0)),0)</f>
        <v>3</v>
      </c>
      <c r="K166" s="9">
        <f t="array" ref="K166">IFERROR(INDEX(대출자[],MATCH(1,(자료실기준[[#This Row],[소장처명]]=대출자[소장처명])*(자료실기준[[#This Row],[년월]]=대출자[년월]),0),MATCH(K$1,대출자[#Headers],0)),0)</f>
        <v>2</v>
      </c>
      <c r="L166" s="9">
        <f t="array" ref="L166">IFERROR(INDEX(대출자[],MATCH(1,(자료실기준[[#This Row],[소장처명]]=대출자[소장처명])*(자료실기준[[#This Row],[년월]]=대출자[년월]),0),MATCH(L$1,대출자[#Headers],0)),0)</f>
        <v>1</v>
      </c>
      <c r="M166" s="9">
        <f t="array" ref="M166">IFERROR(INDEX(대출자[],MATCH(1,(자료실기준[[#This Row],[소장처명]]=대출자[소장처명])*(자료실기준[[#This Row],[년월]]=대출자[년월]),0),MATCH(M$1,대출자[#Headers],0)),0)</f>
        <v>4</v>
      </c>
      <c r="N166" s="9">
        <f>IFERROR(자료실기준[[#This Row],[어린이남자]]+자료실기준[[#This Row],[청소년남자]]+자료실기준[[#This Row],[성인남자]],0)</f>
        <v>3</v>
      </c>
      <c r="O166" s="9">
        <f>IFERROR(자료실기준[[#This Row],[어린이여자]]+자료실기준[[#This Row],[청소년여자]]+자료실기준[[#This Row],[성인여자]],0)</f>
        <v>4</v>
      </c>
      <c r="P166" s="9">
        <f>IFERROR(자료실기준[[#This Row],[남자]]+자료실기준[[#This Row],[여자]],0)</f>
        <v>7</v>
      </c>
      <c r="Q166" s="9">
        <f t="array" ref="Q166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66" s="9">
        <f t="array" ref="R166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66" s="9">
        <f t="array" ref="S166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66" s="9">
        <f t="array" ref="T166">IFERROR(INDEX(대출권수[],MATCH(1,(자료실기준[[#This Row],[소장처명]]=대출권수[소장처명])*(대출권수[대출반납]="대출")*(자료실기준[[#This Row],[년월]]=대출권수[년월]),0),MATCH(T$1,대출권수[#Headers],0)),0)</f>
        <v>1</v>
      </c>
      <c r="U166" s="9">
        <f t="array" ref="U166">IFERROR(INDEX(대출권수[],MATCH(1,(자료실기준[[#This Row],[소장처명]]=대출권수[소장처명])*(대출권수[대출반납]="대출")*(자료실기준[[#This Row],[년월]]=대출권수[년월]),0),MATCH(U$1,대출권수[#Headers],0)),0)</f>
        <v>2</v>
      </c>
      <c r="V166" s="9">
        <f t="array" ref="V166">IFERROR(INDEX(대출권수[],MATCH(1,(자료실기준[[#This Row],[소장처명]]=대출권수[소장처명])*(대출권수[대출반납]="대출")*(자료실기준[[#This Row],[년월]]=대출권수[년월]),0),MATCH(V$1,대출권수[#Headers],0)),0)</f>
        <v>2</v>
      </c>
      <c r="W166" s="9">
        <f t="array" ref="W166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66" s="9">
        <f t="array" ref="X166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66" s="9">
        <f t="array" ref="Y166">IFERROR(INDEX(대출권수[],MATCH(1,(자료실기준[[#This Row],[소장처명]]=대출권수[소장처명])*(대출권수[대출반납]="대출")*(자료실기준[[#This Row],[년월]]=대출권수[년월]),0),MATCH(Y$1,대출권수[#Headers],0)),0)</f>
        <v>7</v>
      </c>
      <c r="Z166" s="9">
        <f t="array" ref="Z166">IFERROR(INDEX(대출권수[],MATCH(1,(자료실기준[[#This Row],[소장처명]]=대출권수[소장처명])*(대출권수[대출반납]="대출")*(자료실기준[[#This Row],[년월]]=대출권수[년월]),0),MATCH(Z$1,대출권수[#Headers],0)),0)</f>
        <v>1</v>
      </c>
      <c r="AA166" s="9">
        <f>SUM(자료실기준[[#This Row],[총류]:[역사]])</f>
        <v>13</v>
      </c>
    </row>
    <row r="167" spans="1:27" x14ac:dyDescent="0.3">
      <c r="A167" s="5">
        <v>45474</v>
      </c>
      <c r="B167" s="15" t="s">
        <v>10</v>
      </c>
      <c r="C167" s="5" t="str">
        <f>TEXT(자료실기준[[#This Row],[년월]],"yy년m월")&amp;자료실기준[[#This Row],[소장처명]]</f>
        <v>24년7월어린이실(교과4학년)</v>
      </c>
      <c r="D167" t="str">
        <f>IFERROR(INDEX(자료실범례[],MATCH($B167,자료실범례[소장처명],0),2),"종합자료실")</f>
        <v>어린이자료실</v>
      </c>
      <c r="E167" s="9">
        <f t="array" ref="E167">IFERROR(INDEX(대출자[],MATCH(1,(자료실기준[[#This Row],[소장처명]]=대출자[소장처명])*(자료실기준[[#This Row],[년월]]=대출자[년월]),0),MATCH(E$1,대출자[#Headers],0)),0)</f>
        <v>3</v>
      </c>
      <c r="F167" s="9">
        <f t="array" ref="F167">IFERROR(INDEX(대출자[],MATCH(1,(자료실기준[[#This Row],[소장처명]]=대출자[소장처명])*(자료실기준[[#This Row],[년월]]=대출자[년월]),0),MATCH(F$1,대출자[#Headers],0)),0)</f>
        <v>1</v>
      </c>
      <c r="G167" s="9">
        <f t="array" ref="G167">IFERROR(INDEX(대출자[],MATCH(1,(자료실기준[[#This Row],[소장처명]]=대출자[소장처명])*(자료실기준[[#This Row],[년월]]=대출자[년월]),0),MATCH(G$1,대출자[#Headers],0)),0)</f>
        <v>0</v>
      </c>
      <c r="H167" s="9">
        <f t="array" ref="H167">IFERROR(INDEX(대출자[],MATCH(1,(자료실기준[[#This Row],[소장처명]]=대출자[소장처명])*(자료실기준[[#This Row],[년월]]=대출자[년월]),0),MATCH(H$1,대출자[#Headers],0)),0)</f>
        <v>0</v>
      </c>
      <c r="I167" s="9">
        <f t="array" ref="I167">IFERROR(INDEX(대출자[],MATCH(1,(자료실기준[[#This Row],[소장처명]]=대출자[소장처명])*(자료실기준[[#This Row],[년월]]=대출자[년월]),0),MATCH(I$1,대출자[#Headers],0)),0)</f>
        <v>0</v>
      </c>
      <c r="J167" s="9">
        <f t="array" ref="J167">IFERROR(INDEX(대출자[],MATCH(1,(자료실기준[[#This Row],[소장처명]]=대출자[소장처명])*(자료실기준[[#This Row],[년월]]=대출자[년월]),0),MATCH(J$1,대출자[#Headers],0)),0)</f>
        <v>5</v>
      </c>
      <c r="K167" s="9">
        <f t="array" ref="K167">IFERROR(INDEX(대출자[],MATCH(1,(자료실기준[[#This Row],[소장처명]]=대출자[소장처명])*(자료실기준[[#This Row],[년월]]=대출자[년월]),0),MATCH(K$1,대출자[#Headers],0)),0)</f>
        <v>4</v>
      </c>
      <c r="L167" s="9">
        <f t="array" ref="L167">IFERROR(INDEX(대출자[],MATCH(1,(자료실기준[[#This Row],[소장처명]]=대출자[소장처명])*(자료실기준[[#This Row],[년월]]=대출자[년월]),0),MATCH(L$1,대출자[#Headers],0)),0)</f>
        <v>0</v>
      </c>
      <c r="M167" s="9">
        <f t="array" ref="M167">IFERROR(INDEX(대출자[],MATCH(1,(자료실기준[[#This Row],[소장처명]]=대출자[소장처명])*(자료실기준[[#This Row],[년월]]=대출자[년월]),0),MATCH(M$1,대출자[#Headers],0)),0)</f>
        <v>5</v>
      </c>
      <c r="N167" s="9">
        <f>IFERROR(자료실기준[[#This Row],[어린이남자]]+자료실기준[[#This Row],[청소년남자]]+자료실기준[[#This Row],[성인남자]],0)</f>
        <v>3</v>
      </c>
      <c r="O167" s="9">
        <f>IFERROR(자료실기준[[#This Row],[어린이여자]]+자료실기준[[#This Row],[청소년여자]]+자료실기준[[#This Row],[성인여자]],0)</f>
        <v>6</v>
      </c>
      <c r="P167" s="9">
        <f>IFERROR(자료실기준[[#This Row],[남자]]+자료실기준[[#This Row],[여자]],0)</f>
        <v>9</v>
      </c>
      <c r="Q167" s="9">
        <f t="array" ref="Q167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67" s="9">
        <f t="array" ref="R167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67" s="9">
        <f t="array" ref="S167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67" s="9">
        <f t="array" ref="T167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67" s="9">
        <f t="array" ref="U167">IFERROR(INDEX(대출권수[],MATCH(1,(자료실기준[[#This Row],[소장처명]]=대출권수[소장처명])*(대출권수[대출반납]="대출")*(자료실기준[[#This Row],[년월]]=대출권수[년월]),0),MATCH(U$1,대출권수[#Headers],0)),0)</f>
        <v>2</v>
      </c>
      <c r="V167" s="9">
        <f t="array" ref="V167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67" s="9">
        <f t="array" ref="W167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67" s="9">
        <f t="array" ref="X167">IFERROR(INDEX(대출권수[],MATCH(1,(자료실기준[[#This Row],[소장처명]]=대출권수[소장처명])*(대출권수[대출반납]="대출")*(자료실기준[[#This Row],[년월]]=대출권수[년월]),0),MATCH(X$1,대출권수[#Headers],0)),0)</f>
        <v>2</v>
      </c>
      <c r="Y167" s="9">
        <f t="array" ref="Y167">IFERROR(INDEX(대출권수[],MATCH(1,(자료실기준[[#This Row],[소장처명]]=대출권수[소장처명])*(대출권수[대출반납]="대출")*(자료실기준[[#This Row],[년월]]=대출권수[년월]),0),MATCH(Y$1,대출권수[#Headers],0)),0)</f>
        <v>9</v>
      </c>
      <c r="Z167" s="9">
        <f t="array" ref="Z167">IFERROR(INDEX(대출권수[],MATCH(1,(자료실기준[[#This Row],[소장처명]]=대출권수[소장처명])*(대출권수[대출반납]="대출")*(자료실기준[[#This Row],[년월]]=대출권수[년월]),0),MATCH(Z$1,대출권수[#Headers],0)),0)</f>
        <v>1</v>
      </c>
      <c r="AA167" s="9">
        <f>SUM(자료실기준[[#This Row],[총류]:[역사]])</f>
        <v>14</v>
      </c>
    </row>
    <row r="168" spans="1:27" x14ac:dyDescent="0.3">
      <c r="A168" s="5">
        <v>45474</v>
      </c>
      <c r="B168" s="15" t="s">
        <v>11</v>
      </c>
      <c r="C168" s="5" t="str">
        <f>TEXT(자료실기준[[#This Row],[년월]],"yy년m월")&amp;자료실기준[[#This Row],[소장처명]]</f>
        <v>24년7월어린이실(교과5학년)</v>
      </c>
      <c r="D168" t="str">
        <f>IFERROR(INDEX(자료실범례[],MATCH($B168,자료실범례[소장처명],0),2),"종합자료실")</f>
        <v>어린이자료실</v>
      </c>
      <c r="E168" s="9">
        <f t="array" ref="E168">IFERROR(INDEX(대출자[],MATCH(1,(자료실기준[[#This Row],[소장처명]]=대출자[소장처명])*(자료실기준[[#This Row],[년월]]=대출자[년월]),0),MATCH(E$1,대출자[#Headers],0)),0)</f>
        <v>0</v>
      </c>
      <c r="F168" s="9">
        <f t="array" ref="F168">IFERROR(INDEX(대출자[],MATCH(1,(자료실기준[[#This Row],[소장처명]]=대출자[소장처명])*(자료실기준[[#This Row],[년월]]=대출자[년월]),0),MATCH(F$1,대출자[#Headers],0)),0)</f>
        <v>0</v>
      </c>
      <c r="G168" s="9">
        <f t="array" ref="G168">IFERROR(INDEX(대출자[],MATCH(1,(자료실기준[[#This Row],[소장처명]]=대출자[소장처명])*(자료실기준[[#This Row],[년월]]=대출자[년월]),0),MATCH(G$1,대출자[#Headers],0)),0)</f>
        <v>0</v>
      </c>
      <c r="H168" s="9">
        <f t="array" ref="H168">IFERROR(INDEX(대출자[],MATCH(1,(자료실기준[[#This Row],[소장처명]]=대출자[소장처명])*(자료실기준[[#This Row],[년월]]=대출자[년월]),0),MATCH(H$1,대출자[#Headers],0)),0)</f>
        <v>0</v>
      </c>
      <c r="I168" s="9">
        <f t="array" ref="I168">IFERROR(INDEX(대출자[],MATCH(1,(자료실기준[[#This Row],[소장처명]]=대출자[소장처명])*(자료실기준[[#This Row],[년월]]=대출자[년월]),0),MATCH(I$1,대출자[#Headers],0)),0)</f>
        <v>0</v>
      </c>
      <c r="J168" s="9">
        <f t="array" ref="J168">IFERROR(INDEX(대출자[],MATCH(1,(자료실기준[[#This Row],[소장처명]]=대출자[소장처명])*(자료실기준[[#This Row],[년월]]=대출자[년월]),0),MATCH(J$1,대출자[#Headers],0)),0)</f>
        <v>2</v>
      </c>
      <c r="K168" s="9">
        <f t="array" ref="K168">IFERROR(INDEX(대출자[],MATCH(1,(자료실기준[[#This Row],[소장처명]]=대출자[소장처명])*(자료실기준[[#This Row],[년월]]=대출자[년월]),0),MATCH(K$1,대출자[#Headers],0)),0)</f>
        <v>0</v>
      </c>
      <c r="L168" s="9">
        <f t="array" ref="L168">IFERROR(INDEX(대출자[],MATCH(1,(자료실기준[[#This Row],[소장처명]]=대출자[소장처명])*(자료실기준[[#This Row],[년월]]=대출자[년월]),0),MATCH(L$1,대출자[#Headers],0)),0)</f>
        <v>0</v>
      </c>
      <c r="M168" s="9">
        <f t="array" ref="M168">IFERROR(INDEX(대출자[],MATCH(1,(자료실기준[[#This Row],[소장처명]]=대출자[소장처명])*(자료실기준[[#This Row],[년월]]=대출자[년월]),0),MATCH(M$1,대출자[#Headers],0)),0)</f>
        <v>2</v>
      </c>
      <c r="N168" s="9">
        <f>IFERROR(자료실기준[[#This Row],[어린이남자]]+자료실기준[[#This Row],[청소년남자]]+자료실기준[[#This Row],[성인남자]],0)</f>
        <v>0</v>
      </c>
      <c r="O168" s="9">
        <f>IFERROR(자료실기준[[#This Row],[어린이여자]]+자료실기준[[#This Row],[청소년여자]]+자료실기준[[#This Row],[성인여자]],0)</f>
        <v>2</v>
      </c>
      <c r="P168" s="9">
        <f>IFERROR(자료실기준[[#This Row],[남자]]+자료실기준[[#This Row],[여자]],0)</f>
        <v>2</v>
      </c>
      <c r="Q168" s="9">
        <f t="array" ref="Q168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68" s="9">
        <f t="array" ref="R168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68" s="9">
        <f t="array" ref="S168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68" s="9">
        <f t="array" ref="T168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68" s="9">
        <f t="array" ref="U168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68" s="9">
        <f t="array" ref="V168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68" s="9">
        <f t="array" ref="W168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68" s="9">
        <f t="array" ref="X168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68" s="9">
        <f t="array" ref="Y168">IFERROR(INDEX(대출권수[],MATCH(1,(자료실기준[[#This Row],[소장처명]]=대출권수[소장처명])*(대출권수[대출반납]="대출")*(자료실기준[[#This Row],[년월]]=대출권수[년월]),0),MATCH(Y$1,대출권수[#Headers],0)),0)</f>
        <v>3</v>
      </c>
      <c r="Z168" s="9">
        <f t="array" ref="Z168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68" s="9">
        <f>SUM(자료실기준[[#This Row],[총류]:[역사]])</f>
        <v>3</v>
      </c>
    </row>
    <row r="169" spans="1:27" x14ac:dyDescent="0.3">
      <c r="A169" s="5">
        <v>45474</v>
      </c>
      <c r="B169" s="15" t="s">
        <v>12</v>
      </c>
      <c r="C169" s="5" t="str">
        <f>TEXT(자료실기준[[#This Row],[년월]],"yy년m월")&amp;자료실기준[[#This Row],[소장처명]]</f>
        <v>24년7월어린이실(교과6학년)</v>
      </c>
      <c r="D169" t="str">
        <f>IFERROR(INDEX(자료실범례[],MATCH($B169,자료실범례[소장처명],0),2),"종합자료실")</f>
        <v>어린이자료실</v>
      </c>
      <c r="E169" s="9">
        <f t="array" ref="E169">IFERROR(INDEX(대출자[],MATCH(1,(자료실기준[[#This Row],[소장처명]]=대출자[소장처명])*(자료실기준[[#This Row],[년월]]=대출자[년월]),0),MATCH(E$1,대출자[#Headers],0)),0)</f>
        <v>1</v>
      </c>
      <c r="F169" s="9">
        <f t="array" ref="F169">IFERROR(INDEX(대출자[],MATCH(1,(자료실기준[[#This Row],[소장처명]]=대출자[소장처명])*(자료실기준[[#This Row],[년월]]=대출자[년월]),0),MATCH(F$1,대출자[#Headers],0)),0)</f>
        <v>0</v>
      </c>
      <c r="G169" s="9">
        <f t="array" ref="G169">IFERROR(INDEX(대출자[],MATCH(1,(자료실기준[[#This Row],[소장처명]]=대출자[소장처명])*(자료실기준[[#This Row],[년월]]=대출자[년월]),0),MATCH(G$1,대출자[#Headers],0)),0)</f>
        <v>0</v>
      </c>
      <c r="H169" s="9">
        <f t="array" ref="H169">IFERROR(INDEX(대출자[],MATCH(1,(자료실기준[[#This Row],[소장처명]]=대출자[소장처명])*(자료실기준[[#This Row],[년월]]=대출자[년월]),0),MATCH(H$1,대출자[#Headers],0)),0)</f>
        <v>0</v>
      </c>
      <c r="I169" s="9">
        <f t="array" ref="I169">IFERROR(INDEX(대출자[],MATCH(1,(자료실기준[[#This Row],[소장처명]]=대출자[소장처명])*(자료실기준[[#This Row],[년월]]=대출자[년월]),0),MATCH(I$1,대출자[#Headers],0)),0)</f>
        <v>1</v>
      </c>
      <c r="J169" s="9">
        <f t="array" ref="J169">IFERROR(INDEX(대출자[],MATCH(1,(자료실기준[[#This Row],[소장처명]]=대출자[소장처명])*(자료실기준[[#This Row],[년월]]=대출자[년월]),0),MATCH(J$1,대출자[#Headers],0)),0)</f>
        <v>0</v>
      </c>
      <c r="K169" s="9">
        <f t="array" ref="K169">IFERROR(INDEX(대출자[],MATCH(1,(자료실기준[[#This Row],[소장처명]]=대출자[소장처명])*(자료실기준[[#This Row],[년월]]=대출자[년월]),0),MATCH(K$1,대출자[#Headers],0)),0)</f>
        <v>1</v>
      </c>
      <c r="L169" s="9">
        <f t="array" ref="L169">IFERROR(INDEX(대출자[],MATCH(1,(자료실기준[[#This Row],[소장처명]]=대출자[소장처명])*(자료실기준[[#This Row],[년월]]=대출자[년월]),0),MATCH(L$1,대출자[#Headers],0)),0)</f>
        <v>0</v>
      </c>
      <c r="M169" s="9">
        <f t="array" ref="M169">IFERROR(INDEX(대출자[],MATCH(1,(자료실기준[[#This Row],[소장처명]]=대출자[소장처명])*(자료실기준[[#This Row],[년월]]=대출자[년월]),0),MATCH(M$1,대출자[#Headers],0)),0)</f>
        <v>1</v>
      </c>
      <c r="N169" s="9">
        <f>IFERROR(자료실기준[[#This Row],[어린이남자]]+자료실기준[[#This Row],[청소년남자]]+자료실기준[[#This Row],[성인남자]],0)</f>
        <v>2</v>
      </c>
      <c r="O169" s="9">
        <f>IFERROR(자료실기준[[#This Row],[어린이여자]]+자료실기준[[#This Row],[청소년여자]]+자료실기준[[#This Row],[성인여자]],0)</f>
        <v>0</v>
      </c>
      <c r="P169" s="9">
        <f>IFERROR(자료실기준[[#This Row],[남자]]+자료실기준[[#This Row],[여자]],0)</f>
        <v>2</v>
      </c>
      <c r="Q169" s="9">
        <f t="array" ref="Q169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69" s="9">
        <f t="array" ref="R169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69" s="9">
        <f t="array" ref="S169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69" s="9">
        <f t="array" ref="T169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69" s="9">
        <f t="array" ref="U169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69" s="9">
        <f t="array" ref="V169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69" s="9">
        <f t="array" ref="W169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69" s="9">
        <f t="array" ref="X169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69" s="9">
        <f t="array" ref="Y169">IFERROR(INDEX(대출권수[],MATCH(1,(자료실기준[[#This Row],[소장처명]]=대출권수[소장처명])*(대출권수[대출반납]="대출")*(자료실기준[[#This Row],[년월]]=대출권수[년월]),0),MATCH(Y$1,대출권수[#Headers],0)),0)</f>
        <v>3</v>
      </c>
      <c r="Z169" s="9">
        <f t="array" ref="Z169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69" s="9">
        <f>SUM(자료실기준[[#This Row],[총류]:[역사]])</f>
        <v>3</v>
      </c>
    </row>
    <row r="170" spans="1:27" x14ac:dyDescent="0.3">
      <c r="A170" s="5">
        <v>45474</v>
      </c>
      <c r="B170" s="15" t="s">
        <v>0</v>
      </c>
      <c r="C170" s="5" t="str">
        <f>TEXT(자료실기준[[#This Row],[년월]],"yy년m월")&amp;자료실기준[[#This Row],[소장처명]]</f>
        <v>24년7월다문화자료실</v>
      </c>
      <c r="D170" t="str">
        <f>IFERROR(INDEX(자료실범례[],MATCH($B170,자료실범례[소장처명],0),2),"종합자료실")</f>
        <v>어린이자료실</v>
      </c>
      <c r="E170" s="9">
        <f t="array" ref="E170">IFERROR(INDEX(대출자[],MATCH(1,(자료실기준[[#This Row],[소장처명]]=대출자[소장처명])*(자료실기준[[#This Row],[년월]]=대출자[년월]),0),MATCH(E$1,대출자[#Headers],0)),0)</f>
        <v>1</v>
      </c>
      <c r="F170" s="9">
        <f t="array" ref="F170">IFERROR(INDEX(대출자[],MATCH(1,(자료실기준[[#This Row],[소장처명]]=대출자[소장처명])*(자료실기준[[#This Row],[년월]]=대출자[년월]),0),MATCH(F$1,대출자[#Headers],0)),0)</f>
        <v>0</v>
      </c>
      <c r="G170" s="9">
        <f t="array" ref="G170">IFERROR(INDEX(대출자[],MATCH(1,(자료실기준[[#This Row],[소장처명]]=대출자[소장처명])*(자료실기준[[#This Row],[년월]]=대출자[년월]),0),MATCH(G$1,대출자[#Headers],0)),0)</f>
        <v>0</v>
      </c>
      <c r="H170" s="9">
        <f t="array" ref="H170">IFERROR(INDEX(대출자[],MATCH(1,(자료실기준[[#This Row],[소장처명]]=대출자[소장처명])*(자료실기준[[#This Row],[년월]]=대출자[년월]),0),MATCH(H$1,대출자[#Headers],0)),0)</f>
        <v>2</v>
      </c>
      <c r="I170" s="9">
        <f t="array" ref="I170">IFERROR(INDEX(대출자[],MATCH(1,(자료실기준[[#This Row],[소장처명]]=대출자[소장처명])*(자료실기준[[#This Row],[년월]]=대출자[년월]),0),MATCH(I$1,대출자[#Headers],0)),0)</f>
        <v>1</v>
      </c>
      <c r="J170" s="9">
        <f t="array" ref="J170">IFERROR(INDEX(대출자[],MATCH(1,(자료실기준[[#This Row],[소장처명]]=대출자[소장처명])*(자료실기준[[#This Row],[년월]]=대출자[년월]),0),MATCH(J$1,대출자[#Headers],0)),0)</f>
        <v>5</v>
      </c>
      <c r="K170" s="9">
        <f t="array" ref="K170">IFERROR(INDEX(대출자[],MATCH(1,(자료실기준[[#This Row],[소장처명]]=대출자[소장처명])*(자료실기준[[#This Row],[년월]]=대출자[년월]),0),MATCH(K$1,대출자[#Headers],0)),0)</f>
        <v>1</v>
      </c>
      <c r="L170" s="9">
        <f t="array" ref="L170">IFERROR(INDEX(대출자[],MATCH(1,(자료실기준[[#This Row],[소장처명]]=대출자[소장처명])*(자료실기준[[#This Row],[년월]]=대출자[년월]),0),MATCH(L$1,대출자[#Headers],0)),0)</f>
        <v>2</v>
      </c>
      <c r="M170" s="9">
        <f t="array" ref="M170">IFERROR(INDEX(대출자[],MATCH(1,(자료실기준[[#This Row],[소장처명]]=대출자[소장처명])*(자료실기준[[#This Row],[년월]]=대출자[년월]),0),MATCH(M$1,대출자[#Headers],0)),0)</f>
        <v>6</v>
      </c>
      <c r="N170" s="9">
        <f>IFERROR(자료실기준[[#This Row],[어린이남자]]+자료실기준[[#This Row],[청소년남자]]+자료실기준[[#This Row],[성인남자]],0)</f>
        <v>2</v>
      </c>
      <c r="O170" s="9">
        <f>IFERROR(자료실기준[[#This Row],[어린이여자]]+자료실기준[[#This Row],[청소년여자]]+자료실기준[[#This Row],[성인여자]],0)</f>
        <v>7</v>
      </c>
      <c r="P170" s="9">
        <f>IFERROR(자료실기준[[#This Row],[남자]]+자료실기준[[#This Row],[여자]],0)</f>
        <v>9</v>
      </c>
      <c r="Q170" s="9">
        <f t="array" ref="Q170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70" s="9">
        <f t="array" ref="R170">IFERROR(INDEX(대출권수[],MATCH(1,(자료실기준[[#This Row],[소장처명]]=대출권수[소장처명])*(대출권수[대출반납]="대출")*(자료실기준[[#This Row],[년월]]=대출권수[년월]),0),MATCH(R$1,대출권수[#Headers],0)),0)</f>
        <v>1</v>
      </c>
      <c r="S170" s="9">
        <f t="array" ref="S170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70" s="9">
        <f t="array" ref="T170">IFERROR(INDEX(대출권수[],MATCH(1,(자료실기준[[#This Row],[소장처명]]=대출권수[소장처명])*(대출권수[대출반납]="대출")*(자료실기준[[#This Row],[년월]]=대출권수[년월]),0),MATCH(T$1,대출권수[#Headers],0)),0)</f>
        <v>4</v>
      </c>
      <c r="U170" s="9">
        <f t="array" ref="U170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70" s="9">
        <f t="array" ref="V170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70" s="9">
        <f t="array" ref="W170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70" s="9">
        <f t="array" ref="X170">IFERROR(INDEX(대출권수[],MATCH(1,(자료실기준[[#This Row],[소장처명]]=대출권수[소장처명])*(대출권수[대출반납]="대출")*(자료실기준[[#This Row],[년월]]=대출권수[년월]),0),MATCH(X$1,대출권수[#Headers],0)),0)</f>
        <v>8</v>
      </c>
      <c r="Y170" s="9">
        <f t="array" ref="Y170">IFERROR(INDEX(대출권수[],MATCH(1,(자료실기준[[#This Row],[소장처명]]=대출권수[소장처명])*(대출권수[대출반납]="대출")*(자료실기준[[#This Row],[년월]]=대출권수[년월]),0),MATCH(Y$1,대출권수[#Headers],0)),0)</f>
        <v>33</v>
      </c>
      <c r="Z170" s="9">
        <f t="array" ref="Z170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70" s="9">
        <f>SUM(자료실기준[[#This Row],[총류]:[역사]])</f>
        <v>46</v>
      </c>
    </row>
    <row r="171" spans="1:27" x14ac:dyDescent="0.3">
      <c r="A171" s="5">
        <v>45474</v>
      </c>
      <c r="B171" s="15" t="s">
        <v>1</v>
      </c>
      <c r="C171" s="5" t="str">
        <f>TEXT(자료실기준[[#This Row],[년월]],"yy년m월")&amp;자료실기준[[#This Row],[소장처명]]</f>
        <v>24년7월다문화자료실(영어유아)</v>
      </c>
      <c r="D171" t="str">
        <f>IFERROR(INDEX(자료실범례[],MATCH($B171,자료실범례[소장처명],0),2),"종합자료실")</f>
        <v>어린이자료실</v>
      </c>
      <c r="E171" s="9">
        <f t="array" ref="E171">IFERROR(INDEX(대출자[],MATCH(1,(자료실기준[[#This Row],[소장처명]]=대출자[소장처명])*(자료실기준[[#This Row],[년월]]=대출자[년월]),0),MATCH(E$1,대출자[#Headers],0)),0)</f>
        <v>4</v>
      </c>
      <c r="F171" s="9">
        <f t="array" ref="F171">IFERROR(INDEX(대출자[],MATCH(1,(자료실기준[[#This Row],[소장처명]]=대출자[소장처명])*(자료실기준[[#This Row],[년월]]=대출자[년월]),0),MATCH(F$1,대출자[#Headers],0)),0)</f>
        <v>0</v>
      </c>
      <c r="G171" s="9">
        <f t="array" ref="G171">IFERROR(INDEX(대출자[],MATCH(1,(자료실기준[[#This Row],[소장처명]]=대출자[소장처명])*(자료실기준[[#This Row],[년월]]=대출자[년월]),0),MATCH(G$1,대출자[#Headers],0)),0)</f>
        <v>0</v>
      </c>
      <c r="H171" s="9">
        <f t="array" ref="H171">IFERROR(INDEX(대출자[],MATCH(1,(자료실기준[[#This Row],[소장처명]]=대출자[소장처명])*(자료실기준[[#This Row],[년월]]=대출자[년월]),0),MATCH(H$1,대출자[#Headers],0)),0)</f>
        <v>0</v>
      </c>
      <c r="I171" s="9">
        <f t="array" ref="I171">IFERROR(INDEX(대출자[],MATCH(1,(자료실기준[[#This Row],[소장처명]]=대출자[소장처명])*(자료실기준[[#This Row],[년월]]=대출자[년월]),0),MATCH(I$1,대출자[#Headers],0)),0)</f>
        <v>4</v>
      </c>
      <c r="J171" s="9">
        <f t="array" ref="J171">IFERROR(INDEX(대출자[],MATCH(1,(자료실기준[[#This Row],[소장처명]]=대출자[소장처명])*(자료실기준[[#This Row],[년월]]=대출자[년월]),0),MATCH(J$1,대출자[#Headers],0)),0)</f>
        <v>5</v>
      </c>
      <c r="K171" s="9">
        <f t="array" ref="K171">IFERROR(INDEX(대출자[],MATCH(1,(자료실기준[[#This Row],[소장처명]]=대출자[소장처명])*(자료실기준[[#This Row],[년월]]=대출자[년월]),0),MATCH(K$1,대출자[#Headers],0)),0)</f>
        <v>4</v>
      </c>
      <c r="L171" s="9">
        <f t="array" ref="L171">IFERROR(INDEX(대출자[],MATCH(1,(자료실기준[[#This Row],[소장처명]]=대출자[소장처명])*(자료실기준[[#This Row],[년월]]=대출자[년월]),0),MATCH(L$1,대출자[#Headers],0)),0)</f>
        <v>0</v>
      </c>
      <c r="M171" s="9">
        <f t="array" ref="M171">IFERROR(INDEX(대출자[],MATCH(1,(자료실기준[[#This Row],[소장처명]]=대출자[소장처명])*(자료실기준[[#This Row],[년월]]=대출자[년월]),0),MATCH(M$1,대출자[#Headers],0)),0)</f>
        <v>9</v>
      </c>
      <c r="N171" s="9">
        <f>IFERROR(자료실기준[[#This Row],[어린이남자]]+자료실기준[[#This Row],[청소년남자]]+자료실기준[[#This Row],[성인남자]],0)</f>
        <v>8</v>
      </c>
      <c r="O171" s="9">
        <f>IFERROR(자료실기준[[#This Row],[어린이여자]]+자료실기준[[#This Row],[청소년여자]]+자료실기준[[#This Row],[성인여자]],0)</f>
        <v>5</v>
      </c>
      <c r="P171" s="9">
        <f>IFERROR(자료실기준[[#This Row],[남자]]+자료실기준[[#This Row],[여자]],0)</f>
        <v>13</v>
      </c>
      <c r="Q171" s="9">
        <f t="array" ref="Q171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71" s="9">
        <f t="array" ref="R171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71" s="9">
        <f t="array" ref="S171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71" s="9">
        <f t="array" ref="T171">IFERROR(INDEX(대출권수[],MATCH(1,(자료실기준[[#This Row],[소장처명]]=대출권수[소장처명])*(대출권수[대출반납]="대출")*(자료실기준[[#This Row],[년월]]=대출권수[년월]),0),MATCH(T$1,대출권수[#Headers],0)),0)</f>
        <v>2</v>
      </c>
      <c r="U171" s="9">
        <f t="array" ref="U171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71" s="9">
        <f t="array" ref="V171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71" s="9">
        <f t="array" ref="W171">IFERROR(INDEX(대출권수[],MATCH(1,(자료실기준[[#This Row],[소장처명]]=대출권수[소장처명])*(대출권수[대출반납]="대출")*(자료실기준[[#This Row],[년월]]=대출권수[년월]),0),MATCH(W$1,대출권수[#Headers],0)),0)</f>
        <v>1</v>
      </c>
      <c r="X171" s="9">
        <f t="array" ref="X171">IFERROR(INDEX(대출권수[],MATCH(1,(자료실기준[[#This Row],[소장처명]]=대출권수[소장처명])*(대출권수[대출반납]="대출")*(자료실기준[[#This Row],[년월]]=대출권수[년월]),0),MATCH(X$1,대출권수[#Headers],0)),0)</f>
        <v>63</v>
      </c>
      <c r="Y171" s="9">
        <f t="array" ref="Y171">IFERROR(INDEX(대출권수[],MATCH(1,(자료실기준[[#This Row],[소장처명]]=대출권수[소장처명])*(대출권수[대출반납]="대출")*(자료실기준[[#This Row],[년월]]=대출권수[년월]),0),MATCH(Y$1,대출권수[#Headers],0)),0)</f>
        <v>19</v>
      </c>
      <c r="Z171" s="9">
        <f t="array" ref="Z171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71" s="9">
        <f>SUM(자료실기준[[#This Row],[총류]:[역사]])</f>
        <v>85</v>
      </c>
    </row>
    <row r="172" spans="1:27" x14ac:dyDescent="0.3">
      <c r="A172" s="5">
        <v>45474</v>
      </c>
      <c r="B172" t="s">
        <v>6</v>
      </c>
      <c r="C172" s="5" t="str">
        <f>TEXT(자료실기준[[#This Row],[년월]],"yy년m월")&amp;자료실기준[[#This Row],[소장처명]]</f>
        <v>24년7월스마트도서관</v>
      </c>
      <c r="D172" t="str">
        <f>IFERROR(INDEX(자료실범례[],MATCH($B172,자료실범례[소장처명],0),2),"종합자료실")</f>
        <v>종합자료실</v>
      </c>
      <c r="E172" s="9">
        <f t="array" ref="E172">IFERROR(INDEX(대출자[],MATCH(1,(자료실기준[[#This Row],[소장처명]]=대출자[소장처명])*(자료실기준[[#This Row],[년월]]=대출자[년월]),0),MATCH(E$1,대출자[#Headers],0)),0)</f>
        <v>5</v>
      </c>
      <c r="F172" s="9">
        <f t="array" ref="F172">IFERROR(INDEX(대출자[],MATCH(1,(자료실기준[[#This Row],[소장처명]]=대출자[소장처명])*(자료실기준[[#This Row],[년월]]=대출자[년월]),0),MATCH(F$1,대출자[#Headers],0)),0)</f>
        <v>10</v>
      </c>
      <c r="G172" s="9">
        <f t="array" ref="G172">IFERROR(INDEX(대출자[],MATCH(1,(자료실기준[[#This Row],[소장처명]]=대출자[소장처명])*(자료실기준[[#This Row],[년월]]=대출자[년월]),0),MATCH(G$1,대출자[#Headers],0)),0)</f>
        <v>0</v>
      </c>
      <c r="H172" s="9">
        <f t="array" ref="H172">IFERROR(INDEX(대출자[],MATCH(1,(자료실기준[[#This Row],[소장처명]]=대출자[소장처명])*(자료실기준[[#This Row],[년월]]=대출자[년월]),0),MATCH(H$1,대출자[#Headers],0)),0)</f>
        <v>1</v>
      </c>
      <c r="I172" s="9">
        <f t="array" ref="I172">IFERROR(INDEX(대출자[],MATCH(1,(자료실기준[[#This Row],[소장처명]]=대출자[소장처명])*(자료실기준[[#This Row],[년월]]=대출자[년월]),0),MATCH(I$1,대출자[#Headers],0)),0)</f>
        <v>3</v>
      </c>
      <c r="J172" s="9">
        <f t="array" ref="J172">IFERROR(INDEX(대출자[],MATCH(1,(자료실기준[[#This Row],[소장처명]]=대출자[소장처명])*(자료실기준[[#This Row],[년월]]=대출자[년월]),0),MATCH(J$1,대출자[#Headers],0)),0)</f>
        <v>16</v>
      </c>
      <c r="K172" s="9">
        <f t="array" ref="K172">IFERROR(INDEX(대출자[],MATCH(1,(자료실기준[[#This Row],[소장처명]]=대출자[소장처명])*(자료실기준[[#This Row],[년월]]=대출자[년월]),0),MATCH(K$1,대출자[#Headers],0)),0)</f>
        <v>15</v>
      </c>
      <c r="L172" s="9">
        <f t="array" ref="L172">IFERROR(INDEX(대출자[],MATCH(1,(자료실기준[[#This Row],[소장처명]]=대출자[소장처명])*(자료실기준[[#This Row],[년월]]=대출자[년월]),0),MATCH(L$1,대출자[#Headers],0)),0)</f>
        <v>1</v>
      </c>
      <c r="M172" s="9">
        <f t="array" ref="M172">IFERROR(INDEX(대출자[],MATCH(1,(자료실기준[[#This Row],[소장처명]]=대출자[소장처명])*(자료실기준[[#This Row],[년월]]=대출자[년월]),0),MATCH(M$1,대출자[#Headers],0)),0)</f>
        <v>19</v>
      </c>
      <c r="N172" s="9">
        <f>IFERROR(자료실기준[[#This Row],[어린이남자]]+자료실기준[[#This Row],[청소년남자]]+자료실기준[[#This Row],[성인남자]],0)</f>
        <v>8</v>
      </c>
      <c r="O172" s="9">
        <f>IFERROR(자료실기준[[#This Row],[어린이여자]]+자료실기준[[#This Row],[청소년여자]]+자료실기준[[#This Row],[성인여자]],0)</f>
        <v>27</v>
      </c>
      <c r="P172" s="9">
        <f>IFERROR(자료실기준[[#This Row],[남자]]+자료실기준[[#This Row],[여자]],0)</f>
        <v>35</v>
      </c>
      <c r="Q172" s="9">
        <f t="array" ref="Q172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72" s="9">
        <f t="array" ref="R172">IFERROR(INDEX(대출권수[],MATCH(1,(자료실기준[[#This Row],[소장처명]]=대출권수[소장처명])*(대출권수[대출반납]="대출")*(자료실기준[[#This Row],[년월]]=대출권수[년월]),0),MATCH(R$1,대출권수[#Headers],0)),0)</f>
        <v>5</v>
      </c>
      <c r="S172" s="9">
        <f t="array" ref="S172">IFERROR(INDEX(대출권수[],MATCH(1,(자료실기준[[#This Row],[소장처명]]=대출권수[소장처명])*(대출권수[대출반납]="대출")*(자료실기준[[#This Row],[년월]]=대출권수[년월]),0),MATCH(S$1,대출권수[#Headers],0)),0)</f>
        <v>1</v>
      </c>
      <c r="T172" s="9">
        <f t="array" ref="T172">IFERROR(INDEX(대출권수[],MATCH(1,(자료실기준[[#This Row],[소장처명]]=대출권수[소장처명])*(대출권수[대출반납]="대출")*(자료실기준[[#This Row],[년월]]=대출권수[년월]),0),MATCH(T$1,대출권수[#Headers],0)),0)</f>
        <v>3</v>
      </c>
      <c r="U172" s="9">
        <f t="array" ref="U172">IFERROR(INDEX(대출권수[],MATCH(1,(자료실기준[[#This Row],[소장처명]]=대출권수[소장처명])*(대출권수[대출반납]="대출")*(자료실기준[[#This Row],[년월]]=대출권수[년월]),0),MATCH(U$1,대출권수[#Headers],0)),0)</f>
        <v>7</v>
      </c>
      <c r="V172" s="9">
        <f t="array" ref="V172">IFERROR(INDEX(대출권수[],MATCH(1,(자료실기준[[#This Row],[소장처명]]=대출권수[소장처명])*(대출권수[대출반납]="대출")*(자료실기준[[#This Row],[년월]]=대출권수[년월]),0),MATCH(V$1,대출권수[#Headers],0)),0)</f>
        <v>2</v>
      </c>
      <c r="W172" s="9">
        <f t="array" ref="W172">IFERROR(INDEX(대출권수[],MATCH(1,(자료실기준[[#This Row],[소장처명]]=대출권수[소장처명])*(대출권수[대출반납]="대출")*(자료실기준[[#This Row],[년월]]=대출권수[년월]),0),MATCH(W$1,대출권수[#Headers],0)),0)</f>
        <v>1</v>
      </c>
      <c r="X172" s="9">
        <f t="array" ref="X172">IFERROR(INDEX(대출권수[],MATCH(1,(자료실기준[[#This Row],[소장처명]]=대출권수[소장처명])*(대출권수[대출반납]="대출")*(자료실기준[[#This Row],[년월]]=대출권수[년월]),0),MATCH(X$1,대출권수[#Headers],0)),0)</f>
        <v>4</v>
      </c>
      <c r="Y172" s="9">
        <f t="array" ref="Y172">IFERROR(INDEX(대출권수[],MATCH(1,(자료실기준[[#This Row],[소장처명]]=대출권수[소장처명])*(대출권수[대출반납]="대출")*(자료실기준[[#This Row],[년월]]=대출권수[년월]),0),MATCH(Y$1,대출권수[#Headers],0)),0)</f>
        <v>72</v>
      </c>
      <c r="Z172" s="9">
        <f t="array" ref="Z172">IFERROR(INDEX(대출권수[],MATCH(1,(자료실기준[[#This Row],[소장처명]]=대출권수[소장처명])*(대출권수[대출반납]="대출")*(자료실기준[[#This Row],[년월]]=대출권수[년월]),0),MATCH(Z$1,대출권수[#Headers],0)),0)</f>
        <v>4</v>
      </c>
      <c r="AA172" s="9">
        <f>SUM(자료실기준[[#This Row],[총류]:[역사]])</f>
        <v>99</v>
      </c>
    </row>
    <row r="173" spans="1:27" x14ac:dyDescent="0.3">
      <c r="A173" s="5">
        <v>45474</v>
      </c>
      <c r="B173" t="s">
        <v>18</v>
      </c>
      <c r="C173" s="5" t="str">
        <f>TEXT(자료실기준[[#This Row],[년월]],"yy년m월")&amp;자료실기준[[#This Row],[소장처명]]</f>
        <v>24년7월정기간행물(종합)</v>
      </c>
      <c r="D173" t="str">
        <f>IFERROR(INDEX(자료실범례[],MATCH($B173,자료실범례[소장처명],0),2),"종합자료실")</f>
        <v>종합자료실</v>
      </c>
      <c r="E173" s="9">
        <f t="array" ref="E173">IFERROR(INDEX(대출자[],MATCH(1,(자료실기준[[#This Row],[소장처명]]=대출자[소장처명])*(자료실기준[[#This Row],[년월]]=대출자[년월]),0),MATCH(E$1,대출자[#Headers],0)),0)</f>
        <v>0</v>
      </c>
      <c r="F173" s="9">
        <f t="array" ref="F173">IFERROR(INDEX(대출자[],MATCH(1,(자료실기준[[#This Row],[소장처명]]=대출자[소장처명])*(자료실기준[[#This Row],[년월]]=대출자[년월]),0),MATCH(F$1,대출자[#Headers],0)),0)</f>
        <v>0</v>
      </c>
      <c r="G173" s="9">
        <f t="array" ref="G173">IFERROR(INDEX(대출자[],MATCH(1,(자료실기준[[#This Row],[소장처명]]=대출자[소장처명])*(자료실기준[[#This Row],[년월]]=대출자[년월]),0),MATCH(G$1,대출자[#Headers],0)),0)</f>
        <v>0</v>
      </c>
      <c r="H173" s="9">
        <f t="array" ref="H173">IFERROR(INDEX(대출자[],MATCH(1,(자료실기준[[#This Row],[소장처명]]=대출자[소장처명])*(자료실기준[[#This Row],[년월]]=대출자[년월]),0),MATCH(H$1,대출자[#Headers],0)),0)</f>
        <v>0</v>
      </c>
      <c r="I173" s="9">
        <f t="array" ref="I173">IFERROR(INDEX(대출자[],MATCH(1,(자료실기준[[#This Row],[소장처명]]=대출자[소장처명])*(자료실기준[[#This Row],[년월]]=대출자[년월]),0),MATCH(I$1,대출자[#Headers],0)),0)</f>
        <v>3</v>
      </c>
      <c r="J173" s="9">
        <f t="array" ref="J173">IFERROR(INDEX(대출자[],MATCH(1,(자료실기준[[#This Row],[소장처명]]=대출자[소장처명])*(자료실기준[[#This Row],[년월]]=대출자[년월]),0),MATCH(J$1,대출자[#Headers],0)),0)</f>
        <v>0</v>
      </c>
      <c r="K173" s="9">
        <f t="array" ref="K173">IFERROR(INDEX(대출자[],MATCH(1,(자료실기준[[#This Row],[소장처명]]=대출자[소장처명])*(자료실기준[[#This Row],[년월]]=대출자[년월]),0),MATCH(K$1,대출자[#Headers],0)),0)</f>
        <v>0</v>
      </c>
      <c r="L173" s="9">
        <f t="array" ref="L173">IFERROR(INDEX(대출자[],MATCH(1,(자료실기준[[#This Row],[소장처명]]=대출자[소장처명])*(자료실기준[[#This Row],[년월]]=대출자[년월]),0),MATCH(L$1,대출자[#Headers],0)),0)</f>
        <v>0</v>
      </c>
      <c r="M173" s="9">
        <f t="array" ref="M173">IFERROR(INDEX(대출자[],MATCH(1,(자료실기준[[#This Row],[소장처명]]=대출자[소장처명])*(자료실기준[[#This Row],[년월]]=대출자[년월]),0),MATCH(M$1,대출자[#Headers],0)),0)</f>
        <v>3</v>
      </c>
      <c r="N173" s="9">
        <f>IFERROR(자료실기준[[#This Row],[어린이남자]]+자료실기준[[#This Row],[청소년남자]]+자료실기준[[#This Row],[성인남자]],0)</f>
        <v>3</v>
      </c>
      <c r="O173" s="9">
        <f>IFERROR(자료실기준[[#This Row],[어린이여자]]+자료실기준[[#This Row],[청소년여자]]+자료실기준[[#This Row],[성인여자]],0)</f>
        <v>0</v>
      </c>
      <c r="P173" s="9">
        <f>IFERROR(자료실기준[[#This Row],[남자]]+자료실기준[[#This Row],[여자]],0)</f>
        <v>3</v>
      </c>
      <c r="Q173" s="9">
        <f t="array" ref="Q173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73" s="9">
        <f t="array" ref="R173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73" s="9">
        <f t="array" ref="S173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73" s="9">
        <f t="array" ref="T173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73" s="9">
        <f t="array" ref="U173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73" s="9">
        <f t="array" ref="V173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73" s="9">
        <f t="array" ref="W173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73" s="9">
        <f t="array" ref="X173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73" s="9">
        <f t="array" ref="Y173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173" s="9">
        <f t="array" ref="Z173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73" s="9">
        <f>SUM(자료실기준[[#This Row],[총류]:[역사]])</f>
        <v>0</v>
      </c>
    </row>
    <row r="174" spans="1:27" x14ac:dyDescent="0.3">
      <c r="A174" s="5">
        <v>45474</v>
      </c>
      <c r="B174" t="s">
        <v>17</v>
      </c>
      <c r="C174" s="5" t="str">
        <f>TEXT(자료실기준[[#This Row],[년월]],"yy년m월")&amp;자료실기준[[#This Row],[소장처명]]</f>
        <v>24년7월정기간행물(어린이)</v>
      </c>
      <c r="D174" t="str">
        <f>IFERROR(INDEX(자료실범례[],MATCH($B174,자료실범례[소장처명],0),2),"종합자료실")</f>
        <v>어린이자료실</v>
      </c>
      <c r="E174" s="9">
        <f t="array" ref="E174">IFERROR(INDEX(대출자[],MATCH(1,(자료실기준[[#This Row],[소장처명]]=대출자[소장처명])*(자료실기준[[#This Row],[년월]]=대출자[년월]),0),MATCH(E$1,대출자[#Headers],0)),0)</f>
        <v>1</v>
      </c>
      <c r="F174" s="9">
        <f t="array" ref="F174">IFERROR(INDEX(대출자[],MATCH(1,(자료실기준[[#This Row],[소장처명]]=대출자[소장처명])*(자료실기준[[#This Row],[년월]]=대출자[년월]),0),MATCH(F$1,대출자[#Headers],0)),0)</f>
        <v>2</v>
      </c>
      <c r="G174" s="9">
        <f t="array" ref="G174">IFERROR(INDEX(대출자[],MATCH(1,(자료실기준[[#This Row],[소장처명]]=대출자[소장처명])*(자료실기준[[#This Row],[년월]]=대출자[년월]),0),MATCH(G$1,대출자[#Headers],0)),0)</f>
        <v>0</v>
      </c>
      <c r="H174" s="9">
        <f t="array" ref="H174">IFERROR(INDEX(대출자[],MATCH(1,(자료실기준[[#This Row],[소장처명]]=대출자[소장처명])*(자료실기준[[#This Row],[년월]]=대출자[년월]),0),MATCH(H$1,대출자[#Headers],0)),0)</f>
        <v>0</v>
      </c>
      <c r="I174" s="9">
        <f t="array" ref="I174">IFERROR(INDEX(대출자[],MATCH(1,(자료실기준[[#This Row],[소장처명]]=대출자[소장처명])*(자료실기준[[#This Row],[년월]]=대출자[년월]),0),MATCH(I$1,대출자[#Headers],0)),0)</f>
        <v>1</v>
      </c>
      <c r="J174" s="9">
        <f t="array" ref="J174">IFERROR(INDEX(대출자[],MATCH(1,(자료실기준[[#This Row],[소장처명]]=대출자[소장처명])*(자료실기준[[#This Row],[년월]]=대출자[년월]),0),MATCH(J$1,대출자[#Headers],0)),0)</f>
        <v>3</v>
      </c>
      <c r="K174" s="9">
        <f t="array" ref="K174">IFERROR(INDEX(대출자[],MATCH(1,(자료실기준[[#This Row],[소장처명]]=대출자[소장처명])*(자료실기준[[#This Row],[년월]]=대출자[년월]),0),MATCH(K$1,대출자[#Headers],0)),0)</f>
        <v>3</v>
      </c>
      <c r="L174" s="9">
        <f t="array" ref="L174">IFERROR(INDEX(대출자[],MATCH(1,(자료실기준[[#This Row],[소장처명]]=대출자[소장처명])*(자료실기준[[#This Row],[년월]]=대출자[년월]),0),MATCH(L$1,대출자[#Headers],0)),0)</f>
        <v>0</v>
      </c>
      <c r="M174" s="9">
        <f t="array" ref="M174">IFERROR(INDEX(대출자[],MATCH(1,(자료실기준[[#This Row],[소장처명]]=대출자[소장처명])*(자료실기준[[#This Row],[년월]]=대출자[년월]),0),MATCH(M$1,대출자[#Headers],0)),0)</f>
        <v>4</v>
      </c>
      <c r="N174" s="9">
        <f>IFERROR(자료실기준[[#This Row],[어린이남자]]+자료실기준[[#This Row],[청소년남자]]+자료실기준[[#This Row],[성인남자]],0)</f>
        <v>2</v>
      </c>
      <c r="O174" s="9">
        <f>IFERROR(자료실기준[[#This Row],[어린이여자]]+자료실기준[[#This Row],[청소년여자]]+자료실기준[[#This Row],[성인여자]],0)</f>
        <v>5</v>
      </c>
      <c r="P174" s="9">
        <f>IFERROR(자료실기준[[#This Row],[남자]]+자료실기준[[#This Row],[여자]],0)</f>
        <v>7</v>
      </c>
      <c r="Q174" s="9">
        <f t="array" ref="Q174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74" s="9">
        <f t="array" ref="R174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74" s="9">
        <f t="array" ref="S174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74" s="9">
        <f t="array" ref="T174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74" s="9">
        <f t="array" ref="U174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74" s="9">
        <f t="array" ref="V174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74" s="9">
        <f t="array" ref="W174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74" s="9">
        <f t="array" ref="X174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74" s="9">
        <f t="array" ref="Y174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174" s="9">
        <f t="array" ref="Z174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74" s="9">
        <f>SUM(자료실기준[[#This Row],[총류]:[역사]])</f>
        <v>0</v>
      </c>
    </row>
    <row r="175" spans="1:27" x14ac:dyDescent="0.3">
      <c r="A175" s="5">
        <v>45474</v>
      </c>
      <c r="B175" t="s">
        <v>197</v>
      </c>
      <c r="C175" s="5" t="str">
        <f>TEXT(자료실기준[[#This Row],[년월]],"yy년m월")&amp;자료실기준[[#This Row],[소장처명]]</f>
        <v>24년7월경남독서한마당(종합)</v>
      </c>
      <c r="D175" t="str">
        <f>IFERROR(INDEX(자료실범례[],MATCH($B175,자료실범례[소장처명],0),2),"종합자료실")</f>
        <v>종합자료실</v>
      </c>
      <c r="E175" s="9">
        <f t="array" ref="E175">IFERROR(INDEX(대출자[],MATCH(1,(자료실기준[[#This Row],[소장처명]]=대출자[소장처명])*(자료실기준[[#This Row],[년월]]=대출자[년월]),0),MATCH(E$1,대출자[#Headers],0)),0)</f>
        <v>1</v>
      </c>
      <c r="F175" s="9">
        <f t="array" ref="F175">IFERROR(INDEX(대출자[],MATCH(1,(자료실기준[[#This Row],[소장처명]]=대출자[소장처명])*(자료실기준[[#This Row],[년월]]=대출자[년월]),0),MATCH(F$1,대출자[#Headers],0)),0)</f>
        <v>0</v>
      </c>
      <c r="G175" s="9">
        <f t="array" ref="G175">IFERROR(INDEX(대출자[],MATCH(1,(자료실기준[[#This Row],[소장처명]]=대출자[소장처명])*(자료실기준[[#This Row],[년월]]=대출자[년월]),0),MATCH(G$1,대출자[#Headers],0)),0)</f>
        <v>0</v>
      </c>
      <c r="H175" s="9">
        <f t="array" ref="H175">IFERROR(INDEX(대출자[],MATCH(1,(자료실기준[[#This Row],[소장처명]]=대출자[소장처명])*(자료실기준[[#This Row],[년월]]=대출자[년월]),0),MATCH(H$1,대출자[#Headers],0)),0)</f>
        <v>0</v>
      </c>
      <c r="I175" s="9">
        <f t="array" ref="I175">IFERROR(INDEX(대출자[],MATCH(1,(자료실기준[[#This Row],[소장처명]]=대출자[소장처명])*(자료실기준[[#This Row],[년월]]=대출자[년월]),0),MATCH(I$1,대출자[#Headers],0)),0)</f>
        <v>3</v>
      </c>
      <c r="J175" s="9">
        <f t="array" ref="J175">IFERROR(INDEX(대출자[],MATCH(1,(자료실기준[[#This Row],[소장처명]]=대출자[소장처명])*(자료실기준[[#This Row],[년월]]=대출자[년월]),0),MATCH(J$1,대출자[#Headers],0)),0)</f>
        <v>10</v>
      </c>
      <c r="K175" s="9">
        <f t="array" ref="K175">IFERROR(INDEX(대출자[],MATCH(1,(자료실기준[[#This Row],[소장처명]]=대출자[소장처명])*(자료실기준[[#This Row],[년월]]=대출자[년월]),0),MATCH(K$1,대출자[#Headers],0)),0)</f>
        <v>1</v>
      </c>
      <c r="L175" s="9">
        <f t="array" ref="L175">IFERROR(INDEX(대출자[],MATCH(1,(자료실기준[[#This Row],[소장처명]]=대출자[소장처명])*(자료실기준[[#This Row],[년월]]=대출자[년월]),0),MATCH(L$1,대출자[#Headers],0)),0)</f>
        <v>0</v>
      </c>
      <c r="M175" s="9">
        <f t="array" ref="M175">IFERROR(INDEX(대출자[],MATCH(1,(자료실기준[[#This Row],[소장처명]]=대출자[소장처명])*(자료실기준[[#This Row],[년월]]=대출자[년월]),0),MATCH(M$1,대출자[#Headers],0)),0)</f>
        <v>13</v>
      </c>
      <c r="N175" s="9">
        <f>IFERROR(자료실기준[[#This Row],[어린이남자]]+자료실기준[[#This Row],[청소년남자]]+자료실기준[[#This Row],[성인남자]],0)</f>
        <v>4</v>
      </c>
      <c r="O175" s="9">
        <f>IFERROR(자료실기준[[#This Row],[어린이여자]]+자료실기준[[#This Row],[청소년여자]]+자료실기준[[#This Row],[성인여자]],0)</f>
        <v>10</v>
      </c>
      <c r="P175" s="9">
        <f>IFERROR(자료실기준[[#This Row],[남자]]+자료실기준[[#This Row],[여자]],0)</f>
        <v>14</v>
      </c>
      <c r="Q175" s="9">
        <f t="array" ref="Q175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75" s="9">
        <f t="array" ref="R175">IFERROR(INDEX(대출권수[],MATCH(1,(자료실기준[[#This Row],[소장처명]]=대출권수[소장처명])*(대출권수[대출반납]="대출")*(자료실기준[[#This Row],[년월]]=대출권수[년월]),0),MATCH(R$1,대출권수[#Headers],0)),0)</f>
        <v>1</v>
      </c>
      <c r="S175" s="9">
        <f t="array" ref="S175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75" s="9">
        <f t="array" ref="T175">IFERROR(INDEX(대출권수[],MATCH(1,(자료실기준[[#This Row],[소장처명]]=대출권수[소장처명])*(대출권수[대출반납]="대출")*(자료실기준[[#This Row],[년월]]=대출권수[년월]),0),MATCH(T$1,대출권수[#Headers],0)),0)</f>
        <v>6</v>
      </c>
      <c r="U175" s="9">
        <f t="array" ref="U175">IFERROR(INDEX(대출권수[],MATCH(1,(자료실기준[[#This Row],[소장처명]]=대출권수[소장처명])*(대출권수[대출반납]="대출")*(자료실기준[[#This Row],[년월]]=대출권수[년월]),0),MATCH(U$1,대출권수[#Headers],0)),0)</f>
        <v>4</v>
      </c>
      <c r="V175" s="9">
        <f t="array" ref="V175">IFERROR(INDEX(대출권수[],MATCH(1,(자료실기준[[#This Row],[소장처명]]=대출권수[소장처명])*(대출권수[대출반납]="대출")*(자료실기준[[#This Row],[년월]]=대출권수[년월]),0),MATCH(V$1,대출권수[#Headers],0)),0)</f>
        <v>2</v>
      </c>
      <c r="W175" s="9">
        <f t="array" ref="W175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75" s="9">
        <f t="array" ref="X175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75" s="9">
        <f t="array" ref="Y175">IFERROR(INDEX(대출권수[],MATCH(1,(자료실기준[[#This Row],[소장처명]]=대출권수[소장처명])*(대출권수[대출반납]="대출")*(자료실기준[[#This Row],[년월]]=대출권수[년월]),0),MATCH(Y$1,대출권수[#Headers],0)),0)</f>
        <v>8</v>
      </c>
      <c r="Z175" s="9">
        <f t="array" ref="Z175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75" s="9">
        <f>SUM(자료실기준[[#This Row],[총류]:[역사]])</f>
        <v>21</v>
      </c>
    </row>
    <row r="176" spans="1:27" x14ac:dyDescent="0.3">
      <c r="A176" s="5">
        <v>45474</v>
      </c>
      <c r="B176" t="s">
        <v>198</v>
      </c>
      <c r="C176" s="5" t="str">
        <f>TEXT(자료실기준[[#This Row],[년월]],"yy년m월")&amp;자료실기준[[#This Row],[소장처명]]</f>
        <v>24년7월경남독서한마당(어린이)</v>
      </c>
      <c r="D176" t="str">
        <f>IFERROR(INDEX(자료실범례[],MATCH($B176,자료실범례[소장처명],0),2),"종합자료실")</f>
        <v>어린이자료실</v>
      </c>
      <c r="E176" s="9">
        <f t="array" ref="E176">IFERROR(INDEX(대출자[],MATCH(1,(자료실기준[[#This Row],[소장처명]]=대출자[소장처명])*(자료실기준[[#This Row],[년월]]=대출자[년월]),0),MATCH(E$1,대출자[#Headers],0)),0)</f>
        <v>4</v>
      </c>
      <c r="F176" s="9">
        <f t="array" ref="F176">IFERROR(INDEX(대출자[],MATCH(1,(자료실기준[[#This Row],[소장처명]]=대출자[소장처명])*(자료실기준[[#This Row],[년월]]=대출자[년월]),0),MATCH(F$1,대출자[#Headers],0)),0)</f>
        <v>7</v>
      </c>
      <c r="G176" s="9">
        <f t="array" ref="G176">IFERROR(INDEX(대출자[],MATCH(1,(자료실기준[[#This Row],[소장처명]]=대출자[소장처명])*(자료실기준[[#This Row],[년월]]=대출자[년월]),0),MATCH(G$1,대출자[#Headers],0)),0)</f>
        <v>0</v>
      </c>
      <c r="H176" s="9">
        <f t="array" ref="H176">IFERROR(INDEX(대출자[],MATCH(1,(자료실기준[[#This Row],[소장처명]]=대출자[소장처명])*(자료실기준[[#This Row],[년월]]=대출자[년월]),0),MATCH(H$1,대출자[#Headers],0)),0)</f>
        <v>0</v>
      </c>
      <c r="I176" s="9">
        <f t="array" ref="I176">IFERROR(INDEX(대출자[],MATCH(1,(자료실기준[[#This Row],[소장처명]]=대출자[소장처명])*(자료실기준[[#This Row],[년월]]=대출자[년월]),0),MATCH(I$1,대출자[#Headers],0)),0)</f>
        <v>4</v>
      </c>
      <c r="J176" s="9">
        <f t="array" ref="J176">IFERROR(INDEX(대출자[],MATCH(1,(자료실기준[[#This Row],[소장처명]]=대출자[소장처명])*(자료실기준[[#This Row],[년월]]=대출자[년월]),0),MATCH(J$1,대출자[#Headers],0)),0)</f>
        <v>12</v>
      </c>
      <c r="K176" s="9">
        <f t="array" ref="K176">IFERROR(INDEX(대출자[],MATCH(1,(자료실기준[[#This Row],[소장처명]]=대출자[소장처명])*(자료실기준[[#This Row],[년월]]=대출자[년월]),0),MATCH(K$1,대출자[#Headers],0)),0)</f>
        <v>11</v>
      </c>
      <c r="L176" s="9">
        <f t="array" ref="L176">IFERROR(INDEX(대출자[],MATCH(1,(자료실기준[[#This Row],[소장처명]]=대출자[소장처명])*(자료실기준[[#This Row],[년월]]=대출자[년월]),0),MATCH(L$1,대출자[#Headers],0)),0)</f>
        <v>0</v>
      </c>
      <c r="M176" s="9">
        <f t="array" ref="M176">IFERROR(INDEX(대출자[],MATCH(1,(자료실기준[[#This Row],[소장처명]]=대출자[소장처명])*(자료실기준[[#This Row],[년월]]=대출자[년월]),0),MATCH(M$1,대출자[#Headers],0)),0)</f>
        <v>16</v>
      </c>
      <c r="N176" s="9">
        <f>IFERROR(자료실기준[[#This Row],[어린이남자]]+자료실기준[[#This Row],[청소년남자]]+자료실기준[[#This Row],[성인남자]],0)</f>
        <v>8</v>
      </c>
      <c r="O176" s="9">
        <f>IFERROR(자료실기준[[#This Row],[어린이여자]]+자료실기준[[#This Row],[청소년여자]]+자료실기준[[#This Row],[성인여자]],0)</f>
        <v>19</v>
      </c>
      <c r="P176" s="9">
        <f>IFERROR(자료실기준[[#This Row],[남자]]+자료실기준[[#This Row],[여자]],0)</f>
        <v>27</v>
      </c>
      <c r="Q176" s="9">
        <f t="array" ref="Q176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76" s="9">
        <f t="array" ref="R176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76" s="9">
        <f t="array" ref="S176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76" s="9">
        <f t="array" ref="T176">IFERROR(INDEX(대출권수[],MATCH(1,(자료실기준[[#This Row],[소장처명]]=대출권수[소장처명])*(대출권수[대출반납]="대출")*(자료실기준[[#This Row],[년월]]=대출권수[년월]),0),MATCH(T$1,대출권수[#Headers],0)),0)</f>
        <v>2</v>
      </c>
      <c r="U176" s="9">
        <f t="array" ref="U176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76" s="9">
        <f t="array" ref="V176">IFERROR(INDEX(대출권수[],MATCH(1,(자료실기준[[#This Row],[소장처명]]=대출권수[소장처명])*(대출권수[대출반납]="대출")*(자료실기준[[#This Row],[년월]]=대출권수[년월]),0),MATCH(V$1,대출권수[#Headers],0)),0)</f>
        <v>7</v>
      </c>
      <c r="W176" s="9">
        <f t="array" ref="W176">IFERROR(INDEX(대출권수[],MATCH(1,(자료실기준[[#This Row],[소장처명]]=대출권수[소장처명])*(대출권수[대출반납]="대출")*(자료실기준[[#This Row],[년월]]=대출권수[년월]),0),MATCH(W$1,대출권수[#Headers],0)),0)</f>
        <v>6</v>
      </c>
      <c r="X176" s="9">
        <f t="array" ref="X176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76" s="9">
        <f t="array" ref="Y176">IFERROR(INDEX(대출권수[],MATCH(1,(자료실기준[[#This Row],[소장처명]]=대출권수[소장처명])*(대출권수[대출반납]="대출")*(자료실기준[[#This Row],[년월]]=대출권수[년월]),0),MATCH(Y$1,대출권수[#Headers],0)),0)</f>
        <v>38</v>
      </c>
      <c r="Z176" s="9">
        <f t="array" ref="Z176">IFERROR(INDEX(대출권수[],MATCH(1,(자료실기준[[#This Row],[소장처명]]=대출권수[소장처명])*(대출권수[대출반납]="대출")*(자료실기준[[#This Row],[년월]]=대출권수[년월]),0),MATCH(Z$1,대출권수[#Headers],0)),0)</f>
        <v>3</v>
      </c>
      <c r="AA176" s="9">
        <f>SUM(자료실기준[[#This Row],[총류]:[역사]])</f>
        <v>56</v>
      </c>
    </row>
    <row r="177" spans="1:27" x14ac:dyDescent="0.3">
      <c r="A177" s="5">
        <v>45474</v>
      </c>
      <c r="B177" t="s">
        <v>454</v>
      </c>
      <c r="C177" s="5" t="str">
        <f>TEXT(자료실기준[[#This Row],[년월]],"yy년m월")&amp;자료실기준[[#This Row],[소장처명]]</f>
        <v>24년7월기타</v>
      </c>
      <c r="D177" t="str">
        <f>IFERROR(INDEX(자료실범례[],MATCH($B177,자료실범례[소장처명],0),2),"종합자료실")</f>
        <v>종합자료실</v>
      </c>
      <c r="E177" s="9">
        <f t="array" ref="E177">IFERROR(INDEX(대출자[],MATCH(1,(자료실기준[[#This Row],[소장처명]]=대출자[소장처명])*(자료실기준[[#This Row],[년월]]=대출자[년월]),0),MATCH(E$1,대출자[#Headers],0)),0)</f>
        <v>0</v>
      </c>
      <c r="F177" s="9">
        <f t="array" ref="F177">IFERROR(INDEX(대출자[],MATCH(1,(자료실기준[[#This Row],[소장처명]]=대출자[소장처명])*(자료실기준[[#This Row],[년월]]=대출자[년월]),0),MATCH(F$1,대출자[#Headers],0)),0)</f>
        <v>0</v>
      </c>
      <c r="G177" s="9">
        <f t="array" ref="G177">IFERROR(INDEX(대출자[],MATCH(1,(자료실기준[[#This Row],[소장처명]]=대출자[소장처명])*(자료실기준[[#This Row],[년월]]=대출자[년월]),0),MATCH(G$1,대출자[#Headers],0)),0)</f>
        <v>0</v>
      </c>
      <c r="H177" s="9">
        <f t="array" ref="H177">IFERROR(INDEX(대출자[],MATCH(1,(자료실기준[[#This Row],[소장처명]]=대출자[소장처명])*(자료실기준[[#This Row],[년월]]=대출자[년월]),0),MATCH(H$1,대출자[#Headers],0)),0)</f>
        <v>0</v>
      </c>
      <c r="I177" s="9">
        <f t="array" ref="I177">IFERROR(INDEX(대출자[],MATCH(1,(자료실기준[[#This Row],[소장처명]]=대출자[소장처명])*(자료실기준[[#This Row],[년월]]=대출자[년월]),0),MATCH(I$1,대출자[#Headers],0)),0)</f>
        <v>0</v>
      </c>
      <c r="J177" s="9">
        <f t="array" ref="J177">IFERROR(INDEX(대출자[],MATCH(1,(자료실기준[[#This Row],[소장처명]]=대출자[소장처명])*(자료실기준[[#This Row],[년월]]=대출자[년월]),0),MATCH(J$1,대출자[#Headers],0)),0)</f>
        <v>0</v>
      </c>
      <c r="K177" s="9">
        <f t="array" ref="K177">IFERROR(INDEX(대출자[],MATCH(1,(자료실기준[[#This Row],[소장처명]]=대출자[소장처명])*(자료실기준[[#This Row],[년월]]=대출자[년월]),0),MATCH(K$1,대출자[#Headers],0)),0)</f>
        <v>0</v>
      </c>
      <c r="L177" s="9">
        <f t="array" ref="L177">IFERROR(INDEX(대출자[],MATCH(1,(자료실기준[[#This Row],[소장처명]]=대출자[소장처명])*(자료실기준[[#This Row],[년월]]=대출자[년월]),0),MATCH(L$1,대출자[#Headers],0)),0)</f>
        <v>0</v>
      </c>
      <c r="M177" s="9">
        <f t="array" ref="M177">IFERROR(INDEX(대출자[],MATCH(1,(자료실기준[[#This Row],[소장처명]]=대출자[소장처명])*(자료실기준[[#This Row],[년월]]=대출자[년월]),0),MATCH(M$1,대출자[#Headers],0)),0)</f>
        <v>0</v>
      </c>
      <c r="N177" s="9">
        <f>IFERROR(자료실기준[[#This Row],[어린이남자]]+자료실기준[[#This Row],[청소년남자]]+자료실기준[[#This Row],[성인남자]],0)</f>
        <v>0</v>
      </c>
      <c r="O177" s="9">
        <f>IFERROR(자료실기준[[#This Row],[어린이여자]]+자료실기준[[#This Row],[청소년여자]]+자료실기준[[#This Row],[성인여자]],0)</f>
        <v>0</v>
      </c>
      <c r="P177" s="9">
        <f>IFERROR(자료실기준[[#This Row],[남자]]+자료실기준[[#This Row],[여자]],0)</f>
        <v>0</v>
      </c>
      <c r="Q177" s="9">
        <f t="array" ref="Q177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77" s="9">
        <f t="array" ref="R177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77" s="9">
        <f t="array" ref="S177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77" s="9">
        <f t="array" ref="T177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77" s="9">
        <f t="array" ref="U177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77" s="9">
        <f t="array" ref="V177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77" s="9">
        <f t="array" ref="W177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77" s="9">
        <f t="array" ref="X177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77" s="9">
        <f t="array" ref="Y177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177" s="9">
        <f t="array" ref="Z177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77" s="9">
        <f>SUM(자료실기준[[#This Row],[총류]:[역사]])</f>
        <v>0</v>
      </c>
    </row>
    <row r="178" spans="1:27" x14ac:dyDescent="0.3">
      <c r="A178" s="5">
        <v>45474</v>
      </c>
      <c r="C178" s="5" t="str">
        <f>TEXT(자료실기준[[#This Row],[년월]],"yy년m월")&amp;자료실기준[[#This Row],[소장처명]]</f>
        <v>24년7월</v>
      </c>
      <c r="D178" t="str">
        <f>IFERROR(INDEX(자료실범례[],MATCH($B178,자료실범례[소장처명],0),2),"종합자료실")</f>
        <v>종합자료실</v>
      </c>
      <c r="E178" s="9">
        <f t="array" ref="E178">IFERROR(INDEX(대출자[],MATCH(1,(자료실기준[[#This Row],[소장처명]]=대출자[소장처명])*(자료실기준[[#This Row],[년월]]=대출자[년월]),0),MATCH(E$1,대출자[#Headers],0)),0)</f>
        <v>0</v>
      </c>
      <c r="F178" s="9">
        <f t="array" ref="F178">IFERROR(INDEX(대출자[],MATCH(1,(자료실기준[[#This Row],[소장처명]]=대출자[소장처명])*(자료실기준[[#This Row],[년월]]=대출자[년월]),0),MATCH(F$1,대출자[#Headers],0)),0)</f>
        <v>0</v>
      </c>
      <c r="G178" s="9">
        <f t="array" ref="G178">IFERROR(INDEX(대출자[],MATCH(1,(자료실기준[[#This Row],[소장처명]]=대출자[소장처명])*(자료실기준[[#This Row],[년월]]=대출자[년월]),0),MATCH(G$1,대출자[#Headers],0)),0)</f>
        <v>0</v>
      </c>
      <c r="H178" s="9">
        <f t="array" ref="H178">IFERROR(INDEX(대출자[],MATCH(1,(자료실기준[[#This Row],[소장처명]]=대출자[소장처명])*(자료실기준[[#This Row],[년월]]=대출자[년월]),0),MATCH(H$1,대출자[#Headers],0)),0)</f>
        <v>0</v>
      </c>
      <c r="I178" s="9">
        <f t="array" ref="I178">IFERROR(INDEX(대출자[],MATCH(1,(자료실기준[[#This Row],[소장처명]]=대출자[소장처명])*(자료실기준[[#This Row],[년월]]=대출자[년월]),0),MATCH(I$1,대출자[#Headers],0)),0)</f>
        <v>0</v>
      </c>
      <c r="J178" s="9">
        <f t="array" ref="J178">IFERROR(INDEX(대출자[],MATCH(1,(자료실기준[[#This Row],[소장처명]]=대출자[소장처명])*(자료실기준[[#This Row],[년월]]=대출자[년월]),0),MATCH(J$1,대출자[#Headers],0)),0)</f>
        <v>0</v>
      </c>
      <c r="K178" s="9">
        <f t="array" ref="K178">IFERROR(INDEX(대출자[],MATCH(1,(자료실기준[[#This Row],[소장처명]]=대출자[소장처명])*(자료실기준[[#This Row],[년월]]=대출자[년월]),0),MATCH(K$1,대출자[#Headers],0)),0)</f>
        <v>0</v>
      </c>
      <c r="L178" s="9">
        <f t="array" ref="L178">IFERROR(INDEX(대출자[],MATCH(1,(자료실기준[[#This Row],[소장처명]]=대출자[소장처명])*(자료실기준[[#This Row],[년월]]=대출자[년월]),0),MATCH(L$1,대출자[#Headers],0)),0)</f>
        <v>0</v>
      </c>
      <c r="M178" s="9">
        <f t="array" ref="M178">IFERROR(INDEX(대출자[],MATCH(1,(자료실기준[[#This Row],[소장처명]]=대출자[소장처명])*(자료실기준[[#This Row],[년월]]=대출자[년월]),0),MATCH(M$1,대출자[#Headers],0)),0)</f>
        <v>0</v>
      </c>
      <c r="N178" s="9">
        <f>IFERROR(자료실기준[[#This Row],[어린이남자]]+자료실기준[[#This Row],[청소년남자]]+자료실기준[[#This Row],[성인남자]],0)</f>
        <v>0</v>
      </c>
      <c r="O178" s="9">
        <f>IFERROR(자료실기준[[#This Row],[어린이여자]]+자료실기준[[#This Row],[청소년여자]]+자료실기준[[#This Row],[성인여자]],0)</f>
        <v>0</v>
      </c>
      <c r="P178" s="9">
        <f>IFERROR(자료실기준[[#This Row],[남자]]+자료실기준[[#This Row],[여자]],0)</f>
        <v>0</v>
      </c>
      <c r="Q178" s="9">
        <f t="array" ref="Q178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78" s="9">
        <f t="array" ref="R178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78" s="9">
        <f t="array" ref="S178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78" s="9">
        <f t="array" ref="T178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78" s="9">
        <f t="array" ref="U178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78" s="9">
        <f t="array" ref="V178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78" s="9">
        <f t="array" ref="W178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78" s="9">
        <f t="array" ref="X178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78" s="9">
        <f t="array" ref="Y178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178" s="9">
        <f t="array" ref="Z178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78" s="9">
        <f>SUM(자료실기준[[#This Row],[총류]:[역사]])</f>
        <v>0</v>
      </c>
    </row>
    <row r="179" spans="1:27" x14ac:dyDescent="0.3">
      <c r="A179" s="5">
        <v>45505</v>
      </c>
      <c r="B179" t="s">
        <v>21</v>
      </c>
      <c r="C179" s="5" t="str">
        <f>TEXT(자료실기준[[#This Row],[년월]],"yy년m월")&amp;자료실기준[[#This Row],[소장처명]]</f>
        <v>24년8월종합자료실</v>
      </c>
      <c r="D179" t="str">
        <f>IFERROR(INDEX(자료실범례[],MATCH($B179,자료실범례[소장처명],0),2),"종합자료실")</f>
        <v>종합자료실</v>
      </c>
      <c r="E179" s="9">
        <f t="array" ref="E179">IFERROR(INDEX(대출자[],MATCH(1,(자료실기준[[#This Row],[소장처명]]=대출자[소장처명])*(자료실기준[[#This Row],[년월]]=대출자[년월]),0),MATCH(E$1,대출자[#Headers],0)),0)</f>
        <v>15</v>
      </c>
      <c r="F179" s="9">
        <f t="array" ref="F179">IFERROR(INDEX(대출자[],MATCH(1,(자료실기준[[#This Row],[소장처명]]=대출자[소장처명])*(자료실기준[[#This Row],[년월]]=대출자[년월]),0),MATCH(F$1,대출자[#Headers],0)),0)</f>
        <v>13</v>
      </c>
      <c r="G179" s="9">
        <f t="array" ref="G179">IFERROR(INDEX(대출자[],MATCH(1,(자료실기준[[#This Row],[소장처명]]=대출자[소장처명])*(자료실기준[[#This Row],[년월]]=대출자[년월]),0),MATCH(G$1,대출자[#Headers],0)),0)</f>
        <v>11</v>
      </c>
      <c r="H179" s="9">
        <f t="array" ref="H179">IFERROR(INDEX(대출자[],MATCH(1,(자료실기준[[#This Row],[소장처명]]=대출자[소장처명])*(자료실기준[[#This Row],[년월]]=대출자[년월]),0),MATCH(H$1,대출자[#Headers],0)),0)</f>
        <v>24</v>
      </c>
      <c r="I179" s="9">
        <f t="array" ref="I179">IFERROR(INDEX(대출자[],MATCH(1,(자료실기준[[#This Row],[소장처명]]=대출자[소장처명])*(자료실기준[[#This Row],[년월]]=대출자[년월]),0),MATCH(I$1,대출자[#Headers],0)),0)</f>
        <v>139</v>
      </c>
      <c r="J179" s="9">
        <f t="array" ref="J179">IFERROR(INDEX(대출자[],MATCH(1,(자료실기준[[#This Row],[소장처명]]=대출자[소장처명])*(자료실기준[[#This Row],[년월]]=대출자[년월]),0),MATCH(J$1,대출자[#Headers],0)),0)</f>
        <v>225</v>
      </c>
      <c r="K179" s="9">
        <f t="array" ref="K179">IFERROR(INDEX(대출자[],MATCH(1,(자료실기준[[#This Row],[소장처명]]=대출자[소장처명])*(자료실기준[[#This Row],[년월]]=대출자[년월]),0),MATCH(K$1,대출자[#Headers],0)),0)</f>
        <v>28</v>
      </c>
      <c r="L179" s="9">
        <f t="array" ref="L179">IFERROR(INDEX(대출자[],MATCH(1,(자료실기준[[#This Row],[소장처명]]=대출자[소장처명])*(자료실기준[[#This Row],[년월]]=대출자[년월]),0),MATCH(L$1,대출자[#Headers],0)),0)</f>
        <v>35</v>
      </c>
      <c r="M179" s="9">
        <f t="array" ref="M179">IFERROR(INDEX(대출자[],MATCH(1,(자료실기준[[#This Row],[소장처명]]=대출자[소장처명])*(자료실기준[[#This Row],[년월]]=대출자[년월]),0),MATCH(M$1,대출자[#Headers],0)),0)</f>
        <v>364</v>
      </c>
      <c r="N179" s="9">
        <f>IFERROR(자료실기준[[#This Row],[어린이남자]]+자료실기준[[#This Row],[청소년남자]]+자료실기준[[#This Row],[성인남자]],0)</f>
        <v>165</v>
      </c>
      <c r="O179" s="9">
        <f>IFERROR(자료실기준[[#This Row],[어린이여자]]+자료실기준[[#This Row],[청소년여자]]+자료실기준[[#This Row],[성인여자]],0)</f>
        <v>262</v>
      </c>
      <c r="P179" s="9">
        <f>IFERROR(자료실기준[[#This Row],[남자]]+자료실기준[[#This Row],[여자]],0)</f>
        <v>427</v>
      </c>
      <c r="Q179" s="9">
        <f t="array" ref="Q179">IFERROR(INDEX(대출권수[],MATCH(1,(자료실기준[[#This Row],[소장처명]]=대출권수[소장처명])*(대출권수[대출반납]="대출")*(자료실기준[[#This Row],[년월]]=대출권수[년월]),0),MATCH(Q$1,대출권수[#Headers],0)),0)</f>
        <v>74</v>
      </c>
      <c r="R179" s="9">
        <f t="array" ref="R179">IFERROR(INDEX(대출권수[],MATCH(1,(자료실기준[[#This Row],[소장처명]]=대출권수[소장처명])*(대출권수[대출반납]="대출")*(자료실기준[[#This Row],[년월]]=대출권수[년월]),0),MATCH(R$1,대출권수[#Headers],0)),0)</f>
        <v>151</v>
      </c>
      <c r="S179" s="9">
        <f t="array" ref="S179">IFERROR(INDEX(대출권수[],MATCH(1,(자료실기준[[#This Row],[소장처명]]=대출권수[소장처명])*(대출권수[대출반납]="대출")*(자료실기준[[#This Row],[년월]]=대출권수[년월]),0),MATCH(S$1,대출권수[#Headers],0)),0)</f>
        <v>33</v>
      </c>
      <c r="T179" s="9">
        <f t="array" ref="T179">IFERROR(INDEX(대출권수[],MATCH(1,(자료실기준[[#This Row],[소장처명]]=대출권수[소장처명])*(대출권수[대출반납]="대출")*(자료실기준[[#This Row],[년월]]=대출권수[년월]),0),MATCH(T$1,대출권수[#Headers],0)),0)</f>
        <v>240</v>
      </c>
      <c r="U179" s="9">
        <f t="array" ref="U179">IFERROR(INDEX(대출권수[],MATCH(1,(자료실기준[[#This Row],[소장처명]]=대출권수[소장처명])*(대출권수[대출반납]="대출")*(자료실기준[[#This Row],[년월]]=대출권수[년월]),0),MATCH(U$1,대출권수[#Headers],0)),0)</f>
        <v>82</v>
      </c>
      <c r="V179" s="9">
        <f t="array" ref="V179">IFERROR(INDEX(대출권수[],MATCH(1,(자료실기준[[#This Row],[소장처명]]=대출권수[소장처명])*(대출권수[대출반납]="대출")*(자료실기준[[#This Row],[년월]]=대출권수[년월]),0),MATCH(V$1,대출권수[#Headers],0)),0)</f>
        <v>133</v>
      </c>
      <c r="W179" s="9">
        <f t="array" ref="W179">IFERROR(INDEX(대출권수[],MATCH(1,(자료실기준[[#This Row],[소장처명]]=대출권수[소장처명])*(대출권수[대출반납]="대출")*(자료실기준[[#This Row],[년월]]=대출권수[년월]),0),MATCH(W$1,대출권수[#Headers],0)),0)</f>
        <v>56</v>
      </c>
      <c r="X179" s="9">
        <f t="array" ref="X179">IFERROR(INDEX(대출권수[],MATCH(1,(자료실기준[[#This Row],[소장처명]]=대출권수[소장처명])*(대출권수[대출반납]="대출")*(자료실기준[[#This Row],[년월]]=대출권수[년월]),0),MATCH(X$1,대출권수[#Headers],0)),0)</f>
        <v>14</v>
      </c>
      <c r="Y179" s="9">
        <f t="array" ref="Y179">IFERROR(INDEX(대출권수[],MATCH(1,(자료실기준[[#This Row],[소장처명]]=대출권수[소장처명])*(대출권수[대출반납]="대출")*(자료실기준[[#This Row],[년월]]=대출권수[년월]),0),MATCH(Y$1,대출권수[#Headers],0)),0)</f>
        <v>776</v>
      </c>
      <c r="Z179" s="9">
        <f t="array" ref="Z179">IFERROR(INDEX(대출권수[],MATCH(1,(자료실기준[[#This Row],[소장처명]]=대출권수[소장처명])*(대출권수[대출반납]="대출")*(자료실기준[[#This Row],[년월]]=대출권수[년월]),0),MATCH(Z$1,대출권수[#Headers],0)),0)</f>
        <v>53</v>
      </c>
      <c r="AA179" s="9">
        <f>SUM(자료실기준[[#This Row],[총류]:[역사]])</f>
        <v>1612</v>
      </c>
    </row>
    <row r="180" spans="1:27" x14ac:dyDescent="0.3">
      <c r="A180" s="5">
        <v>45505</v>
      </c>
      <c r="B180" t="s">
        <v>16</v>
      </c>
      <c r="C180" s="5" t="str">
        <f>TEXT(자료실기준[[#This Row],[년월]],"yy년m월")&amp;자료실기준[[#This Row],[소장처명]]</f>
        <v>24년8월어린이자료실</v>
      </c>
      <c r="D180" t="str">
        <f>IFERROR(INDEX(자료실범례[],MATCH($B180,자료실범례[소장처명],0),2),"종합자료실")</f>
        <v>어린이자료실</v>
      </c>
      <c r="E180" s="9">
        <f t="array" ref="E180">IFERROR(INDEX(대출자[],MATCH(1,(자료실기준[[#This Row],[소장처명]]=대출자[소장처명])*(자료실기준[[#This Row],[년월]]=대출자[년월]),0),MATCH(E$1,대출자[#Headers],0)),0)</f>
        <v>59</v>
      </c>
      <c r="F180" s="9">
        <f t="array" ref="F180">IFERROR(INDEX(대출자[],MATCH(1,(자료실기준[[#This Row],[소장처명]]=대출자[소장처명])*(자료실기준[[#This Row],[년월]]=대출자[년월]),0),MATCH(F$1,대출자[#Headers],0)),0)</f>
        <v>59</v>
      </c>
      <c r="G180" s="9">
        <f t="array" ref="G180">IFERROR(INDEX(대출자[],MATCH(1,(자료실기준[[#This Row],[소장처명]]=대출자[소장처명])*(자료실기준[[#This Row],[년월]]=대출자[년월]),0),MATCH(G$1,대출자[#Headers],0)),0)</f>
        <v>4</v>
      </c>
      <c r="H180" s="9">
        <f t="array" ref="H180">IFERROR(INDEX(대출자[],MATCH(1,(자료실기준[[#This Row],[소장처명]]=대출자[소장처명])*(자료실기준[[#This Row],[년월]]=대출자[년월]),0),MATCH(H$1,대출자[#Headers],0)),0)</f>
        <v>7</v>
      </c>
      <c r="I180" s="9">
        <f t="array" ref="I180">IFERROR(INDEX(대출자[],MATCH(1,(자료실기준[[#This Row],[소장처명]]=대출자[소장처명])*(자료실기준[[#This Row],[년월]]=대출자[년월]),0),MATCH(I$1,대출자[#Headers],0)),0)</f>
        <v>52</v>
      </c>
      <c r="J180" s="9">
        <f t="array" ref="J180">IFERROR(INDEX(대출자[],MATCH(1,(자료실기준[[#This Row],[소장처명]]=대출자[소장처명])*(자료실기준[[#This Row],[년월]]=대출자[년월]),0),MATCH(J$1,대출자[#Headers],0)),0)</f>
        <v>115</v>
      </c>
      <c r="K180" s="9">
        <f t="array" ref="K180">IFERROR(INDEX(대출자[],MATCH(1,(자료실기준[[#This Row],[소장처명]]=대출자[소장처명])*(자료실기준[[#This Row],[년월]]=대출자[년월]),0),MATCH(K$1,대출자[#Headers],0)),0)</f>
        <v>118</v>
      </c>
      <c r="L180" s="9">
        <f t="array" ref="L180">IFERROR(INDEX(대출자[],MATCH(1,(자료실기준[[#This Row],[소장처명]]=대출자[소장처명])*(자료실기준[[#This Row],[년월]]=대출자[년월]),0),MATCH(L$1,대출자[#Headers],0)),0)</f>
        <v>11</v>
      </c>
      <c r="M180" s="9">
        <f t="array" ref="M180">IFERROR(INDEX(대출자[],MATCH(1,(자료실기준[[#This Row],[소장처명]]=대출자[소장처명])*(자료실기준[[#This Row],[년월]]=대출자[년월]),0),MATCH(M$1,대출자[#Headers],0)),0)</f>
        <v>167</v>
      </c>
      <c r="N180" s="9">
        <f>IFERROR(자료실기준[[#This Row],[어린이남자]]+자료실기준[[#This Row],[청소년남자]]+자료실기준[[#This Row],[성인남자]],0)</f>
        <v>115</v>
      </c>
      <c r="O180" s="9">
        <f>IFERROR(자료실기준[[#This Row],[어린이여자]]+자료실기준[[#This Row],[청소년여자]]+자료실기준[[#This Row],[성인여자]],0)</f>
        <v>181</v>
      </c>
      <c r="P180" s="9">
        <f>IFERROR(자료실기준[[#This Row],[남자]]+자료실기준[[#This Row],[여자]],0)</f>
        <v>296</v>
      </c>
      <c r="Q180" s="9">
        <f t="array" ref="Q180">IFERROR(INDEX(대출권수[],MATCH(1,(자료실기준[[#This Row],[소장처명]]=대출권수[소장처명])*(대출권수[대출반납]="대출")*(자료실기준[[#This Row],[년월]]=대출권수[년월]),0),MATCH(Q$1,대출권수[#Headers],0)),0)</f>
        <v>39</v>
      </c>
      <c r="R180" s="9">
        <f t="array" ref="R180">IFERROR(INDEX(대출권수[],MATCH(1,(자료실기준[[#This Row],[소장처명]]=대출권수[소장처명])*(대출권수[대출반납]="대출")*(자료실기준[[#This Row],[년월]]=대출권수[년월]),0),MATCH(R$1,대출권수[#Headers],0)),0)</f>
        <v>26</v>
      </c>
      <c r="S180" s="9">
        <f t="array" ref="S180">IFERROR(INDEX(대출권수[],MATCH(1,(자료실기준[[#This Row],[소장처명]]=대출권수[소장처명])*(대출권수[대출반납]="대출")*(자료실기준[[#This Row],[년월]]=대출권수[년월]),0),MATCH(S$1,대출권수[#Headers],0)),0)</f>
        <v>60</v>
      </c>
      <c r="T180" s="9">
        <f t="array" ref="T180">IFERROR(INDEX(대출권수[],MATCH(1,(자료실기준[[#This Row],[소장처명]]=대출권수[소장처명])*(대출권수[대출반납]="대출")*(자료실기준[[#This Row],[년월]]=대출권수[년월]),0),MATCH(T$1,대출권수[#Headers],0)),0)</f>
        <v>136</v>
      </c>
      <c r="U180" s="9">
        <f t="array" ref="U180">IFERROR(INDEX(대출권수[],MATCH(1,(자료실기준[[#This Row],[소장처명]]=대출권수[소장처명])*(대출권수[대출반납]="대출")*(자료실기준[[#This Row],[년월]]=대출권수[년월]),0),MATCH(U$1,대출권수[#Headers],0)),0)</f>
        <v>178</v>
      </c>
      <c r="V180" s="9">
        <f t="array" ref="V180">IFERROR(INDEX(대출권수[],MATCH(1,(자료실기준[[#This Row],[소장처명]]=대출권수[소장처명])*(대출권수[대출반납]="대출")*(자료실기준[[#This Row],[년월]]=대출권수[년월]),0),MATCH(V$1,대출권수[#Headers],0)),0)</f>
        <v>44</v>
      </c>
      <c r="W180" s="9">
        <f t="array" ref="W180">IFERROR(INDEX(대출권수[],MATCH(1,(자료실기준[[#This Row],[소장처명]]=대출권수[소장처명])*(대출권수[대출반납]="대출")*(자료실기준[[#This Row],[년월]]=대출권수[년월]),0),MATCH(W$1,대출권수[#Headers],0)),0)</f>
        <v>53</v>
      </c>
      <c r="X180" s="9">
        <f t="array" ref="X180">IFERROR(INDEX(대출권수[],MATCH(1,(자료실기준[[#This Row],[소장처명]]=대출권수[소장처명])*(대출권수[대출반납]="대출")*(자료실기준[[#This Row],[년월]]=대출권수[년월]),0),MATCH(X$1,대출권수[#Headers],0)),0)</f>
        <v>32</v>
      </c>
      <c r="Y180" s="9">
        <f t="array" ref="Y180">IFERROR(INDEX(대출권수[],MATCH(1,(자료실기준[[#This Row],[소장처명]]=대출권수[소장처명])*(대출권수[대출반납]="대출")*(자료실기준[[#This Row],[년월]]=대출권수[년월]),0),MATCH(Y$1,대출권수[#Headers],0)),0)</f>
        <v>1040</v>
      </c>
      <c r="Z180" s="9">
        <f t="array" ref="Z180">IFERROR(INDEX(대출권수[],MATCH(1,(자료실기준[[#This Row],[소장처명]]=대출권수[소장처명])*(대출권수[대출반납]="대출")*(자료실기준[[#This Row],[년월]]=대출권수[년월]),0),MATCH(Z$1,대출권수[#Headers],0)),0)</f>
        <v>161</v>
      </c>
      <c r="AA180" s="9">
        <f>SUM(자료실기준[[#This Row],[총류]:[역사]])</f>
        <v>1769</v>
      </c>
    </row>
    <row r="181" spans="1:27" x14ac:dyDescent="0.3">
      <c r="A181" s="5">
        <v>45505</v>
      </c>
      <c r="B181" t="s">
        <v>2</v>
      </c>
      <c r="C181" s="5" t="str">
        <f>TEXT(자료실기준[[#This Row],[년월]],"yy년m월")&amp;자료실기준[[#This Row],[소장처명]]</f>
        <v>24년8월디지털자료실</v>
      </c>
      <c r="D181" t="str">
        <f>IFERROR(INDEX(자료실범례[],MATCH($B181,자료실범례[소장처명],0),2),"종합자료실")</f>
        <v>디지털자료실</v>
      </c>
      <c r="E181" s="9">
        <f t="array" ref="E181">IFERROR(INDEX(대출자[],MATCH(1,(자료실기준[[#This Row],[소장처명]]=대출자[소장처명])*(자료실기준[[#This Row],[년월]]=대출자[년월]),0),MATCH(E$1,대출자[#Headers],0)),0)</f>
        <v>2</v>
      </c>
      <c r="F181" s="9">
        <f t="array" ref="F181">IFERROR(INDEX(대출자[],MATCH(1,(자료실기준[[#This Row],[소장처명]]=대출자[소장처명])*(자료실기준[[#This Row],[년월]]=대출자[년월]),0),MATCH(F$1,대출자[#Headers],0)),0)</f>
        <v>1</v>
      </c>
      <c r="G181" s="9">
        <f t="array" ref="G181">IFERROR(INDEX(대출자[],MATCH(1,(자료실기준[[#This Row],[소장처명]]=대출자[소장처명])*(자료실기준[[#This Row],[년월]]=대출자[년월]),0),MATCH(G$1,대출자[#Headers],0)),0)</f>
        <v>0</v>
      </c>
      <c r="H181" s="9">
        <f t="array" ref="H181">IFERROR(INDEX(대출자[],MATCH(1,(자료실기준[[#This Row],[소장처명]]=대출자[소장처명])*(자료실기준[[#This Row],[년월]]=대출자[년월]),0),MATCH(H$1,대출자[#Headers],0)),0)</f>
        <v>0</v>
      </c>
      <c r="I181" s="9">
        <f t="array" ref="I181">IFERROR(INDEX(대출자[],MATCH(1,(자료실기준[[#This Row],[소장처명]]=대출자[소장처명])*(자료실기준[[#This Row],[년월]]=대출자[년월]),0),MATCH(I$1,대출자[#Headers],0)),0)</f>
        <v>7</v>
      </c>
      <c r="J181" s="9">
        <f t="array" ref="J181">IFERROR(INDEX(대출자[],MATCH(1,(자료실기준[[#This Row],[소장처명]]=대출자[소장처명])*(자료실기준[[#This Row],[년월]]=대출자[년월]),0),MATCH(J$1,대출자[#Headers],0)),0)</f>
        <v>5</v>
      </c>
      <c r="K181" s="9">
        <f t="array" ref="K181">IFERROR(INDEX(대출자[],MATCH(1,(자료실기준[[#This Row],[소장처명]]=대출자[소장처명])*(자료실기준[[#This Row],[년월]]=대출자[년월]),0),MATCH(K$1,대출자[#Headers],0)),0)</f>
        <v>3</v>
      </c>
      <c r="L181" s="9">
        <f t="array" ref="L181">IFERROR(INDEX(대출자[],MATCH(1,(자료실기준[[#This Row],[소장처명]]=대출자[소장처명])*(자료실기준[[#This Row],[년월]]=대출자[년월]),0),MATCH(L$1,대출자[#Headers],0)),0)</f>
        <v>0</v>
      </c>
      <c r="M181" s="9">
        <f t="array" ref="M181">IFERROR(INDEX(대출자[],MATCH(1,(자료실기준[[#This Row],[소장처명]]=대출자[소장처명])*(자료실기준[[#This Row],[년월]]=대출자[년월]),0),MATCH(M$1,대출자[#Headers],0)),0)</f>
        <v>12</v>
      </c>
      <c r="N181" s="9">
        <f>IFERROR(자료실기준[[#This Row],[어린이남자]]+자료실기준[[#This Row],[청소년남자]]+자료실기준[[#This Row],[성인남자]],0)</f>
        <v>9</v>
      </c>
      <c r="O181" s="9">
        <f>IFERROR(자료실기준[[#This Row],[어린이여자]]+자료실기준[[#This Row],[청소년여자]]+자료실기준[[#This Row],[성인여자]],0)</f>
        <v>6</v>
      </c>
      <c r="P181" s="9">
        <f>IFERROR(자료실기준[[#This Row],[남자]]+자료실기준[[#This Row],[여자]],0)</f>
        <v>15</v>
      </c>
      <c r="Q181" s="9">
        <f t="array" ref="Q181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81" s="9">
        <f t="array" ref="R181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81" s="9">
        <f t="array" ref="S181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81" s="9">
        <f t="array" ref="T181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81" s="9">
        <f t="array" ref="U181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81" s="9">
        <f t="array" ref="V181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81" s="9">
        <f t="array" ref="W181">IFERROR(INDEX(대출권수[],MATCH(1,(자료실기준[[#This Row],[소장처명]]=대출권수[소장처명])*(대출권수[대출반납]="대출")*(자료실기준[[#This Row],[년월]]=대출권수[년월]),0),MATCH(W$1,대출권수[#Headers],0)),0)</f>
        <v>57</v>
      </c>
      <c r="X181" s="9">
        <f t="array" ref="X181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81" s="9">
        <f t="array" ref="Y181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181" s="9">
        <f t="array" ref="Z181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81" s="9">
        <f>SUM(자료실기준[[#This Row],[총류]:[역사]])</f>
        <v>57</v>
      </c>
    </row>
    <row r="182" spans="1:27" x14ac:dyDescent="0.3">
      <c r="A182" s="5">
        <v>45505</v>
      </c>
      <c r="B182" t="s">
        <v>19</v>
      </c>
      <c r="C182" s="5" t="str">
        <f>TEXT(자료실기준[[#This Row],[년월]],"yy년m월")&amp;자료실기준[[#This Row],[소장처명]]</f>
        <v>24년8월종합실(신간도서)</v>
      </c>
      <c r="D182" t="str">
        <f>IFERROR(INDEX(자료실범례[],MATCH($B182,자료실범례[소장처명],0),2),"종합자료실")</f>
        <v>종합자료실</v>
      </c>
      <c r="E182" s="9">
        <f t="array" ref="E182">IFERROR(INDEX(대출자[],MATCH(1,(자료실기준[[#This Row],[소장처명]]=대출자[소장처명])*(자료실기준[[#This Row],[년월]]=대출자[년월]),0),MATCH(E$1,대출자[#Headers],0)),0)</f>
        <v>11</v>
      </c>
      <c r="F182" s="9">
        <f t="array" ref="F182">IFERROR(INDEX(대출자[],MATCH(1,(자료실기준[[#This Row],[소장처명]]=대출자[소장처명])*(자료실기준[[#This Row],[년월]]=대출자[년월]),0),MATCH(F$1,대출자[#Headers],0)),0)</f>
        <v>5</v>
      </c>
      <c r="G182" s="9">
        <f t="array" ref="G182">IFERROR(INDEX(대출자[],MATCH(1,(자료실기준[[#This Row],[소장처명]]=대출자[소장처명])*(자료실기준[[#This Row],[년월]]=대출자[년월]),0),MATCH(G$1,대출자[#Headers],0)),0)</f>
        <v>4</v>
      </c>
      <c r="H182" s="9">
        <f t="array" ref="H182">IFERROR(INDEX(대출자[],MATCH(1,(자료실기준[[#This Row],[소장처명]]=대출자[소장처명])*(자료실기준[[#This Row],[년월]]=대출자[년월]),0),MATCH(H$1,대출자[#Headers],0)),0)</f>
        <v>7</v>
      </c>
      <c r="I182" s="9">
        <f t="array" ref="I182">IFERROR(INDEX(대출자[],MATCH(1,(자료실기준[[#This Row],[소장처명]]=대출자[소장처명])*(자료실기준[[#This Row],[년월]]=대출자[년월]),0),MATCH(I$1,대출자[#Headers],0)),0)</f>
        <v>67</v>
      </c>
      <c r="J182" s="9">
        <f t="array" ref="J182">IFERROR(INDEX(대출자[],MATCH(1,(자료실기준[[#This Row],[소장처명]]=대출자[소장처명])*(자료실기준[[#This Row],[년월]]=대출자[년월]),0),MATCH(J$1,대출자[#Headers],0)),0)</f>
        <v>126</v>
      </c>
      <c r="K182" s="9">
        <f t="array" ref="K182">IFERROR(INDEX(대출자[],MATCH(1,(자료실기준[[#This Row],[소장처명]]=대출자[소장처명])*(자료실기준[[#This Row],[년월]]=대출자[년월]),0),MATCH(K$1,대출자[#Headers],0)),0)</f>
        <v>16</v>
      </c>
      <c r="L182" s="9">
        <f t="array" ref="L182">IFERROR(INDEX(대출자[],MATCH(1,(자료실기준[[#This Row],[소장처명]]=대출자[소장처명])*(자료실기준[[#This Row],[년월]]=대출자[년월]),0),MATCH(L$1,대출자[#Headers],0)),0)</f>
        <v>11</v>
      </c>
      <c r="M182" s="9">
        <f t="array" ref="M182">IFERROR(INDEX(대출자[],MATCH(1,(자료실기준[[#This Row],[소장처명]]=대출자[소장처명])*(자료실기준[[#This Row],[년월]]=대출자[년월]),0),MATCH(M$1,대출자[#Headers],0)),0)</f>
        <v>193</v>
      </c>
      <c r="N182" s="9">
        <f>IFERROR(자료실기준[[#This Row],[어린이남자]]+자료실기준[[#This Row],[청소년남자]]+자료실기준[[#This Row],[성인남자]],0)</f>
        <v>82</v>
      </c>
      <c r="O182" s="9">
        <f>IFERROR(자료실기준[[#This Row],[어린이여자]]+자료실기준[[#This Row],[청소년여자]]+자료실기준[[#This Row],[성인여자]],0)</f>
        <v>138</v>
      </c>
      <c r="P182" s="9">
        <f>IFERROR(자료실기준[[#This Row],[남자]]+자료실기준[[#This Row],[여자]],0)</f>
        <v>220</v>
      </c>
      <c r="Q182" s="9">
        <f t="array" ref="Q182">IFERROR(INDEX(대출권수[],MATCH(1,(자료실기준[[#This Row],[소장처명]]=대출권수[소장처명])*(대출권수[대출반납]="대출")*(자료실기준[[#This Row],[년월]]=대출권수[년월]),0),MATCH(Q$1,대출권수[#Headers],0)),0)</f>
        <v>17</v>
      </c>
      <c r="R182" s="9">
        <f t="array" ref="R182">IFERROR(INDEX(대출권수[],MATCH(1,(자료실기준[[#This Row],[소장처명]]=대출권수[소장처명])*(대출권수[대출반납]="대출")*(자료실기준[[#This Row],[년월]]=대출권수[년월]),0),MATCH(R$1,대출권수[#Headers],0)),0)</f>
        <v>81</v>
      </c>
      <c r="S182" s="9">
        <f t="array" ref="S182">IFERROR(INDEX(대출권수[],MATCH(1,(자료실기준[[#This Row],[소장처명]]=대출권수[소장처명])*(대출권수[대출반납]="대출")*(자료실기준[[#This Row],[년월]]=대출권수[년월]),0),MATCH(S$1,대출권수[#Headers],0)),0)</f>
        <v>13</v>
      </c>
      <c r="T182" s="9">
        <f t="array" ref="T182">IFERROR(INDEX(대출권수[],MATCH(1,(자료실기준[[#This Row],[소장처명]]=대출권수[소장처명])*(대출권수[대출반납]="대출")*(자료실기준[[#This Row],[년월]]=대출권수[년월]),0),MATCH(T$1,대출권수[#Headers],0)),0)</f>
        <v>120</v>
      </c>
      <c r="U182" s="9">
        <f t="array" ref="U182">IFERROR(INDEX(대출권수[],MATCH(1,(자료실기준[[#This Row],[소장처명]]=대출권수[소장처명])*(대출권수[대출반납]="대출")*(자료실기준[[#This Row],[년월]]=대출권수[년월]),0),MATCH(U$1,대출권수[#Headers],0)),0)</f>
        <v>27</v>
      </c>
      <c r="V182" s="9">
        <f t="array" ref="V182">IFERROR(INDEX(대출권수[],MATCH(1,(자료실기준[[#This Row],[소장처명]]=대출권수[소장처명])*(대출권수[대출반납]="대출")*(자료실기준[[#This Row],[년월]]=대출권수[년월]),0),MATCH(V$1,대출권수[#Headers],0)),0)</f>
        <v>55</v>
      </c>
      <c r="W182" s="9">
        <f t="array" ref="W182">IFERROR(INDEX(대출권수[],MATCH(1,(자료실기준[[#This Row],[소장처명]]=대출권수[소장처명])*(대출권수[대출반납]="대출")*(자료실기준[[#This Row],[년월]]=대출권수[년월]),0),MATCH(W$1,대출권수[#Headers],0)),0)</f>
        <v>29</v>
      </c>
      <c r="X182" s="9">
        <f t="array" ref="X182">IFERROR(INDEX(대출권수[],MATCH(1,(자료실기준[[#This Row],[소장처명]]=대출권수[소장처명])*(대출권수[대출반납]="대출")*(자료실기준[[#This Row],[년월]]=대출권수[년월]),0),MATCH(X$1,대출권수[#Headers],0)),0)</f>
        <v>23</v>
      </c>
      <c r="Y182" s="9">
        <f t="array" ref="Y182">IFERROR(INDEX(대출권수[],MATCH(1,(자료실기준[[#This Row],[소장처명]]=대출권수[소장처명])*(대출권수[대출반납]="대출")*(자료실기준[[#This Row],[년월]]=대출권수[년월]),0),MATCH(Y$1,대출권수[#Headers],0)),0)</f>
        <v>215</v>
      </c>
      <c r="Z182" s="9">
        <f t="array" ref="Z182">IFERROR(INDEX(대출권수[],MATCH(1,(자료실기준[[#This Row],[소장처명]]=대출권수[소장처명])*(대출권수[대출반납]="대출")*(자료실기준[[#This Row],[년월]]=대출권수[년월]),0),MATCH(Z$1,대출권수[#Headers],0)),0)</f>
        <v>20</v>
      </c>
      <c r="AA182" s="9">
        <f>SUM(자료실기준[[#This Row],[총류]:[역사]])</f>
        <v>600</v>
      </c>
    </row>
    <row r="183" spans="1:27" x14ac:dyDescent="0.3">
      <c r="A183" s="5">
        <v>45505</v>
      </c>
      <c r="B183" t="s">
        <v>14</v>
      </c>
      <c r="C183" s="5" t="str">
        <f>TEXT(자료실기준[[#This Row],[년월]],"yy년m월")&amp;자료실기준[[#This Row],[소장처명]]</f>
        <v>24년8월어린이실(신간도서)</v>
      </c>
      <c r="D183" t="str">
        <f>IFERROR(INDEX(자료실범례[],MATCH($B183,자료실범례[소장처명],0),2),"종합자료실")</f>
        <v>어린이자료실</v>
      </c>
      <c r="E183" s="9">
        <f t="array" ref="E183">IFERROR(INDEX(대출자[],MATCH(1,(자료실기준[[#This Row],[소장처명]]=대출자[소장처명])*(자료실기준[[#This Row],[년월]]=대출자[년월]),0),MATCH(E$1,대출자[#Headers],0)),0)</f>
        <v>25</v>
      </c>
      <c r="F183" s="9">
        <f t="array" ref="F183">IFERROR(INDEX(대출자[],MATCH(1,(자료실기준[[#This Row],[소장처명]]=대출자[소장처명])*(자료실기준[[#This Row],[년월]]=대출자[년월]),0),MATCH(F$1,대출자[#Headers],0)),0)</f>
        <v>26</v>
      </c>
      <c r="G183" s="9">
        <f t="array" ref="G183">IFERROR(INDEX(대출자[],MATCH(1,(자료실기준[[#This Row],[소장처명]]=대출자[소장처명])*(자료실기준[[#This Row],[년월]]=대출자[년월]),0),MATCH(G$1,대출자[#Headers],0)),0)</f>
        <v>1</v>
      </c>
      <c r="H183" s="9">
        <f t="array" ref="H183">IFERROR(INDEX(대출자[],MATCH(1,(자료실기준[[#This Row],[소장처명]]=대출자[소장처명])*(자료실기준[[#This Row],[년월]]=대출자[년월]),0),MATCH(H$1,대출자[#Headers],0)),0)</f>
        <v>3</v>
      </c>
      <c r="I183" s="9">
        <f t="array" ref="I183">IFERROR(INDEX(대출자[],MATCH(1,(자료실기준[[#This Row],[소장처명]]=대출자[소장처명])*(자료실기준[[#This Row],[년월]]=대출자[년월]),0),MATCH(I$1,대출자[#Headers],0)),0)</f>
        <v>19</v>
      </c>
      <c r="J183" s="9">
        <f t="array" ref="J183">IFERROR(INDEX(대출자[],MATCH(1,(자료실기준[[#This Row],[소장처명]]=대출자[소장처명])*(자료실기준[[#This Row],[년월]]=대출자[년월]),0),MATCH(J$1,대출자[#Headers],0)),0)</f>
        <v>53</v>
      </c>
      <c r="K183" s="9">
        <f t="array" ref="K183">IFERROR(INDEX(대출자[],MATCH(1,(자료실기준[[#This Row],[소장처명]]=대출자[소장처명])*(자료실기준[[#This Row],[년월]]=대출자[년월]),0),MATCH(K$1,대출자[#Headers],0)),0)</f>
        <v>51</v>
      </c>
      <c r="L183" s="9">
        <f t="array" ref="L183">IFERROR(INDEX(대출자[],MATCH(1,(자료실기준[[#This Row],[소장처명]]=대출자[소장처명])*(자료실기준[[#This Row],[년월]]=대출자[년월]),0),MATCH(L$1,대출자[#Headers],0)),0)</f>
        <v>4</v>
      </c>
      <c r="M183" s="9">
        <f t="array" ref="M183">IFERROR(INDEX(대출자[],MATCH(1,(자료실기준[[#This Row],[소장처명]]=대출자[소장처명])*(자료실기준[[#This Row],[년월]]=대출자[년월]),0),MATCH(M$1,대출자[#Headers],0)),0)</f>
        <v>72</v>
      </c>
      <c r="N183" s="9">
        <f>IFERROR(자료실기준[[#This Row],[어린이남자]]+자료실기준[[#This Row],[청소년남자]]+자료실기준[[#This Row],[성인남자]],0)</f>
        <v>45</v>
      </c>
      <c r="O183" s="9">
        <f>IFERROR(자료실기준[[#This Row],[어린이여자]]+자료실기준[[#This Row],[청소년여자]]+자료실기준[[#This Row],[성인여자]],0)</f>
        <v>82</v>
      </c>
      <c r="P183" s="9">
        <f>IFERROR(자료실기준[[#This Row],[남자]]+자료실기준[[#This Row],[여자]],0)</f>
        <v>127</v>
      </c>
      <c r="Q183" s="9">
        <f t="array" ref="Q183">IFERROR(INDEX(대출권수[],MATCH(1,(자료실기준[[#This Row],[소장처명]]=대출권수[소장처명])*(대출권수[대출반납]="대출")*(자료실기준[[#This Row],[년월]]=대출권수[년월]),0),MATCH(Q$1,대출권수[#Headers],0)),0)</f>
        <v>2</v>
      </c>
      <c r="R183" s="9">
        <f t="array" ref="R183">IFERROR(INDEX(대출권수[],MATCH(1,(자료실기준[[#This Row],[소장처명]]=대출권수[소장처명])*(대출권수[대출반납]="대출")*(자료실기준[[#This Row],[년월]]=대출권수[년월]),0),MATCH(R$1,대출권수[#Headers],0)),0)</f>
        <v>17</v>
      </c>
      <c r="S183" s="9">
        <f t="array" ref="S183">IFERROR(INDEX(대출권수[],MATCH(1,(자료실기준[[#This Row],[소장처명]]=대출권수[소장처명])*(대출권수[대출반납]="대출")*(자료실기준[[#This Row],[년월]]=대출권수[년월]),0),MATCH(S$1,대출권수[#Headers],0)),0)</f>
        <v>6</v>
      </c>
      <c r="T183" s="9">
        <f t="array" ref="T183">IFERROR(INDEX(대출권수[],MATCH(1,(자료실기준[[#This Row],[소장처명]]=대출권수[소장처명])*(대출권수[대출반납]="대출")*(자료실기준[[#This Row],[년월]]=대출권수[년월]),0),MATCH(T$1,대출권수[#Headers],0)),0)</f>
        <v>27</v>
      </c>
      <c r="U183" s="9">
        <f t="array" ref="U183">IFERROR(INDEX(대출권수[],MATCH(1,(자료실기준[[#This Row],[소장처명]]=대출권수[소장처명])*(대출권수[대출반납]="대출")*(자료실기준[[#This Row],[년월]]=대출권수[년월]),0),MATCH(U$1,대출권수[#Headers],0)),0)</f>
        <v>41</v>
      </c>
      <c r="V183" s="9">
        <f t="array" ref="V183">IFERROR(INDEX(대출권수[],MATCH(1,(자료실기준[[#This Row],[소장처명]]=대출권수[소장처명])*(대출권수[대출반납]="대출")*(자료실기준[[#This Row],[년월]]=대출권수[년월]),0),MATCH(V$1,대출권수[#Headers],0)),0)</f>
        <v>13</v>
      </c>
      <c r="W183" s="9">
        <f t="array" ref="W183">IFERROR(INDEX(대출권수[],MATCH(1,(자료실기준[[#This Row],[소장처명]]=대출권수[소장처명])*(대출권수[대출반납]="대출")*(자료실기준[[#This Row],[년월]]=대출권수[년월]),0),MATCH(W$1,대출권수[#Headers],0)),0)</f>
        <v>4</v>
      </c>
      <c r="X183" s="9">
        <f t="array" ref="X183">IFERROR(INDEX(대출권수[],MATCH(1,(자료실기준[[#This Row],[소장처명]]=대출권수[소장처명])*(대출권수[대출반납]="대출")*(자료실기준[[#This Row],[년월]]=대출권수[년월]),0),MATCH(X$1,대출권수[#Headers],0)),0)</f>
        <v>6</v>
      </c>
      <c r="Y183" s="9">
        <f t="array" ref="Y183">IFERROR(INDEX(대출권수[],MATCH(1,(자료실기준[[#This Row],[소장처명]]=대출권수[소장처명])*(대출권수[대출반납]="대출")*(자료실기준[[#This Row],[년월]]=대출권수[년월]),0),MATCH(Y$1,대출권수[#Headers],0)),0)</f>
        <v>283</v>
      </c>
      <c r="Z183" s="9">
        <f t="array" ref="Z183">IFERROR(INDEX(대출권수[],MATCH(1,(자료실기준[[#This Row],[소장처명]]=대출권수[소장처명])*(대출권수[대출반납]="대출")*(자료실기준[[#This Row],[년월]]=대출권수[년월]),0),MATCH(Z$1,대출권수[#Headers],0)),0)</f>
        <v>28</v>
      </c>
      <c r="AA183" s="9">
        <f>SUM(자료실기준[[#This Row],[총류]:[역사]])</f>
        <v>427</v>
      </c>
    </row>
    <row r="184" spans="1:27" x14ac:dyDescent="0.3">
      <c r="A184" s="5">
        <v>45505</v>
      </c>
      <c r="B184" t="s">
        <v>13</v>
      </c>
      <c r="C184" s="5" t="str">
        <f>TEXT(자료실기준[[#This Row],[년월]],"yy년m월")&amp;자료실기준[[#This Row],[소장처명]]</f>
        <v>24년8월어린이실(수상작)</v>
      </c>
      <c r="D184" t="str">
        <f>IFERROR(INDEX(자료실범례[],MATCH($B184,자료실범례[소장처명],0),2),"종합자료실")</f>
        <v>어린이자료실</v>
      </c>
      <c r="E184" s="9">
        <f t="array" ref="E184">IFERROR(INDEX(대출자[],MATCH(1,(자료실기준[[#This Row],[소장처명]]=대출자[소장처명])*(자료실기준[[#This Row],[년월]]=대출자[년월]),0),MATCH(E$1,대출자[#Headers],0)),0)</f>
        <v>1</v>
      </c>
      <c r="F184" s="9">
        <f t="array" ref="F184">IFERROR(INDEX(대출자[],MATCH(1,(자료실기준[[#This Row],[소장처명]]=대출자[소장처명])*(자료실기준[[#This Row],[년월]]=대출자[년월]),0),MATCH(F$1,대출자[#Headers],0)),0)</f>
        <v>0</v>
      </c>
      <c r="G184" s="9">
        <f t="array" ref="G184">IFERROR(INDEX(대출자[],MATCH(1,(자료실기준[[#This Row],[소장처명]]=대출자[소장처명])*(자료실기준[[#This Row],[년월]]=대출자[년월]),0),MATCH(G$1,대출자[#Headers],0)),0)</f>
        <v>0</v>
      </c>
      <c r="H184" s="9">
        <f t="array" ref="H184">IFERROR(INDEX(대출자[],MATCH(1,(자료실기준[[#This Row],[소장처명]]=대출자[소장처명])*(자료실기준[[#This Row],[년월]]=대출자[년월]),0),MATCH(H$1,대출자[#Headers],0)),0)</f>
        <v>0</v>
      </c>
      <c r="I184" s="9">
        <f t="array" ref="I184">IFERROR(INDEX(대출자[],MATCH(1,(자료실기준[[#This Row],[소장처명]]=대출자[소장처명])*(자료실기준[[#This Row],[년월]]=대출자[년월]),0),MATCH(I$1,대출자[#Headers],0)),0)</f>
        <v>1</v>
      </c>
      <c r="J184" s="9">
        <f t="array" ref="J184">IFERROR(INDEX(대출자[],MATCH(1,(자료실기준[[#This Row],[소장처명]]=대출자[소장처명])*(자료실기준[[#This Row],[년월]]=대출자[년월]),0),MATCH(J$1,대출자[#Headers],0)),0)</f>
        <v>1</v>
      </c>
      <c r="K184" s="9">
        <f t="array" ref="K184">IFERROR(INDEX(대출자[],MATCH(1,(자료실기준[[#This Row],[소장처명]]=대출자[소장처명])*(자료실기준[[#This Row],[년월]]=대출자[년월]),0),MATCH(K$1,대출자[#Headers],0)),0)</f>
        <v>1</v>
      </c>
      <c r="L184" s="9">
        <f t="array" ref="L184">IFERROR(INDEX(대출자[],MATCH(1,(자료실기준[[#This Row],[소장처명]]=대출자[소장처명])*(자료실기준[[#This Row],[년월]]=대출자[년월]),0),MATCH(L$1,대출자[#Headers],0)),0)</f>
        <v>0</v>
      </c>
      <c r="M184" s="9">
        <f t="array" ref="M184">IFERROR(INDEX(대출자[],MATCH(1,(자료실기준[[#This Row],[소장처명]]=대출자[소장처명])*(자료실기준[[#This Row],[년월]]=대출자[년월]),0),MATCH(M$1,대출자[#Headers],0)),0)</f>
        <v>2</v>
      </c>
      <c r="N184" s="9">
        <f>IFERROR(자료실기준[[#This Row],[어린이남자]]+자료실기준[[#This Row],[청소년남자]]+자료실기준[[#This Row],[성인남자]],0)</f>
        <v>2</v>
      </c>
      <c r="O184" s="9">
        <f>IFERROR(자료실기준[[#This Row],[어린이여자]]+자료실기준[[#This Row],[청소년여자]]+자료실기준[[#This Row],[성인여자]],0)</f>
        <v>1</v>
      </c>
      <c r="P184" s="9">
        <f>IFERROR(자료실기준[[#This Row],[남자]]+자료실기준[[#This Row],[여자]],0)</f>
        <v>3</v>
      </c>
      <c r="Q184" s="9">
        <f t="array" ref="Q184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84" s="9">
        <f t="array" ref="R184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84" s="9">
        <f t="array" ref="S184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84" s="9">
        <f t="array" ref="T184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84" s="9">
        <f t="array" ref="U184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84" s="9">
        <f t="array" ref="V184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84" s="9">
        <f t="array" ref="W184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84" s="9">
        <f t="array" ref="X184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84" s="9">
        <f t="array" ref="Y184">IFERROR(INDEX(대출권수[],MATCH(1,(자료실기준[[#This Row],[소장처명]]=대출권수[소장처명])*(대출권수[대출반납]="대출")*(자료실기준[[#This Row],[년월]]=대출권수[년월]),0),MATCH(Y$1,대출권수[#Headers],0)),0)</f>
        <v>3</v>
      </c>
      <c r="Z184" s="9">
        <f t="array" ref="Z184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84" s="9">
        <f>SUM(자료실기준[[#This Row],[총류]:[역사]])</f>
        <v>3</v>
      </c>
    </row>
    <row r="185" spans="1:27" x14ac:dyDescent="0.3">
      <c r="A185" s="5">
        <v>45505</v>
      </c>
      <c r="B185" t="s">
        <v>15</v>
      </c>
      <c r="C185" s="5" t="str">
        <f>TEXT(자료실기준[[#This Row],[년월]],"yy년m월")&amp;자료실기준[[#This Row],[소장처명]]</f>
        <v>24년8월어린이실(학습만화)</v>
      </c>
      <c r="D185" t="str">
        <f>IFERROR(INDEX(자료실범례[],MATCH($B185,자료실범례[소장처명],0),2),"종합자료실")</f>
        <v>어린이자료실</v>
      </c>
      <c r="E185" s="9">
        <f t="array" ref="E185">IFERROR(INDEX(대출자[],MATCH(1,(자료실기준[[#This Row],[소장처명]]=대출자[소장처명])*(자료실기준[[#This Row],[년월]]=대출자[년월]),0),MATCH(E$1,대출자[#Headers],0)),0)</f>
        <v>27</v>
      </c>
      <c r="F185" s="9">
        <f t="array" ref="F185">IFERROR(INDEX(대출자[],MATCH(1,(자료실기준[[#This Row],[소장처명]]=대출자[소장처명])*(자료실기준[[#This Row],[년월]]=대출자[년월]),0),MATCH(F$1,대출자[#Headers],0)),0)</f>
        <v>17</v>
      </c>
      <c r="G185" s="9">
        <f t="array" ref="G185">IFERROR(INDEX(대출자[],MATCH(1,(자료실기준[[#This Row],[소장처명]]=대출자[소장처명])*(자료실기준[[#This Row],[년월]]=대출자[년월]),0),MATCH(G$1,대출자[#Headers],0)),0)</f>
        <v>2</v>
      </c>
      <c r="H185" s="9">
        <f t="array" ref="H185">IFERROR(INDEX(대출자[],MATCH(1,(자료실기준[[#This Row],[소장처명]]=대출자[소장처명])*(자료실기준[[#This Row],[년월]]=대출자[년월]),0),MATCH(H$1,대출자[#Headers],0)),0)</f>
        <v>3</v>
      </c>
      <c r="I185" s="9">
        <f t="array" ref="I185">IFERROR(INDEX(대출자[],MATCH(1,(자료실기준[[#This Row],[소장처명]]=대출자[소장처명])*(자료실기준[[#This Row],[년월]]=대출자[년월]),0),MATCH(I$1,대출자[#Headers],0)),0)</f>
        <v>20</v>
      </c>
      <c r="J185" s="9">
        <f t="array" ref="J185">IFERROR(INDEX(대출자[],MATCH(1,(자료실기준[[#This Row],[소장처명]]=대출자[소장처명])*(자료실기준[[#This Row],[년월]]=대출자[년월]),0),MATCH(J$1,대출자[#Headers],0)),0)</f>
        <v>37</v>
      </c>
      <c r="K185" s="9">
        <f t="array" ref="K185">IFERROR(INDEX(대출자[],MATCH(1,(자료실기준[[#This Row],[소장처명]]=대출자[소장처명])*(자료실기준[[#This Row],[년월]]=대출자[년월]),0),MATCH(K$1,대출자[#Headers],0)),0)</f>
        <v>44</v>
      </c>
      <c r="L185" s="9">
        <f t="array" ref="L185">IFERROR(INDEX(대출자[],MATCH(1,(자료실기준[[#This Row],[소장처명]]=대출자[소장처명])*(자료실기준[[#This Row],[년월]]=대출자[년월]),0),MATCH(L$1,대출자[#Headers],0)),0)</f>
        <v>5</v>
      </c>
      <c r="M185" s="9">
        <f t="array" ref="M185">IFERROR(INDEX(대출자[],MATCH(1,(자료실기준[[#This Row],[소장처명]]=대출자[소장처명])*(자료실기준[[#This Row],[년월]]=대출자[년월]),0),MATCH(M$1,대출자[#Headers],0)),0)</f>
        <v>57</v>
      </c>
      <c r="N185" s="9">
        <f>IFERROR(자료실기준[[#This Row],[어린이남자]]+자료실기준[[#This Row],[청소년남자]]+자료실기준[[#This Row],[성인남자]],0)</f>
        <v>49</v>
      </c>
      <c r="O185" s="9">
        <f>IFERROR(자료실기준[[#This Row],[어린이여자]]+자료실기준[[#This Row],[청소년여자]]+자료실기준[[#This Row],[성인여자]],0)</f>
        <v>57</v>
      </c>
      <c r="P185" s="9">
        <f>IFERROR(자료실기준[[#This Row],[남자]]+자료실기준[[#This Row],[여자]],0)</f>
        <v>106</v>
      </c>
      <c r="Q185" s="9">
        <f t="array" ref="Q185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85" s="9">
        <f t="array" ref="R185">IFERROR(INDEX(대출권수[],MATCH(1,(자료실기준[[#This Row],[소장처명]]=대출권수[소장처명])*(대출권수[대출반납]="대출")*(자료실기준[[#This Row],[년월]]=대출권수[년월]),0),MATCH(R$1,대출권수[#Headers],0)),0)</f>
        <v>3</v>
      </c>
      <c r="S185" s="9">
        <f t="array" ref="S185">IFERROR(INDEX(대출권수[],MATCH(1,(자료실기준[[#This Row],[소장처명]]=대출권수[소장처명])*(대출권수[대출반납]="대출")*(자료실기준[[#This Row],[년월]]=대출권수[년월]),0),MATCH(S$1,대출권수[#Headers],0)),0)</f>
        <v>18</v>
      </c>
      <c r="T185" s="9">
        <f t="array" ref="T185">IFERROR(INDEX(대출권수[],MATCH(1,(자료실기준[[#This Row],[소장처명]]=대출권수[소장처명])*(대출권수[대출반납]="대출")*(자료실기준[[#This Row],[년월]]=대출권수[년월]),0),MATCH(T$1,대출권수[#Headers],0)),0)</f>
        <v>5</v>
      </c>
      <c r="U185" s="9">
        <f t="array" ref="U185">IFERROR(INDEX(대출권수[],MATCH(1,(자료실기준[[#This Row],[소장처명]]=대출권수[소장처명])*(대출권수[대출반납]="대출")*(자료실기준[[#This Row],[년월]]=대출권수[년월]),0),MATCH(U$1,대출권수[#Headers],0)),0)</f>
        <v>153</v>
      </c>
      <c r="V185" s="9">
        <f t="array" ref="V185">IFERROR(INDEX(대출권수[],MATCH(1,(자료실기준[[#This Row],[소장처명]]=대출권수[소장처명])*(대출권수[대출반납]="대출")*(자료실기준[[#This Row],[년월]]=대출권수[년월]),0),MATCH(V$1,대출권수[#Headers],0)),0)</f>
        <v>55</v>
      </c>
      <c r="W185" s="9">
        <f t="array" ref="W185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85" s="9">
        <f t="array" ref="X185">IFERROR(INDEX(대출권수[],MATCH(1,(자료실기준[[#This Row],[소장처명]]=대출권수[소장처명])*(대출권수[대출반납]="대출")*(자료실기준[[#This Row],[년월]]=대출권수[년월]),0),MATCH(X$1,대출권수[#Headers],0)),0)</f>
        <v>62</v>
      </c>
      <c r="Y185" s="9">
        <f t="array" ref="Y185">IFERROR(INDEX(대출권수[],MATCH(1,(자료실기준[[#This Row],[소장처명]]=대출권수[소장처명])*(대출권수[대출반납]="대출")*(자료실기준[[#This Row],[년월]]=대출권수[년월]),0),MATCH(Y$1,대출권수[#Headers],0)),0)</f>
        <v>26</v>
      </c>
      <c r="Z185" s="9">
        <f t="array" ref="Z185">IFERROR(INDEX(대출권수[],MATCH(1,(자료실기준[[#This Row],[소장처명]]=대출권수[소장처명])*(대출권수[대출반납]="대출")*(자료실기준[[#This Row],[년월]]=대출권수[년월]),0),MATCH(Z$1,대출권수[#Headers],0)),0)</f>
        <v>145</v>
      </c>
      <c r="AA185" s="9">
        <f>SUM(자료실기준[[#This Row],[총류]:[역사]])</f>
        <v>467</v>
      </c>
    </row>
    <row r="186" spans="1:27" x14ac:dyDescent="0.3">
      <c r="A186" s="5">
        <v>45505</v>
      </c>
      <c r="B186" t="s">
        <v>20</v>
      </c>
      <c r="C186" s="5" t="str">
        <f>TEXT(자료실기준[[#This Row],[년월]],"yy년m월")&amp;자료실기준[[#This Row],[소장처명]]</f>
        <v>24년8월종합실(청소년 진로)</v>
      </c>
      <c r="D186" t="str">
        <f>IFERROR(INDEX(자료실범례[],MATCH($B186,자료실범례[소장처명],0),2),"종합자료실")</f>
        <v>종합자료실</v>
      </c>
      <c r="E186" s="9">
        <f t="array" ref="E186">IFERROR(INDEX(대출자[],MATCH(1,(자료실기준[[#This Row],[소장처명]]=대출자[소장처명])*(자료실기준[[#This Row],[년월]]=대출자[년월]),0),MATCH(E$1,대출자[#Headers],0)),0)</f>
        <v>0</v>
      </c>
      <c r="F186" s="9">
        <f t="array" ref="F186">IFERROR(INDEX(대출자[],MATCH(1,(자료실기준[[#This Row],[소장처명]]=대출자[소장처명])*(자료실기준[[#This Row],[년월]]=대출자[년월]),0),MATCH(F$1,대출자[#Headers],0)),0)</f>
        <v>0</v>
      </c>
      <c r="G186" s="9">
        <f t="array" ref="G186">IFERROR(INDEX(대출자[],MATCH(1,(자료실기준[[#This Row],[소장처명]]=대출자[소장처명])*(자료실기준[[#This Row],[년월]]=대출자[년월]),0),MATCH(G$1,대출자[#Headers],0)),0)</f>
        <v>0</v>
      </c>
      <c r="H186" s="9">
        <f t="array" ref="H186">IFERROR(INDEX(대출자[],MATCH(1,(자료실기준[[#This Row],[소장처명]]=대출자[소장처명])*(자료실기준[[#This Row],[년월]]=대출자[년월]),0),MATCH(H$1,대출자[#Headers],0)),0)</f>
        <v>0</v>
      </c>
      <c r="I186" s="9">
        <f t="array" ref="I186">IFERROR(INDEX(대출자[],MATCH(1,(자료실기준[[#This Row],[소장처명]]=대출자[소장처명])*(자료실기준[[#This Row],[년월]]=대출자[년월]),0),MATCH(I$1,대출자[#Headers],0)),0)</f>
        <v>0</v>
      </c>
      <c r="J186" s="9">
        <f t="array" ref="J186">IFERROR(INDEX(대출자[],MATCH(1,(자료실기준[[#This Row],[소장처명]]=대출자[소장처명])*(자료실기준[[#This Row],[년월]]=대출자[년월]),0),MATCH(J$1,대출자[#Headers],0)),0)</f>
        <v>0</v>
      </c>
      <c r="K186" s="9">
        <f t="array" ref="K186">IFERROR(INDEX(대출자[],MATCH(1,(자료실기준[[#This Row],[소장처명]]=대출자[소장처명])*(자료실기준[[#This Row],[년월]]=대출자[년월]),0),MATCH(K$1,대출자[#Headers],0)),0)</f>
        <v>0</v>
      </c>
      <c r="L186" s="9">
        <f t="array" ref="L186">IFERROR(INDEX(대출자[],MATCH(1,(자료실기준[[#This Row],[소장처명]]=대출자[소장처명])*(자료실기준[[#This Row],[년월]]=대출자[년월]),0),MATCH(L$1,대출자[#Headers],0)),0)</f>
        <v>0</v>
      </c>
      <c r="M186" s="9">
        <f t="array" ref="M186">IFERROR(INDEX(대출자[],MATCH(1,(자료실기준[[#This Row],[소장처명]]=대출자[소장처명])*(자료실기준[[#This Row],[년월]]=대출자[년월]),0),MATCH(M$1,대출자[#Headers],0)),0)</f>
        <v>0</v>
      </c>
      <c r="N186" s="9">
        <f>IFERROR(자료실기준[[#This Row],[어린이남자]]+자료실기준[[#This Row],[청소년남자]]+자료실기준[[#This Row],[성인남자]],0)</f>
        <v>0</v>
      </c>
      <c r="O186" s="9">
        <f>IFERROR(자료실기준[[#This Row],[어린이여자]]+자료실기준[[#This Row],[청소년여자]]+자료실기준[[#This Row],[성인여자]],0)</f>
        <v>0</v>
      </c>
      <c r="P186" s="9">
        <f>IFERROR(자료실기준[[#This Row],[남자]]+자료실기준[[#This Row],[여자]],0)</f>
        <v>0</v>
      </c>
      <c r="Q186" s="9">
        <f t="array" ref="Q186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86" s="9">
        <f t="array" ref="R186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86" s="9">
        <f t="array" ref="S186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86" s="9">
        <f t="array" ref="T186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86" s="9">
        <f t="array" ref="U186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86" s="9">
        <f t="array" ref="V186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86" s="9">
        <f t="array" ref="W186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86" s="9">
        <f t="array" ref="X186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86" s="9">
        <f t="array" ref="Y186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186" s="9">
        <f t="array" ref="Z186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86" s="9">
        <f>SUM(자료실기준[[#This Row],[총류]:[역사]])</f>
        <v>0</v>
      </c>
    </row>
    <row r="187" spans="1:27" x14ac:dyDescent="0.3">
      <c r="A187" s="5">
        <v>45505</v>
      </c>
      <c r="B187" t="s">
        <v>3</v>
      </c>
      <c r="C187" s="5" t="str">
        <f>TEXT(자료실기준[[#This Row],[년월]],"yy년m월")&amp;자료실기준[[#This Row],[소장처명]]</f>
        <v>24년8월별관 서고(디지털자료실)</v>
      </c>
      <c r="D187" t="str">
        <f>IFERROR(INDEX(자료실범례[],MATCH($B187,자료실범례[소장처명],0),2),"종합자료실")</f>
        <v>디지털자료실</v>
      </c>
      <c r="E187" s="9">
        <f t="array" ref="E187">IFERROR(INDEX(대출자[],MATCH(1,(자료실기준[[#This Row],[소장처명]]=대출자[소장처명])*(자료실기준[[#This Row],[년월]]=대출자[년월]),0),MATCH(E$1,대출자[#Headers],0)),0)</f>
        <v>1</v>
      </c>
      <c r="F187" s="9">
        <f t="array" ref="F187">IFERROR(INDEX(대출자[],MATCH(1,(자료실기준[[#This Row],[소장처명]]=대출자[소장처명])*(자료실기준[[#This Row],[년월]]=대출자[년월]),0),MATCH(F$1,대출자[#Headers],0)),0)</f>
        <v>0</v>
      </c>
      <c r="G187" s="9">
        <f t="array" ref="G187">IFERROR(INDEX(대출자[],MATCH(1,(자료실기준[[#This Row],[소장처명]]=대출자[소장처명])*(자료실기준[[#This Row],[년월]]=대출자[년월]),0),MATCH(G$1,대출자[#Headers],0)),0)</f>
        <v>0</v>
      </c>
      <c r="H187" s="9">
        <f t="array" ref="H187">IFERROR(INDEX(대출자[],MATCH(1,(자료실기준[[#This Row],[소장처명]]=대출자[소장처명])*(자료실기준[[#This Row],[년월]]=대출자[년월]),0),MATCH(H$1,대출자[#Headers],0)),0)</f>
        <v>0</v>
      </c>
      <c r="I187" s="9">
        <f t="array" ref="I187">IFERROR(INDEX(대출자[],MATCH(1,(자료실기준[[#This Row],[소장처명]]=대출자[소장처명])*(자료실기준[[#This Row],[년월]]=대출자[년월]),0),MATCH(I$1,대출자[#Headers],0)),0)</f>
        <v>0</v>
      </c>
      <c r="J187" s="9">
        <f t="array" ref="J187">IFERROR(INDEX(대출자[],MATCH(1,(자료실기준[[#This Row],[소장처명]]=대출자[소장처명])*(자료실기준[[#This Row],[년월]]=대출자[년월]),0),MATCH(J$1,대출자[#Headers],0)),0)</f>
        <v>0</v>
      </c>
      <c r="K187" s="9">
        <f t="array" ref="K187">IFERROR(INDEX(대출자[],MATCH(1,(자료실기준[[#This Row],[소장처명]]=대출자[소장처명])*(자료실기준[[#This Row],[년월]]=대출자[년월]),0),MATCH(K$1,대출자[#Headers],0)),0)</f>
        <v>1</v>
      </c>
      <c r="L187" s="9">
        <f t="array" ref="L187">IFERROR(INDEX(대출자[],MATCH(1,(자료실기준[[#This Row],[소장처명]]=대출자[소장처명])*(자료실기준[[#This Row],[년월]]=대출자[년월]),0),MATCH(L$1,대출자[#Headers],0)),0)</f>
        <v>0</v>
      </c>
      <c r="M187" s="9">
        <f t="array" ref="M187">IFERROR(INDEX(대출자[],MATCH(1,(자료실기준[[#This Row],[소장처명]]=대출자[소장처명])*(자료실기준[[#This Row],[년월]]=대출자[년월]),0),MATCH(M$1,대출자[#Headers],0)),0)</f>
        <v>0</v>
      </c>
      <c r="N187" s="9">
        <f>IFERROR(자료실기준[[#This Row],[어린이남자]]+자료실기준[[#This Row],[청소년남자]]+자료실기준[[#This Row],[성인남자]],0)</f>
        <v>1</v>
      </c>
      <c r="O187" s="9">
        <f>IFERROR(자료실기준[[#This Row],[어린이여자]]+자료실기준[[#This Row],[청소년여자]]+자료실기준[[#This Row],[성인여자]],0)</f>
        <v>0</v>
      </c>
      <c r="P187" s="9">
        <f>IFERROR(자료실기준[[#This Row],[남자]]+자료실기준[[#This Row],[여자]],0)</f>
        <v>1</v>
      </c>
      <c r="Q187" s="9">
        <f t="array" ref="Q187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87" s="9">
        <f t="array" ref="R187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87" s="9">
        <f t="array" ref="S187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87" s="9">
        <f t="array" ref="T187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87" s="9">
        <f t="array" ref="U187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87" s="9">
        <f t="array" ref="V187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87" s="9">
        <f t="array" ref="W187">IFERROR(INDEX(대출권수[],MATCH(1,(자료실기준[[#This Row],[소장처명]]=대출권수[소장처명])*(대출권수[대출반납]="대출")*(자료실기준[[#This Row],[년월]]=대출권수[년월]),0),MATCH(W$1,대출권수[#Headers],0)),0)</f>
        <v>1</v>
      </c>
      <c r="X187" s="9">
        <f t="array" ref="X187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87" s="9">
        <f t="array" ref="Y187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187" s="9">
        <f t="array" ref="Z187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87" s="9">
        <f>SUM(자료실기준[[#This Row],[총류]:[역사]])</f>
        <v>1</v>
      </c>
    </row>
    <row r="188" spans="1:27" x14ac:dyDescent="0.3">
      <c r="A188" s="5">
        <v>45505</v>
      </c>
      <c r="B188" t="s">
        <v>4</v>
      </c>
      <c r="C188" s="5" t="str">
        <f>TEXT(자료실기준[[#This Row],[년월]],"yy년m월")&amp;자료실기준[[#This Row],[소장처명]]</f>
        <v>24년8월별관 서고(어린이자료실)</v>
      </c>
      <c r="D188" t="str">
        <f>IFERROR(INDEX(자료실범례[],MATCH($B188,자료실범례[소장처명],0),2),"종합자료실")</f>
        <v>어린이자료실</v>
      </c>
      <c r="E188" s="9">
        <f t="array" ref="E188">IFERROR(INDEX(대출자[],MATCH(1,(자료실기준[[#This Row],[소장처명]]=대출자[소장처명])*(자료실기준[[#This Row],[년월]]=대출자[년월]),0),MATCH(E$1,대출자[#Headers],0)),0)</f>
        <v>1</v>
      </c>
      <c r="F188" s="9">
        <f t="array" ref="F188">IFERROR(INDEX(대출자[],MATCH(1,(자료실기준[[#This Row],[소장처명]]=대출자[소장처명])*(자료실기준[[#This Row],[년월]]=대출자[년월]),0),MATCH(F$1,대출자[#Headers],0)),0)</f>
        <v>0</v>
      </c>
      <c r="G188" s="9">
        <f t="array" ref="G188">IFERROR(INDEX(대출자[],MATCH(1,(자료실기준[[#This Row],[소장처명]]=대출자[소장처명])*(자료실기준[[#This Row],[년월]]=대출자[년월]),0),MATCH(G$1,대출자[#Headers],0)),0)</f>
        <v>0</v>
      </c>
      <c r="H188" s="9">
        <f t="array" ref="H188">IFERROR(INDEX(대출자[],MATCH(1,(자료실기준[[#This Row],[소장처명]]=대출자[소장처명])*(자료실기준[[#This Row],[년월]]=대출자[년월]),0),MATCH(H$1,대출자[#Headers],0)),0)</f>
        <v>0</v>
      </c>
      <c r="I188" s="9">
        <f t="array" ref="I188">IFERROR(INDEX(대출자[],MATCH(1,(자료실기준[[#This Row],[소장처명]]=대출자[소장처명])*(자료실기준[[#This Row],[년월]]=대출자[년월]),0),MATCH(I$1,대출자[#Headers],0)),0)</f>
        <v>3</v>
      </c>
      <c r="J188" s="9">
        <f t="array" ref="J188">IFERROR(INDEX(대출자[],MATCH(1,(자료실기준[[#This Row],[소장처명]]=대출자[소장처명])*(자료실기준[[#This Row],[년월]]=대출자[년월]),0),MATCH(J$1,대출자[#Headers],0)),0)</f>
        <v>5</v>
      </c>
      <c r="K188" s="9">
        <f t="array" ref="K188">IFERROR(INDEX(대출자[],MATCH(1,(자료실기준[[#This Row],[소장처명]]=대출자[소장처명])*(자료실기준[[#This Row],[년월]]=대출자[년월]),0),MATCH(K$1,대출자[#Headers],0)),0)</f>
        <v>1</v>
      </c>
      <c r="L188" s="9">
        <f t="array" ref="L188">IFERROR(INDEX(대출자[],MATCH(1,(자료실기준[[#This Row],[소장처명]]=대출자[소장처명])*(자료실기준[[#This Row],[년월]]=대출자[년월]),0),MATCH(L$1,대출자[#Headers],0)),0)</f>
        <v>0</v>
      </c>
      <c r="M188" s="9">
        <f t="array" ref="M188">IFERROR(INDEX(대출자[],MATCH(1,(자료실기준[[#This Row],[소장처명]]=대출자[소장처명])*(자료실기준[[#This Row],[년월]]=대출자[년월]),0),MATCH(M$1,대출자[#Headers],0)),0)</f>
        <v>8</v>
      </c>
      <c r="N188" s="9">
        <f>IFERROR(자료실기준[[#This Row],[어린이남자]]+자료실기준[[#This Row],[청소년남자]]+자료실기준[[#This Row],[성인남자]],0)</f>
        <v>4</v>
      </c>
      <c r="O188" s="9">
        <f>IFERROR(자료실기준[[#This Row],[어린이여자]]+자료실기준[[#This Row],[청소년여자]]+자료실기준[[#This Row],[성인여자]],0)</f>
        <v>5</v>
      </c>
      <c r="P188" s="9">
        <f>IFERROR(자료실기준[[#This Row],[남자]]+자료실기준[[#This Row],[여자]],0)</f>
        <v>9</v>
      </c>
      <c r="Q188" s="9">
        <f t="array" ref="Q188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88" s="9">
        <f t="array" ref="R188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88" s="9">
        <f t="array" ref="S188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88" s="9">
        <f t="array" ref="T188">IFERROR(INDEX(대출권수[],MATCH(1,(자료실기준[[#This Row],[소장처명]]=대출권수[소장처명])*(대출권수[대출반납]="대출")*(자료실기준[[#This Row],[년월]]=대출권수[년월]),0),MATCH(T$1,대출권수[#Headers],0)),0)</f>
        <v>4</v>
      </c>
      <c r="U188" s="9">
        <f t="array" ref="U188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88" s="9">
        <f t="array" ref="V188">IFERROR(INDEX(대출권수[],MATCH(1,(자료실기준[[#This Row],[소장처명]]=대출권수[소장처명])*(대출권수[대출반납]="대출")*(자료실기준[[#This Row],[년월]]=대출권수[년월]),0),MATCH(V$1,대출권수[#Headers],0)),0)</f>
        <v>1</v>
      </c>
      <c r="W188" s="9">
        <f t="array" ref="W188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88" s="9">
        <f t="array" ref="X188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88" s="9">
        <f t="array" ref="Y188">IFERROR(INDEX(대출권수[],MATCH(1,(자료실기준[[#This Row],[소장처명]]=대출권수[소장처명])*(대출권수[대출반납]="대출")*(자료실기준[[#This Row],[년월]]=대출권수[년월]),0),MATCH(Y$1,대출권수[#Headers],0)),0)</f>
        <v>8</v>
      </c>
      <c r="Z188" s="9">
        <f t="array" ref="Z188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88" s="9">
        <f>SUM(자료실기준[[#This Row],[총류]:[역사]])</f>
        <v>13</v>
      </c>
    </row>
    <row r="189" spans="1:27" x14ac:dyDescent="0.3">
      <c r="A189" s="5">
        <v>45505</v>
      </c>
      <c r="B189" t="s">
        <v>5</v>
      </c>
      <c r="C189" s="5" t="str">
        <f>TEXT(자료실기준[[#This Row],[년월]],"yy년m월")&amp;자료실기준[[#This Row],[소장처명]]</f>
        <v>24년8월별관 서고(종합자료실)</v>
      </c>
      <c r="D189" t="str">
        <f>IFERROR(INDEX(자료실범례[],MATCH($B189,자료실범례[소장처명],0),2),"종합자료실")</f>
        <v>종합자료실</v>
      </c>
      <c r="E189" s="9">
        <f t="array" ref="E189">IFERROR(INDEX(대출자[],MATCH(1,(자료실기준[[#This Row],[소장처명]]=대출자[소장처명])*(자료실기준[[#This Row],[년월]]=대출자[년월]),0),MATCH(E$1,대출자[#Headers],0)),0)</f>
        <v>2</v>
      </c>
      <c r="F189" s="9">
        <f t="array" ref="F189">IFERROR(INDEX(대출자[],MATCH(1,(자료실기준[[#This Row],[소장처명]]=대출자[소장처명])*(자료실기준[[#This Row],[년월]]=대출자[년월]),0),MATCH(F$1,대출자[#Headers],0)),0)</f>
        <v>1</v>
      </c>
      <c r="G189" s="9">
        <f t="array" ref="G189">IFERROR(INDEX(대출자[],MATCH(1,(자료실기준[[#This Row],[소장처명]]=대출자[소장처명])*(자료실기준[[#This Row],[년월]]=대출자[년월]),0),MATCH(G$1,대출자[#Headers],0)),0)</f>
        <v>0</v>
      </c>
      <c r="H189" s="9">
        <f t="array" ref="H189">IFERROR(INDEX(대출자[],MATCH(1,(자료실기준[[#This Row],[소장처명]]=대출자[소장처명])*(자료실기준[[#This Row],[년월]]=대출자[년월]),0),MATCH(H$1,대출자[#Headers],0)),0)</f>
        <v>2</v>
      </c>
      <c r="I189" s="9">
        <f t="array" ref="I189">IFERROR(INDEX(대출자[],MATCH(1,(자료실기준[[#This Row],[소장처명]]=대출자[소장처명])*(자료실기준[[#This Row],[년월]]=대출자[년월]),0),MATCH(I$1,대출자[#Headers],0)),0)</f>
        <v>10</v>
      </c>
      <c r="J189" s="9">
        <f t="array" ref="J189">IFERROR(INDEX(대출자[],MATCH(1,(자료실기준[[#This Row],[소장처명]]=대출자[소장처명])*(자료실기준[[#This Row],[년월]]=대출자[년월]),0),MATCH(J$1,대출자[#Headers],0)),0)</f>
        <v>20</v>
      </c>
      <c r="K189" s="9">
        <f t="array" ref="K189">IFERROR(INDEX(대출자[],MATCH(1,(자료실기준[[#This Row],[소장처명]]=대출자[소장처명])*(자료실기준[[#This Row],[년월]]=대출자[년월]),0),MATCH(K$1,대출자[#Headers],0)),0)</f>
        <v>3</v>
      </c>
      <c r="L189" s="9">
        <f t="array" ref="L189">IFERROR(INDEX(대출자[],MATCH(1,(자료실기준[[#This Row],[소장처명]]=대출자[소장처명])*(자료실기준[[#This Row],[년월]]=대출자[년월]),0),MATCH(L$1,대출자[#Headers],0)),0)</f>
        <v>2</v>
      </c>
      <c r="M189" s="9">
        <f t="array" ref="M189">IFERROR(INDEX(대출자[],MATCH(1,(자료실기준[[#This Row],[소장처명]]=대출자[소장처명])*(자료실기준[[#This Row],[년월]]=대출자[년월]),0),MATCH(M$1,대출자[#Headers],0)),0)</f>
        <v>30</v>
      </c>
      <c r="N189" s="9">
        <f>IFERROR(자료실기준[[#This Row],[어린이남자]]+자료실기준[[#This Row],[청소년남자]]+자료실기준[[#This Row],[성인남자]],0)</f>
        <v>12</v>
      </c>
      <c r="O189" s="9">
        <f>IFERROR(자료실기준[[#This Row],[어린이여자]]+자료실기준[[#This Row],[청소년여자]]+자료실기준[[#This Row],[성인여자]],0)</f>
        <v>23</v>
      </c>
      <c r="P189" s="9">
        <f>IFERROR(자료실기준[[#This Row],[남자]]+자료실기준[[#This Row],[여자]],0)</f>
        <v>35</v>
      </c>
      <c r="Q189" s="9">
        <f t="array" ref="Q189">IFERROR(INDEX(대출권수[],MATCH(1,(자료실기준[[#This Row],[소장처명]]=대출권수[소장처명])*(대출권수[대출반납]="대출")*(자료실기준[[#This Row],[년월]]=대출권수[년월]),0),MATCH(Q$1,대출권수[#Headers],0)),0)</f>
        <v>2</v>
      </c>
      <c r="R189" s="9">
        <f t="array" ref="R189">IFERROR(INDEX(대출권수[],MATCH(1,(자료실기준[[#This Row],[소장처명]]=대출권수[소장처명])*(대출권수[대출반납]="대출")*(자료실기준[[#This Row],[년월]]=대출권수[년월]),0),MATCH(R$1,대출권수[#Headers],0)),0)</f>
        <v>2</v>
      </c>
      <c r="S189" s="9">
        <f t="array" ref="S189">IFERROR(INDEX(대출권수[],MATCH(1,(자료실기준[[#This Row],[소장처명]]=대출권수[소장처명])*(대출권수[대출반납]="대출")*(자료실기준[[#This Row],[년월]]=대출권수[년월]),0),MATCH(S$1,대출권수[#Headers],0)),0)</f>
        <v>4</v>
      </c>
      <c r="T189" s="9">
        <f t="array" ref="T189">IFERROR(INDEX(대출권수[],MATCH(1,(자료실기준[[#This Row],[소장처명]]=대출권수[소장처명])*(대출권수[대출반납]="대출")*(자료실기준[[#This Row],[년월]]=대출권수[년월]),0),MATCH(T$1,대출권수[#Headers],0)),0)</f>
        <v>11</v>
      </c>
      <c r="U189" s="9">
        <f t="array" ref="U189">IFERROR(INDEX(대출권수[],MATCH(1,(자료실기준[[#This Row],[소장처명]]=대출권수[소장처명])*(대출권수[대출반납]="대출")*(자료실기준[[#This Row],[년월]]=대출권수[년월]),0),MATCH(U$1,대출권수[#Headers],0)),0)</f>
        <v>3</v>
      </c>
      <c r="V189" s="9">
        <f t="array" ref="V189">IFERROR(INDEX(대출권수[],MATCH(1,(자료실기준[[#This Row],[소장처명]]=대출권수[소장처명])*(대출권수[대출반납]="대출")*(자료실기준[[#This Row],[년월]]=대출권수[년월]),0),MATCH(V$1,대출권수[#Headers],0)),0)</f>
        <v>9</v>
      </c>
      <c r="W189" s="9">
        <f t="array" ref="W189">IFERROR(INDEX(대출권수[],MATCH(1,(자료실기준[[#This Row],[소장처명]]=대출권수[소장처명])*(대출권수[대출반납]="대출")*(자료실기준[[#This Row],[년월]]=대출권수[년월]),0),MATCH(W$1,대출권수[#Headers],0)),0)</f>
        <v>3</v>
      </c>
      <c r="X189" s="9">
        <f t="array" ref="X189">IFERROR(INDEX(대출권수[],MATCH(1,(자료실기준[[#This Row],[소장처명]]=대출권수[소장처명])*(대출권수[대출반납]="대출")*(자료실기준[[#This Row],[년월]]=대출권수[년월]),0),MATCH(X$1,대출권수[#Headers],0)),0)</f>
        <v>1</v>
      </c>
      <c r="Y189" s="9">
        <f t="array" ref="Y189">IFERROR(INDEX(대출권수[],MATCH(1,(자료실기준[[#This Row],[소장처명]]=대출권수[소장처명])*(대출권수[대출반납]="대출")*(자료실기준[[#This Row],[년월]]=대출권수[년월]),0),MATCH(Y$1,대출권수[#Headers],0)),0)</f>
        <v>16</v>
      </c>
      <c r="Z189" s="9">
        <f t="array" ref="Z189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89" s="9">
        <f>SUM(자료실기준[[#This Row],[총류]:[역사]])</f>
        <v>51</v>
      </c>
    </row>
    <row r="190" spans="1:27" x14ac:dyDescent="0.3">
      <c r="A190" s="5">
        <v>45505</v>
      </c>
      <c r="B190" t="s">
        <v>7</v>
      </c>
      <c r="C190" s="5" t="str">
        <f>TEXT(자료실기준[[#This Row],[년월]],"yy년m월")&amp;자료실기준[[#This Row],[소장처명]]</f>
        <v>24년8월어린이실(교과1학년)</v>
      </c>
      <c r="D190" t="str">
        <f>IFERROR(INDEX(자료실범례[],MATCH($B190,자료실범례[소장처명],0),2),"종합자료실")</f>
        <v>어린이자료실</v>
      </c>
      <c r="E190" s="9">
        <f t="array" ref="E190">IFERROR(INDEX(대출자[],MATCH(1,(자료실기준[[#This Row],[소장처명]]=대출자[소장처명])*(자료실기준[[#This Row],[년월]]=대출자[년월]),0),MATCH(E$1,대출자[#Headers],0)),0)</f>
        <v>3</v>
      </c>
      <c r="F190" s="9">
        <f t="array" ref="F190">IFERROR(INDEX(대출자[],MATCH(1,(자료실기준[[#This Row],[소장처명]]=대출자[소장처명])*(자료실기준[[#This Row],[년월]]=대출자[년월]),0),MATCH(F$1,대출자[#Headers],0)),0)</f>
        <v>2</v>
      </c>
      <c r="G190" s="9">
        <f t="array" ref="G190">IFERROR(INDEX(대출자[],MATCH(1,(자료실기준[[#This Row],[소장처명]]=대출자[소장처명])*(자료실기준[[#This Row],[년월]]=대출자[년월]),0),MATCH(G$1,대출자[#Headers],0)),0)</f>
        <v>0</v>
      </c>
      <c r="H190" s="9">
        <f t="array" ref="H190">IFERROR(INDEX(대출자[],MATCH(1,(자료실기준[[#This Row],[소장처명]]=대출자[소장처명])*(자료실기준[[#This Row],[년월]]=대출자[년월]),0),MATCH(H$1,대출자[#Headers],0)),0)</f>
        <v>0</v>
      </c>
      <c r="I190" s="9">
        <f t="array" ref="I190">IFERROR(INDEX(대출자[],MATCH(1,(자료실기준[[#This Row],[소장처명]]=대출자[소장처명])*(자료실기준[[#This Row],[년월]]=대출자[년월]),0),MATCH(I$1,대출자[#Headers],0)),0)</f>
        <v>1</v>
      </c>
      <c r="J190" s="9">
        <f t="array" ref="J190">IFERROR(INDEX(대출자[],MATCH(1,(자료실기준[[#This Row],[소장처명]]=대출자[소장처명])*(자료실기준[[#This Row],[년월]]=대출자[년월]),0),MATCH(J$1,대출자[#Headers],0)),0)</f>
        <v>6</v>
      </c>
      <c r="K190" s="9">
        <f t="array" ref="K190">IFERROR(INDEX(대출자[],MATCH(1,(자료실기준[[#This Row],[소장처명]]=대출자[소장처명])*(자료실기준[[#This Row],[년월]]=대출자[년월]),0),MATCH(K$1,대출자[#Headers],0)),0)</f>
        <v>5</v>
      </c>
      <c r="L190" s="9">
        <f t="array" ref="L190">IFERROR(INDEX(대출자[],MATCH(1,(자료실기준[[#This Row],[소장처명]]=대출자[소장처명])*(자료실기준[[#This Row],[년월]]=대출자[년월]),0),MATCH(L$1,대출자[#Headers],0)),0)</f>
        <v>0</v>
      </c>
      <c r="M190" s="9">
        <f t="array" ref="M190">IFERROR(INDEX(대출자[],MATCH(1,(자료실기준[[#This Row],[소장처명]]=대출자[소장처명])*(자료실기준[[#This Row],[년월]]=대출자[년월]),0),MATCH(M$1,대출자[#Headers],0)),0)</f>
        <v>7</v>
      </c>
      <c r="N190" s="9">
        <f>IFERROR(자료실기준[[#This Row],[어린이남자]]+자료실기준[[#This Row],[청소년남자]]+자료실기준[[#This Row],[성인남자]],0)</f>
        <v>4</v>
      </c>
      <c r="O190" s="9">
        <f>IFERROR(자료실기준[[#This Row],[어린이여자]]+자료실기준[[#This Row],[청소년여자]]+자료실기준[[#This Row],[성인여자]],0)</f>
        <v>8</v>
      </c>
      <c r="P190" s="9">
        <f>IFERROR(자료실기준[[#This Row],[남자]]+자료실기준[[#This Row],[여자]],0)</f>
        <v>12</v>
      </c>
      <c r="Q190" s="9">
        <f t="array" ref="Q190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90" s="9">
        <f t="array" ref="R190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90" s="9">
        <f t="array" ref="S190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90" s="9">
        <f t="array" ref="T190">IFERROR(INDEX(대출권수[],MATCH(1,(자료실기준[[#This Row],[소장처명]]=대출권수[소장처명])*(대출권수[대출반납]="대출")*(자료실기준[[#This Row],[년월]]=대출권수[년월]),0),MATCH(T$1,대출권수[#Headers],0)),0)</f>
        <v>2</v>
      </c>
      <c r="U190" s="9">
        <f t="array" ref="U190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90" s="9">
        <f t="array" ref="V190">IFERROR(INDEX(대출권수[],MATCH(1,(자료실기준[[#This Row],[소장처명]]=대출권수[소장처명])*(대출권수[대출반납]="대출")*(자료실기준[[#This Row],[년월]]=대출권수[년월]),0),MATCH(V$1,대출권수[#Headers],0)),0)</f>
        <v>2</v>
      </c>
      <c r="W190" s="9">
        <f t="array" ref="W190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90" s="9">
        <f t="array" ref="X190">IFERROR(INDEX(대출권수[],MATCH(1,(자료실기준[[#This Row],[소장처명]]=대출권수[소장처명])*(대출권수[대출반납]="대출")*(자료실기준[[#This Row],[년월]]=대출권수[년월]),0),MATCH(X$1,대출권수[#Headers],0)),0)</f>
        <v>1</v>
      </c>
      <c r="Y190" s="9">
        <f t="array" ref="Y190">IFERROR(INDEX(대출권수[],MATCH(1,(자료실기준[[#This Row],[소장처명]]=대출권수[소장처명])*(대출권수[대출반납]="대출")*(자료실기준[[#This Row],[년월]]=대출권수[년월]),0),MATCH(Y$1,대출권수[#Headers],0)),0)</f>
        <v>12</v>
      </c>
      <c r="Z190" s="9">
        <f t="array" ref="Z190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90" s="9">
        <f>SUM(자료실기준[[#This Row],[총류]:[역사]])</f>
        <v>17</v>
      </c>
    </row>
    <row r="191" spans="1:27" x14ac:dyDescent="0.3">
      <c r="A191" s="5">
        <v>45505</v>
      </c>
      <c r="B191" t="s">
        <v>8</v>
      </c>
      <c r="C191" s="5" t="str">
        <f>TEXT(자료실기준[[#This Row],[년월]],"yy년m월")&amp;자료실기준[[#This Row],[소장처명]]</f>
        <v>24년8월어린이실(교과2학년)</v>
      </c>
      <c r="D191" t="str">
        <f>IFERROR(INDEX(자료실범례[],MATCH($B191,자료실범례[소장처명],0),2),"종합자료실")</f>
        <v>어린이자료실</v>
      </c>
      <c r="E191" s="9">
        <f t="array" ref="E191">IFERROR(INDEX(대출자[],MATCH(1,(자료실기준[[#This Row],[소장처명]]=대출자[소장처명])*(자료실기준[[#This Row],[년월]]=대출자[년월]),0),MATCH(E$1,대출자[#Headers],0)),0)</f>
        <v>0</v>
      </c>
      <c r="F191" s="9">
        <f t="array" ref="F191">IFERROR(INDEX(대출자[],MATCH(1,(자료실기준[[#This Row],[소장처명]]=대출자[소장처명])*(자료실기준[[#This Row],[년월]]=대출자[년월]),0),MATCH(F$1,대출자[#Headers],0)),0)</f>
        <v>3</v>
      </c>
      <c r="G191" s="9">
        <f t="array" ref="G191">IFERROR(INDEX(대출자[],MATCH(1,(자료실기준[[#This Row],[소장처명]]=대출자[소장처명])*(자료실기준[[#This Row],[년월]]=대출자[년월]),0),MATCH(G$1,대출자[#Headers],0)),0)</f>
        <v>0</v>
      </c>
      <c r="H191" s="9">
        <f t="array" ref="H191">IFERROR(INDEX(대출자[],MATCH(1,(자료실기준[[#This Row],[소장처명]]=대출자[소장처명])*(자료실기준[[#This Row],[년월]]=대출자[년월]),0),MATCH(H$1,대출자[#Headers],0)),0)</f>
        <v>1</v>
      </c>
      <c r="I191" s="9">
        <f t="array" ref="I191">IFERROR(INDEX(대출자[],MATCH(1,(자료실기준[[#This Row],[소장처명]]=대출자[소장처명])*(자료실기준[[#This Row],[년월]]=대출자[년월]),0),MATCH(I$1,대출자[#Headers],0)),0)</f>
        <v>0</v>
      </c>
      <c r="J191" s="9">
        <f t="array" ref="J191">IFERROR(INDEX(대출자[],MATCH(1,(자료실기준[[#This Row],[소장처명]]=대출자[소장처명])*(자료실기준[[#This Row],[년월]]=대출자[년월]),0),MATCH(J$1,대출자[#Headers],0)),0)</f>
        <v>3</v>
      </c>
      <c r="K191" s="9">
        <f t="array" ref="K191">IFERROR(INDEX(대출자[],MATCH(1,(자료실기준[[#This Row],[소장처명]]=대출자[소장처명])*(자료실기준[[#This Row],[년월]]=대출자[년월]),0),MATCH(K$1,대출자[#Headers],0)),0)</f>
        <v>3</v>
      </c>
      <c r="L191" s="9">
        <f t="array" ref="L191">IFERROR(INDEX(대출자[],MATCH(1,(자료실기준[[#This Row],[소장처명]]=대출자[소장처명])*(자료실기준[[#This Row],[년월]]=대출자[년월]),0),MATCH(L$1,대출자[#Headers],0)),0)</f>
        <v>1</v>
      </c>
      <c r="M191" s="9">
        <f t="array" ref="M191">IFERROR(INDEX(대출자[],MATCH(1,(자료실기준[[#This Row],[소장처명]]=대출자[소장처명])*(자료실기준[[#This Row],[년월]]=대출자[년월]),0),MATCH(M$1,대출자[#Headers],0)),0)</f>
        <v>3</v>
      </c>
      <c r="N191" s="9">
        <f>IFERROR(자료실기준[[#This Row],[어린이남자]]+자료실기준[[#This Row],[청소년남자]]+자료실기준[[#This Row],[성인남자]],0)</f>
        <v>0</v>
      </c>
      <c r="O191" s="9">
        <f>IFERROR(자료실기준[[#This Row],[어린이여자]]+자료실기준[[#This Row],[청소년여자]]+자료실기준[[#This Row],[성인여자]],0)</f>
        <v>7</v>
      </c>
      <c r="P191" s="9">
        <f>IFERROR(자료실기준[[#This Row],[남자]]+자료실기준[[#This Row],[여자]],0)</f>
        <v>7</v>
      </c>
      <c r="Q191" s="9">
        <f t="array" ref="Q191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91" s="9">
        <f t="array" ref="R191">IFERROR(INDEX(대출권수[],MATCH(1,(자료실기준[[#This Row],[소장처명]]=대출권수[소장처명])*(대출권수[대출반납]="대출")*(자료실기준[[#This Row],[년월]]=대출권수[년월]),0),MATCH(R$1,대출권수[#Headers],0)),0)</f>
        <v>1</v>
      </c>
      <c r="S191" s="9">
        <f t="array" ref="S191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91" s="9">
        <f t="array" ref="T191">IFERROR(INDEX(대출권수[],MATCH(1,(자료실기준[[#This Row],[소장처명]]=대출권수[소장처명])*(대출권수[대출반납]="대출")*(자료실기준[[#This Row],[년월]]=대출권수[년월]),0),MATCH(T$1,대출권수[#Headers],0)),0)</f>
        <v>2</v>
      </c>
      <c r="U191" s="9">
        <f t="array" ref="U191">IFERROR(INDEX(대출권수[],MATCH(1,(자료실기준[[#This Row],[소장처명]]=대출권수[소장처명])*(대출권수[대출반납]="대출")*(자료실기준[[#This Row],[년월]]=대출권수[년월]),0),MATCH(U$1,대출권수[#Headers],0)),0)</f>
        <v>1</v>
      </c>
      <c r="V191" s="9">
        <f t="array" ref="V191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91" s="9">
        <f t="array" ref="W191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91" s="9">
        <f t="array" ref="X191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91" s="9">
        <f t="array" ref="Y191">IFERROR(INDEX(대출권수[],MATCH(1,(자료실기준[[#This Row],[소장처명]]=대출권수[소장처명])*(대출권수[대출반납]="대출")*(자료실기준[[#This Row],[년월]]=대출권수[년월]),0),MATCH(Y$1,대출권수[#Headers],0)),0)</f>
        <v>11</v>
      </c>
      <c r="Z191" s="9">
        <f t="array" ref="Z191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91" s="9">
        <f>SUM(자료실기준[[#This Row],[총류]:[역사]])</f>
        <v>15</v>
      </c>
    </row>
    <row r="192" spans="1:27" x14ac:dyDescent="0.3">
      <c r="A192" s="5">
        <v>45505</v>
      </c>
      <c r="B192" t="s">
        <v>9</v>
      </c>
      <c r="C192" s="5" t="str">
        <f>TEXT(자료실기준[[#This Row],[년월]],"yy년m월")&amp;자료실기준[[#This Row],[소장처명]]</f>
        <v>24년8월어린이실(교과3학년)</v>
      </c>
      <c r="D192" t="str">
        <f>IFERROR(INDEX(자료실범례[],MATCH($B192,자료실범례[소장처명],0),2),"종합자료실")</f>
        <v>어린이자료실</v>
      </c>
      <c r="E192" s="9">
        <f t="array" ref="E192">IFERROR(INDEX(대출자[],MATCH(1,(자료실기준[[#This Row],[소장처명]]=대출자[소장처명])*(자료실기준[[#This Row],[년월]]=대출자[년월]),0),MATCH(E$1,대출자[#Headers],0)),0)</f>
        <v>1</v>
      </c>
      <c r="F192" s="9">
        <f t="array" ref="F192">IFERROR(INDEX(대출자[],MATCH(1,(자료실기준[[#This Row],[소장처명]]=대출자[소장처명])*(자료실기준[[#This Row],[년월]]=대출자[년월]),0),MATCH(F$1,대출자[#Headers],0)),0)</f>
        <v>2</v>
      </c>
      <c r="G192" s="9">
        <f t="array" ref="G192">IFERROR(INDEX(대출자[],MATCH(1,(자료실기준[[#This Row],[소장처명]]=대출자[소장처명])*(자료실기준[[#This Row],[년월]]=대출자[년월]),0),MATCH(G$1,대출자[#Headers],0)),0)</f>
        <v>0</v>
      </c>
      <c r="H192" s="9">
        <f t="array" ref="H192">IFERROR(INDEX(대출자[],MATCH(1,(자료실기준[[#This Row],[소장처명]]=대출자[소장처명])*(자료실기준[[#This Row],[년월]]=대출자[년월]),0),MATCH(H$1,대출자[#Headers],0)),0)</f>
        <v>0</v>
      </c>
      <c r="I192" s="9">
        <f t="array" ref="I192">IFERROR(INDEX(대출자[],MATCH(1,(자료실기준[[#This Row],[소장처명]]=대출자[소장처명])*(자료실기준[[#This Row],[년월]]=대출자[년월]),0),MATCH(I$1,대출자[#Headers],0)),0)</f>
        <v>0</v>
      </c>
      <c r="J192" s="9">
        <f t="array" ref="J192">IFERROR(INDEX(대출자[],MATCH(1,(자료실기준[[#This Row],[소장처명]]=대출자[소장처명])*(자료실기준[[#This Row],[년월]]=대출자[년월]),0),MATCH(J$1,대출자[#Headers],0)),0)</f>
        <v>5</v>
      </c>
      <c r="K192" s="9">
        <f t="array" ref="K192">IFERROR(INDEX(대출자[],MATCH(1,(자료실기준[[#This Row],[소장처명]]=대출자[소장처명])*(자료실기준[[#This Row],[년월]]=대출자[년월]),0),MATCH(K$1,대출자[#Headers],0)),0)</f>
        <v>3</v>
      </c>
      <c r="L192" s="9">
        <f t="array" ref="L192">IFERROR(INDEX(대출자[],MATCH(1,(자료실기준[[#This Row],[소장처명]]=대출자[소장처명])*(자료실기준[[#This Row],[년월]]=대출자[년월]),0),MATCH(L$1,대출자[#Headers],0)),0)</f>
        <v>0</v>
      </c>
      <c r="M192" s="9">
        <f t="array" ref="M192">IFERROR(INDEX(대출자[],MATCH(1,(자료실기준[[#This Row],[소장처명]]=대출자[소장처명])*(자료실기준[[#This Row],[년월]]=대출자[년월]),0),MATCH(M$1,대출자[#Headers],0)),0)</f>
        <v>5</v>
      </c>
      <c r="N192" s="9">
        <f>IFERROR(자료실기준[[#This Row],[어린이남자]]+자료실기준[[#This Row],[청소년남자]]+자료실기준[[#This Row],[성인남자]],0)</f>
        <v>1</v>
      </c>
      <c r="O192" s="9">
        <f>IFERROR(자료실기준[[#This Row],[어린이여자]]+자료실기준[[#This Row],[청소년여자]]+자료실기준[[#This Row],[성인여자]],0)</f>
        <v>7</v>
      </c>
      <c r="P192" s="9">
        <f>IFERROR(자료실기준[[#This Row],[남자]]+자료실기준[[#This Row],[여자]],0)</f>
        <v>8</v>
      </c>
      <c r="Q192" s="9">
        <f t="array" ref="Q192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92" s="9">
        <f t="array" ref="R192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92" s="9">
        <f t="array" ref="S192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92" s="9">
        <f t="array" ref="T192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92" s="9">
        <f t="array" ref="U192">IFERROR(INDEX(대출권수[],MATCH(1,(자료실기준[[#This Row],[소장처명]]=대출권수[소장처명])*(대출권수[대출반납]="대출")*(자료실기준[[#This Row],[년월]]=대출권수[년월]),0),MATCH(U$1,대출권수[#Headers],0)),0)</f>
        <v>1</v>
      </c>
      <c r="V192" s="9">
        <f t="array" ref="V192">IFERROR(INDEX(대출권수[],MATCH(1,(자료실기준[[#This Row],[소장처명]]=대출권수[소장처명])*(대출권수[대출반납]="대출")*(자료실기준[[#This Row],[년월]]=대출권수[년월]),0),MATCH(V$1,대출권수[#Headers],0)),0)</f>
        <v>1</v>
      </c>
      <c r="W192" s="9">
        <f t="array" ref="W192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92" s="9">
        <f t="array" ref="X192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92" s="9">
        <f t="array" ref="Y192">IFERROR(INDEX(대출권수[],MATCH(1,(자료실기준[[#This Row],[소장처명]]=대출권수[소장처명])*(대출권수[대출반납]="대출")*(자료실기준[[#This Row],[년월]]=대출권수[년월]),0),MATCH(Y$1,대출권수[#Headers],0)),0)</f>
        <v>12</v>
      </c>
      <c r="Z192" s="9">
        <f t="array" ref="Z192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92" s="9">
        <f>SUM(자료실기준[[#This Row],[총류]:[역사]])</f>
        <v>14</v>
      </c>
    </row>
    <row r="193" spans="1:27" x14ac:dyDescent="0.3">
      <c r="A193" s="5">
        <v>45505</v>
      </c>
      <c r="B193" t="s">
        <v>10</v>
      </c>
      <c r="C193" s="5" t="str">
        <f>TEXT(자료실기준[[#This Row],[년월]],"yy년m월")&amp;자료실기준[[#This Row],[소장처명]]</f>
        <v>24년8월어린이실(교과4학년)</v>
      </c>
      <c r="D193" t="str">
        <f>IFERROR(INDEX(자료실범례[],MATCH($B193,자료실범례[소장처명],0),2),"종합자료실")</f>
        <v>어린이자료실</v>
      </c>
      <c r="E193" s="9">
        <f t="array" ref="E193">IFERROR(INDEX(대출자[],MATCH(1,(자료실기준[[#This Row],[소장처명]]=대출자[소장처명])*(자료실기준[[#This Row],[년월]]=대출자[년월]),0),MATCH(E$1,대출자[#Headers],0)),0)</f>
        <v>2</v>
      </c>
      <c r="F193" s="9">
        <f t="array" ref="F193">IFERROR(INDEX(대출자[],MATCH(1,(자료실기준[[#This Row],[소장처명]]=대출자[소장처명])*(자료실기준[[#This Row],[년월]]=대출자[년월]),0),MATCH(F$1,대출자[#Headers],0)),0)</f>
        <v>0</v>
      </c>
      <c r="G193" s="9">
        <f t="array" ref="G193">IFERROR(INDEX(대출자[],MATCH(1,(자료실기준[[#This Row],[소장처명]]=대출자[소장처명])*(자료실기준[[#This Row],[년월]]=대출자[년월]),0),MATCH(G$1,대출자[#Headers],0)),0)</f>
        <v>0</v>
      </c>
      <c r="H193" s="9">
        <f t="array" ref="H193">IFERROR(INDEX(대출자[],MATCH(1,(자료실기준[[#This Row],[소장처명]]=대출자[소장처명])*(자료실기준[[#This Row],[년월]]=대출자[년월]),0),MATCH(H$1,대출자[#Headers],0)),0)</f>
        <v>1</v>
      </c>
      <c r="I193" s="9">
        <f t="array" ref="I193">IFERROR(INDEX(대출자[],MATCH(1,(자료실기준[[#This Row],[소장처명]]=대출자[소장처명])*(자료실기준[[#This Row],[년월]]=대출자[년월]),0),MATCH(I$1,대출자[#Headers],0)),0)</f>
        <v>1</v>
      </c>
      <c r="J193" s="9">
        <f t="array" ref="J193">IFERROR(INDEX(대출자[],MATCH(1,(자료실기준[[#This Row],[소장처명]]=대출자[소장처명])*(자료실기준[[#This Row],[년월]]=대출자[년월]),0),MATCH(J$1,대출자[#Headers],0)),0)</f>
        <v>1</v>
      </c>
      <c r="K193" s="9">
        <f t="array" ref="K193">IFERROR(INDEX(대출자[],MATCH(1,(자료실기준[[#This Row],[소장처명]]=대출자[소장처명])*(자료실기준[[#This Row],[년월]]=대출자[년월]),0),MATCH(K$1,대출자[#Headers],0)),0)</f>
        <v>2</v>
      </c>
      <c r="L193" s="9">
        <f t="array" ref="L193">IFERROR(INDEX(대출자[],MATCH(1,(자료실기준[[#This Row],[소장처명]]=대출자[소장처명])*(자료실기준[[#This Row],[년월]]=대출자[년월]),0),MATCH(L$1,대출자[#Headers],0)),0)</f>
        <v>1</v>
      </c>
      <c r="M193" s="9">
        <f t="array" ref="M193">IFERROR(INDEX(대출자[],MATCH(1,(자료실기준[[#This Row],[소장처명]]=대출자[소장처명])*(자료실기준[[#This Row],[년월]]=대출자[년월]),0),MATCH(M$1,대출자[#Headers],0)),0)</f>
        <v>2</v>
      </c>
      <c r="N193" s="9">
        <f>IFERROR(자료실기준[[#This Row],[어린이남자]]+자료실기준[[#This Row],[청소년남자]]+자료실기준[[#This Row],[성인남자]],0)</f>
        <v>3</v>
      </c>
      <c r="O193" s="9">
        <f>IFERROR(자료실기준[[#This Row],[어린이여자]]+자료실기준[[#This Row],[청소년여자]]+자료실기준[[#This Row],[성인여자]],0)</f>
        <v>2</v>
      </c>
      <c r="P193" s="9">
        <f>IFERROR(자료실기준[[#This Row],[남자]]+자료실기준[[#This Row],[여자]],0)</f>
        <v>5</v>
      </c>
      <c r="Q193" s="9">
        <f t="array" ref="Q193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93" s="9">
        <f t="array" ref="R193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93" s="9">
        <f t="array" ref="S193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93" s="9">
        <f t="array" ref="T193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93" s="9">
        <f t="array" ref="U193">IFERROR(INDEX(대출권수[],MATCH(1,(자료실기준[[#This Row],[소장처명]]=대출권수[소장처명])*(대출권수[대출반납]="대출")*(자료실기준[[#This Row],[년월]]=대출권수[년월]),0),MATCH(U$1,대출권수[#Headers],0)),0)</f>
        <v>1</v>
      </c>
      <c r="V193" s="9">
        <f t="array" ref="V193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93" s="9">
        <f t="array" ref="W193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93" s="9">
        <f t="array" ref="X193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93" s="9">
        <f t="array" ref="Y193">IFERROR(INDEX(대출권수[],MATCH(1,(자료실기준[[#This Row],[소장처명]]=대출권수[소장처명])*(대출권수[대출반납]="대출")*(자료실기준[[#This Row],[년월]]=대출권수[년월]),0),MATCH(Y$1,대출권수[#Headers],0)),0)</f>
        <v>4</v>
      </c>
      <c r="Z193" s="9">
        <f t="array" ref="Z193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93" s="9">
        <f>SUM(자료실기준[[#This Row],[총류]:[역사]])</f>
        <v>5</v>
      </c>
    </row>
    <row r="194" spans="1:27" x14ac:dyDescent="0.3">
      <c r="A194" s="5">
        <v>45505</v>
      </c>
      <c r="B194" t="s">
        <v>11</v>
      </c>
      <c r="C194" s="5" t="str">
        <f>TEXT(자료실기준[[#This Row],[년월]],"yy년m월")&amp;자료실기준[[#This Row],[소장처명]]</f>
        <v>24년8월어린이실(교과5학년)</v>
      </c>
      <c r="D194" t="str">
        <f>IFERROR(INDEX(자료실범례[],MATCH($B194,자료실범례[소장처명],0),2),"종합자료실")</f>
        <v>어린이자료실</v>
      </c>
      <c r="E194" s="9">
        <f t="array" ref="E194">IFERROR(INDEX(대출자[],MATCH(1,(자료실기준[[#This Row],[소장처명]]=대출자[소장처명])*(자료실기준[[#This Row],[년월]]=대출자[년월]),0),MATCH(E$1,대출자[#Headers],0)),0)</f>
        <v>1</v>
      </c>
      <c r="F194" s="9">
        <f t="array" ref="F194">IFERROR(INDEX(대출자[],MATCH(1,(자료실기준[[#This Row],[소장처명]]=대출자[소장처명])*(자료실기준[[#This Row],[년월]]=대출자[년월]),0),MATCH(F$1,대출자[#Headers],0)),0)</f>
        <v>1</v>
      </c>
      <c r="G194" s="9">
        <f t="array" ref="G194">IFERROR(INDEX(대출자[],MATCH(1,(자료실기준[[#This Row],[소장처명]]=대출자[소장처명])*(자료실기준[[#This Row],[년월]]=대출자[년월]),0),MATCH(G$1,대출자[#Headers],0)),0)</f>
        <v>0</v>
      </c>
      <c r="H194" s="9">
        <f t="array" ref="H194">IFERROR(INDEX(대출자[],MATCH(1,(자료실기준[[#This Row],[소장처명]]=대출자[소장처명])*(자료실기준[[#This Row],[년월]]=대출자[년월]),0),MATCH(H$1,대출자[#Headers],0)),0)</f>
        <v>1</v>
      </c>
      <c r="I194" s="9">
        <f t="array" ref="I194">IFERROR(INDEX(대출자[],MATCH(1,(자료실기준[[#This Row],[소장처명]]=대출자[소장처명])*(자료실기준[[#This Row],[년월]]=대출자[년월]),0),MATCH(I$1,대출자[#Headers],0)),0)</f>
        <v>2</v>
      </c>
      <c r="J194" s="9">
        <f t="array" ref="J194">IFERROR(INDEX(대출자[],MATCH(1,(자료실기준[[#This Row],[소장처명]]=대출자[소장처명])*(자료실기준[[#This Row],[년월]]=대출자[년월]),0),MATCH(J$1,대출자[#Headers],0)),0)</f>
        <v>5</v>
      </c>
      <c r="K194" s="9">
        <f t="array" ref="K194">IFERROR(INDEX(대출자[],MATCH(1,(자료실기준[[#This Row],[소장처명]]=대출자[소장처명])*(자료실기준[[#This Row],[년월]]=대출자[년월]),0),MATCH(K$1,대출자[#Headers],0)),0)</f>
        <v>2</v>
      </c>
      <c r="L194" s="9">
        <f t="array" ref="L194">IFERROR(INDEX(대출자[],MATCH(1,(자료실기준[[#This Row],[소장처명]]=대출자[소장처명])*(자료실기준[[#This Row],[년월]]=대출자[년월]),0),MATCH(L$1,대출자[#Headers],0)),0)</f>
        <v>1</v>
      </c>
      <c r="M194" s="9">
        <f t="array" ref="M194">IFERROR(INDEX(대출자[],MATCH(1,(자료실기준[[#This Row],[소장처명]]=대출자[소장처명])*(자료실기준[[#This Row],[년월]]=대출자[년월]),0),MATCH(M$1,대출자[#Headers],0)),0)</f>
        <v>7</v>
      </c>
      <c r="N194" s="9">
        <f>IFERROR(자료실기준[[#This Row],[어린이남자]]+자료실기준[[#This Row],[청소년남자]]+자료실기준[[#This Row],[성인남자]],0)</f>
        <v>3</v>
      </c>
      <c r="O194" s="9">
        <f>IFERROR(자료실기준[[#This Row],[어린이여자]]+자료실기준[[#This Row],[청소년여자]]+자료실기준[[#This Row],[성인여자]],0)</f>
        <v>7</v>
      </c>
      <c r="P194" s="9">
        <f>IFERROR(자료실기준[[#This Row],[남자]]+자료실기준[[#This Row],[여자]],0)</f>
        <v>10</v>
      </c>
      <c r="Q194" s="9">
        <f t="array" ref="Q194">IFERROR(INDEX(대출권수[],MATCH(1,(자료실기준[[#This Row],[소장처명]]=대출권수[소장처명])*(대출권수[대출반납]="대출")*(자료실기준[[#This Row],[년월]]=대출권수[년월]),0),MATCH(Q$1,대출권수[#Headers],0)),0)</f>
        <v>1</v>
      </c>
      <c r="R194" s="9">
        <f t="array" ref="R194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94" s="9">
        <f t="array" ref="S194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94" s="9">
        <f t="array" ref="T194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94" s="9">
        <f t="array" ref="U194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94" s="9">
        <f t="array" ref="V194">IFERROR(INDEX(대출권수[],MATCH(1,(자료실기준[[#This Row],[소장처명]]=대출권수[소장처명])*(대출권수[대출반납]="대출")*(자료실기준[[#This Row],[년월]]=대출권수[년월]),0),MATCH(V$1,대출권수[#Headers],0)),0)</f>
        <v>1</v>
      </c>
      <c r="W194" s="9">
        <f t="array" ref="W194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94" s="9">
        <f t="array" ref="X194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94" s="9">
        <f t="array" ref="Y194">IFERROR(INDEX(대출권수[],MATCH(1,(자료실기준[[#This Row],[소장처명]]=대출권수[소장처명])*(대출권수[대출반납]="대출")*(자료실기준[[#This Row],[년월]]=대출권수[년월]),0),MATCH(Y$1,대출권수[#Headers],0)),0)</f>
        <v>12</v>
      </c>
      <c r="Z194" s="9">
        <f t="array" ref="Z194">IFERROR(INDEX(대출권수[],MATCH(1,(자료실기준[[#This Row],[소장처명]]=대출권수[소장처명])*(대출권수[대출반납]="대출")*(자료실기준[[#This Row],[년월]]=대출권수[년월]),0),MATCH(Z$1,대출권수[#Headers],0)),0)</f>
        <v>1</v>
      </c>
      <c r="AA194" s="9">
        <f>SUM(자료실기준[[#This Row],[총류]:[역사]])</f>
        <v>15</v>
      </c>
    </row>
    <row r="195" spans="1:27" x14ac:dyDescent="0.3">
      <c r="A195" s="5">
        <v>45505</v>
      </c>
      <c r="B195" t="s">
        <v>12</v>
      </c>
      <c r="C195" s="5" t="str">
        <f>TEXT(자료실기준[[#This Row],[년월]],"yy년m월")&amp;자료실기준[[#This Row],[소장처명]]</f>
        <v>24년8월어린이실(교과6학년)</v>
      </c>
      <c r="D195" t="str">
        <f>IFERROR(INDEX(자료실범례[],MATCH($B195,자료실범례[소장처명],0),2),"종합자료실")</f>
        <v>어린이자료실</v>
      </c>
      <c r="E195" s="9">
        <f t="array" ref="E195">IFERROR(INDEX(대출자[],MATCH(1,(자료실기준[[#This Row],[소장처명]]=대출자[소장처명])*(자료실기준[[#This Row],[년월]]=대출자[년월]),0),MATCH(E$1,대출자[#Headers],0)),0)</f>
        <v>2</v>
      </c>
      <c r="F195" s="9">
        <f t="array" ref="F195">IFERROR(INDEX(대출자[],MATCH(1,(자료실기준[[#This Row],[소장처명]]=대출자[소장처명])*(자료실기준[[#This Row],[년월]]=대출자[년월]),0),MATCH(F$1,대출자[#Headers],0)),0)</f>
        <v>0</v>
      </c>
      <c r="G195" s="9">
        <f t="array" ref="G195">IFERROR(INDEX(대출자[],MATCH(1,(자료실기준[[#This Row],[소장처명]]=대출자[소장처명])*(자료실기준[[#This Row],[년월]]=대출자[년월]),0),MATCH(G$1,대출자[#Headers],0)),0)</f>
        <v>0</v>
      </c>
      <c r="H195" s="9">
        <f t="array" ref="H195">IFERROR(INDEX(대출자[],MATCH(1,(자료실기준[[#This Row],[소장처명]]=대출자[소장처명])*(자료실기준[[#This Row],[년월]]=대출자[년월]),0),MATCH(H$1,대출자[#Headers],0)),0)</f>
        <v>0</v>
      </c>
      <c r="I195" s="9">
        <f t="array" ref="I195">IFERROR(INDEX(대출자[],MATCH(1,(자료실기준[[#This Row],[소장처명]]=대출자[소장처명])*(자료실기준[[#This Row],[년월]]=대출자[년월]),0),MATCH(I$1,대출자[#Headers],0)),0)</f>
        <v>2</v>
      </c>
      <c r="J195" s="9">
        <f t="array" ref="J195">IFERROR(INDEX(대출자[],MATCH(1,(자료실기준[[#This Row],[소장처명]]=대출자[소장처명])*(자료실기준[[#This Row],[년월]]=대출자[년월]),0),MATCH(J$1,대출자[#Headers],0)),0)</f>
        <v>3</v>
      </c>
      <c r="K195" s="9">
        <f t="array" ref="K195">IFERROR(INDEX(대출자[],MATCH(1,(자료실기준[[#This Row],[소장처명]]=대출자[소장처명])*(자료실기준[[#This Row],[년월]]=대출자[년월]),0),MATCH(K$1,대출자[#Headers],0)),0)</f>
        <v>2</v>
      </c>
      <c r="L195" s="9">
        <f t="array" ref="L195">IFERROR(INDEX(대출자[],MATCH(1,(자료실기준[[#This Row],[소장처명]]=대출자[소장처명])*(자료실기준[[#This Row],[년월]]=대출자[년월]),0),MATCH(L$1,대출자[#Headers],0)),0)</f>
        <v>0</v>
      </c>
      <c r="M195" s="9">
        <f t="array" ref="M195">IFERROR(INDEX(대출자[],MATCH(1,(자료실기준[[#This Row],[소장처명]]=대출자[소장처명])*(자료실기준[[#This Row],[년월]]=대출자[년월]),0),MATCH(M$1,대출자[#Headers],0)),0)</f>
        <v>5</v>
      </c>
      <c r="N195" s="9">
        <f>IFERROR(자료실기준[[#This Row],[어린이남자]]+자료실기준[[#This Row],[청소년남자]]+자료실기준[[#This Row],[성인남자]],0)</f>
        <v>4</v>
      </c>
      <c r="O195" s="9">
        <f>IFERROR(자료실기준[[#This Row],[어린이여자]]+자료실기준[[#This Row],[청소년여자]]+자료실기준[[#This Row],[성인여자]],0)</f>
        <v>3</v>
      </c>
      <c r="P195" s="9">
        <f>IFERROR(자료실기준[[#This Row],[남자]]+자료실기준[[#This Row],[여자]],0)</f>
        <v>7</v>
      </c>
      <c r="Q195" s="9">
        <f t="array" ref="Q195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95" s="9">
        <f t="array" ref="R195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95" s="9">
        <f t="array" ref="S195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95" s="9">
        <f t="array" ref="T195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95" s="9">
        <f t="array" ref="U195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95" s="9">
        <f t="array" ref="V195">IFERROR(INDEX(대출권수[],MATCH(1,(자료실기준[[#This Row],[소장처명]]=대출권수[소장처명])*(대출권수[대출반납]="대출")*(자료실기준[[#This Row],[년월]]=대출권수[년월]),0),MATCH(V$1,대출권수[#Headers],0)),0)</f>
        <v>4</v>
      </c>
      <c r="W195" s="9">
        <f t="array" ref="W195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95" s="9">
        <f t="array" ref="X195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95" s="9">
        <f t="array" ref="Y195">IFERROR(INDEX(대출권수[],MATCH(1,(자료실기준[[#This Row],[소장처명]]=대출권수[소장처명])*(대출권수[대출반납]="대출")*(자료실기준[[#This Row],[년월]]=대출권수[년월]),0),MATCH(Y$1,대출권수[#Headers],0)),0)</f>
        <v>5</v>
      </c>
      <c r="Z195" s="9">
        <f t="array" ref="Z195">IFERROR(INDEX(대출권수[],MATCH(1,(자료실기준[[#This Row],[소장처명]]=대출권수[소장처명])*(대출권수[대출반납]="대출")*(자료실기준[[#This Row],[년월]]=대출권수[년월]),0),MATCH(Z$1,대출권수[#Headers],0)),0)</f>
        <v>2</v>
      </c>
      <c r="AA195" s="9">
        <f>SUM(자료실기준[[#This Row],[총류]:[역사]])</f>
        <v>11</v>
      </c>
    </row>
    <row r="196" spans="1:27" x14ac:dyDescent="0.3">
      <c r="A196" s="5">
        <v>45505</v>
      </c>
      <c r="B196" t="s">
        <v>0</v>
      </c>
      <c r="C196" s="5" t="str">
        <f>TEXT(자료실기준[[#This Row],[년월]],"yy년m월")&amp;자료실기준[[#This Row],[소장처명]]</f>
        <v>24년8월다문화자료실</v>
      </c>
      <c r="D196" t="str">
        <f>IFERROR(INDEX(자료실범례[],MATCH($B196,자료실범례[소장처명],0),2),"종합자료실")</f>
        <v>어린이자료실</v>
      </c>
      <c r="E196" s="9">
        <f t="array" ref="E196">IFERROR(INDEX(대출자[],MATCH(1,(자료실기준[[#This Row],[소장처명]]=대출자[소장처명])*(자료실기준[[#This Row],[년월]]=대출자[년월]),0),MATCH(E$1,대출자[#Headers],0)),0)</f>
        <v>3</v>
      </c>
      <c r="F196" s="9">
        <f t="array" ref="F196">IFERROR(INDEX(대출자[],MATCH(1,(자료실기준[[#This Row],[소장처명]]=대출자[소장처명])*(자료실기준[[#This Row],[년월]]=대출자[년월]),0),MATCH(F$1,대출자[#Headers],0)),0)</f>
        <v>1</v>
      </c>
      <c r="G196" s="9">
        <f t="array" ref="G196">IFERROR(INDEX(대출자[],MATCH(1,(자료실기준[[#This Row],[소장처명]]=대출자[소장처명])*(자료실기준[[#This Row],[년월]]=대출자[년월]),0),MATCH(G$1,대출자[#Headers],0)),0)</f>
        <v>0</v>
      </c>
      <c r="H196" s="9">
        <f t="array" ref="H196">IFERROR(INDEX(대출자[],MATCH(1,(자료실기준[[#This Row],[소장처명]]=대출자[소장처명])*(자료실기준[[#This Row],[년월]]=대출자[년월]),0),MATCH(H$1,대출자[#Headers],0)),0)</f>
        <v>0</v>
      </c>
      <c r="I196" s="9">
        <f t="array" ref="I196">IFERROR(INDEX(대출자[],MATCH(1,(자료실기준[[#This Row],[소장처명]]=대출자[소장처명])*(자료실기준[[#This Row],[년월]]=대출자[년월]),0),MATCH(I$1,대출자[#Headers],0)),0)</f>
        <v>2</v>
      </c>
      <c r="J196" s="9">
        <f t="array" ref="J196">IFERROR(INDEX(대출자[],MATCH(1,(자료실기준[[#This Row],[소장처명]]=대출자[소장처명])*(자료실기준[[#This Row],[년월]]=대출자[년월]),0),MATCH(J$1,대출자[#Headers],0)),0)</f>
        <v>5</v>
      </c>
      <c r="K196" s="9">
        <f t="array" ref="K196">IFERROR(INDEX(대출자[],MATCH(1,(자료실기준[[#This Row],[소장처명]]=대출자[소장처명])*(자료실기준[[#This Row],[년월]]=대출자[년월]),0),MATCH(K$1,대출자[#Headers],0)),0)</f>
        <v>4</v>
      </c>
      <c r="L196" s="9">
        <f t="array" ref="L196">IFERROR(INDEX(대출자[],MATCH(1,(자료실기준[[#This Row],[소장처명]]=대출자[소장처명])*(자료실기준[[#This Row],[년월]]=대출자[년월]),0),MATCH(L$1,대출자[#Headers],0)),0)</f>
        <v>0</v>
      </c>
      <c r="M196" s="9">
        <f t="array" ref="M196">IFERROR(INDEX(대출자[],MATCH(1,(자료실기준[[#This Row],[소장처명]]=대출자[소장처명])*(자료실기준[[#This Row],[년월]]=대출자[년월]),0),MATCH(M$1,대출자[#Headers],0)),0)</f>
        <v>7</v>
      </c>
      <c r="N196" s="9">
        <f>IFERROR(자료실기준[[#This Row],[어린이남자]]+자료실기준[[#This Row],[청소년남자]]+자료실기준[[#This Row],[성인남자]],0)</f>
        <v>5</v>
      </c>
      <c r="O196" s="9">
        <f>IFERROR(자료실기준[[#This Row],[어린이여자]]+자료실기준[[#This Row],[청소년여자]]+자료실기준[[#This Row],[성인여자]],0)</f>
        <v>6</v>
      </c>
      <c r="P196" s="9">
        <f>IFERROR(자료실기준[[#This Row],[남자]]+자료실기준[[#This Row],[여자]],0)</f>
        <v>11</v>
      </c>
      <c r="Q196" s="9">
        <f t="array" ref="Q196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96" s="9">
        <f t="array" ref="R196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96" s="9">
        <f t="array" ref="S196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96" s="9">
        <f t="array" ref="T196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96" s="9">
        <f t="array" ref="U196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96" s="9">
        <f t="array" ref="V196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96" s="9">
        <f t="array" ref="W196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96" s="9">
        <f t="array" ref="X196">IFERROR(INDEX(대출권수[],MATCH(1,(자료실기준[[#This Row],[소장처명]]=대출권수[소장처명])*(대출권수[대출반납]="대출")*(자료실기준[[#This Row],[년월]]=대출권수[년월]),0),MATCH(X$1,대출권수[#Headers],0)),0)</f>
        <v>5</v>
      </c>
      <c r="Y196" s="9">
        <f t="array" ref="Y196">IFERROR(INDEX(대출권수[],MATCH(1,(자료실기준[[#This Row],[소장처명]]=대출권수[소장처명])*(대출권수[대출반납]="대출")*(자료실기준[[#This Row],[년월]]=대출권수[년월]),0),MATCH(Y$1,대출권수[#Headers],0)),0)</f>
        <v>20</v>
      </c>
      <c r="Z196" s="9">
        <f t="array" ref="Z196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96" s="9">
        <f>SUM(자료실기준[[#This Row],[총류]:[역사]])</f>
        <v>25</v>
      </c>
    </row>
    <row r="197" spans="1:27" x14ac:dyDescent="0.3">
      <c r="A197" s="5">
        <v>45505</v>
      </c>
      <c r="B197" t="s">
        <v>1</v>
      </c>
      <c r="C197" s="5" t="str">
        <f>TEXT(자료실기준[[#This Row],[년월]],"yy년m월")&amp;자료실기준[[#This Row],[소장처명]]</f>
        <v>24년8월다문화자료실(영어유아)</v>
      </c>
      <c r="D197" t="str">
        <f>IFERROR(INDEX(자료실범례[],MATCH($B197,자료실범례[소장처명],0),2),"종합자료실")</f>
        <v>어린이자료실</v>
      </c>
      <c r="E197" s="9">
        <f t="array" ref="E197">IFERROR(INDEX(대출자[],MATCH(1,(자료실기준[[#This Row],[소장처명]]=대출자[소장처명])*(자료실기준[[#This Row],[년월]]=대출자[년월]),0),MATCH(E$1,대출자[#Headers],0)),0)</f>
        <v>1</v>
      </c>
      <c r="F197" s="9">
        <f t="array" ref="F197">IFERROR(INDEX(대출자[],MATCH(1,(자료실기준[[#This Row],[소장처명]]=대출자[소장처명])*(자료실기준[[#This Row],[년월]]=대출자[년월]),0),MATCH(F$1,대출자[#Headers],0)),0)</f>
        <v>2</v>
      </c>
      <c r="G197" s="9">
        <f t="array" ref="G197">IFERROR(INDEX(대출자[],MATCH(1,(자료실기준[[#This Row],[소장처명]]=대출자[소장처명])*(자료실기준[[#This Row],[년월]]=대출자[년월]),0),MATCH(G$1,대출자[#Headers],0)),0)</f>
        <v>0</v>
      </c>
      <c r="H197" s="9">
        <f t="array" ref="H197">IFERROR(INDEX(대출자[],MATCH(1,(자료실기준[[#This Row],[소장처명]]=대출자[소장처명])*(자료실기준[[#This Row],[년월]]=대출자[년월]),0),MATCH(H$1,대출자[#Headers],0)),0)</f>
        <v>0</v>
      </c>
      <c r="I197" s="9">
        <f t="array" ref="I197">IFERROR(INDEX(대출자[],MATCH(1,(자료실기준[[#This Row],[소장처명]]=대출자[소장처명])*(자료실기준[[#This Row],[년월]]=대출자[년월]),0),MATCH(I$1,대출자[#Headers],0)),0)</f>
        <v>2</v>
      </c>
      <c r="J197" s="9">
        <f t="array" ref="J197">IFERROR(INDEX(대출자[],MATCH(1,(자료실기준[[#This Row],[소장처명]]=대출자[소장처명])*(자료실기준[[#This Row],[년월]]=대출자[년월]),0),MATCH(J$1,대출자[#Headers],0)),0)</f>
        <v>3</v>
      </c>
      <c r="K197" s="9">
        <f t="array" ref="K197">IFERROR(INDEX(대출자[],MATCH(1,(자료실기준[[#This Row],[소장처명]]=대출자[소장처명])*(자료실기준[[#This Row],[년월]]=대출자[년월]),0),MATCH(K$1,대출자[#Headers],0)),0)</f>
        <v>3</v>
      </c>
      <c r="L197" s="9">
        <f t="array" ref="L197">IFERROR(INDEX(대출자[],MATCH(1,(자료실기준[[#This Row],[소장처명]]=대출자[소장처명])*(자료실기준[[#This Row],[년월]]=대출자[년월]),0),MATCH(L$1,대출자[#Headers],0)),0)</f>
        <v>0</v>
      </c>
      <c r="M197" s="9">
        <f t="array" ref="M197">IFERROR(INDEX(대출자[],MATCH(1,(자료실기준[[#This Row],[소장처명]]=대출자[소장처명])*(자료실기준[[#This Row],[년월]]=대출자[년월]),0),MATCH(M$1,대출자[#Headers],0)),0)</f>
        <v>5</v>
      </c>
      <c r="N197" s="9">
        <f>IFERROR(자료실기준[[#This Row],[어린이남자]]+자료실기준[[#This Row],[청소년남자]]+자료실기준[[#This Row],[성인남자]],0)</f>
        <v>3</v>
      </c>
      <c r="O197" s="9">
        <f>IFERROR(자료실기준[[#This Row],[어린이여자]]+자료실기준[[#This Row],[청소년여자]]+자료실기준[[#This Row],[성인여자]],0)</f>
        <v>5</v>
      </c>
      <c r="P197" s="9">
        <f>IFERROR(자료실기준[[#This Row],[남자]]+자료실기준[[#This Row],[여자]],0)</f>
        <v>8</v>
      </c>
      <c r="Q197" s="9">
        <f t="array" ref="Q197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97" s="9">
        <f t="array" ref="R197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97" s="9">
        <f t="array" ref="S197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97" s="9">
        <f t="array" ref="T197">IFERROR(INDEX(대출권수[],MATCH(1,(자료실기준[[#This Row],[소장처명]]=대출권수[소장처명])*(대출권수[대출반납]="대출")*(자료실기준[[#This Row],[년월]]=대출권수[년월]),0),MATCH(T$1,대출권수[#Headers],0)),0)</f>
        <v>1</v>
      </c>
      <c r="U197" s="9">
        <f t="array" ref="U197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97" s="9">
        <f t="array" ref="V197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97" s="9">
        <f t="array" ref="W197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97" s="9">
        <f t="array" ref="X197">IFERROR(INDEX(대출권수[],MATCH(1,(자료실기준[[#This Row],[소장처명]]=대출권수[소장처명])*(대출권수[대출반납]="대출")*(자료실기준[[#This Row],[년월]]=대출권수[년월]),0),MATCH(X$1,대출권수[#Headers],0)),0)</f>
        <v>26</v>
      </c>
      <c r="Y197" s="9">
        <f t="array" ref="Y197">IFERROR(INDEX(대출권수[],MATCH(1,(자료실기준[[#This Row],[소장처명]]=대출권수[소장처명])*(대출권수[대출반납]="대출")*(자료실기준[[#This Row],[년월]]=대출권수[년월]),0),MATCH(Y$1,대출권수[#Headers],0)),0)</f>
        <v>11</v>
      </c>
      <c r="Z197" s="9">
        <f t="array" ref="Z197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97" s="9">
        <f>SUM(자료실기준[[#This Row],[총류]:[역사]])</f>
        <v>38</v>
      </c>
    </row>
    <row r="198" spans="1:27" x14ac:dyDescent="0.3">
      <c r="A198" s="5">
        <v>45505</v>
      </c>
      <c r="B198" t="s">
        <v>6</v>
      </c>
      <c r="C198" s="5" t="str">
        <f>TEXT(자료실기준[[#This Row],[년월]],"yy년m월")&amp;자료실기준[[#This Row],[소장처명]]</f>
        <v>24년8월스마트도서관</v>
      </c>
      <c r="D198" t="str">
        <f>IFERROR(INDEX(자료실범례[],MATCH($B198,자료실범례[소장처명],0),2),"종합자료실")</f>
        <v>종합자료실</v>
      </c>
      <c r="E198" s="9">
        <f t="array" ref="E198">IFERROR(INDEX(대출자[],MATCH(1,(자료실기준[[#This Row],[소장처명]]=대출자[소장처명])*(자료실기준[[#This Row],[년월]]=대출자[년월]),0),MATCH(E$1,대출자[#Headers],0)),0)</f>
        <v>1</v>
      </c>
      <c r="F198" s="9">
        <f t="array" ref="F198">IFERROR(INDEX(대출자[],MATCH(1,(자료실기준[[#This Row],[소장처명]]=대출자[소장처명])*(자료실기준[[#This Row],[년월]]=대출자[년월]),0),MATCH(F$1,대출자[#Headers],0)),0)</f>
        <v>2</v>
      </c>
      <c r="G198" s="9">
        <f t="array" ref="G198">IFERROR(INDEX(대출자[],MATCH(1,(자료실기준[[#This Row],[소장처명]]=대출자[소장처명])*(자료실기준[[#This Row],[년월]]=대출자[년월]),0),MATCH(G$1,대출자[#Headers],0)),0)</f>
        <v>0</v>
      </c>
      <c r="H198" s="9">
        <f t="array" ref="H198">IFERROR(INDEX(대출자[],MATCH(1,(자료실기준[[#This Row],[소장처명]]=대출자[소장처명])*(자료실기준[[#This Row],[년월]]=대출자[년월]),0),MATCH(H$1,대출자[#Headers],0)),0)</f>
        <v>0</v>
      </c>
      <c r="I198" s="9">
        <f t="array" ref="I198">IFERROR(INDEX(대출자[],MATCH(1,(자료실기준[[#This Row],[소장처명]]=대출자[소장처명])*(자료실기준[[#This Row],[년월]]=대출자[년월]),0),MATCH(I$1,대출자[#Headers],0)),0)</f>
        <v>3</v>
      </c>
      <c r="J198" s="9">
        <f t="array" ref="J198">IFERROR(INDEX(대출자[],MATCH(1,(자료실기준[[#This Row],[소장처명]]=대출자[소장처명])*(자료실기준[[#This Row],[년월]]=대출자[년월]),0),MATCH(J$1,대출자[#Headers],0)),0)</f>
        <v>8</v>
      </c>
      <c r="K198" s="9">
        <f t="array" ref="K198">IFERROR(INDEX(대출자[],MATCH(1,(자료실기준[[#This Row],[소장처명]]=대출자[소장처명])*(자료실기준[[#This Row],[년월]]=대출자[년월]),0),MATCH(K$1,대출자[#Headers],0)),0)</f>
        <v>3</v>
      </c>
      <c r="L198" s="9">
        <f t="array" ref="L198">IFERROR(INDEX(대출자[],MATCH(1,(자료실기준[[#This Row],[소장처명]]=대출자[소장처명])*(자료실기준[[#This Row],[년월]]=대출자[년월]),0),MATCH(L$1,대출자[#Headers],0)),0)</f>
        <v>0</v>
      </c>
      <c r="M198" s="9">
        <f t="array" ref="M198">IFERROR(INDEX(대출자[],MATCH(1,(자료실기준[[#This Row],[소장처명]]=대출자[소장처명])*(자료실기준[[#This Row],[년월]]=대출자[년월]),0),MATCH(M$1,대출자[#Headers],0)),0)</f>
        <v>11</v>
      </c>
      <c r="N198" s="9">
        <f>IFERROR(자료실기준[[#This Row],[어린이남자]]+자료실기준[[#This Row],[청소년남자]]+자료실기준[[#This Row],[성인남자]],0)</f>
        <v>4</v>
      </c>
      <c r="O198" s="9">
        <f>IFERROR(자료실기준[[#This Row],[어린이여자]]+자료실기준[[#This Row],[청소년여자]]+자료실기준[[#This Row],[성인여자]],0)</f>
        <v>10</v>
      </c>
      <c r="P198" s="9">
        <f>IFERROR(자료실기준[[#This Row],[남자]]+자료실기준[[#This Row],[여자]],0)</f>
        <v>14</v>
      </c>
      <c r="Q198" s="9">
        <f t="array" ref="Q198">IFERROR(INDEX(대출권수[],MATCH(1,(자료실기준[[#This Row],[소장처명]]=대출권수[소장처명])*(대출권수[대출반납]="대출")*(자료실기준[[#This Row],[년월]]=대출권수[년월]),0),MATCH(Q$1,대출권수[#Headers],0)),0)</f>
        <v>2</v>
      </c>
      <c r="R198" s="9">
        <f t="array" ref="R198">IFERROR(INDEX(대출권수[],MATCH(1,(자료실기준[[#This Row],[소장처명]]=대출권수[소장처명])*(대출권수[대출반납]="대출")*(자료실기준[[#This Row],[년월]]=대출권수[년월]),0),MATCH(R$1,대출권수[#Headers],0)),0)</f>
        <v>1</v>
      </c>
      <c r="S198" s="9">
        <f t="array" ref="S198">IFERROR(INDEX(대출권수[],MATCH(1,(자료실기준[[#This Row],[소장처명]]=대출권수[소장처명])*(대출권수[대출반납]="대출")*(자료실기준[[#This Row],[년월]]=대출권수[년월]),0),MATCH(S$1,대출권수[#Headers],0)),0)</f>
        <v>1</v>
      </c>
      <c r="T198" s="9">
        <f t="array" ref="T198">IFERROR(INDEX(대출권수[],MATCH(1,(자료실기준[[#This Row],[소장처명]]=대출권수[소장처명])*(대출권수[대출반납]="대출")*(자료실기준[[#This Row],[년월]]=대출권수[년월]),0),MATCH(T$1,대출권수[#Headers],0)),0)</f>
        <v>2</v>
      </c>
      <c r="U198" s="9">
        <f t="array" ref="U198">IFERROR(INDEX(대출권수[],MATCH(1,(자료실기준[[#This Row],[소장처명]]=대출권수[소장처명])*(대출권수[대출반납]="대출")*(자료실기준[[#This Row],[년월]]=대출권수[년월]),0),MATCH(U$1,대출권수[#Headers],0)),0)</f>
        <v>1</v>
      </c>
      <c r="V198" s="9">
        <f t="array" ref="V198">IFERROR(INDEX(대출권수[],MATCH(1,(자료실기준[[#This Row],[소장처명]]=대출권수[소장처명])*(대출권수[대출반납]="대출")*(자료실기준[[#This Row],[년월]]=대출권수[년월]),0),MATCH(V$1,대출권수[#Headers],0)),0)</f>
        <v>1</v>
      </c>
      <c r="W198" s="9">
        <f t="array" ref="W198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98" s="9">
        <f t="array" ref="X198">IFERROR(INDEX(대출권수[],MATCH(1,(자료실기준[[#This Row],[소장처명]]=대출권수[소장처명])*(대출권수[대출반납]="대출")*(자료실기준[[#This Row],[년월]]=대출권수[년월]),0),MATCH(X$1,대출권수[#Headers],0)),0)</f>
        <v>2</v>
      </c>
      <c r="Y198" s="9">
        <f t="array" ref="Y198">IFERROR(INDEX(대출권수[],MATCH(1,(자료실기준[[#This Row],[소장처명]]=대출권수[소장처명])*(대출권수[대출반납]="대출")*(자료실기준[[#This Row],[년월]]=대출권수[년월]),0),MATCH(Y$1,대출권수[#Headers],0)),0)</f>
        <v>20</v>
      </c>
      <c r="Z198" s="9">
        <f t="array" ref="Z198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98" s="9">
        <f>SUM(자료실기준[[#This Row],[총류]:[역사]])</f>
        <v>30</v>
      </c>
    </row>
    <row r="199" spans="1:27" x14ac:dyDescent="0.3">
      <c r="A199" s="5">
        <v>45505</v>
      </c>
      <c r="B199" t="s">
        <v>18</v>
      </c>
      <c r="C199" s="5" t="str">
        <f>TEXT(자료실기준[[#This Row],[년월]],"yy년m월")&amp;자료실기준[[#This Row],[소장처명]]</f>
        <v>24년8월정기간행물(종합)</v>
      </c>
      <c r="D199" t="str">
        <f>IFERROR(INDEX(자료실범례[],MATCH($B199,자료실범례[소장처명],0),2),"종합자료실")</f>
        <v>종합자료실</v>
      </c>
      <c r="E199" s="9">
        <f t="array" ref="E199">IFERROR(INDEX(대출자[],MATCH(1,(자료실기준[[#This Row],[소장처명]]=대출자[소장처명])*(자료실기준[[#This Row],[년월]]=대출자[년월]),0),MATCH(E$1,대출자[#Headers],0)),0)</f>
        <v>0</v>
      </c>
      <c r="F199" s="9">
        <f t="array" ref="F199">IFERROR(INDEX(대출자[],MATCH(1,(자료실기준[[#This Row],[소장처명]]=대출자[소장처명])*(자료실기준[[#This Row],[년월]]=대출자[년월]),0),MATCH(F$1,대출자[#Headers],0)),0)</f>
        <v>0</v>
      </c>
      <c r="G199" s="9">
        <f t="array" ref="G199">IFERROR(INDEX(대출자[],MATCH(1,(자료실기준[[#This Row],[소장처명]]=대출자[소장처명])*(자료실기준[[#This Row],[년월]]=대출자[년월]),0),MATCH(G$1,대출자[#Headers],0)),0)</f>
        <v>0</v>
      </c>
      <c r="H199" s="9">
        <f t="array" ref="H199">IFERROR(INDEX(대출자[],MATCH(1,(자료실기준[[#This Row],[소장처명]]=대출자[소장처명])*(자료실기준[[#This Row],[년월]]=대출자[년월]),0),MATCH(H$1,대출자[#Headers],0)),0)</f>
        <v>0</v>
      </c>
      <c r="I199" s="9">
        <f t="array" ref="I199">IFERROR(INDEX(대출자[],MATCH(1,(자료실기준[[#This Row],[소장처명]]=대출자[소장처명])*(자료실기준[[#This Row],[년월]]=대출자[년월]),0),MATCH(I$1,대출자[#Headers],0)),0)</f>
        <v>1</v>
      </c>
      <c r="J199" s="9">
        <f t="array" ref="J199">IFERROR(INDEX(대출자[],MATCH(1,(자료실기준[[#This Row],[소장처명]]=대출자[소장처명])*(자료실기준[[#This Row],[년월]]=대출자[년월]),0),MATCH(J$1,대출자[#Headers],0)),0)</f>
        <v>0</v>
      </c>
      <c r="K199" s="9">
        <f t="array" ref="K199">IFERROR(INDEX(대출자[],MATCH(1,(자료실기준[[#This Row],[소장처명]]=대출자[소장처명])*(자료실기준[[#This Row],[년월]]=대출자[년월]),0),MATCH(K$1,대출자[#Headers],0)),0)</f>
        <v>0</v>
      </c>
      <c r="L199" s="9">
        <f t="array" ref="L199">IFERROR(INDEX(대출자[],MATCH(1,(자료실기준[[#This Row],[소장처명]]=대출자[소장처명])*(자료실기준[[#This Row],[년월]]=대출자[년월]),0),MATCH(L$1,대출자[#Headers],0)),0)</f>
        <v>0</v>
      </c>
      <c r="M199" s="9">
        <f t="array" ref="M199">IFERROR(INDEX(대출자[],MATCH(1,(자료실기준[[#This Row],[소장처명]]=대출자[소장처명])*(자료실기준[[#This Row],[년월]]=대출자[년월]),0),MATCH(M$1,대출자[#Headers],0)),0)</f>
        <v>1</v>
      </c>
      <c r="N199" s="9">
        <f>IFERROR(자료실기준[[#This Row],[어린이남자]]+자료실기준[[#This Row],[청소년남자]]+자료실기준[[#This Row],[성인남자]],0)</f>
        <v>1</v>
      </c>
      <c r="O199" s="9">
        <f>IFERROR(자료실기준[[#This Row],[어린이여자]]+자료실기준[[#This Row],[청소년여자]]+자료실기준[[#This Row],[성인여자]],0)</f>
        <v>0</v>
      </c>
      <c r="P199" s="9">
        <f>IFERROR(자료실기준[[#This Row],[남자]]+자료실기준[[#This Row],[여자]],0)</f>
        <v>1</v>
      </c>
      <c r="Q199" s="9">
        <f t="array" ref="Q199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199" s="9">
        <f t="array" ref="R199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199" s="9">
        <f t="array" ref="S199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199" s="9">
        <f t="array" ref="T199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199" s="9">
        <f t="array" ref="U199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199" s="9">
        <f t="array" ref="V199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199" s="9">
        <f t="array" ref="W199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199" s="9">
        <f t="array" ref="X199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199" s="9">
        <f t="array" ref="Y199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199" s="9">
        <f t="array" ref="Z199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199" s="9">
        <f>SUM(자료실기준[[#This Row],[총류]:[역사]])</f>
        <v>0</v>
      </c>
    </row>
    <row r="200" spans="1:27" x14ac:dyDescent="0.3">
      <c r="A200" s="5">
        <v>45505</v>
      </c>
      <c r="B200" t="s">
        <v>17</v>
      </c>
      <c r="C200" s="5" t="str">
        <f>TEXT(자료실기준[[#This Row],[년월]],"yy년m월")&amp;자료실기준[[#This Row],[소장처명]]</f>
        <v>24년8월정기간행물(어린이)</v>
      </c>
      <c r="D200" t="str">
        <f>IFERROR(INDEX(자료실범례[],MATCH($B200,자료실범례[소장처명],0),2),"종합자료실")</f>
        <v>어린이자료실</v>
      </c>
      <c r="E200" s="9">
        <f t="array" ref="E200">IFERROR(INDEX(대출자[],MATCH(1,(자료실기준[[#This Row],[소장처명]]=대출자[소장처명])*(자료실기준[[#This Row],[년월]]=대출자[년월]),0),MATCH(E$1,대출자[#Headers],0)),0)</f>
        <v>0</v>
      </c>
      <c r="F200" s="9">
        <f t="array" ref="F200">IFERROR(INDEX(대출자[],MATCH(1,(자료실기준[[#This Row],[소장처명]]=대출자[소장처명])*(자료실기준[[#This Row],[년월]]=대출자[년월]),0),MATCH(F$1,대출자[#Headers],0)),0)</f>
        <v>0</v>
      </c>
      <c r="G200" s="9">
        <f t="array" ref="G200">IFERROR(INDEX(대출자[],MATCH(1,(자료실기준[[#This Row],[소장처명]]=대출자[소장처명])*(자료실기준[[#This Row],[년월]]=대출자[년월]),0),MATCH(G$1,대출자[#Headers],0)),0)</f>
        <v>0</v>
      </c>
      <c r="H200" s="9">
        <f t="array" ref="H200">IFERROR(INDEX(대출자[],MATCH(1,(자료실기준[[#This Row],[소장처명]]=대출자[소장처명])*(자료실기준[[#This Row],[년월]]=대출자[년월]),0),MATCH(H$1,대출자[#Headers],0)),0)</f>
        <v>0</v>
      </c>
      <c r="I200" s="9">
        <f t="array" ref="I200">IFERROR(INDEX(대출자[],MATCH(1,(자료실기준[[#This Row],[소장처명]]=대출자[소장처명])*(자료실기준[[#This Row],[년월]]=대출자[년월]),0),MATCH(I$1,대출자[#Headers],0)),0)</f>
        <v>0</v>
      </c>
      <c r="J200" s="9">
        <f t="array" ref="J200">IFERROR(INDEX(대출자[],MATCH(1,(자료실기준[[#This Row],[소장처명]]=대출자[소장처명])*(자료실기준[[#This Row],[년월]]=대출자[년월]),0),MATCH(J$1,대출자[#Headers],0)),0)</f>
        <v>2</v>
      </c>
      <c r="K200" s="9">
        <f t="array" ref="K200">IFERROR(INDEX(대출자[],MATCH(1,(자료실기준[[#This Row],[소장처명]]=대출자[소장처명])*(자료실기준[[#This Row],[년월]]=대출자[년월]),0),MATCH(K$1,대출자[#Headers],0)),0)</f>
        <v>0</v>
      </c>
      <c r="L200" s="9">
        <f t="array" ref="L200">IFERROR(INDEX(대출자[],MATCH(1,(자료실기준[[#This Row],[소장처명]]=대출자[소장처명])*(자료실기준[[#This Row],[년월]]=대출자[년월]),0),MATCH(L$1,대출자[#Headers],0)),0)</f>
        <v>0</v>
      </c>
      <c r="M200" s="9">
        <f t="array" ref="M200">IFERROR(INDEX(대출자[],MATCH(1,(자료실기준[[#This Row],[소장처명]]=대출자[소장처명])*(자료실기준[[#This Row],[년월]]=대출자[년월]),0),MATCH(M$1,대출자[#Headers],0)),0)</f>
        <v>2</v>
      </c>
      <c r="N200" s="9">
        <f>IFERROR(자료실기준[[#This Row],[어린이남자]]+자료실기준[[#This Row],[청소년남자]]+자료실기준[[#This Row],[성인남자]],0)</f>
        <v>0</v>
      </c>
      <c r="O200" s="9">
        <f>IFERROR(자료실기준[[#This Row],[어린이여자]]+자료실기준[[#This Row],[청소년여자]]+자료실기준[[#This Row],[성인여자]],0)</f>
        <v>2</v>
      </c>
      <c r="P200" s="9">
        <f>IFERROR(자료실기준[[#This Row],[남자]]+자료실기준[[#This Row],[여자]],0)</f>
        <v>2</v>
      </c>
      <c r="Q200" s="9">
        <f t="array" ref="Q200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00" s="9">
        <f t="array" ref="R200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00" s="9">
        <f t="array" ref="S200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00" s="9">
        <f t="array" ref="T200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00" s="9">
        <f t="array" ref="U200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00" s="9">
        <f t="array" ref="V200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00" s="9">
        <f t="array" ref="W200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00" s="9">
        <f t="array" ref="X200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00" s="9">
        <f t="array" ref="Y200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200" s="9">
        <f t="array" ref="Z200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00" s="9">
        <f>SUM(자료실기준[[#This Row],[총류]:[역사]])</f>
        <v>0</v>
      </c>
    </row>
    <row r="201" spans="1:27" x14ac:dyDescent="0.3">
      <c r="A201" s="5">
        <v>45505</v>
      </c>
      <c r="B201" t="s">
        <v>197</v>
      </c>
      <c r="C201" s="5" t="str">
        <f>TEXT(자료실기준[[#This Row],[년월]],"yy년m월")&amp;자료실기준[[#This Row],[소장처명]]</f>
        <v>24년8월경남독서한마당(종합)</v>
      </c>
      <c r="D201" t="str">
        <f>IFERROR(INDEX(자료실범례[],MATCH($B201,자료실범례[소장처명],0),2),"종합자료실")</f>
        <v>종합자료실</v>
      </c>
      <c r="E201" s="9">
        <f t="array" ref="E201">IFERROR(INDEX(대출자[],MATCH(1,(자료실기준[[#This Row],[소장처명]]=대출자[소장처명])*(자료실기준[[#This Row],[년월]]=대출자[년월]),0),MATCH(E$1,대출자[#Headers],0)),0)</f>
        <v>0</v>
      </c>
      <c r="F201" s="9">
        <f t="array" ref="F201">IFERROR(INDEX(대출자[],MATCH(1,(자료실기준[[#This Row],[소장처명]]=대출자[소장처명])*(자료실기준[[#This Row],[년월]]=대출자[년월]),0),MATCH(F$1,대출자[#Headers],0)),0)</f>
        <v>3</v>
      </c>
      <c r="G201" s="9">
        <f t="array" ref="G201">IFERROR(INDEX(대출자[],MATCH(1,(자료실기준[[#This Row],[소장처명]]=대출자[소장처명])*(자료실기준[[#This Row],[년월]]=대출자[년월]),0),MATCH(G$1,대출자[#Headers],0)),0)</f>
        <v>0</v>
      </c>
      <c r="H201" s="9">
        <f t="array" ref="H201">IFERROR(INDEX(대출자[],MATCH(1,(자료실기준[[#This Row],[소장처명]]=대출자[소장처명])*(자료실기준[[#This Row],[년월]]=대출자[년월]),0),MATCH(H$1,대출자[#Headers],0)),0)</f>
        <v>1</v>
      </c>
      <c r="I201" s="9">
        <f t="array" ref="I201">IFERROR(INDEX(대출자[],MATCH(1,(자료실기준[[#This Row],[소장처명]]=대출자[소장처명])*(자료실기준[[#This Row],[년월]]=대출자[년월]),0),MATCH(I$1,대출자[#Headers],0)),0)</f>
        <v>2</v>
      </c>
      <c r="J201" s="9">
        <f t="array" ref="J201">IFERROR(INDEX(대출자[],MATCH(1,(자료실기준[[#This Row],[소장처명]]=대출자[소장처명])*(자료실기준[[#This Row],[년월]]=대출자[년월]),0),MATCH(J$1,대출자[#Headers],0)),0)</f>
        <v>12</v>
      </c>
      <c r="K201" s="9">
        <f t="array" ref="K201">IFERROR(INDEX(대출자[],MATCH(1,(자료실기준[[#This Row],[소장처명]]=대출자[소장처명])*(자료실기준[[#This Row],[년월]]=대출자[년월]),0),MATCH(K$1,대출자[#Headers],0)),0)</f>
        <v>3</v>
      </c>
      <c r="L201" s="9">
        <f t="array" ref="L201">IFERROR(INDEX(대출자[],MATCH(1,(자료실기준[[#This Row],[소장처명]]=대출자[소장처명])*(자료실기준[[#This Row],[년월]]=대출자[년월]),0),MATCH(L$1,대출자[#Headers],0)),0)</f>
        <v>1</v>
      </c>
      <c r="M201" s="9">
        <f t="array" ref="M201">IFERROR(INDEX(대출자[],MATCH(1,(자료실기준[[#This Row],[소장처명]]=대출자[소장처명])*(자료실기준[[#This Row],[년월]]=대출자[년월]),0),MATCH(M$1,대출자[#Headers],0)),0)</f>
        <v>14</v>
      </c>
      <c r="N201" s="9">
        <f>IFERROR(자료실기준[[#This Row],[어린이남자]]+자료실기준[[#This Row],[청소년남자]]+자료실기준[[#This Row],[성인남자]],0)</f>
        <v>2</v>
      </c>
      <c r="O201" s="9">
        <f>IFERROR(자료실기준[[#This Row],[어린이여자]]+자료실기준[[#This Row],[청소년여자]]+자료실기준[[#This Row],[성인여자]],0)</f>
        <v>16</v>
      </c>
      <c r="P201" s="9">
        <f>IFERROR(자료실기준[[#This Row],[남자]]+자료실기준[[#This Row],[여자]],0)</f>
        <v>18</v>
      </c>
      <c r="Q201" s="9">
        <f t="array" ref="Q201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01" s="9">
        <f t="array" ref="R201">IFERROR(INDEX(대출권수[],MATCH(1,(자료실기준[[#This Row],[소장처명]]=대출권수[소장처명])*(대출권수[대출반납]="대출")*(자료실기준[[#This Row],[년월]]=대출권수[년월]),0),MATCH(R$1,대출권수[#Headers],0)),0)</f>
        <v>2</v>
      </c>
      <c r="S201" s="9">
        <f t="array" ref="S201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01" s="9">
        <f t="array" ref="T201">IFERROR(INDEX(대출권수[],MATCH(1,(자료실기준[[#This Row],[소장처명]]=대출권수[소장처명])*(대출권수[대출반납]="대출")*(자료실기준[[#This Row],[년월]]=대출권수[년월]),0),MATCH(T$1,대출권수[#Headers],0)),0)</f>
        <v>4</v>
      </c>
      <c r="U201" s="9">
        <f t="array" ref="U201">IFERROR(INDEX(대출권수[],MATCH(1,(자료실기준[[#This Row],[소장처명]]=대출권수[소장처명])*(대출권수[대출반납]="대출")*(자료실기준[[#This Row],[년월]]=대출권수[년월]),0),MATCH(U$1,대출권수[#Headers],0)),0)</f>
        <v>3</v>
      </c>
      <c r="V201" s="9">
        <f t="array" ref="V201">IFERROR(INDEX(대출권수[],MATCH(1,(자료실기준[[#This Row],[소장처명]]=대출권수[소장처명])*(대출권수[대출반납]="대출")*(자료실기준[[#This Row],[년월]]=대출권수[년월]),0),MATCH(V$1,대출권수[#Headers],0)),0)</f>
        <v>3</v>
      </c>
      <c r="W201" s="9">
        <f t="array" ref="W201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01" s="9">
        <f t="array" ref="X201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01" s="9">
        <f t="array" ref="Y201">IFERROR(INDEX(대출권수[],MATCH(1,(자료실기준[[#This Row],[소장처명]]=대출권수[소장처명])*(대출권수[대출반납]="대출")*(자료실기준[[#This Row],[년월]]=대출권수[년월]),0),MATCH(Y$1,대출권수[#Headers],0)),0)</f>
        <v>18</v>
      </c>
      <c r="Z201" s="9">
        <f t="array" ref="Z201">IFERROR(INDEX(대출권수[],MATCH(1,(자료실기준[[#This Row],[소장처명]]=대출권수[소장처명])*(대출권수[대출반납]="대출")*(자료실기준[[#This Row],[년월]]=대출권수[년월]),0),MATCH(Z$1,대출권수[#Headers],0)),0)</f>
        <v>2</v>
      </c>
      <c r="AA201" s="9">
        <f>SUM(자료실기준[[#This Row],[총류]:[역사]])</f>
        <v>32</v>
      </c>
    </row>
    <row r="202" spans="1:27" x14ac:dyDescent="0.3">
      <c r="A202" s="5">
        <v>45505</v>
      </c>
      <c r="B202" t="s">
        <v>198</v>
      </c>
      <c r="C202" s="5" t="str">
        <f>TEXT(자료실기준[[#This Row],[년월]],"yy년m월")&amp;자료실기준[[#This Row],[소장처명]]</f>
        <v>24년8월경남독서한마당(어린이)</v>
      </c>
      <c r="D202" t="str">
        <f>IFERROR(INDEX(자료실범례[],MATCH($B202,자료실범례[소장처명],0),2),"종합자료실")</f>
        <v>어린이자료실</v>
      </c>
      <c r="E202" s="9">
        <f t="array" ref="E202">IFERROR(INDEX(대출자[],MATCH(1,(자료실기준[[#This Row],[소장처명]]=대출자[소장처명])*(자료실기준[[#This Row],[년월]]=대출자[년월]),0),MATCH(E$1,대출자[#Headers],0)),0)</f>
        <v>7</v>
      </c>
      <c r="F202" s="9">
        <f t="array" ref="F202">IFERROR(INDEX(대출자[],MATCH(1,(자료실기준[[#This Row],[소장처명]]=대출자[소장처명])*(자료실기준[[#This Row],[년월]]=대출자[년월]),0),MATCH(F$1,대출자[#Headers],0)),0)</f>
        <v>6</v>
      </c>
      <c r="G202" s="9">
        <f t="array" ref="G202">IFERROR(INDEX(대출자[],MATCH(1,(자료실기준[[#This Row],[소장처명]]=대출자[소장처명])*(자료실기준[[#This Row],[년월]]=대출자[년월]),0),MATCH(G$1,대출자[#Headers],0)),0)</f>
        <v>1</v>
      </c>
      <c r="H202" s="9">
        <f t="array" ref="H202">IFERROR(INDEX(대출자[],MATCH(1,(자료실기준[[#This Row],[소장처명]]=대출자[소장처명])*(자료실기준[[#This Row],[년월]]=대출자[년월]),0),MATCH(H$1,대출자[#Headers],0)),0)</f>
        <v>2</v>
      </c>
      <c r="I202" s="9">
        <f t="array" ref="I202">IFERROR(INDEX(대출자[],MATCH(1,(자료실기준[[#This Row],[소장처명]]=대출자[소장처명])*(자료실기준[[#This Row],[년월]]=대출자[년월]),0),MATCH(I$1,대출자[#Headers],0)),0)</f>
        <v>5</v>
      </c>
      <c r="J202" s="9">
        <f t="array" ref="J202">IFERROR(INDEX(대출자[],MATCH(1,(자료실기준[[#This Row],[소장처명]]=대출자[소장처명])*(자료실기준[[#This Row],[년월]]=대출자[년월]),0),MATCH(J$1,대출자[#Headers],0)),0)</f>
        <v>11</v>
      </c>
      <c r="K202" s="9">
        <f t="array" ref="K202">IFERROR(INDEX(대출자[],MATCH(1,(자료실기준[[#This Row],[소장처명]]=대출자[소장처명])*(자료실기준[[#This Row],[년월]]=대출자[년월]),0),MATCH(K$1,대출자[#Headers],0)),0)</f>
        <v>13</v>
      </c>
      <c r="L202" s="9">
        <f t="array" ref="L202">IFERROR(INDEX(대출자[],MATCH(1,(자료실기준[[#This Row],[소장처명]]=대출자[소장처명])*(자료실기준[[#This Row],[년월]]=대출자[년월]),0),MATCH(L$1,대출자[#Headers],0)),0)</f>
        <v>3</v>
      </c>
      <c r="M202" s="9">
        <f t="array" ref="M202">IFERROR(INDEX(대출자[],MATCH(1,(자료실기준[[#This Row],[소장처명]]=대출자[소장처명])*(자료실기준[[#This Row],[년월]]=대출자[년월]),0),MATCH(M$1,대출자[#Headers],0)),0)</f>
        <v>16</v>
      </c>
      <c r="N202" s="9">
        <f>IFERROR(자료실기준[[#This Row],[어린이남자]]+자료실기준[[#This Row],[청소년남자]]+자료실기준[[#This Row],[성인남자]],0)</f>
        <v>13</v>
      </c>
      <c r="O202" s="9">
        <f>IFERROR(자료실기준[[#This Row],[어린이여자]]+자료실기준[[#This Row],[청소년여자]]+자료실기준[[#This Row],[성인여자]],0)</f>
        <v>19</v>
      </c>
      <c r="P202" s="9">
        <f>IFERROR(자료실기준[[#This Row],[남자]]+자료실기준[[#This Row],[여자]],0)</f>
        <v>32</v>
      </c>
      <c r="Q202" s="9">
        <f t="array" ref="Q202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02" s="9">
        <f t="array" ref="R202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02" s="9">
        <f t="array" ref="S202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02" s="9">
        <f t="array" ref="T202">IFERROR(INDEX(대출권수[],MATCH(1,(자료실기준[[#This Row],[소장처명]]=대출권수[소장처명])*(대출권수[대출반납]="대출")*(자료실기준[[#This Row],[년월]]=대출권수[년월]),0),MATCH(T$1,대출권수[#Headers],0)),0)</f>
        <v>1</v>
      </c>
      <c r="U202" s="9">
        <f t="array" ref="U202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02" s="9">
        <f t="array" ref="V202">IFERROR(INDEX(대출권수[],MATCH(1,(자료실기준[[#This Row],[소장처명]]=대출권수[소장처명])*(대출권수[대출반납]="대출")*(자료실기준[[#This Row],[년월]]=대출권수[년월]),0),MATCH(V$1,대출권수[#Headers],0)),0)</f>
        <v>7</v>
      </c>
      <c r="W202" s="9">
        <f t="array" ref="W202">IFERROR(INDEX(대출권수[],MATCH(1,(자료실기준[[#This Row],[소장처명]]=대출권수[소장처명])*(대출권수[대출반납]="대출")*(자료실기준[[#This Row],[년월]]=대출권수[년월]),0),MATCH(W$1,대출권수[#Headers],0)),0)</f>
        <v>5</v>
      </c>
      <c r="X202" s="9">
        <f t="array" ref="X202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02" s="9">
        <f t="array" ref="Y202">IFERROR(INDEX(대출권수[],MATCH(1,(자료실기준[[#This Row],[소장처명]]=대출권수[소장처명])*(대출권수[대출반납]="대출")*(자료실기준[[#This Row],[년월]]=대출권수[년월]),0),MATCH(Y$1,대출권수[#Headers],0)),0)</f>
        <v>36</v>
      </c>
      <c r="Z202" s="9">
        <f t="array" ref="Z202">IFERROR(INDEX(대출권수[],MATCH(1,(자료실기준[[#This Row],[소장처명]]=대출권수[소장처명])*(대출권수[대출반납]="대출")*(자료실기준[[#This Row],[년월]]=대출권수[년월]),0),MATCH(Z$1,대출권수[#Headers],0)),0)</f>
        <v>3</v>
      </c>
      <c r="AA202" s="9">
        <f>SUM(자료실기준[[#This Row],[총류]:[역사]])</f>
        <v>52</v>
      </c>
    </row>
    <row r="203" spans="1:27" x14ac:dyDescent="0.3">
      <c r="A203" s="5">
        <v>45505</v>
      </c>
      <c r="B203" t="s">
        <v>23</v>
      </c>
      <c r="C203" s="5" t="str">
        <f>TEXT(자료실기준[[#This Row],[년월]],"yy년m월")&amp;자료실기준[[#This Row],[소장처명]]</f>
        <v>24년8월기타</v>
      </c>
      <c r="D203" t="str">
        <f>IFERROR(INDEX(자료실범례[],MATCH($B203,자료실범례[소장처명],0),2),"종합자료실")</f>
        <v>종합자료실</v>
      </c>
      <c r="E203" s="9">
        <f t="array" ref="E203">IFERROR(INDEX(대출자[],MATCH(1,(자료실기준[[#This Row],[소장처명]]=대출자[소장처명])*(자료실기준[[#This Row],[년월]]=대출자[년월]),0),MATCH(E$1,대출자[#Headers],0)),0)</f>
        <v>0</v>
      </c>
      <c r="F203" s="9">
        <f t="array" ref="F203">IFERROR(INDEX(대출자[],MATCH(1,(자료실기준[[#This Row],[소장처명]]=대출자[소장처명])*(자료실기준[[#This Row],[년월]]=대출자[년월]),0),MATCH(F$1,대출자[#Headers],0)),0)</f>
        <v>0</v>
      </c>
      <c r="G203" s="9">
        <f t="array" ref="G203">IFERROR(INDEX(대출자[],MATCH(1,(자료실기준[[#This Row],[소장처명]]=대출자[소장처명])*(자료실기준[[#This Row],[년월]]=대출자[년월]),0),MATCH(G$1,대출자[#Headers],0)),0)</f>
        <v>0</v>
      </c>
      <c r="H203" s="9">
        <f t="array" ref="H203">IFERROR(INDEX(대출자[],MATCH(1,(자료실기준[[#This Row],[소장처명]]=대출자[소장처명])*(자료실기준[[#This Row],[년월]]=대출자[년월]),0),MATCH(H$1,대출자[#Headers],0)),0)</f>
        <v>0</v>
      </c>
      <c r="I203" s="9">
        <f t="array" ref="I203">IFERROR(INDEX(대출자[],MATCH(1,(자료실기준[[#This Row],[소장처명]]=대출자[소장처명])*(자료실기준[[#This Row],[년월]]=대출자[년월]),0),MATCH(I$1,대출자[#Headers],0)),0)</f>
        <v>0</v>
      </c>
      <c r="J203" s="9">
        <f t="array" ref="J203">IFERROR(INDEX(대출자[],MATCH(1,(자료실기준[[#This Row],[소장처명]]=대출자[소장처명])*(자료실기준[[#This Row],[년월]]=대출자[년월]),0),MATCH(J$1,대출자[#Headers],0)),0)</f>
        <v>0</v>
      </c>
      <c r="K203" s="9">
        <f t="array" ref="K203">IFERROR(INDEX(대출자[],MATCH(1,(자료실기준[[#This Row],[소장처명]]=대출자[소장처명])*(자료실기준[[#This Row],[년월]]=대출자[년월]),0),MATCH(K$1,대출자[#Headers],0)),0)</f>
        <v>0</v>
      </c>
      <c r="L203" s="9">
        <f t="array" ref="L203">IFERROR(INDEX(대출자[],MATCH(1,(자료실기준[[#This Row],[소장처명]]=대출자[소장처명])*(자료실기준[[#This Row],[년월]]=대출자[년월]),0),MATCH(L$1,대출자[#Headers],0)),0)</f>
        <v>0</v>
      </c>
      <c r="M203" s="9">
        <f t="array" ref="M203">IFERROR(INDEX(대출자[],MATCH(1,(자료실기준[[#This Row],[소장처명]]=대출자[소장처명])*(자료실기준[[#This Row],[년월]]=대출자[년월]),0),MATCH(M$1,대출자[#Headers],0)),0)</f>
        <v>0</v>
      </c>
      <c r="N203" s="9">
        <f>IFERROR(자료실기준[[#This Row],[어린이남자]]+자료실기준[[#This Row],[청소년남자]]+자료실기준[[#This Row],[성인남자]],0)</f>
        <v>0</v>
      </c>
      <c r="O203" s="9">
        <f>IFERROR(자료실기준[[#This Row],[어린이여자]]+자료실기준[[#This Row],[청소년여자]]+자료실기준[[#This Row],[성인여자]],0)</f>
        <v>0</v>
      </c>
      <c r="P203" s="9">
        <f>IFERROR(자료실기준[[#This Row],[남자]]+자료실기준[[#This Row],[여자]],0)</f>
        <v>0</v>
      </c>
      <c r="Q203" s="9">
        <f t="array" ref="Q203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03" s="9">
        <f t="array" ref="R203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03" s="9">
        <f t="array" ref="S203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03" s="9">
        <f t="array" ref="T203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03" s="9">
        <f t="array" ref="U203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03" s="9">
        <f t="array" ref="V203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03" s="9">
        <f t="array" ref="W203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03" s="9">
        <f t="array" ref="X203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03" s="9">
        <f t="array" ref="Y203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203" s="9">
        <f t="array" ref="Z203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03" s="9">
        <f>SUM(자료실기준[[#This Row],[총류]:[역사]])</f>
        <v>0</v>
      </c>
    </row>
    <row r="204" spans="1:27" x14ac:dyDescent="0.3">
      <c r="A204" s="5">
        <v>45505</v>
      </c>
      <c r="C204" s="5" t="str">
        <f>TEXT(자료실기준[[#This Row],[년월]],"yy년m월")&amp;자료실기준[[#This Row],[소장처명]]</f>
        <v>24년8월</v>
      </c>
      <c r="D204" t="str">
        <f>IFERROR(INDEX(자료실범례[],MATCH($B204,자료실범례[소장처명],0),2),"종합자료실")</f>
        <v>종합자료실</v>
      </c>
      <c r="E204" s="9">
        <f t="array" ref="E204">IFERROR(INDEX(대출자[],MATCH(1,(자료실기준[[#This Row],[소장처명]]=대출자[소장처명])*(자료실기준[[#This Row],[년월]]=대출자[년월]),0),MATCH(E$1,대출자[#Headers],0)),0)</f>
        <v>0</v>
      </c>
      <c r="F204" s="9">
        <f t="array" ref="F204">IFERROR(INDEX(대출자[],MATCH(1,(자료실기준[[#This Row],[소장처명]]=대출자[소장처명])*(자료실기준[[#This Row],[년월]]=대출자[년월]),0),MATCH(F$1,대출자[#Headers],0)),0)</f>
        <v>0</v>
      </c>
      <c r="G204" s="9">
        <f t="array" ref="G204">IFERROR(INDEX(대출자[],MATCH(1,(자료실기준[[#This Row],[소장처명]]=대출자[소장처명])*(자료실기준[[#This Row],[년월]]=대출자[년월]),0),MATCH(G$1,대출자[#Headers],0)),0)</f>
        <v>0</v>
      </c>
      <c r="H204" s="9">
        <f t="array" ref="H204">IFERROR(INDEX(대출자[],MATCH(1,(자료실기준[[#This Row],[소장처명]]=대출자[소장처명])*(자료실기준[[#This Row],[년월]]=대출자[년월]),0),MATCH(H$1,대출자[#Headers],0)),0)</f>
        <v>0</v>
      </c>
      <c r="I204" s="9">
        <f t="array" ref="I204">IFERROR(INDEX(대출자[],MATCH(1,(자료실기준[[#This Row],[소장처명]]=대출자[소장처명])*(자료실기준[[#This Row],[년월]]=대출자[년월]),0),MATCH(I$1,대출자[#Headers],0)),0)</f>
        <v>0</v>
      </c>
      <c r="J204" s="9">
        <f t="array" ref="J204">IFERROR(INDEX(대출자[],MATCH(1,(자료실기준[[#This Row],[소장처명]]=대출자[소장처명])*(자료실기준[[#This Row],[년월]]=대출자[년월]),0),MATCH(J$1,대출자[#Headers],0)),0)</f>
        <v>0</v>
      </c>
      <c r="K204" s="9">
        <f t="array" ref="K204">IFERROR(INDEX(대출자[],MATCH(1,(자료실기준[[#This Row],[소장처명]]=대출자[소장처명])*(자료실기준[[#This Row],[년월]]=대출자[년월]),0),MATCH(K$1,대출자[#Headers],0)),0)</f>
        <v>0</v>
      </c>
      <c r="L204" s="9">
        <f t="array" ref="L204">IFERROR(INDEX(대출자[],MATCH(1,(자료실기준[[#This Row],[소장처명]]=대출자[소장처명])*(자료실기준[[#This Row],[년월]]=대출자[년월]),0),MATCH(L$1,대출자[#Headers],0)),0)</f>
        <v>0</v>
      </c>
      <c r="M204" s="9">
        <f t="array" ref="M204">IFERROR(INDEX(대출자[],MATCH(1,(자료실기준[[#This Row],[소장처명]]=대출자[소장처명])*(자료실기준[[#This Row],[년월]]=대출자[년월]),0),MATCH(M$1,대출자[#Headers],0)),0)</f>
        <v>0</v>
      </c>
      <c r="N204" s="9">
        <f>IFERROR(자료실기준[[#This Row],[어린이남자]]+자료실기준[[#This Row],[청소년남자]]+자료실기준[[#This Row],[성인남자]],0)</f>
        <v>0</v>
      </c>
      <c r="O204" s="9">
        <f>IFERROR(자료실기준[[#This Row],[어린이여자]]+자료실기준[[#This Row],[청소년여자]]+자료실기준[[#This Row],[성인여자]],0)</f>
        <v>0</v>
      </c>
      <c r="P204" s="9">
        <f>IFERROR(자료실기준[[#This Row],[남자]]+자료실기준[[#This Row],[여자]],0)</f>
        <v>0</v>
      </c>
      <c r="Q204" s="9">
        <f t="array" ref="Q204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04" s="9">
        <f t="array" ref="R204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04" s="9">
        <f t="array" ref="S204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04" s="9">
        <f t="array" ref="T204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04" s="9">
        <f t="array" ref="U204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04" s="9">
        <f t="array" ref="V204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04" s="9">
        <f t="array" ref="W204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04" s="9">
        <f t="array" ref="X204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04" s="9">
        <f t="array" ref="Y204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204" s="9">
        <f t="array" ref="Z204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04" s="9">
        <f>SUM(자료실기준[[#This Row],[총류]:[역사]])</f>
        <v>0</v>
      </c>
    </row>
    <row r="205" spans="1:27" x14ac:dyDescent="0.3">
      <c r="A205" s="5">
        <v>45536</v>
      </c>
      <c r="B205" t="s">
        <v>21</v>
      </c>
      <c r="C205" s="5" t="str">
        <f>TEXT(자료실기준[[#This Row],[년월]],"yy년m월")&amp;자료실기준[[#This Row],[소장처명]]</f>
        <v>24년9월종합자료실</v>
      </c>
      <c r="D205" t="str">
        <f>IFERROR(INDEX(자료실범례[],MATCH($B205,자료실범례[소장처명],0),2),"종합자료실")</f>
        <v>종합자료실</v>
      </c>
      <c r="E205" s="9">
        <f t="array" ref="E205">IFERROR(INDEX(대출자[],MATCH(1,(자료실기준[[#This Row],[소장처명]]=대출자[소장처명])*(자료실기준[[#This Row],[년월]]=대출자[년월]),0),MATCH(E$1,대출자[#Headers],0)),0)</f>
        <v>8</v>
      </c>
      <c r="F205" s="9">
        <f t="array" ref="F205">IFERROR(INDEX(대출자[],MATCH(1,(자료실기준[[#This Row],[소장처명]]=대출자[소장처명])*(자료실기준[[#This Row],[년월]]=대출자[년월]),0),MATCH(F$1,대출자[#Headers],0)),0)</f>
        <v>14</v>
      </c>
      <c r="G205" s="9">
        <f t="array" ref="G205">IFERROR(INDEX(대출자[],MATCH(1,(자료실기준[[#This Row],[소장처명]]=대출자[소장처명])*(자료실기준[[#This Row],[년월]]=대출자[년월]),0),MATCH(G$1,대출자[#Headers],0)),0)</f>
        <v>10</v>
      </c>
      <c r="H205" s="9">
        <f t="array" ref="H205">IFERROR(INDEX(대출자[],MATCH(1,(자료실기준[[#This Row],[소장처명]]=대출자[소장처명])*(자료실기준[[#This Row],[년월]]=대출자[년월]),0),MATCH(H$1,대출자[#Headers],0)),0)</f>
        <v>21</v>
      </c>
      <c r="I205" s="9">
        <f t="array" ref="I205">IFERROR(INDEX(대출자[],MATCH(1,(자료실기준[[#This Row],[소장처명]]=대출자[소장처명])*(자료실기준[[#This Row],[년월]]=대출자[년월]),0),MATCH(I$1,대출자[#Headers],0)),0)</f>
        <v>118</v>
      </c>
      <c r="J205" s="9">
        <f t="array" ref="J205">IFERROR(INDEX(대출자[],MATCH(1,(자료실기준[[#This Row],[소장처명]]=대출자[소장처명])*(자료실기준[[#This Row],[년월]]=대출자[년월]),0),MATCH(J$1,대출자[#Headers],0)),0)</f>
        <v>189</v>
      </c>
      <c r="K205" s="9">
        <f t="array" ref="K205">IFERROR(INDEX(대출자[],MATCH(1,(자료실기준[[#This Row],[소장처명]]=대출자[소장처명])*(자료실기준[[#This Row],[년월]]=대출자[년월]),0),MATCH(K$1,대출자[#Headers],0)),0)</f>
        <v>22</v>
      </c>
      <c r="L205" s="9">
        <f t="array" ref="L205">IFERROR(INDEX(대출자[],MATCH(1,(자료실기준[[#This Row],[소장처명]]=대출자[소장처명])*(자료실기준[[#This Row],[년월]]=대출자[년월]),0),MATCH(L$1,대출자[#Headers],0)),0)</f>
        <v>31</v>
      </c>
      <c r="M205" s="9">
        <f t="array" ref="M205">IFERROR(INDEX(대출자[],MATCH(1,(자료실기준[[#This Row],[소장처명]]=대출자[소장처명])*(자료실기준[[#This Row],[년월]]=대출자[년월]),0),MATCH(M$1,대출자[#Headers],0)),0)</f>
        <v>307</v>
      </c>
      <c r="N205" s="9">
        <f>IFERROR(자료실기준[[#This Row],[어린이남자]]+자료실기준[[#This Row],[청소년남자]]+자료실기준[[#This Row],[성인남자]],0)</f>
        <v>136</v>
      </c>
      <c r="O205" s="9">
        <f>IFERROR(자료실기준[[#This Row],[어린이여자]]+자료실기준[[#This Row],[청소년여자]]+자료실기준[[#This Row],[성인여자]],0)</f>
        <v>224</v>
      </c>
      <c r="P205" s="9">
        <f>IFERROR(자료실기준[[#This Row],[남자]]+자료실기준[[#This Row],[여자]],0)</f>
        <v>360</v>
      </c>
      <c r="Q205" s="9">
        <f t="array" ref="Q205">IFERROR(INDEX(대출권수[],MATCH(1,(자료실기준[[#This Row],[소장처명]]=대출권수[소장처명])*(대출권수[대출반납]="대출")*(자료실기준[[#This Row],[년월]]=대출권수[년월]),0),MATCH(Q$1,대출권수[#Headers],0)),0)</f>
        <v>32</v>
      </c>
      <c r="R205" s="9">
        <f t="array" ref="R205">IFERROR(INDEX(대출권수[],MATCH(1,(자료실기준[[#This Row],[소장처명]]=대출권수[소장처명])*(대출권수[대출반납]="대출")*(자료실기준[[#This Row],[년월]]=대출권수[년월]),0),MATCH(R$1,대출권수[#Headers],0)),0)</f>
        <v>119</v>
      </c>
      <c r="S205" s="9">
        <f t="array" ref="S205">IFERROR(INDEX(대출권수[],MATCH(1,(자료실기준[[#This Row],[소장처명]]=대출권수[소장처명])*(대출권수[대출반납]="대출")*(자료실기준[[#This Row],[년월]]=대출권수[년월]),0),MATCH(S$1,대출권수[#Headers],0)),0)</f>
        <v>37</v>
      </c>
      <c r="T205" s="9">
        <f t="array" ref="T205">IFERROR(INDEX(대출권수[],MATCH(1,(자료실기준[[#This Row],[소장처명]]=대출권수[소장처명])*(대출권수[대출반납]="대출")*(자료실기준[[#This Row],[년월]]=대출권수[년월]),0),MATCH(T$1,대출권수[#Headers],0)),0)</f>
        <v>186</v>
      </c>
      <c r="U205" s="9">
        <f t="array" ref="U205">IFERROR(INDEX(대출권수[],MATCH(1,(자료실기준[[#This Row],[소장처명]]=대출권수[소장처명])*(대출권수[대출반납]="대출")*(자료실기준[[#This Row],[년월]]=대출권수[년월]),0),MATCH(U$1,대출권수[#Headers],0)),0)</f>
        <v>41</v>
      </c>
      <c r="V205" s="9">
        <f t="array" ref="V205">IFERROR(INDEX(대출권수[],MATCH(1,(자료실기준[[#This Row],[소장처명]]=대출권수[소장처명])*(대출권수[대출반납]="대출")*(자료실기준[[#This Row],[년월]]=대출권수[년월]),0),MATCH(V$1,대출권수[#Headers],0)),0)</f>
        <v>109</v>
      </c>
      <c r="W205" s="9">
        <f t="array" ref="W205">IFERROR(INDEX(대출권수[],MATCH(1,(자료실기준[[#This Row],[소장처명]]=대출권수[소장처명])*(대출권수[대출반납]="대출")*(자료실기준[[#This Row],[년월]]=대출권수[년월]),0),MATCH(W$1,대출권수[#Headers],0)),0)</f>
        <v>33</v>
      </c>
      <c r="X205" s="9">
        <f t="array" ref="X205">IFERROR(INDEX(대출권수[],MATCH(1,(자료실기준[[#This Row],[소장처명]]=대출권수[소장처명])*(대출권수[대출반납]="대출")*(자료실기준[[#This Row],[년월]]=대출권수[년월]),0),MATCH(X$1,대출권수[#Headers],0)),0)</f>
        <v>40</v>
      </c>
      <c r="Y205" s="9">
        <f t="array" ref="Y205">IFERROR(INDEX(대출권수[],MATCH(1,(자료실기준[[#This Row],[소장처명]]=대출권수[소장처명])*(대출권수[대출반납]="대출")*(자료실기준[[#This Row],[년월]]=대출권수[년월]),0),MATCH(Y$1,대출권수[#Headers],0)),0)</f>
        <v>589</v>
      </c>
      <c r="Z205" s="9">
        <f t="array" ref="Z205">IFERROR(INDEX(대출권수[],MATCH(1,(자료실기준[[#This Row],[소장처명]]=대출권수[소장처명])*(대출권수[대출반납]="대출")*(자료실기준[[#This Row],[년월]]=대출권수[년월]),0),MATCH(Z$1,대출권수[#Headers],0)),0)</f>
        <v>82</v>
      </c>
      <c r="AA205" s="9">
        <f>SUM(자료실기준[[#This Row],[총류]:[역사]])</f>
        <v>1268</v>
      </c>
    </row>
    <row r="206" spans="1:27" x14ac:dyDescent="0.3">
      <c r="A206" s="5">
        <v>45536</v>
      </c>
      <c r="B206" t="s">
        <v>16</v>
      </c>
      <c r="C206" s="5" t="str">
        <f>TEXT(자료실기준[[#This Row],[년월]],"yy년m월")&amp;자료실기준[[#This Row],[소장처명]]</f>
        <v>24년9월어린이자료실</v>
      </c>
      <c r="D206" t="str">
        <f>IFERROR(INDEX(자료실범례[],MATCH($B206,자료실범례[소장처명],0),2),"종합자료실")</f>
        <v>어린이자료실</v>
      </c>
      <c r="E206" s="9">
        <f t="array" ref="E206">IFERROR(INDEX(대출자[],MATCH(1,(자료실기준[[#This Row],[소장처명]]=대출자[소장처명])*(자료실기준[[#This Row],[년월]]=대출자[년월]),0),MATCH(E$1,대출자[#Headers],0)),0)</f>
        <v>55</v>
      </c>
      <c r="F206" s="9">
        <f t="array" ref="F206">IFERROR(INDEX(대출자[],MATCH(1,(자료실기준[[#This Row],[소장처명]]=대출자[소장처명])*(자료실기준[[#This Row],[년월]]=대출자[년월]),0),MATCH(F$1,대출자[#Headers],0)),0)</f>
        <v>63</v>
      </c>
      <c r="G206" s="9">
        <f t="array" ref="G206">IFERROR(INDEX(대출자[],MATCH(1,(자료실기준[[#This Row],[소장처명]]=대출자[소장처명])*(자료실기준[[#This Row],[년월]]=대출자[년월]),0),MATCH(G$1,대출자[#Headers],0)),0)</f>
        <v>2</v>
      </c>
      <c r="H206" s="9">
        <f t="array" ref="H206">IFERROR(INDEX(대출자[],MATCH(1,(자료실기준[[#This Row],[소장처명]]=대출자[소장처명])*(자료실기준[[#This Row],[년월]]=대출자[년월]),0),MATCH(H$1,대출자[#Headers],0)),0)</f>
        <v>3</v>
      </c>
      <c r="I206" s="9">
        <f t="array" ref="I206">IFERROR(INDEX(대출자[],MATCH(1,(자료실기준[[#This Row],[소장처명]]=대출자[소장처명])*(자료실기준[[#This Row],[년월]]=대출자[년월]),0),MATCH(I$1,대출자[#Headers],0)),0)</f>
        <v>35</v>
      </c>
      <c r="J206" s="9">
        <f t="array" ref="J206">IFERROR(INDEX(대출자[],MATCH(1,(자료실기준[[#This Row],[소장처명]]=대출자[소장처명])*(자료실기준[[#This Row],[년월]]=대출자[년월]),0),MATCH(J$1,대출자[#Headers],0)),0)</f>
        <v>95</v>
      </c>
      <c r="K206" s="9">
        <f t="array" ref="K206">IFERROR(INDEX(대출자[],MATCH(1,(자료실기준[[#This Row],[소장처명]]=대출자[소장처명])*(자료실기준[[#This Row],[년월]]=대출자[년월]),0),MATCH(K$1,대출자[#Headers],0)),0)</f>
        <v>118</v>
      </c>
      <c r="L206" s="9">
        <f t="array" ref="L206">IFERROR(INDEX(대출자[],MATCH(1,(자료실기준[[#This Row],[소장처명]]=대출자[소장처명])*(자료실기준[[#This Row],[년월]]=대출자[년월]),0),MATCH(L$1,대출자[#Headers],0)),0)</f>
        <v>5</v>
      </c>
      <c r="M206" s="9">
        <f t="array" ref="M206">IFERROR(INDEX(대출자[],MATCH(1,(자료실기준[[#This Row],[소장처명]]=대출자[소장처명])*(자료실기준[[#This Row],[년월]]=대출자[년월]),0),MATCH(M$1,대출자[#Headers],0)),0)</f>
        <v>130</v>
      </c>
      <c r="N206" s="9">
        <f>IFERROR(자료실기준[[#This Row],[어린이남자]]+자료실기준[[#This Row],[청소년남자]]+자료실기준[[#This Row],[성인남자]],0)</f>
        <v>92</v>
      </c>
      <c r="O206" s="9">
        <f>IFERROR(자료실기준[[#This Row],[어린이여자]]+자료실기준[[#This Row],[청소년여자]]+자료실기준[[#This Row],[성인여자]],0)</f>
        <v>161</v>
      </c>
      <c r="P206" s="9">
        <f>IFERROR(자료실기준[[#This Row],[남자]]+자료실기준[[#This Row],[여자]],0)</f>
        <v>253</v>
      </c>
      <c r="Q206" s="9">
        <f t="array" ref="Q206">IFERROR(INDEX(대출권수[],MATCH(1,(자료실기준[[#This Row],[소장처명]]=대출권수[소장처명])*(대출권수[대출반납]="대출")*(자료실기준[[#This Row],[년월]]=대출권수[년월]),0),MATCH(Q$1,대출권수[#Headers],0)),0)</f>
        <v>33</v>
      </c>
      <c r="R206" s="9">
        <f t="array" ref="R206">IFERROR(INDEX(대출권수[],MATCH(1,(자료실기준[[#This Row],[소장처명]]=대출권수[소장처명])*(대출권수[대출반납]="대출")*(자료실기준[[#This Row],[년월]]=대출권수[년월]),0),MATCH(R$1,대출권수[#Headers],0)),0)</f>
        <v>17</v>
      </c>
      <c r="S206" s="9">
        <f t="array" ref="S206">IFERROR(INDEX(대출권수[],MATCH(1,(자료실기준[[#This Row],[소장처명]]=대출권수[소장처명])*(대출권수[대출반납]="대출")*(자료실기준[[#This Row],[년월]]=대출권수[년월]),0),MATCH(S$1,대출권수[#Headers],0)),0)</f>
        <v>21</v>
      </c>
      <c r="T206" s="9">
        <f t="array" ref="T206">IFERROR(INDEX(대출권수[],MATCH(1,(자료실기준[[#This Row],[소장처명]]=대출권수[소장처명])*(대출권수[대출반납]="대출")*(자료실기준[[#This Row],[년월]]=대출권수[년월]),0),MATCH(T$1,대출권수[#Headers],0)),0)</f>
        <v>118</v>
      </c>
      <c r="U206" s="9">
        <f t="array" ref="U206">IFERROR(INDEX(대출권수[],MATCH(1,(자료실기준[[#This Row],[소장처명]]=대출권수[소장처명])*(대출권수[대출반납]="대출")*(자료실기준[[#This Row],[년월]]=대출권수[년월]),0),MATCH(U$1,대출권수[#Headers],0)),0)</f>
        <v>213</v>
      </c>
      <c r="V206" s="9">
        <f t="array" ref="V206">IFERROR(INDEX(대출권수[],MATCH(1,(자료실기준[[#This Row],[소장처명]]=대출권수[소장처명])*(대출권수[대출반납]="대출")*(자료실기준[[#This Row],[년월]]=대출권수[년월]),0),MATCH(V$1,대출권수[#Headers],0)),0)</f>
        <v>44</v>
      </c>
      <c r="W206" s="9">
        <f t="array" ref="W206">IFERROR(INDEX(대출권수[],MATCH(1,(자료실기준[[#This Row],[소장처명]]=대출권수[소장처명])*(대출권수[대출반납]="대출")*(자료실기준[[#This Row],[년월]]=대출권수[년월]),0),MATCH(W$1,대출권수[#Headers],0)),0)</f>
        <v>42</v>
      </c>
      <c r="X206" s="9">
        <f t="array" ref="X206">IFERROR(INDEX(대출권수[],MATCH(1,(자료실기준[[#This Row],[소장처명]]=대출권수[소장처명])*(대출권수[대출반납]="대출")*(자료실기준[[#This Row],[년월]]=대출권수[년월]),0),MATCH(X$1,대출권수[#Headers],0)),0)</f>
        <v>46</v>
      </c>
      <c r="Y206" s="9">
        <f t="array" ref="Y206">IFERROR(INDEX(대출권수[],MATCH(1,(자료실기준[[#This Row],[소장처명]]=대출권수[소장처명])*(대출권수[대출반납]="대출")*(자료실기준[[#This Row],[년월]]=대출권수[년월]),0),MATCH(Y$1,대출권수[#Headers],0)),0)</f>
        <v>1100</v>
      </c>
      <c r="Z206" s="9">
        <f t="array" ref="Z206">IFERROR(INDEX(대출권수[],MATCH(1,(자료실기준[[#This Row],[소장처명]]=대출권수[소장처명])*(대출권수[대출반납]="대출")*(자료실기준[[#This Row],[년월]]=대출권수[년월]),0),MATCH(Z$1,대출권수[#Headers],0)),0)</f>
        <v>142</v>
      </c>
      <c r="AA206" s="9">
        <f>SUM(자료실기준[[#This Row],[총류]:[역사]])</f>
        <v>1776</v>
      </c>
    </row>
    <row r="207" spans="1:27" x14ac:dyDescent="0.3">
      <c r="A207" s="5">
        <v>45536</v>
      </c>
      <c r="B207" t="s">
        <v>2</v>
      </c>
      <c r="C207" s="5" t="str">
        <f>TEXT(자료실기준[[#This Row],[년월]],"yy년m월")&amp;자료실기준[[#This Row],[소장처명]]</f>
        <v>24년9월디지털자료실</v>
      </c>
      <c r="D207" t="str">
        <f>IFERROR(INDEX(자료실범례[],MATCH($B207,자료실범례[소장처명],0),2),"종합자료실")</f>
        <v>디지털자료실</v>
      </c>
      <c r="E207" s="9">
        <f t="array" ref="E207">IFERROR(INDEX(대출자[],MATCH(1,(자료실기준[[#This Row],[소장처명]]=대출자[소장처명])*(자료실기준[[#This Row],[년월]]=대출자[년월]),0),MATCH(E$1,대출자[#Headers],0)),0)</f>
        <v>1</v>
      </c>
      <c r="F207" s="9">
        <f t="array" ref="F207">IFERROR(INDEX(대출자[],MATCH(1,(자료실기준[[#This Row],[소장처명]]=대출자[소장처명])*(자료실기준[[#This Row],[년월]]=대출자[년월]),0),MATCH(F$1,대출자[#Headers],0)),0)</f>
        <v>2</v>
      </c>
      <c r="G207" s="9">
        <f t="array" ref="G207">IFERROR(INDEX(대출자[],MATCH(1,(자료실기준[[#This Row],[소장처명]]=대출자[소장처명])*(자료실기준[[#This Row],[년월]]=대출자[년월]),0),MATCH(G$1,대출자[#Headers],0)),0)</f>
        <v>0</v>
      </c>
      <c r="H207" s="9">
        <f t="array" ref="H207">IFERROR(INDEX(대출자[],MATCH(1,(자료실기준[[#This Row],[소장처명]]=대출자[소장처명])*(자료실기준[[#This Row],[년월]]=대출자[년월]),0),MATCH(H$1,대출자[#Headers],0)),0)</f>
        <v>1</v>
      </c>
      <c r="I207" s="9">
        <f t="array" ref="I207">IFERROR(INDEX(대출자[],MATCH(1,(자료실기준[[#This Row],[소장처명]]=대출자[소장처명])*(자료실기준[[#This Row],[년월]]=대출자[년월]),0),MATCH(I$1,대출자[#Headers],0)),0)</f>
        <v>6</v>
      </c>
      <c r="J207" s="9">
        <f t="array" ref="J207">IFERROR(INDEX(대출자[],MATCH(1,(자료실기준[[#This Row],[소장처명]]=대출자[소장처명])*(자료실기준[[#This Row],[년월]]=대출자[년월]),0),MATCH(J$1,대출자[#Headers],0)),0)</f>
        <v>5</v>
      </c>
      <c r="K207" s="9">
        <f t="array" ref="K207">IFERROR(INDEX(대출자[],MATCH(1,(자료실기준[[#This Row],[소장처명]]=대출자[소장처명])*(자료실기준[[#This Row],[년월]]=대출자[년월]),0),MATCH(K$1,대출자[#Headers],0)),0)</f>
        <v>3</v>
      </c>
      <c r="L207" s="9">
        <f t="array" ref="L207">IFERROR(INDEX(대출자[],MATCH(1,(자료실기준[[#This Row],[소장처명]]=대출자[소장처명])*(자료실기준[[#This Row],[년월]]=대출자[년월]),0),MATCH(L$1,대출자[#Headers],0)),0)</f>
        <v>1</v>
      </c>
      <c r="M207" s="9">
        <f t="array" ref="M207">IFERROR(INDEX(대출자[],MATCH(1,(자료실기준[[#This Row],[소장처명]]=대출자[소장처명])*(자료실기준[[#This Row],[년월]]=대출자[년월]),0),MATCH(M$1,대출자[#Headers],0)),0)</f>
        <v>11</v>
      </c>
      <c r="N207" s="9">
        <f>IFERROR(자료실기준[[#This Row],[어린이남자]]+자료실기준[[#This Row],[청소년남자]]+자료실기준[[#This Row],[성인남자]],0)</f>
        <v>7</v>
      </c>
      <c r="O207" s="9">
        <f>IFERROR(자료실기준[[#This Row],[어린이여자]]+자료실기준[[#This Row],[청소년여자]]+자료실기준[[#This Row],[성인여자]],0)</f>
        <v>8</v>
      </c>
      <c r="P207" s="9">
        <f>IFERROR(자료실기준[[#This Row],[남자]]+자료실기준[[#This Row],[여자]],0)</f>
        <v>15</v>
      </c>
      <c r="Q207" s="9">
        <f t="array" ref="Q207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07" s="9">
        <f t="array" ref="R207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07" s="9">
        <f t="array" ref="S207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07" s="9">
        <f t="array" ref="T207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07" s="9">
        <f t="array" ref="U207">IFERROR(INDEX(대출권수[],MATCH(1,(자료실기준[[#This Row],[소장처명]]=대출권수[소장처명])*(대출권수[대출반납]="대출")*(자료실기준[[#This Row],[년월]]=대출권수[년월]),0),MATCH(U$1,대출권수[#Headers],0)),0)</f>
        <v>1</v>
      </c>
      <c r="V207" s="9">
        <f t="array" ref="V207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07" s="9">
        <f t="array" ref="W207">IFERROR(INDEX(대출권수[],MATCH(1,(자료실기준[[#This Row],[소장처명]]=대출권수[소장처명])*(대출권수[대출반납]="대출")*(자료실기준[[#This Row],[년월]]=대출권수[년월]),0),MATCH(W$1,대출권수[#Headers],0)),0)</f>
        <v>46</v>
      </c>
      <c r="X207" s="9">
        <f t="array" ref="X207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07" s="9">
        <f t="array" ref="Y207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207" s="9">
        <f t="array" ref="Z207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07" s="9">
        <f>SUM(자료실기준[[#This Row],[총류]:[역사]])</f>
        <v>47</v>
      </c>
    </row>
    <row r="208" spans="1:27" x14ac:dyDescent="0.3">
      <c r="A208" s="5">
        <v>45536</v>
      </c>
      <c r="B208" t="s">
        <v>19</v>
      </c>
      <c r="C208" s="5" t="str">
        <f>TEXT(자료실기준[[#This Row],[년월]],"yy년m월")&amp;자료실기준[[#This Row],[소장처명]]</f>
        <v>24년9월종합실(신간도서)</v>
      </c>
      <c r="D208" t="str">
        <f>IFERROR(INDEX(자료실범례[],MATCH($B208,자료실범례[소장처명],0),2),"종합자료실")</f>
        <v>종합자료실</v>
      </c>
      <c r="E208" s="9">
        <f t="array" ref="E208">IFERROR(INDEX(대출자[],MATCH(1,(자료실기준[[#This Row],[소장처명]]=대출자[소장처명])*(자료실기준[[#This Row],[년월]]=대출자[년월]),0),MATCH(E$1,대출자[#Headers],0)),0)</f>
        <v>4</v>
      </c>
      <c r="F208" s="9">
        <f t="array" ref="F208">IFERROR(INDEX(대출자[],MATCH(1,(자료실기준[[#This Row],[소장처명]]=대출자[소장처명])*(자료실기준[[#This Row],[년월]]=대출자[년월]),0),MATCH(F$1,대출자[#Headers],0)),0)</f>
        <v>8</v>
      </c>
      <c r="G208" s="9">
        <f t="array" ref="G208">IFERROR(INDEX(대출자[],MATCH(1,(자료실기준[[#This Row],[소장처명]]=대출자[소장처명])*(자료실기준[[#This Row],[년월]]=대출자[년월]),0),MATCH(G$1,대출자[#Headers],0)),0)</f>
        <v>1</v>
      </c>
      <c r="H208" s="9">
        <f t="array" ref="H208">IFERROR(INDEX(대출자[],MATCH(1,(자료실기준[[#This Row],[소장처명]]=대출자[소장처명])*(자료실기준[[#This Row],[년월]]=대출자[년월]),0),MATCH(H$1,대출자[#Headers],0)),0)</f>
        <v>6</v>
      </c>
      <c r="I208" s="9">
        <f t="array" ref="I208">IFERROR(INDEX(대출자[],MATCH(1,(자료실기준[[#This Row],[소장처명]]=대출자[소장처명])*(자료실기준[[#This Row],[년월]]=대출자[년월]),0),MATCH(I$1,대출자[#Headers],0)),0)</f>
        <v>55</v>
      </c>
      <c r="J208" s="9">
        <f t="array" ref="J208">IFERROR(INDEX(대출자[],MATCH(1,(자료실기준[[#This Row],[소장처명]]=대출자[소장처명])*(자료실기준[[#This Row],[년월]]=대출자[년월]),0),MATCH(J$1,대출자[#Headers],0)),0)</f>
        <v>105</v>
      </c>
      <c r="K208" s="9">
        <f t="array" ref="K208">IFERROR(INDEX(대출자[],MATCH(1,(자료실기준[[#This Row],[소장처명]]=대출자[소장처명])*(자료실기준[[#This Row],[년월]]=대출자[년월]),0),MATCH(K$1,대출자[#Headers],0)),0)</f>
        <v>12</v>
      </c>
      <c r="L208" s="9">
        <f t="array" ref="L208">IFERROR(INDEX(대출자[],MATCH(1,(자료실기준[[#This Row],[소장처명]]=대출자[소장처명])*(자료실기준[[#This Row],[년월]]=대출자[년월]),0),MATCH(L$1,대출자[#Headers],0)),0)</f>
        <v>7</v>
      </c>
      <c r="M208" s="9">
        <f t="array" ref="M208">IFERROR(INDEX(대출자[],MATCH(1,(자료실기준[[#This Row],[소장처명]]=대출자[소장처명])*(자료실기준[[#This Row],[년월]]=대출자[년월]),0),MATCH(M$1,대출자[#Headers],0)),0)</f>
        <v>160</v>
      </c>
      <c r="N208" s="9">
        <f>IFERROR(자료실기준[[#This Row],[어린이남자]]+자료실기준[[#This Row],[청소년남자]]+자료실기준[[#This Row],[성인남자]],0)</f>
        <v>60</v>
      </c>
      <c r="O208" s="9">
        <f>IFERROR(자료실기준[[#This Row],[어린이여자]]+자료실기준[[#This Row],[청소년여자]]+자료실기준[[#This Row],[성인여자]],0)</f>
        <v>119</v>
      </c>
      <c r="P208" s="9">
        <f>IFERROR(자료실기준[[#This Row],[남자]]+자료실기준[[#This Row],[여자]],0)</f>
        <v>179</v>
      </c>
      <c r="Q208" s="9">
        <f t="array" ref="Q208">IFERROR(INDEX(대출권수[],MATCH(1,(자료실기준[[#This Row],[소장처명]]=대출권수[소장처명])*(대출권수[대출반납]="대출")*(자료실기준[[#This Row],[년월]]=대출권수[년월]),0),MATCH(Q$1,대출권수[#Headers],0)),0)</f>
        <v>25</v>
      </c>
      <c r="R208" s="9">
        <f t="array" ref="R208">IFERROR(INDEX(대출권수[],MATCH(1,(자료실기준[[#This Row],[소장처명]]=대출권수[소장처명])*(대출권수[대출반납]="대출")*(자료실기준[[#This Row],[년월]]=대출권수[년월]),0),MATCH(R$1,대출권수[#Headers],0)),0)</f>
        <v>63</v>
      </c>
      <c r="S208" s="9">
        <f t="array" ref="S208">IFERROR(INDEX(대출권수[],MATCH(1,(자료실기준[[#This Row],[소장처명]]=대출권수[소장처명])*(대출권수[대출반납]="대출")*(자료실기준[[#This Row],[년월]]=대출권수[년월]),0),MATCH(S$1,대출권수[#Headers],0)),0)</f>
        <v>10</v>
      </c>
      <c r="T208" s="9">
        <f t="array" ref="T208">IFERROR(INDEX(대출권수[],MATCH(1,(자료실기준[[#This Row],[소장처명]]=대출권수[소장처명])*(대출권수[대출반납]="대출")*(자료실기준[[#This Row],[년월]]=대출권수[년월]),0),MATCH(T$1,대출권수[#Headers],0)),0)</f>
        <v>93</v>
      </c>
      <c r="U208" s="9">
        <f t="array" ref="U208">IFERROR(INDEX(대출권수[],MATCH(1,(자료실기준[[#This Row],[소장처명]]=대출권수[소장처명])*(대출권수[대출반납]="대출")*(자료실기준[[#This Row],[년월]]=대출권수[년월]),0),MATCH(U$1,대출권수[#Headers],0)),0)</f>
        <v>24</v>
      </c>
      <c r="V208" s="9">
        <f t="array" ref="V208">IFERROR(INDEX(대출권수[],MATCH(1,(자료실기준[[#This Row],[소장처명]]=대출권수[소장처명])*(대출권수[대출반납]="대출")*(자료실기준[[#This Row],[년월]]=대출권수[년월]),0),MATCH(V$1,대출권수[#Headers],0)),0)</f>
        <v>32</v>
      </c>
      <c r="W208" s="9">
        <f t="array" ref="W208">IFERROR(INDEX(대출권수[],MATCH(1,(자료실기준[[#This Row],[소장처명]]=대출권수[소장처명])*(대출권수[대출반납]="대출")*(자료실기준[[#This Row],[년월]]=대출권수[년월]),0),MATCH(W$1,대출권수[#Headers],0)),0)</f>
        <v>15</v>
      </c>
      <c r="X208" s="9">
        <f t="array" ref="X208">IFERROR(INDEX(대출권수[],MATCH(1,(자료실기준[[#This Row],[소장처명]]=대출권수[소장처명])*(대출권수[대출반납]="대출")*(자료실기준[[#This Row],[년월]]=대출권수[년월]),0),MATCH(X$1,대출권수[#Headers],0)),0)</f>
        <v>22</v>
      </c>
      <c r="Y208" s="9">
        <f t="array" ref="Y208">IFERROR(INDEX(대출권수[],MATCH(1,(자료실기준[[#This Row],[소장처명]]=대출권수[소장처명])*(대출권수[대출반납]="대출")*(자료실기준[[#This Row],[년월]]=대출권수[년월]),0),MATCH(Y$1,대출권수[#Headers],0)),0)</f>
        <v>182</v>
      </c>
      <c r="Z208" s="9">
        <f t="array" ref="Z208">IFERROR(INDEX(대출권수[],MATCH(1,(자료실기준[[#This Row],[소장처명]]=대출권수[소장처명])*(대출권수[대출반납]="대출")*(자료실기준[[#This Row],[년월]]=대출권수[년월]),0),MATCH(Z$1,대출권수[#Headers],0)),0)</f>
        <v>11</v>
      </c>
      <c r="AA208" s="9">
        <f>SUM(자료실기준[[#This Row],[총류]:[역사]])</f>
        <v>477</v>
      </c>
    </row>
    <row r="209" spans="1:27" x14ac:dyDescent="0.3">
      <c r="A209" s="5">
        <v>45536</v>
      </c>
      <c r="B209" t="s">
        <v>14</v>
      </c>
      <c r="C209" s="5" t="str">
        <f>TEXT(자료실기준[[#This Row],[년월]],"yy년m월")&amp;자료실기준[[#This Row],[소장처명]]</f>
        <v>24년9월어린이실(신간도서)</v>
      </c>
      <c r="D209" t="str">
        <f>IFERROR(INDEX(자료실범례[],MATCH($B209,자료실범례[소장처명],0),2),"종합자료실")</f>
        <v>어린이자료실</v>
      </c>
      <c r="E209" s="9">
        <f t="array" ref="E209">IFERROR(INDEX(대출자[],MATCH(1,(자료실기준[[#This Row],[소장처명]]=대출자[소장처명])*(자료실기준[[#This Row],[년월]]=대출자[년월]),0),MATCH(E$1,대출자[#Headers],0)),0)</f>
        <v>27</v>
      </c>
      <c r="F209" s="9">
        <f t="array" ref="F209">IFERROR(INDEX(대출자[],MATCH(1,(자료실기준[[#This Row],[소장처명]]=대출자[소장처명])*(자료실기준[[#This Row],[년월]]=대출자[년월]),0),MATCH(F$1,대출자[#Headers],0)),0)</f>
        <v>29</v>
      </c>
      <c r="G209" s="9">
        <f t="array" ref="G209">IFERROR(INDEX(대출자[],MATCH(1,(자료실기준[[#This Row],[소장처명]]=대출자[소장처명])*(자료실기준[[#This Row],[년월]]=대출자[년월]),0),MATCH(G$1,대출자[#Headers],0)),0)</f>
        <v>1</v>
      </c>
      <c r="H209" s="9">
        <f t="array" ref="H209">IFERROR(INDEX(대출자[],MATCH(1,(자료실기준[[#This Row],[소장처명]]=대출자[소장처명])*(자료실기준[[#This Row],[년월]]=대출자[년월]),0),MATCH(H$1,대출자[#Headers],0)),0)</f>
        <v>1</v>
      </c>
      <c r="I209" s="9">
        <f t="array" ref="I209">IFERROR(INDEX(대출자[],MATCH(1,(자료실기준[[#This Row],[소장처명]]=대출자[소장처명])*(자료실기준[[#This Row],[년월]]=대출자[년월]),0),MATCH(I$1,대출자[#Headers],0)),0)</f>
        <v>14</v>
      </c>
      <c r="J209" s="9">
        <f t="array" ref="J209">IFERROR(INDEX(대출자[],MATCH(1,(자료실기준[[#This Row],[소장처명]]=대출자[소장처명])*(자료실기준[[#This Row],[년월]]=대출자[년월]),0),MATCH(J$1,대출자[#Headers],0)),0)</f>
        <v>41</v>
      </c>
      <c r="K209" s="9">
        <f t="array" ref="K209">IFERROR(INDEX(대출자[],MATCH(1,(자료실기준[[#This Row],[소장처명]]=대출자[소장처명])*(자료실기준[[#This Row],[년월]]=대출자[년월]),0),MATCH(K$1,대출자[#Headers],0)),0)</f>
        <v>56</v>
      </c>
      <c r="L209" s="9">
        <f t="array" ref="L209">IFERROR(INDEX(대출자[],MATCH(1,(자료실기준[[#This Row],[소장처명]]=대출자[소장처명])*(자료실기준[[#This Row],[년월]]=대출자[년월]),0),MATCH(L$1,대출자[#Headers],0)),0)</f>
        <v>2</v>
      </c>
      <c r="M209" s="9">
        <f t="array" ref="M209">IFERROR(INDEX(대출자[],MATCH(1,(자료실기준[[#This Row],[소장처명]]=대출자[소장처명])*(자료실기준[[#This Row],[년월]]=대출자[년월]),0),MATCH(M$1,대출자[#Headers],0)),0)</f>
        <v>55</v>
      </c>
      <c r="N209" s="9">
        <f>IFERROR(자료실기준[[#This Row],[어린이남자]]+자료실기준[[#This Row],[청소년남자]]+자료실기준[[#This Row],[성인남자]],0)</f>
        <v>42</v>
      </c>
      <c r="O209" s="9">
        <f>IFERROR(자료실기준[[#This Row],[어린이여자]]+자료실기준[[#This Row],[청소년여자]]+자료실기준[[#This Row],[성인여자]],0)</f>
        <v>71</v>
      </c>
      <c r="P209" s="9">
        <f>IFERROR(자료실기준[[#This Row],[남자]]+자료실기준[[#This Row],[여자]],0)</f>
        <v>113</v>
      </c>
      <c r="Q209" s="9">
        <f t="array" ref="Q209">IFERROR(INDEX(대출권수[],MATCH(1,(자료실기준[[#This Row],[소장처명]]=대출권수[소장처명])*(대출권수[대출반납]="대출")*(자료실기준[[#This Row],[년월]]=대출권수[년월]),0),MATCH(Q$1,대출권수[#Headers],0)),0)</f>
        <v>4</v>
      </c>
      <c r="R209" s="9">
        <f t="array" ref="R209">IFERROR(INDEX(대출권수[],MATCH(1,(자료실기준[[#This Row],[소장처명]]=대출권수[소장처명])*(대출권수[대출반납]="대출")*(자료실기준[[#This Row],[년월]]=대출권수[년월]),0),MATCH(R$1,대출권수[#Headers],0)),0)</f>
        <v>15</v>
      </c>
      <c r="S209" s="9">
        <f t="array" ref="S209">IFERROR(INDEX(대출권수[],MATCH(1,(자료실기준[[#This Row],[소장처명]]=대출권수[소장처명])*(대출권수[대출반납]="대출")*(자료실기준[[#This Row],[년월]]=대출권수[년월]),0),MATCH(S$1,대출권수[#Headers],0)),0)</f>
        <v>5</v>
      </c>
      <c r="T209" s="9">
        <f t="array" ref="T209">IFERROR(INDEX(대출권수[],MATCH(1,(자료실기준[[#This Row],[소장처명]]=대출권수[소장처명])*(대출권수[대출반납]="대출")*(자료실기준[[#This Row],[년월]]=대출권수[년월]),0),MATCH(T$1,대출권수[#Headers],0)),0)</f>
        <v>23</v>
      </c>
      <c r="U209" s="9">
        <f t="array" ref="U209">IFERROR(INDEX(대출권수[],MATCH(1,(자료실기준[[#This Row],[소장처명]]=대출권수[소장처명])*(대출권수[대출반납]="대출")*(자료실기준[[#This Row],[년월]]=대출권수[년월]),0),MATCH(U$1,대출권수[#Headers],0)),0)</f>
        <v>41</v>
      </c>
      <c r="V209" s="9">
        <f t="array" ref="V209">IFERROR(INDEX(대출권수[],MATCH(1,(자료실기준[[#This Row],[소장처명]]=대출권수[소장처명])*(대출권수[대출반납]="대출")*(자료실기준[[#This Row],[년월]]=대출권수[년월]),0),MATCH(V$1,대출권수[#Headers],0)),0)</f>
        <v>8</v>
      </c>
      <c r="W209" s="9">
        <f t="array" ref="W209">IFERROR(INDEX(대출권수[],MATCH(1,(자료실기준[[#This Row],[소장처명]]=대출권수[소장처명])*(대출권수[대출반납]="대출")*(자료실기준[[#This Row],[년월]]=대출권수[년월]),0),MATCH(W$1,대출권수[#Headers],0)),0)</f>
        <v>10</v>
      </c>
      <c r="X209" s="9">
        <f t="array" ref="X209">IFERROR(INDEX(대출권수[],MATCH(1,(자료실기준[[#This Row],[소장처명]]=대출권수[소장처명])*(대출권수[대출반납]="대출")*(자료실기준[[#This Row],[년월]]=대출권수[년월]),0),MATCH(X$1,대출권수[#Headers],0)),0)</f>
        <v>11</v>
      </c>
      <c r="Y209" s="9">
        <f t="array" ref="Y209">IFERROR(INDEX(대출권수[],MATCH(1,(자료실기준[[#This Row],[소장처명]]=대출권수[소장처명])*(대출권수[대출반납]="대출")*(자료실기준[[#This Row],[년월]]=대출권수[년월]),0),MATCH(Y$1,대출권수[#Headers],0)),0)</f>
        <v>295</v>
      </c>
      <c r="Z209" s="9">
        <f t="array" ref="Z209">IFERROR(INDEX(대출권수[],MATCH(1,(자료실기준[[#This Row],[소장처명]]=대출권수[소장처명])*(대출권수[대출반납]="대출")*(자료실기준[[#This Row],[년월]]=대출권수[년월]),0),MATCH(Z$1,대출권수[#Headers],0)),0)</f>
        <v>32</v>
      </c>
      <c r="AA209" s="9">
        <f>SUM(자료실기준[[#This Row],[총류]:[역사]])</f>
        <v>444</v>
      </c>
    </row>
    <row r="210" spans="1:27" x14ac:dyDescent="0.3">
      <c r="A210" s="5">
        <v>45536</v>
      </c>
      <c r="B210" t="s">
        <v>13</v>
      </c>
      <c r="C210" s="5" t="str">
        <f>TEXT(자료실기준[[#This Row],[년월]],"yy년m월")&amp;자료실기준[[#This Row],[소장처명]]</f>
        <v>24년9월어린이실(수상작)</v>
      </c>
      <c r="D210" t="str">
        <f>IFERROR(INDEX(자료실범례[],MATCH($B210,자료실범례[소장처명],0),2),"종합자료실")</f>
        <v>어린이자료실</v>
      </c>
      <c r="E210" s="9">
        <f t="array" ref="E210">IFERROR(INDEX(대출자[],MATCH(1,(자료실기준[[#This Row],[소장처명]]=대출자[소장처명])*(자료실기준[[#This Row],[년월]]=대출자[년월]),0),MATCH(E$1,대출자[#Headers],0)),0)</f>
        <v>0</v>
      </c>
      <c r="F210" s="9">
        <f t="array" ref="F210">IFERROR(INDEX(대출자[],MATCH(1,(자료실기준[[#This Row],[소장처명]]=대출자[소장처명])*(자료실기준[[#This Row],[년월]]=대출자[년월]),0),MATCH(F$1,대출자[#Headers],0)),0)</f>
        <v>0</v>
      </c>
      <c r="G210" s="9">
        <f t="array" ref="G210">IFERROR(INDEX(대출자[],MATCH(1,(자료실기준[[#This Row],[소장처명]]=대출자[소장처명])*(자료실기준[[#This Row],[년월]]=대출자[년월]),0),MATCH(G$1,대출자[#Headers],0)),0)</f>
        <v>0</v>
      </c>
      <c r="H210" s="9">
        <f t="array" ref="H210">IFERROR(INDEX(대출자[],MATCH(1,(자료실기준[[#This Row],[소장처명]]=대출자[소장처명])*(자료실기준[[#This Row],[년월]]=대출자[년월]),0),MATCH(H$1,대출자[#Headers],0)),0)</f>
        <v>0</v>
      </c>
      <c r="I210" s="9">
        <f t="array" ref="I210">IFERROR(INDEX(대출자[],MATCH(1,(자료실기준[[#This Row],[소장처명]]=대출자[소장처명])*(자료실기준[[#This Row],[년월]]=대출자[년월]),0),MATCH(I$1,대출자[#Headers],0)),0)</f>
        <v>2</v>
      </c>
      <c r="J210" s="9">
        <f t="array" ref="J210">IFERROR(INDEX(대출자[],MATCH(1,(자료실기준[[#This Row],[소장처명]]=대출자[소장처명])*(자료실기준[[#This Row],[년월]]=대출자[년월]),0),MATCH(J$1,대출자[#Headers],0)),0)</f>
        <v>3</v>
      </c>
      <c r="K210" s="9">
        <f t="array" ref="K210">IFERROR(INDEX(대출자[],MATCH(1,(자료실기준[[#This Row],[소장처명]]=대출자[소장처명])*(자료실기준[[#This Row],[년월]]=대출자[년월]),0),MATCH(K$1,대출자[#Headers],0)),0)</f>
        <v>0</v>
      </c>
      <c r="L210" s="9">
        <f t="array" ref="L210">IFERROR(INDEX(대출자[],MATCH(1,(자료실기준[[#This Row],[소장처명]]=대출자[소장처명])*(자료실기준[[#This Row],[년월]]=대출자[년월]),0),MATCH(L$1,대출자[#Headers],0)),0)</f>
        <v>0</v>
      </c>
      <c r="M210" s="9">
        <f t="array" ref="M210">IFERROR(INDEX(대출자[],MATCH(1,(자료실기준[[#This Row],[소장처명]]=대출자[소장처명])*(자료실기준[[#This Row],[년월]]=대출자[년월]),0),MATCH(M$1,대출자[#Headers],0)),0)</f>
        <v>5</v>
      </c>
      <c r="N210" s="9">
        <f>IFERROR(자료실기준[[#This Row],[어린이남자]]+자료실기준[[#This Row],[청소년남자]]+자료실기준[[#This Row],[성인남자]],0)</f>
        <v>2</v>
      </c>
      <c r="O210" s="9">
        <f>IFERROR(자료실기준[[#This Row],[어린이여자]]+자료실기준[[#This Row],[청소년여자]]+자료실기준[[#This Row],[성인여자]],0)</f>
        <v>3</v>
      </c>
      <c r="P210" s="9">
        <f>IFERROR(자료실기준[[#This Row],[남자]]+자료실기준[[#This Row],[여자]],0)</f>
        <v>5</v>
      </c>
      <c r="Q210" s="9">
        <f t="array" ref="Q210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10" s="9">
        <f t="array" ref="R210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10" s="9">
        <f t="array" ref="S210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10" s="9">
        <f t="array" ref="T210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10" s="9">
        <f t="array" ref="U210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10" s="9">
        <f t="array" ref="V210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10" s="9">
        <f t="array" ref="W210">IFERROR(INDEX(대출권수[],MATCH(1,(자료실기준[[#This Row],[소장처명]]=대출권수[소장처명])*(대출권수[대출반납]="대출")*(자료실기준[[#This Row],[년월]]=대출권수[년월]),0),MATCH(W$1,대출권수[#Headers],0)),0)</f>
        <v>1</v>
      </c>
      <c r="X210" s="9">
        <f t="array" ref="X210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10" s="9">
        <f t="array" ref="Y210">IFERROR(INDEX(대출권수[],MATCH(1,(자료실기준[[#This Row],[소장처명]]=대출권수[소장처명])*(대출권수[대출반납]="대출")*(자료실기준[[#This Row],[년월]]=대출권수[년월]),0),MATCH(Y$1,대출권수[#Headers],0)),0)</f>
        <v>5</v>
      </c>
      <c r="Z210" s="9">
        <f t="array" ref="Z210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10" s="9">
        <f>SUM(자료실기준[[#This Row],[총류]:[역사]])</f>
        <v>6</v>
      </c>
    </row>
    <row r="211" spans="1:27" x14ac:dyDescent="0.3">
      <c r="A211" s="5">
        <v>45536</v>
      </c>
      <c r="B211" t="s">
        <v>15</v>
      </c>
      <c r="C211" s="5" t="str">
        <f>TEXT(자료실기준[[#This Row],[년월]],"yy년m월")&amp;자료실기준[[#This Row],[소장처명]]</f>
        <v>24년9월어린이실(학습만화)</v>
      </c>
      <c r="D211" t="str">
        <f>IFERROR(INDEX(자료실범례[],MATCH($B211,자료실범례[소장처명],0),2),"종합자료실")</f>
        <v>어린이자료실</v>
      </c>
      <c r="E211" s="9">
        <f t="array" ref="E211">IFERROR(INDEX(대출자[],MATCH(1,(자료실기준[[#This Row],[소장처명]]=대출자[소장처명])*(자료실기준[[#This Row],[년월]]=대출자[년월]),0),MATCH(E$1,대출자[#Headers],0)),0)</f>
        <v>36</v>
      </c>
      <c r="F211" s="9">
        <f t="array" ref="F211">IFERROR(INDEX(대출자[],MATCH(1,(자료실기준[[#This Row],[소장처명]]=대출자[소장처명])*(자료실기준[[#This Row],[년월]]=대출자[년월]),0),MATCH(F$1,대출자[#Headers],0)),0)</f>
        <v>26</v>
      </c>
      <c r="G211" s="9">
        <f t="array" ref="G211">IFERROR(INDEX(대출자[],MATCH(1,(자료실기준[[#This Row],[소장처명]]=대출자[소장처명])*(자료실기준[[#This Row],[년월]]=대출자[년월]),0),MATCH(G$1,대출자[#Headers],0)),0)</f>
        <v>0</v>
      </c>
      <c r="H211" s="9">
        <f t="array" ref="H211">IFERROR(INDEX(대출자[],MATCH(1,(자료실기준[[#This Row],[소장처명]]=대출자[소장처명])*(자료실기준[[#This Row],[년월]]=대출자[년월]),0),MATCH(H$1,대출자[#Headers],0)),0)</f>
        <v>2</v>
      </c>
      <c r="I211" s="9">
        <f t="array" ref="I211">IFERROR(INDEX(대출자[],MATCH(1,(자료실기준[[#This Row],[소장처명]]=대출자[소장처명])*(자료실기준[[#This Row],[년월]]=대출자[년월]),0),MATCH(I$1,대출자[#Headers],0)),0)</f>
        <v>14</v>
      </c>
      <c r="J211" s="9">
        <f t="array" ref="J211">IFERROR(INDEX(대출자[],MATCH(1,(자료실기준[[#This Row],[소장처명]]=대출자[소장처명])*(자료실기준[[#This Row],[년월]]=대출자[년월]),0),MATCH(J$1,대출자[#Headers],0)),0)</f>
        <v>30</v>
      </c>
      <c r="K211" s="9">
        <f t="array" ref="K211">IFERROR(INDEX(대출자[],MATCH(1,(자료실기준[[#This Row],[소장처명]]=대출자[소장처명])*(자료실기준[[#This Row],[년월]]=대출자[년월]),0),MATCH(K$1,대출자[#Headers],0)),0)</f>
        <v>62</v>
      </c>
      <c r="L211" s="9">
        <f t="array" ref="L211">IFERROR(INDEX(대출자[],MATCH(1,(자료실기준[[#This Row],[소장처명]]=대출자[소장처명])*(자료실기준[[#This Row],[년월]]=대출자[년월]),0),MATCH(L$1,대출자[#Headers],0)),0)</f>
        <v>2</v>
      </c>
      <c r="M211" s="9">
        <f t="array" ref="M211">IFERROR(INDEX(대출자[],MATCH(1,(자료실기준[[#This Row],[소장처명]]=대출자[소장처명])*(자료실기준[[#This Row],[년월]]=대출자[년월]),0),MATCH(M$1,대출자[#Headers],0)),0)</f>
        <v>44</v>
      </c>
      <c r="N211" s="9">
        <f>IFERROR(자료실기준[[#This Row],[어린이남자]]+자료실기준[[#This Row],[청소년남자]]+자료실기준[[#This Row],[성인남자]],0)</f>
        <v>50</v>
      </c>
      <c r="O211" s="9">
        <f>IFERROR(자료실기준[[#This Row],[어린이여자]]+자료실기준[[#This Row],[청소년여자]]+자료실기준[[#This Row],[성인여자]],0)</f>
        <v>58</v>
      </c>
      <c r="P211" s="9">
        <f>IFERROR(자료실기준[[#This Row],[남자]]+자료실기준[[#This Row],[여자]],0)</f>
        <v>108</v>
      </c>
      <c r="Q211" s="9">
        <f t="array" ref="Q211">IFERROR(INDEX(대출권수[],MATCH(1,(자료실기준[[#This Row],[소장처명]]=대출권수[소장처명])*(대출권수[대출반납]="대출")*(자료실기준[[#This Row],[년월]]=대출권수[년월]),0),MATCH(Q$1,대출권수[#Headers],0)),0)</f>
        <v>8</v>
      </c>
      <c r="R211" s="9">
        <f t="array" ref="R211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11" s="9">
        <f t="array" ref="S211">IFERROR(INDEX(대출권수[],MATCH(1,(자료실기준[[#This Row],[소장처명]]=대출권수[소장처명])*(대출권수[대출반납]="대출")*(자료실기준[[#This Row],[년월]]=대출권수[년월]),0),MATCH(S$1,대출권수[#Headers],0)),0)</f>
        <v>49</v>
      </c>
      <c r="T211" s="9">
        <f t="array" ref="T211">IFERROR(INDEX(대출권수[],MATCH(1,(자료실기준[[#This Row],[소장처명]]=대출권수[소장처명])*(대출권수[대출반납]="대출")*(자료실기준[[#This Row],[년월]]=대출권수[년월]),0),MATCH(T$1,대출권수[#Headers],0)),0)</f>
        <v>1</v>
      </c>
      <c r="U211" s="9">
        <f t="array" ref="U211">IFERROR(INDEX(대출권수[],MATCH(1,(자료실기준[[#This Row],[소장처명]]=대출권수[소장처명])*(대출권수[대출반납]="대출")*(자료실기준[[#This Row],[년월]]=대출권수[년월]),0),MATCH(U$1,대출권수[#Headers],0)),0)</f>
        <v>285</v>
      </c>
      <c r="V211" s="9">
        <f t="array" ref="V211">IFERROR(INDEX(대출권수[],MATCH(1,(자료실기준[[#This Row],[소장처명]]=대출권수[소장처명])*(대출권수[대출반납]="대출")*(자료실기준[[#This Row],[년월]]=대출권수[년월]),0),MATCH(V$1,대출권수[#Headers],0)),0)</f>
        <v>34</v>
      </c>
      <c r="W211" s="9">
        <f t="array" ref="W211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11" s="9">
        <f t="array" ref="X211">IFERROR(INDEX(대출권수[],MATCH(1,(자료실기준[[#This Row],[소장처명]]=대출권수[소장처명])*(대출권수[대출반납]="대출")*(자료실기준[[#This Row],[년월]]=대출권수[년월]),0),MATCH(X$1,대출권수[#Headers],0)),0)</f>
        <v>66</v>
      </c>
      <c r="Y211" s="9">
        <f t="array" ref="Y211">IFERROR(INDEX(대출권수[],MATCH(1,(자료실기준[[#This Row],[소장처명]]=대출권수[소장처명])*(대출권수[대출반납]="대출")*(자료실기준[[#This Row],[년월]]=대출권수[년월]),0),MATCH(Y$1,대출권수[#Headers],0)),0)</f>
        <v>7</v>
      </c>
      <c r="Z211" s="9">
        <f t="array" ref="Z211">IFERROR(INDEX(대출권수[],MATCH(1,(자료실기준[[#This Row],[소장처명]]=대출권수[소장처명])*(대출권수[대출반납]="대출")*(자료실기준[[#This Row],[년월]]=대출권수[년월]),0),MATCH(Z$1,대출권수[#Headers],0)),0)</f>
        <v>147</v>
      </c>
      <c r="AA211" s="9">
        <f>SUM(자료실기준[[#This Row],[총류]:[역사]])</f>
        <v>597</v>
      </c>
    </row>
    <row r="212" spans="1:27" x14ac:dyDescent="0.3">
      <c r="A212" s="5">
        <v>45536</v>
      </c>
      <c r="B212" t="s">
        <v>20</v>
      </c>
      <c r="C212" s="5" t="str">
        <f>TEXT(자료실기준[[#This Row],[년월]],"yy년m월")&amp;자료실기준[[#This Row],[소장처명]]</f>
        <v>24년9월종합실(청소년 진로)</v>
      </c>
      <c r="D212" t="str">
        <f>IFERROR(INDEX(자료실범례[],MATCH($B212,자료실범례[소장처명],0),2),"종합자료실")</f>
        <v>종합자료실</v>
      </c>
      <c r="E212" s="9">
        <f t="array" ref="E212">IFERROR(INDEX(대출자[],MATCH(1,(자료실기준[[#This Row],[소장처명]]=대출자[소장처명])*(자료실기준[[#This Row],[년월]]=대출자[년월]),0),MATCH(E$1,대출자[#Headers],0)),0)</f>
        <v>0</v>
      </c>
      <c r="F212" s="9">
        <f t="array" ref="F212">IFERROR(INDEX(대출자[],MATCH(1,(자료실기준[[#This Row],[소장처명]]=대출자[소장처명])*(자료실기준[[#This Row],[년월]]=대출자[년월]),0),MATCH(F$1,대출자[#Headers],0)),0)</f>
        <v>0</v>
      </c>
      <c r="G212" s="9">
        <f t="array" ref="G212">IFERROR(INDEX(대출자[],MATCH(1,(자료실기준[[#This Row],[소장처명]]=대출자[소장처명])*(자료실기준[[#This Row],[년월]]=대출자[년월]),0),MATCH(G$1,대출자[#Headers],0)),0)</f>
        <v>0</v>
      </c>
      <c r="H212" s="9">
        <f t="array" ref="H212">IFERROR(INDEX(대출자[],MATCH(1,(자료실기준[[#This Row],[소장처명]]=대출자[소장처명])*(자료실기준[[#This Row],[년월]]=대출자[년월]),0),MATCH(H$1,대출자[#Headers],0)),0)</f>
        <v>0</v>
      </c>
      <c r="I212" s="9">
        <f t="array" ref="I212">IFERROR(INDEX(대출자[],MATCH(1,(자료실기준[[#This Row],[소장처명]]=대출자[소장처명])*(자료실기준[[#This Row],[년월]]=대출자[년월]),0),MATCH(I$1,대출자[#Headers],0)),0)</f>
        <v>0</v>
      </c>
      <c r="J212" s="9">
        <f t="array" ref="J212">IFERROR(INDEX(대출자[],MATCH(1,(자료실기준[[#This Row],[소장처명]]=대출자[소장처명])*(자료실기준[[#This Row],[년월]]=대출자[년월]),0),MATCH(J$1,대출자[#Headers],0)),0)</f>
        <v>0</v>
      </c>
      <c r="K212" s="9">
        <f t="array" ref="K212">IFERROR(INDEX(대출자[],MATCH(1,(자료실기준[[#This Row],[소장처명]]=대출자[소장처명])*(자료실기준[[#This Row],[년월]]=대출자[년월]),0),MATCH(K$1,대출자[#Headers],0)),0)</f>
        <v>0</v>
      </c>
      <c r="L212" s="9">
        <f t="array" ref="L212">IFERROR(INDEX(대출자[],MATCH(1,(자료실기준[[#This Row],[소장처명]]=대출자[소장처명])*(자료실기준[[#This Row],[년월]]=대출자[년월]),0),MATCH(L$1,대출자[#Headers],0)),0)</f>
        <v>0</v>
      </c>
      <c r="M212" s="9">
        <f t="array" ref="M212">IFERROR(INDEX(대출자[],MATCH(1,(자료실기준[[#This Row],[소장처명]]=대출자[소장처명])*(자료실기준[[#This Row],[년월]]=대출자[년월]),0),MATCH(M$1,대출자[#Headers],0)),0)</f>
        <v>0</v>
      </c>
      <c r="N212" s="9">
        <f>IFERROR(자료실기준[[#This Row],[어린이남자]]+자료실기준[[#This Row],[청소년남자]]+자료실기준[[#This Row],[성인남자]],0)</f>
        <v>0</v>
      </c>
      <c r="O212" s="9">
        <f>IFERROR(자료실기준[[#This Row],[어린이여자]]+자료실기준[[#This Row],[청소년여자]]+자료실기준[[#This Row],[성인여자]],0)</f>
        <v>0</v>
      </c>
      <c r="P212" s="9">
        <f>IFERROR(자료실기준[[#This Row],[남자]]+자료실기준[[#This Row],[여자]],0)</f>
        <v>0</v>
      </c>
      <c r="Q212" s="9">
        <f t="array" ref="Q212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12" s="9">
        <f t="array" ref="R212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12" s="9">
        <f t="array" ref="S212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12" s="9">
        <f t="array" ref="T212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12" s="9">
        <f t="array" ref="U212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12" s="9">
        <f t="array" ref="V212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12" s="9">
        <f t="array" ref="W212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12" s="9">
        <f t="array" ref="X212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12" s="9">
        <f t="array" ref="Y212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212" s="9">
        <f t="array" ref="Z212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12" s="9">
        <f>SUM(자료실기준[[#This Row],[총류]:[역사]])</f>
        <v>0</v>
      </c>
    </row>
    <row r="213" spans="1:27" x14ac:dyDescent="0.3">
      <c r="A213" s="5">
        <v>45536</v>
      </c>
      <c r="B213" t="s">
        <v>3</v>
      </c>
      <c r="C213" s="5" t="str">
        <f>TEXT(자료실기준[[#This Row],[년월]],"yy년m월")&amp;자료실기준[[#This Row],[소장처명]]</f>
        <v>24년9월별관 서고(디지털자료실)</v>
      </c>
      <c r="D213" t="str">
        <f>IFERROR(INDEX(자료실범례[],MATCH($B213,자료실범례[소장처명],0),2),"종합자료실")</f>
        <v>디지털자료실</v>
      </c>
      <c r="E213" s="9">
        <f t="array" ref="E213">IFERROR(INDEX(대출자[],MATCH(1,(자료실기준[[#This Row],[소장처명]]=대출자[소장처명])*(자료실기준[[#This Row],[년월]]=대출자[년월]),0),MATCH(E$1,대출자[#Headers],0)),0)</f>
        <v>0</v>
      </c>
      <c r="F213" s="9">
        <f t="array" ref="F213">IFERROR(INDEX(대출자[],MATCH(1,(자료실기준[[#This Row],[소장처명]]=대출자[소장처명])*(자료실기준[[#This Row],[년월]]=대출자[년월]),0),MATCH(F$1,대출자[#Headers],0)),0)</f>
        <v>0</v>
      </c>
      <c r="G213" s="9">
        <f t="array" ref="G213">IFERROR(INDEX(대출자[],MATCH(1,(자료실기준[[#This Row],[소장처명]]=대출자[소장처명])*(자료실기준[[#This Row],[년월]]=대출자[년월]),0),MATCH(G$1,대출자[#Headers],0)),0)</f>
        <v>0</v>
      </c>
      <c r="H213" s="9">
        <f t="array" ref="H213">IFERROR(INDEX(대출자[],MATCH(1,(자료실기준[[#This Row],[소장처명]]=대출자[소장처명])*(자료실기준[[#This Row],[년월]]=대출자[년월]),0),MATCH(H$1,대출자[#Headers],0)),0)</f>
        <v>0</v>
      </c>
      <c r="I213" s="9">
        <f t="array" ref="I213">IFERROR(INDEX(대출자[],MATCH(1,(자료실기준[[#This Row],[소장처명]]=대출자[소장처명])*(자료실기준[[#This Row],[년월]]=대출자[년월]),0),MATCH(I$1,대출자[#Headers],0)),0)</f>
        <v>0</v>
      </c>
      <c r="J213" s="9">
        <f t="array" ref="J213">IFERROR(INDEX(대출자[],MATCH(1,(자료실기준[[#This Row],[소장처명]]=대출자[소장처명])*(자료실기준[[#This Row],[년월]]=대출자[년월]),0),MATCH(J$1,대출자[#Headers],0)),0)</f>
        <v>0</v>
      </c>
      <c r="K213" s="9">
        <f t="array" ref="K213">IFERROR(INDEX(대출자[],MATCH(1,(자료실기준[[#This Row],[소장처명]]=대출자[소장처명])*(자료실기준[[#This Row],[년월]]=대출자[년월]),0),MATCH(K$1,대출자[#Headers],0)),0)</f>
        <v>0</v>
      </c>
      <c r="L213" s="9">
        <f t="array" ref="L213">IFERROR(INDEX(대출자[],MATCH(1,(자료실기준[[#This Row],[소장처명]]=대출자[소장처명])*(자료실기준[[#This Row],[년월]]=대출자[년월]),0),MATCH(L$1,대출자[#Headers],0)),0)</f>
        <v>0</v>
      </c>
      <c r="M213" s="9">
        <f t="array" ref="M213">IFERROR(INDEX(대출자[],MATCH(1,(자료실기준[[#This Row],[소장처명]]=대출자[소장처명])*(자료실기준[[#This Row],[년월]]=대출자[년월]),0),MATCH(M$1,대출자[#Headers],0)),0)</f>
        <v>0</v>
      </c>
      <c r="N213" s="9">
        <f>IFERROR(자료실기준[[#This Row],[어린이남자]]+자료실기준[[#This Row],[청소년남자]]+자료실기준[[#This Row],[성인남자]],0)</f>
        <v>0</v>
      </c>
      <c r="O213" s="9">
        <f>IFERROR(자료실기준[[#This Row],[어린이여자]]+자료실기준[[#This Row],[청소년여자]]+자료실기준[[#This Row],[성인여자]],0)</f>
        <v>0</v>
      </c>
      <c r="P213" s="9">
        <f>IFERROR(자료실기준[[#This Row],[남자]]+자료실기준[[#This Row],[여자]],0)</f>
        <v>0</v>
      </c>
      <c r="Q213" s="9">
        <f t="array" ref="Q213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13" s="9">
        <f t="array" ref="R213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13" s="9">
        <f t="array" ref="S213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13" s="9">
        <f t="array" ref="T213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13" s="9">
        <f t="array" ref="U213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13" s="9">
        <f t="array" ref="V213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13" s="9">
        <f t="array" ref="W213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13" s="9">
        <f t="array" ref="X213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13" s="9">
        <f t="array" ref="Y213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213" s="9">
        <f t="array" ref="Z213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13" s="9">
        <f>SUM(자료실기준[[#This Row],[총류]:[역사]])</f>
        <v>0</v>
      </c>
    </row>
    <row r="214" spans="1:27" x14ac:dyDescent="0.3">
      <c r="A214" s="5">
        <v>45536</v>
      </c>
      <c r="B214" t="s">
        <v>4</v>
      </c>
      <c r="C214" s="5" t="str">
        <f>TEXT(자료실기준[[#This Row],[년월]],"yy년m월")&amp;자료실기준[[#This Row],[소장처명]]</f>
        <v>24년9월별관 서고(어린이자료실)</v>
      </c>
      <c r="D214" t="str">
        <f>IFERROR(INDEX(자료실범례[],MATCH($B214,자료실범례[소장처명],0),2),"종합자료실")</f>
        <v>어린이자료실</v>
      </c>
      <c r="E214" s="9">
        <f t="array" ref="E214">IFERROR(INDEX(대출자[],MATCH(1,(자료실기준[[#This Row],[소장처명]]=대출자[소장처명])*(자료실기준[[#This Row],[년월]]=대출자[년월]),0),MATCH(E$1,대출자[#Headers],0)),0)</f>
        <v>0</v>
      </c>
      <c r="F214" s="9">
        <f t="array" ref="F214">IFERROR(INDEX(대출자[],MATCH(1,(자료실기준[[#This Row],[소장처명]]=대출자[소장처명])*(자료실기준[[#This Row],[년월]]=대출자[년월]),0),MATCH(F$1,대출자[#Headers],0)),0)</f>
        <v>0</v>
      </c>
      <c r="G214" s="9">
        <f t="array" ref="G214">IFERROR(INDEX(대출자[],MATCH(1,(자료실기준[[#This Row],[소장처명]]=대출자[소장처명])*(자료실기준[[#This Row],[년월]]=대출자[년월]),0),MATCH(G$1,대출자[#Headers],0)),0)</f>
        <v>0</v>
      </c>
      <c r="H214" s="9">
        <f t="array" ref="H214">IFERROR(INDEX(대출자[],MATCH(1,(자료실기준[[#This Row],[소장처명]]=대출자[소장처명])*(자료실기준[[#This Row],[년월]]=대출자[년월]),0),MATCH(H$1,대출자[#Headers],0)),0)</f>
        <v>0</v>
      </c>
      <c r="I214" s="9">
        <f t="array" ref="I214">IFERROR(INDEX(대출자[],MATCH(1,(자료실기준[[#This Row],[소장처명]]=대출자[소장처명])*(자료실기준[[#This Row],[년월]]=대출자[년월]),0),MATCH(I$1,대출자[#Headers],0)),0)</f>
        <v>1</v>
      </c>
      <c r="J214" s="9">
        <f t="array" ref="J214">IFERROR(INDEX(대출자[],MATCH(1,(자료실기준[[#This Row],[소장처명]]=대출자[소장처명])*(자료실기준[[#This Row],[년월]]=대출자[년월]),0),MATCH(J$1,대출자[#Headers],0)),0)</f>
        <v>2</v>
      </c>
      <c r="K214" s="9">
        <f t="array" ref="K214">IFERROR(INDEX(대출자[],MATCH(1,(자료실기준[[#This Row],[소장처명]]=대출자[소장처명])*(자료실기준[[#This Row],[년월]]=대출자[년월]),0),MATCH(K$1,대출자[#Headers],0)),0)</f>
        <v>0</v>
      </c>
      <c r="L214" s="9">
        <f t="array" ref="L214">IFERROR(INDEX(대출자[],MATCH(1,(자료실기준[[#This Row],[소장처명]]=대출자[소장처명])*(자료실기준[[#This Row],[년월]]=대출자[년월]),0),MATCH(L$1,대출자[#Headers],0)),0)</f>
        <v>0</v>
      </c>
      <c r="M214" s="9">
        <f t="array" ref="M214">IFERROR(INDEX(대출자[],MATCH(1,(자료실기준[[#This Row],[소장처명]]=대출자[소장처명])*(자료실기준[[#This Row],[년월]]=대출자[년월]),0),MATCH(M$1,대출자[#Headers],0)),0)</f>
        <v>3</v>
      </c>
      <c r="N214" s="9">
        <f>IFERROR(자료실기준[[#This Row],[어린이남자]]+자료실기준[[#This Row],[청소년남자]]+자료실기준[[#This Row],[성인남자]],0)</f>
        <v>1</v>
      </c>
      <c r="O214" s="9">
        <f>IFERROR(자료실기준[[#This Row],[어린이여자]]+자료실기준[[#This Row],[청소년여자]]+자료실기준[[#This Row],[성인여자]],0)</f>
        <v>2</v>
      </c>
      <c r="P214" s="9">
        <f>IFERROR(자료실기준[[#This Row],[남자]]+자료실기준[[#This Row],[여자]],0)</f>
        <v>3</v>
      </c>
      <c r="Q214" s="9">
        <f t="array" ref="Q214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14" s="9">
        <f t="array" ref="R214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14" s="9">
        <f t="array" ref="S214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14" s="9">
        <f t="array" ref="T214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14" s="9">
        <f t="array" ref="U214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14" s="9">
        <f t="array" ref="V214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14" s="9">
        <f t="array" ref="W214">IFERROR(INDEX(대출권수[],MATCH(1,(자료실기준[[#This Row],[소장처명]]=대출권수[소장처명])*(대출권수[대출반납]="대출")*(자료실기준[[#This Row],[년월]]=대출권수[년월]),0),MATCH(W$1,대출권수[#Headers],0)),0)</f>
        <v>1</v>
      </c>
      <c r="X214" s="9">
        <f t="array" ref="X214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14" s="9">
        <f t="array" ref="Y214">IFERROR(INDEX(대출권수[],MATCH(1,(자료실기준[[#This Row],[소장처명]]=대출권수[소장처명])*(대출권수[대출반납]="대출")*(자료실기준[[#This Row],[년월]]=대출권수[년월]),0),MATCH(Y$1,대출권수[#Headers],0)),0)</f>
        <v>2</v>
      </c>
      <c r="Z214" s="9">
        <f t="array" ref="Z214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14" s="9">
        <f>SUM(자료실기준[[#This Row],[총류]:[역사]])</f>
        <v>3</v>
      </c>
    </row>
    <row r="215" spans="1:27" x14ac:dyDescent="0.3">
      <c r="A215" s="5">
        <v>45536</v>
      </c>
      <c r="B215" t="s">
        <v>5</v>
      </c>
      <c r="C215" s="5" t="str">
        <f>TEXT(자료실기준[[#This Row],[년월]],"yy년m월")&amp;자료실기준[[#This Row],[소장처명]]</f>
        <v>24년9월별관 서고(종합자료실)</v>
      </c>
      <c r="D215" t="str">
        <f>IFERROR(INDEX(자료실범례[],MATCH($B215,자료실범례[소장처명],0),2),"종합자료실")</f>
        <v>종합자료실</v>
      </c>
      <c r="E215" s="9">
        <f t="array" ref="E215">IFERROR(INDEX(대출자[],MATCH(1,(자료실기준[[#This Row],[소장처명]]=대출자[소장처명])*(자료실기준[[#This Row],[년월]]=대출자[년월]),0),MATCH(E$1,대출자[#Headers],0)),0)</f>
        <v>0</v>
      </c>
      <c r="F215" s="9">
        <f t="array" ref="F215">IFERROR(INDEX(대출자[],MATCH(1,(자료실기준[[#This Row],[소장처명]]=대출자[소장처명])*(자료실기준[[#This Row],[년월]]=대출자[년월]),0),MATCH(F$1,대출자[#Headers],0)),0)</f>
        <v>0</v>
      </c>
      <c r="G215" s="9">
        <f t="array" ref="G215">IFERROR(INDEX(대출자[],MATCH(1,(자료실기준[[#This Row],[소장처명]]=대출자[소장처명])*(자료실기준[[#This Row],[년월]]=대출자[년월]),0),MATCH(G$1,대출자[#Headers],0)),0)</f>
        <v>1</v>
      </c>
      <c r="H215" s="9">
        <f t="array" ref="H215">IFERROR(INDEX(대출자[],MATCH(1,(자료실기준[[#This Row],[소장처명]]=대출자[소장처명])*(자료실기준[[#This Row],[년월]]=대출자[년월]),0),MATCH(H$1,대출자[#Headers],0)),0)</f>
        <v>1</v>
      </c>
      <c r="I215" s="9">
        <f t="array" ref="I215">IFERROR(INDEX(대출자[],MATCH(1,(자료실기준[[#This Row],[소장처명]]=대출자[소장처명])*(자료실기준[[#This Row],[년월]]=대출자[년월]),0),MATCH(I$1,대출자[#Headers],0)),0)</f>
        <v>6</v>
      </c>
      <c r="J215" s="9">
        <f t="array" ref="J215">IFERROR(INDEX(대출자[],MATCH(1,(자료실기준[[#This Row],[소장처명]]=대출자[소장처명])*(자료실기준[[#This Row],[년월]]=대출자[년월]),0),MATCH(J$1,대출자[#Headers],0)),0)</f>
        <v>15</v>
      </c>
      <c r="K215" s="9">
        <f t="array" ref="K215">IFERROR(INDEX(대출자[],MATCH(1,(자료실기준[[#This Row],[소장처명]]=대출자[소장처명])*(자료실기준[[#This Row],[년월]]=대출자[년월]),0),MATCH(K$1,대출자[#Headers],0)),0)</f>
        <v>0</v>
      </c>
      <c r="L215" s="9">
        <f t="array" ref="L215">IFERROR(INDEX(대출자[],MATCH(1,(자료실기준[[#This Row],[소장처명]]=대출자[소장처명])*(자료실기준[[#This Row],[년월]]=대출자[년월]),0),MATCH(L$1,대출자[#Headers],0)),0)</f>
        <v>2</v>
      </c>
      <c r="M215" s="9">
        <f t="array" ref="M215">IFERROR(INDEX(대출자[],MATCH(1,(자료실기준[[#This Row],[소장처명]]=대출자[소장처명])*(자료실기준[[#This Row],[년월]]=대출자[년월]),0),MATCH(M$1,대출자[#Headers],0)),0)</f>
        <v>21</v>
      </c>
      <c r="N215" s="9">
        <f>IFERROR(자료실기준[[#This Row],[어린이남자]]+자료실기준[[#This Row],[청소년남자]]+자료실기준[[#This Row],[성인남자]],0)</f>
        <v>7</v>
      </c>
      <c r="O215" s="9">
        <f>IFERROR(자료실기준[[#This Row],[어린이여자]]+자료실기준[[#This Row],[청소년여자]]+자료실기준[[#This Row],[성인여자]],0)</f>
        <v>16</v>
      </c>
      <c r="P215" s="9">
        <f>IFERROR(자료실기준[[#This Row],[남자]]+자료실기준[[#This Row],[여자]],0)</f>
        <v>23</v>
      </c>
      <c r="Q215" s="9">
        <f t="array" ref="Q215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15" s="9">
        <f t="array" ref="R215">IFERROR(INDEX(대출권수[],MATCH(1,(자료실기준[[#This Row],[소장처명]]=대출권수[소장처명])*(대출권수[대출반납]="대출")*(자료실기준[[#This Row],[년월]]=대출권수[년월]),0),MATCH(R$1,대출권수[#Headers],0)),0)</f>
        <v>11</v>
      </c>
      <c r="S215" s="9">
        <f t="array" ref="S215">IFERROR(INDEX(대출권수[],MATCH(1,(자료실기준[[#This Row],[소장처명]]=대출권수[소장처명])*(대출권수[대출반납]="대출")*(자료실기준[[#This Row],[년월]]=대출권수[년월]),0),MATCH(S$1,대출권수[#Headers],0)),0)</f>
        <v>2</v>
      </c>
      <c r="T215" s="9">
        <f t="array" ref="T215">IFERROR(INDEX(대출권수[],MATCH(1,(자료실기준[[#This Row],[소장처명]]=대출권수[소장처명])*(대출권수[대출반납]="대출")*(자료실기준[[#This Row],[년월]]=대출권수[년월]),0),MATCH(T$1,대출권수[#Headers],0)),0)</f>
        <v>7</v>
      </c>
      <c r="U215" s="9">
        <f t="array" ref="U215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15" s="9">
        <f t="array" ref="V215">IFERROR(INDEX(대출권수[],MATCH(1,(자료실기준[[#This Row],[소장처명]]=대출권수[소장처명])*(대출권수[대출반납]="대출")*(자료실기준[[#This Row],[년월]]=대출권수[년월]),0),MATCH(V$1,대출권수[#Headers],0)),0)</f>
        <v>1</v>
      </c>
      <c r="W215" s="9">
        <f t="array" ref="W215">IFERROR(INDEX(대출권수[],MATCH(1,(자료실기준[[#This Row],[소장처명]]=대출권수[소장처명])*(대출권수[대출반납]="대출")*(자료실기준[[#This Row],[년월]]=대출권수[년월]),0),MATCH(W$1,대출권수[#Headers],0)),0)</f>
        <v>4</v>
      </c>
      <c r="X215" s="9">
        <f t="array" ref="X215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15" s="9">
        <f t="array" ref="Y215">IFERROR(INDEX(대출권수[],MATCH(1,(자료실기준[[#This Row],[소장처명]]=대출권수[소장처명])*(대출권수[대출반납]="대출")*(자료실기준[[#This Row],[년월]]=대출권수[년월]),0),MATCH(Y$1,대출권수[#Headers],0)),0)</f>
        <v>12</v>
      </c>
      <c r="Z215" s="9">
        <f t="array" ref="Z215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15" s="9">
        <f>SUM(자료실기준[[#This Row],[총류]:[역사]])</f>
        <v>37</v>
      </c>
    </row>
    <row r="216" spans="1:27" x14ac:dyDescent="0.3">
      <c r="A216" s="5">
        <v>45536</v>
      </c>
      <c r="B216" t="s">
        <v>7</v>
      </c>
      <c r="C216" s="5" t="str">
        <f>TEXT(자료실기준[[#This Row],[년월]],"yy년m월")&amp;자료실기준[[#This Row],[소장처명]]</f>
        <v>24년9월어린이실(교과1학년)</v>
      </c>
      <c r="D216" t="str">
        <f>IFERROR(INDEX(자료실범례[],MATCH($B216,자료실범례[소장처명],0),2),"종합자료실")</f>
        <v>어린이자료실</v>
      </c>
      <c r="E216" s="9">
        <f t="array" ref="E216">IFERROR(INDEX(대출자[],MATCH(1,(자료실기준[[#This Row],[소장처명]]=대출자[소장처명])*(자료실기준[[#This Row],[년월]]=대출자[년월]),0),MATCH(E$1,대출자[#Headers],0)),0)</f>
        <v>4</v>
      </c>
      <c r="F216" s="9">
        <f t="array" ref="F216">IFERROR(INDEX(대출자[],MATCH(1,(자료실기준[[#This Row],[소장처명]]=대출자[소장처명])*(자료실기준[[#This Row],[년월]]=대출자[년월]),0),MATCH(F$1,대출자[#Headers],0)),0)</f>
        <v>5</v>
      </c>
      <c r="G216" s="9">
        <f t="array" ref="G216">IFERROR(INDEX(대출자[],MATCH(1,(자료실기준[[#This Row],[소장처명]]=대출자[소장처명])*(자료실기준[[#This Row],[년월]]=대출자[년월]),0),MATCH(G$1,대출자[#Headers],0)),0)</f>
        <v>0</v>
      </c>
      <c r="H216" s="9">
        <f t="array" ref="H216">IFERROR(INDEX(대출자[],MATCH(1,(자료실기준[[#This Row],[소장처명]]=대출자[소장처명])*(자료실기준[[#This Row],[년월]]=대출자[년월]),0),MATCH(H$1,대출자[#Headers],0)),0)</f>
        <v>0</v>
      </c>
      <c r="I216" s="9">
        <f t="array" ref="I216">IFERROR(INDEX(대출자[],MATCH(1,(자료실기준[[#This Row],[소장처명]]=대출자[소장처명])*(자료실기준[[#This Row],[년월]]=대출자[년월]),0),MATCH(I$1,대출자[#Headers],0)),0)</f>
        <v>4</v>
      </c>
      <c r="J216" s="9">
        <f t="array" ref="J216">IFERROR(INDEX(대출자[],MATCH(1,(자료실기준[[#This Row],[소장처명]]=대출자[소장처명])*(자료실기준[[#This Row],[년월]]=대출자[년월]),0),MATCH(J$1,대출자[#Headers],0)),0)</f>
        <v>4</v>
      </c>
      <c r="K216" s="9">
        <f t="array" ref="K216">IFERROR(INDEX(대출자[],MATCH(1,(자료실기준[[#This Row],[소장처명]]=대출자[소장처명])*(자료실기준[[#This Row],[년월]]=대출자[년월]),0),MATCH(K$1,대출자[#Headers],0)),0)</f>
        <v>9</v>
      </c>
      <c r="L216" s="9">
        <f t="array" ref="L216">IFERROR(INDEX(대출자[],MATCH(1,(자료실기준[[#This Row],[소장처명]]=대출자[소장처명])*(자료실기준[[#This Row],[년월]]=대출자[년월]),0),MATCH(L$1,대출자[#Headers],0)),0)</f>
        <v>0</v>
      </c>
      <c r="M216" s="9">
        <f t="array" ref="M216">IFERROR(INDEX(대출자[],MATCH(1,(자료실기준[[#This Row],[소장처명]]=대출자[소장처명])*(자료실기준[[#This Row],[년월]]=대출자[년월]),0),MATCH(M$1,대출자[#Headers],0)),0)</f>
        <v>8</v>
      </c>
      <c r="N216" s="9">
        <f>IFERROR(자료실기준[[#This Row],[어린이남자]]+자료실기준[[#This Row],[청소년남자]]+자료실기준[[#This Row],[성인남자]],0)</f>
        <v>8</v>
      </c>
      <c r="O216" s="9">
        <f>IFERROR(자료실기준[[#This Row],[어린이여자]]+자료실기준[[#This Row],[청소년여자]]+자료실기준[[#This Row],[성인여자]],0)</f>
        <v>9</v>
      </c>
      <c r="P216" s="9">
        <f>IFERROR(자료실기준[[#This Row],[남자]]+자료실기준[[#This Row],[여자]],0)</f>
        <v>17</v>
      </c>
      <c r="Q216" s="9">
        <f t="array" ref="Q216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16" s="9">
        <f t="array" ref="R216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16" s="9">
        <f t="array" ref="S216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16" s="9">
        <f t="array" ref="T216">IFERROR(INDEX(대출권수[],MATCH(1,(자료실기준[[#This Row],[소장처명]]=대출권수[소장처명])*(대출권수[대출반납]="대출")*(자료실기준[[#This Row],[년월]]=대출권수[년월]),0),MATCH(T$1,대출권수[#Headers],0)),0)</f>
        <v>4</v>
      </c>
      <c r="U216" s="9">
        <f t="array" ref="U216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16" s="9">
        <f t="array" ref="V216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16" s="9">
        <f t="array" ref="W216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16" s="9">
        <f t="array" ref="X216">IFERROR(INDEX(대출권수[],MATCH(1,(자료실기준[[#This Row],[소장처명]]=대출권수[소장처명])*(대출권수[대출반납]="대출")*(자료실기준[[#This Row],[년월]]=대출권수[년월]),0),MATCH(X$1,대출권수[#Headers],0)),0)</f>
        <v>5</v>
      </c>
      <c r="Y216" s="9">
        <f t="array" ref="Y216">IFERROR(INDEX(대출권수[],MATCH(1,(자료실기준[[#This Row],[소장처명]]=대출권수[소장처명])*(대출권수[대출반납]="대출")*(자료실기준[[#This Row],[년월]]=대출권수[년월]),0),MATCH(Y$1,대출권수[#Headers],0)),0)</f>
        <v>28</v>
      </c>
      <c r="Z216" s="9">
        <f t="array" ref="Z216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16" s="9">
        <f>SUM(자료실기준[[#This Row],[총류]:[역사]])</f>
        <v>37</v>
      </c>
    </row>
    <row r="217" spans="1:27" x14ac:dyDescent="0.3">
      <c r="A217" s="5">
        <v>45536</v>
      </c>
      <c r="B217" t="s">
        <v>8</v>
      </c>
      <c r="C217" s="5" t="str">
        <f>TEXT(자료실기준[[#This Row],[년월]],"yy년m월")&amp;자료실기준[[#This Row],[소장처명]]</f>
        <v>24년9월어린이실(교과2학년)</v>
      </c>
      <c r="D217" t="str">
        <f>IFERROR(INDEX(자료실범례[],MATCH($B217,자료실범례[소장처명],0),2),"종합자료실")</f>
        <v>어린이자료실</v>
      </c>
      <c r="E217" s="9">
        <f t="array" ref="E217">IFERROR(INDEX(대출자[],MATCH(1,(자료실기준[[#This Row],[소장처명]]=대출자[소장처명])*(자료실기준[[#This Row],[년월]]=대출자[년월]),0),MATCH(E$1,대출자[#Headers],0)),0)</f>
        <v>2</v>
      </c>
      <c r="F217" s="9">
        <f t="array" ref="F217">IFERROR(INDEX(대출자[],MATCH(1,(자료실기준[[#This Row],[소장처명]]=대출자[소장처명])*(자료실기준[[#This Row],[년월]]=대출자[년월]),0),MATCH(F$1,대출자[#Headers],0)),0)</f>
        <v>7</v>
      </c>
      <c r="G217" s="9">
        <f t="array" ref="G217">IFERROR(INDEX(대출자[],MATCH(1,(자료실기준[[#This Row],[소장처명]]=대출자[소장처명])*(자료실기준[[#This Row],[년월]]=대출자[년월]),0),MATCH(G$1,대출자[#Headers],0)),0)</f>
        <v>0</v>
      </c>
      <c r="H217" s="9">
        <f t="array" ref="H217">IFERROR(INDEX(대출자[],MATCH(1,(자료실기준[[#This Row],[소장처명]]=대출자[소장처명])*(자료실기준[[#This Row],[년월]]=대출자[년월]),0),MATCH(H$1,대출자[#Headers],0)),0)</f>
        <v>0</v>
      </c>
      <c r="I217" s="9">
        <f t="array" ref="I217">IFERROR(INDEX(대출자[],MATCH(1,(자료실기준[[#This Row],[소장처명]]=대출자[소장처명])*(자료실기준[[#This Row],[년월]]=대출자[년월]),0),MATCH(I$1,대출자[#Headers],0)),0)</f>
        <v>2</v>
      </c>
      <c r="J217" s="9">
        <f t="array" ref="J217">IFERROR(INDEX(대출자[],MATCH(1,(자료실기준[[#This Row],[소장처명]]=대출자[소장처명])*(자료실기준[[#This Row],[년월]]=대출자[년월]),0),MATCH(J$1,대출자[#Headers],0)),0)</f>
        <v>6</v>
      </c>
      <c r="K217" s="9">
        <f t="array" ref="K217">IFERROR(INDEX(대출자[],MATCH(1,(자료실기준[[#This Row],[소장처명]]=대출자[소장처명])*(자료실기준[[#This Row],[년월]]=대출자[년월]),0),MATCH(K$1,대출자[#Headers],0)),0)</f>
        <v>9</v>
      </c>
      <c r="L217" s="9">
        <f t="array" ref="L217">IFERROR(INDEX(대출자[],MATCH(1,(자료실기준[[#This Row],[소장처명]]=대출자[소장처명])*(자료실기준[[#This Row],[년월]]=대출자[년월]),0),MATCH(L$1,대출자[#Headers],0)),0)</f>
        <v>0</v>
      </c>
      <c r="M217" s="9">
        <f t="array" ref="M217">IFERROR(INDEX(대출자[],MATCH(1,(자료실기준[[#This Row],[소장처명]]=대출자[소장처명])*(자료실기준[[#This Row],[년월]]=대출자[년월]),0),MATCH(M$1,대출자[#Headers],0)),0)</f>
        <v>8</v>
      </c>
      <c r="N217" s="9">
        <f>IFERROR(자료실기준[[#This Row],[어린이남자]]+자료실기준[[#This Row],[청소년남자]]+자료실기준[[#This Row],[성인남자]],0)</f>
        <v>4</v>
      </c>
      <c r="O217" s="9">
        <f>IFERROR(자료실기준[[#This Row],[어린이여자]]+자료실기준[[#This Row],[청소년여자]]+자료실기준[[#This Row],[성인여자]],0)</f>
        <v>13</v>
      </c>
      <c r="P217" s="9">
        <f>IFERROR(자료실기준[[#This Row],[남자]]+자료실기준[[#This Row],[여자]],0)</f>
        <v>17</v>
      </c>
      <c r="Q217" s="9">
        <f t="array" ref="Q217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17" s="9">
        <f t="array" ref="R217">IFERROR(INDEX(대출권수[],MATCH(1,(자료실기준[[#This Row],[소장처명]]=대출권수[소장처명])*(대출권수[대출반납]="대출")*(자료실기준[[#This Row],[년월]]=대출권수[년월]),0),MATCH(R$1,대출권수[#Headers],0)),0)</f>
        <v>2</v>
      </c>
      <c r="S217" s="9">
        <f t="array" ref="S217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17" s="9">
        <f t="array" ref="T217">IFERROR(INDEX(대출권수[],MATCH(1,(자료실기준[[#This Row],[소장처명]]=대출권수[소장처명])*(대출권수[대출반납]="대출")*(자료실기준[[#This Row],[년월]]=대출권수[년월]),0),MATCH(T$1,대출권수[#Headers],0)),0)</f>
        <v>5</v>
      </c>
      <c r="U217" s="9">
        <f t="array" ref="U217">IFERROR(INDEX(대출권수[],MATCH(1,(자료실기준[[#This Row],[소장처명]]=대출권수[소장처명])*(대출권수[대출반납]="대출")*(자료실기준[[#This Row],[년월]]=대출권수[년월]),0),MATCH(U$1,대출권수[#Headers],0)),0)</f>
        <v>2</v>
      </c>
      <c r="V217" s="9">
        <f t="array" ref="V217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17" s="9">
        <f t="array" ref="W217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17" s="9">
        <f t="array" ref="X217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17" s="9">
        <f t="array" ref="Y217">IFERROR(INDEX(대출권수[],MATCH(1,(자료실기준[[#This Row],[소장처명]]=대출권수[소장처명])*(대출권수[대출반납]="대출")*(자료실기준[[#This Row],[년월]]=대출권수[년월]),0),MATCH(Y$1,대출권수[#Headers],0)),0)</f>
        <v>10</v>
      </c>
      <c r="Z217" s="9">
        <f t="array" ref="Z217">IFERROR(INDEX(대출권수[],MATCH(1,(자료실기준[[#This Row],[소장처명]]=대출권수[소장처명])*(대출권수[대출반납]="대출")*(자료실기준[[#This Row],[년월]]=대출권수[년월]),0),MATCH(Z$1,대출권수[#Headers],0)),0)</f>
        <v>1</v>
      </c>
      <c r="AA217" s="9">
        <f>SUM(자료실기준[[#This Row],[총류]:[역사]])</f>
        <v>20</v>
      </c>
    </row>
    <row r="218" spans="1:27" x14ac:dyDescent="0.3">
      <c r="A218" s="5">
        <v>45536</v>
      </c>
      <c r="B218" t="s">
        <v>9</v>
      </c>
      <c r="C218" s="5" t="str">
        <f>TEXT(자료실기준[[#This Row],[년월]],"yy년m월")&amp;자료실기준[[#This Row],[소장처명]]</f>
        <v>24년9월어린이실(교과3학년)</v>
      </c>
      <c r="D218" t="str">
        <f>IFERROR(INDEX(자료실범례[],MATCH($B218,자료실범례[소장처명],0),2),"종합자료실")</f>
        <v>어린이자료실</v>
      </c>
      <c r="E218" s="9">
        <f t="array" ref="E218">IFERROR(INDEX(대출자[],MATCH(1,(자료실기준[[#This Row],[소장처명]]=대출자[소장처명])*(자료실기준[[#This Row],[년월]]=대출자[년월]),0),MATCH(E$1,대출자[#Headers],0)),0)</f>
        <v>4</v>
      </c>
      <c r="F218" s="9">
        <f t="array" ref="F218">IFERROR(INDEX(대출자[],MATCH(1,(자료실기준[[#This Row],[소장처명]]=대출자[소장처명])*(자료실기준[[#This Row],[년월]]=대출자[년월]),0),MATCH(F$1,대출자[#Headers],0)),0)</f>
        <v>2</v>
      </c>
      <c r="G218" s="9">
        <f t="array" ref="G218">IFERROR(INDEX(대출자[],MATCH(1,(자료실기준[[#This Row],[소장처명]]=대출자[소장처명])*(자료실기준[[#This Row],[년월]]=대출자[년월]),0),MATCH(G$1,대출자[#Headers],0)),0)</f>
        <v>0</v>
      </c>
      <c r="H218" s="9">
        <f t="array" ref="H218">IFERROR(INDEX(대출자[],MATCH(1,(자료실기준[[#This Row],[소장처명]]=대출자[소장처명])*(자료실기준[[#This Row],[년월]]=대출자[년월]),0),MATCH(H$1,대출자[#Headers],0)),0)</f>
        <v>0</v>
      </c>
      <c r="I218" s="9">
        <f t="array" ref="I218">IFERROR(INDEX(대출자[],MATCH(1,(자료실기준[[#This Row],[소장처명]]=대출자[소장처명])*(자료실기준[[#This Row],[년월]]=대출자[년월]),0),MATCH(I$1,대출자[#Headers],0)),0)</f>
        <v>2</v>
      </c>
      <c r="J218" s="9">
        <f t="array" ref="J218">IFERROR(INDEX(대출자[],MATCH(1,(자료실기준[[#This Row],[소장처명]]=대출자[소장처명])*(자료실기준[[#This Row],[년월]]=대출자[년월]),0),MATCH(J$1,대출자[#Headers],0)),0)</f>
        <v>1</v>
      </c>
      <c r="K218" s="9">
        <f t="array" ref="K218">IFERROR(INDEX(대출자[],MATCH(1,(자료실기준[[#This Row],[소장처명]]=대출자[소장처명])*(자료실기준[[#This Row],[년월]]=대출자[년월]),0),MATCH(K$1,대출자[#Headers],0)),0)</f>
        <v>6</v>
      </c>
      <c r="L218" s="9">
        <f t="array" ref="L218">IFERROR(INDEX(대출자[],MATCH(1,(자료실기준[[#This Row],[소장처명]]=대출자[소장처명])*(자료실기준[[#This Row],[년월]]=대출자[년월]),0),MATCH(L$1,대출자[#Headers],0)),0)</f>
        <v>0</v>
      </c>
      <c r="M218" s="9">
        <f t="array" ref="M218">IFERROR(INDEX(대출자[],MATCH(1,(자료실기준[[#This Row],[소장처명]]=대출자[소장처명])*(자료실기준[[#This Row],[년월]]=대출자[년월]),0),MATCH(M$1,대출자[#Headers],0)),0)</f>
        <v>3</v>
      </c>
      <c r="N218" s="9">
        <f>IFERROR(자료실기준[[#This Row],[어린이남자]]+자료실기준[[#This Row],[청소년남자]]+자료실기준[[#This Row],[성인남자]],0)</f>
        <v>6</v>
      </c>
      <c r="O218" s="9">
        <f>IFERROR(자료실기준[[#This Row],[어린이여자]]+자료실기준[[#This Row],[청소년여자]]+자료실기준[[#This Row],[성인여자]],0)</f>
        <v>3</v>
      </c>
      <c r="P218" s="9">
        <f>IFERROR(자료실기준[[#This Row],[남자]]+자료실기준[[#This Row],[여자]],0)</f>
        <v>9</v>
      </c>
      <c r="Q218" s="9">
        <f t="array" ref="Q218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18" s="9">
        <f t="array" ref="R218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18" s="9">
        <f t="array" ref="S218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18" s="9">
        <f t="array" ref="T218">IFERROR(INDEX(대출권수[],MATCH(1,(자료실기준[[#This Row],[소장처명]]=대출권수[소장처명])*(대출권수[대출반납]="대출")*(자료실기준[[#This Row],[년월]]=대출권수[년월]),0),MATCH(T$1,대출권수[#Headers],0)),0)</f>
        <v>1</v>
      </c>
      <c r="U218" s="9">
        <f t="array" ref="U218">IFERROR(INDEX(대출권수[],MATCH(1,(자료실기준[[#This Row],[소장처명]]=대출권수[소장처명])*(대출권수[대출반납]="대출")*(자료실기준[[#This Row],[년월]]=대출권수[년월]),0),MATCH(U$1,대출권수[#Headers],0)),0)</f>
        <v>1</v>
      </c>
      <c r="V218" s="9">
        <f t="array" ref="V218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18" s="9">
        <f t="array" ref="W218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18" s="9">
        <f t="array" ref="X218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18" s="9">
        <f t="array" ref="Y218">IFERROR(INDEX(대출권수[],MATCH(1,(자료실기준[[#This Row],[소장처명]]=대출권수[소장처명])*(대출권수[대출반납]="대출")*(자료실기준[[#This Row],[년월]]=대출권수[년월]),0),MATCH(Y$1,대출권수[#Headers],0)),0)</f>
        <v>9</v>
      </c>
      <c r="Z218" s="9">
        <f t="array" ref="Z218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18" s="9">
        <f>SUM(자료실기준[[#This Row],[총류]:[역사]])</f>
        <v>11</v>
      </c>
    </row>
    <row r="219" spans="1:27" x14ac:dyDescent="0.3">
      <c r="A219" s="5">
        <v>45536</v>
      </c>
      <c r="B219" t="s">
        <v>10</v>
      </c>
      <c r="C219" s="5" t="str">
        <f>TEXT(자료실기준[[#This Row],[년월]],"yy년m월")&amp;자료실기준[[#This Row],[소장처명]]</f>
        <v>24년9월어린이실(교과4학년)</v>
      </c>
      <c r="D219" t="str">
        <f>IFERROR(INDEX(자료실범례[],MATCH($B219,자료실범례[소장처명],0),2),"종합자료실")</f>
        <v>어린이자료실</v>
      </c>
      <c r="E219" s="9">
        <f t="array" ref="E219">IFERROR(INDEX(대출자[],MATCH(1,(자료실기준[[#This Row],[소장처명]]=대출자[소장처명])*(자료실기준[[#This Row],[년월]]=대출자[년월]),0),MATCH(E$1,대출자[#Headers],0)),0)</f>
        <v>3</v>
      </c>
      <c r="F219" s="9">
        <f t="array" ref="F219">IFERROR(INDEX(대출자[],MATCH(1,(자료실기준[[#This Row],[소장처명]]=대출자[소장처명])*(자료실기준[[#This Row],[년월]]=대출자[년월]),0),MATCH(F$1,대출자[#Headers],0)),0)</f>
        <v>1</v>
      </c>
      <c r="G219" s="9">
        <f t="array" ref="G219">IFERROR(INDEX(대출자[],MATCH(1,(자료실기준[[#This Row],[소장처명]]=대출자[소장처명])*(자료실기준[[#This Row],[년월]]=대출자[년월]),0),MATCH(G$1,대출자[#Headers],0)),0)</f>
        <v>0</v>
      </c>
      <c r="H219" s="9">
        <f t="array" ref="H219">IFERROR(INDEX(대출자[],MATCH(1,(자료실기준[[#This Row],[소장처명]]=대출자[소장처명])*(자료실기준[[#This Row],[년월]]=대출자[년월]),0),MATCH(H$1,대출자[#Headers],0)),0)</f>
        <v>0</v>
      </c>
      <c r="I219" s="9">
        <f t="array" ref="I219">IFERROR(INDEX(대출자[],MATCH(1,(자료실기준[[#This Row],[소장처명]]=대출자[소장처명])*(자료실기준[[#This Row],[년월]]=대출자[년월]),0),MATCH(I$1,대출자[#Headers],0)),0)</f>
        <v>0</v>
      </c>
      <c r="J219" s="9">
        <f t="array" ref="J219">IFERROR(INDEX(대출자[],MATCH(1,(자료실기준[[#This Row],[소장처명]]=대출자[소장처명])*(자료실기준[[#This Row],[년월]]=대출자[년월]),0),MATCH(J$1,대출자[#Headers],0)),0)</f>
        <v>2</v>
      </c>
      <c r="K219" s="9">
        <f t="array" ref="K219">IFERROR(INDEX(대출자[],MATCH(1,(자료실기준[[#This Row],[소장처명]]=대출자[소장처명])*(자료실기준[[#This Row],[년월]]=대출자[년월]),0),MATCH(K$1,대출자[#Headers],0)),0)</f>
        <v>4</v>
      </c>
      <c r="L219" s="9">
        <f t="array" ref="L219">IFERROR(INDEX(대출자[],MATCH(1,(자료실기준[[#This Row],[소장처명]]=대출자[소장처명])*(자료실기준[[#This Row],[년월]]=대출자[년월]),0),MATCH(L$1,대출자[#Headers],0)),0)</f>
        <v>0</v>
      </c>
      <c r="M219" s="9">
        <f t="array" ref="M219">IFERROR(INDEX(대출자[],MATCH(1,(자료실기준[[#This Row],[소장처명]]=대출자[소장처명])*(자료실기준[[#This Row],[년월]]=대출자[년월]),0),MATCH(M$1,대출자[#Headers],0)),0)</f>
        <v>2</v>
      </c>
      <c r="N219" s="9">
        <f>IFERROR(자료실기준[[#This Row],[어린이남자]]+자료실기준[[#This Row],[청소년남자]]+자료실기준[[#This Row],[성인남자]],0)</f>
        <v>3</v>
      </c>
      <c r="O219" s="9">
        <f>IFERROR(자료실기준[[#This Row],[어린이여자]]+자료실기준[[#This Row],[청소년여자]]+자료실기준[[#This Row],[성인여자]],0)</f>
        <v>3</v>
      </c>
      <c r="P219" s="9">
        <f>IFERROR(자료실기준[[#This Row],[남자]]+자료실기준[[#This Row],[여자]],0)</f>
        <v>6</v>
      </c>
      <c r="Q219" s="9">
        <f t="array" ref="Q219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19" s="9">
        <f t="array" ref="R219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19" s="9">
        <f t="array" ref="S219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19" s="9">
        <f t="array" ref="T219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19" s="9">
        <f t="array" ref="U219">IFERROR(INDEX(대출권수[],MATCH(1,(자료실기준[[#This Row],[소장처명]]=대출권수[소장처명])*(대출권수[대출반납]="대출")*(자료실기준[[#This Row],[년월]]=대출권수[년월]),0),MATCH(U$1,대출권수[#Headers],0)),0)</f>
        <v>4</v>
      </c>
      <c r="V219" s="9">
        <f t="array" ref="V219">IFERROR(INDEX(대출권수[],MATCH(1,(자료실기준[[#This Row],[소장처명]]=대출권수[소장처명])*(대출권수[대출반납]="대출")*(자료실기준[[#This Row],[년월]]=대출권수[년월]),0),MATCH(V$1,대출권수[#Headers],0)),0)</f>
        <v>1</v>
      </c>
      <c r="W219" s="9">
        <f t="array" ref="W219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19" s="9">
        <f t="array" ref="X219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19" s="9">
        <f t="array" ref="Y219">IFERROR(INDEX(대출권수[],MATCH(1,(자료실기준[[#This Row],[소장처명]]=대출권수[소장처명])*(대출권수[대출반납]="대출")*(자료실기준[[#This Row],[년월]]=대출권수[년월]),0),MATCH(Y$1,대출권수[#Headers],0)),0)</f>
        <v>4</v>
      </c>
      <c r="Z219" s="9">
        <f t="array" ref="Z219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19" s="9">
        <f>SUM(자료실기준[[#This Row],[총류]:[역사]])</f>
        <v>9</v>
      </c>
    </row>
    <row r="220" spans="1:27" x14ac:dyDescent="0.3">
      <c r="A220" s="5">
        <v>45536</v>
      </c>
      <c r="B220" t="s">
        <v>11</v>
      </c>
      <c r="C220" s="5" t="str">
        <f>TEXT(자료실기준[[#This Row],[년월]],"yy년m월")&amp;자료실기준[[#This Row],[소장처명]]</f>
        <v>24년9월어린이실(교과5학년)</v>
      </c>
      <c r="D220" t="str">
        <f>IFERROR(INDEX(자료실범례[],MATCH($B220,자료실범례[소장처명],0),2),"종합자료실")</f>
        <v>어린이자료실</v>
      </c>
      <c r="E220" s="9">
        <f t="array" ref="E220">IFERROR(INDEX(대출자[],MATCH(1,(자료실기준[[#This Row],[소장처명]]=대출자[소장처명])*(자료실기준[[#This Row],[년월]]=대출자[년월]),0),MATCH(E$1,대출자[#Headers],0)),0)</f>
        <v>2</v>
      </c>
      <c r="F220" s="9">
        <f t="array" ref="F220">IFERROR(INDEX(대출자[],MATCH(1,(자료실기준[[#This Row],[소장처명]]=대출자[소장처명])*(자료실기준[[#This Row],[년월]]=대출자[년월]),0),MATCH(F$1,대출자[#Headers],0)),0)</f>
        <v>1</v>
      </c>
      <c r="G220" s="9">
        <f t="array" ref="G220">IFERROR(INDEX(대출자[],MATCH(1,(자료실기준[[#This Row],[소장처명]]=대출자[소장처명])*(자료실기준[[#This Row],[년월]]=대출자[년월]),0),MATCH(G$1,대출자[#Headers],0)),0)</f>
        <v>0</v>
      </c>
      <c r="H220" s="9">
        <f t="array" ref="H220">IFERROR(INDEX(대출자[],MATCH(1,(자료실기준[[#This Row],[소장처명]]=대출자[소장처명])*(자료실기준[[#This Row],[년월]]=대출자[년월]),0),MATCH(H$1,대출자[#Headers],0)),0)</f>
        <v>0</v>
      </c>
      <c r="I220" s="9">
        <f t="array" ref="I220">IFERROR(INDEX(대출자[],MATCH(1,(자료실기준[[#This Row],[소장처명]]=대출자[소장처명])*(자료실기준[[#This Row],[년월]]=대출자[년월]),0),MATCH(I$1,대출자[#Headers],0)),0)</f>
        <v>2</v>
      </c>
      <c r="J220" s="9">
        <f t="array" ref="J220">IFERROR(INDEX(대출자[],MATCH(1,(자료실기준[[#This Row],[소장처명]]=대출자[소장처명])*(자료실기준[[#This Row],[년월]]=대출자[년월]),0),MATCH(J$1,대출자[#Headers],0)),0)</f>
        <v>3</v>
      </c>
      <c r="K220" s="9">
        <f t="array" ref="K220">IFERROR(INDEX(대출자[],MATCH(1,(자료실기준[[#This Row],[소장처명]]=대출자[소장처명])*(자료실기준[[#This Row],[년월]]=대출자[년월]),0),MATCH(K$1,대출자[#Headers],0)),0)</f>
        <v>3</v>
      </c>
      <c r="L220" s="9">
        <f t="array" ref="L220">IFERROR(INDEX(대출자[],MATCH(1,(자료실기준[[#This Row],[소장처명]]=대출자[소장처명])*(자료실기준[[#This Row],[년월]]=대출자[년월]),0),MATCH(L$1,대출자[#Headers],0)),0)</f>
        <v>0</v>
      </c>
      <c r="M220" s="9">
        <f t="array" ref="M220">IFERROR(INDEX(대출자[],MATCH(1,(자료실기준[[#This Row],[소장처명]]=대출자[소장처명])*(자료실기준[[#This Row],[년월]]=대출자[년월]),0),MATCH(M$1,대출자[#Headers],0)),0)</f>
        <v>5</v>
      </c>
      <c r="N220" s="9">
        <f>IFERROR(자료실기준[[#This Row],[어린이남자]]+자료실기준[[#This Row],[청소년남자]]+자료실기준[[#This Row],[성인남자]],0)</f>
        <v>4</v>
      </c>
      <c r="O220" s="9">
        <f>IFERROR(자료실기준[[#This Row],[어린이여자]]+자료실기준[[#This Row],[청소년여자]]+자료실기준[[#This Row],[성인여자]],0)</f>
        <v>4</v>
      </c>
      <c r="P220" s="9">
        <f>IFERROR(자료실기준[[#This Row],[남자]]+자료실기준[[#This Row],[여자]],0)</f>
        <v>8</v>
      </c>
      <c r="Q220" s="9">
        <f t="array" ref="Q220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20" s="9">
        <f t="array" ref="R220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20" s="9">
        <f t="array" ref="S220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20" s="9">
        <f t="array" ref="T220">IFERROR(INDEX(대출권수[],MATCH(1,(자료실기준[[#This Row],[소장처명]]=대출권수[소장처명])*(대출권수[대출반납]="대출")*(자료실기준[[#This Row],[년월]]=대출권수[년월]),0),MATCH(T$1,대출권수[#Headers],0)),0)</f>
        <v>1</v>
      </c>
      <c r="U220" s="9">
        <f t="array" ref="U220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20" s="9">
        <f t="array" ref="V220">IFERROR(INDEX(대출권수[],MATCH(1,(자료실기준[[#This Row],[소장처명]]=대출권수[소장처명])*(대출권수[대출반납]="대출")*(자료실기준[[#This Row],[년월]]=대출권수[년월]),0),MATCH(V$1,대출권수[#Headers],0)),0)</f>
        <v>1</v>
      </c>
      <c r="W220" s="9">
        <f t="array" ref="W220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20" s="9">
        <f t="array" ref="X220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20" s="9">
        <f t="array" ref="Y220">IFERROR(INDEX(대출권수[],MATCH(1,(자료실기준[[#This Row],[소장처명]]=대출권수[소장처명])*(대출권수[대출반납]="대출")*(자료실기준[[#This Row],[년월]]=대출권수[년월]),0),MATCH(Y$1,대출권수[#Headers],0)),0)</f>
        <v>12</v>
      </c>
      <c r="Z220" s="9">
        <f t="array" ref="Z220">IFERROR(INDEX(대출권수[],MATCH(1,(자료실기준[[#This Row],[소장처명]]=대출권수[소장처명])*(대출권수[대출반납]="대출")*(자료실기준[[#This Row],[년월]]=대출권수[년월]),0),MATCH(Z$1,대출권수[#Headers],0)),0)</f>
        <v>5</v>
      </c>
      <c r="AA220" s="9">
        <f>SUM(자료실기준[[#This Row],[총류]:[역사]])</f>
        <v>19</v>
      </c>
    </row>
    <row r="221" spans="1:27" x14ac:dyDescent="0.3">
      <c r="A221" s="5">
        <v>45536</v>
      </c>
      <c r="B221" t="s">
        <v>12</v>
      </c>
      <c r="C221" s="5" t="str">
        <f>TEXT(자료실기준[[#This Row],[년월]],"yy년m월")&amp;자료실기준[[#This Row],[소장처명]]</f>
        <v>24년9월어린이실(교과6학년)</v>
      </c>
      <c r="D221" t="str">
        <f>IFERROR(INDEX(자료실범례[],MATCH($B221,자료실범례[소장처명],0),2),"종합자료실")</f>
        <v>어린이자료실</v>
      </c>
      <c r="E221" s="9">
        <f t="array" ref="E221">IFERROR(INDEX(대출자[],MATCH(1,(자료실기준[[#This Row],[소장처명]]=대출자[소장처명])*(자료실기준[[#This Row],[년월]]=대출자[년월]),0),MATCH(E$1,대출자[#Headers],0)),0)</f>
        <v>0</v>
      </c>
      <c r="F221" s="9">
        <f t="array" ref="F221">IFERROR(INDEX(대출자[],MATCH(1,(자료실기준[[#This Row],[소장처명]]=대출자[소장처명])*(자료실기준[[#This Row],[년월]]=대출자[년월]),0),MATCH(F$1,대출자[#Headers],0)),0)</f>
        <v>1</v>
      </c>
      <c r="G221" s="9">
        <f t="array" ref="G221">IFERROR(INDEX(대출자[],MATCH(1,(자료실기준[[#This Row],[소장처명]]=대출자[소장처명])*(자료실기준[[#This Row],[년월]]=대출자[년월]),0),MATCH(G$1,대출자[#Headers],0)),0)</f>
        <v>0</v>
      </c>
      <c r="H221" s="9">
        <f t="array" ref="H221">IFERROR(INDEX(대출자[],MATCH(1,(자료실기준[[#This Row],[소장처명]]=대출자[소장처명])*(자료실기준[[#This Row],[년월]]=대출자[년월]),0),MATCH(H$1,대출자[#Headers],0)),0)</f>
        <v>0</v>
      </c>
      <c r="I221" s="9">
        <f t="array" ref="I221">IFERROR(INDEX(대출자[],MATCH(1,(자료실기준[[#This Row],[소장처명]]=대출자[소장처명])*(자료실기준[[#This Row],[년월]]=대출자[년월]),0),MATCH(I$1,대출자[#Headers],0)),0)</f>
        <v>0</v>
      </c>
      <c r="J221" s="9">
        <f t="array" ref="J221">IFERROR(INDEX(대출자[],MATCH(1,(자료실기준[[#This Row],[소장처명]]=대출자[소장처명])*(자료실기준[[#This Row],[년월]]=대출자[년월]),0),MATCH(J$1,대출자[#Headers],0)),0)</f>
        <v>0</v>
      </c>
      <c r="K221" s="9">
        <f t="array" ref="K221">IFERROR(INDEX(대출자[],MATCH(1,(자료실기준[[#This Row],[소장처명]]=대출자[소장처명])*(자료실기준[[#This Row],[년월]]=대출자[년월]),0),MATCH(K$1,대출자[#Headers],0)),0)</f>
        <v>1</v>
      </c>
      <c r="L221" s="9">
        <f t="array" ref="L221">IFERROR(INDEX(대출자[],MATCH(1,(자료실기준[[#This Row],[소장처명]]=대출자[소장처명])*(자료실기준[[#This Row],[년월]]=대출자[년월]),0),MATCH(L$1,대출자[#Headers],0)),0)</f>
        <v>0</v>
      </c>
      <c r="M221" s="9">
        <f t="array" ref="M221">IFERROR(INDEX(대출자[],MATCH(1,(자료실기준[[#This Row],[소장처명]]=대출자[소장처명])*(자료실기준[[#This Row],[년월]]=대출자[년월]),0),MATCH(M$1,대출자[#Headers],0)),0)</f>
        <v>0</v>
      </c>
      <c r="N221" s="9">
        <f>IFERROR(자료실기준[[#This Row],[어린이남자]]+자료실기준[[#This Row],[청소년남자]]+자료실기준[[#This Row],[성인남자]],0)</f>
        <v>0</v>
      </c>
      <c r="O221" s="9">
        <f>IFERROR(자료실기준[[#This Row],[어린이여자]]+자료실기준[[#This Row],[청소년여자]]+자료실기준[[#This Row],[성인여자]],0)</f>
        <v>1</v>
      </c>
      <c r="P221" s="9">
        <f>IFERROR(자료실기준[[#This Row],[남자]]+자료실기준[[#This Row],[여자]],0)</f>
        <v>1</v>
      </c>
      <c r="Q221" s="9">
        <f t="array" ref="Q221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21" s="9">
        <f t="array" ref="R221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21" s="9">
        <f t="array" ref="S221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21" s="9">
        <f t="array" ref="T221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21" s="9">
        <f t="array" ref="U221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21" s="9">
        <f t="array" ref="V221">IFERROR(INDEX(대출권수[],MATCH(1,(자료실기준[[#This Row],[소장처명]]=대출권수[소장처명])*(대출권수[대출반납]="대출")*(자료실기준[[#This Row],[년월]]=대출권수[년월]),0),MATCH(V$1,대출권수[#Headers],0)),0)</f>
        <v>1</v>
      </c>
      <c r="W221" s="9">
        <f t="array" ref="W221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21" s="9">
        <f t="array" ref="X221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21" s="9">
        <f t="array" ref="Y221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221" s="9">
        <f t="array" ref="Z221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21" s="9">
        <f>SUM(자료실기준[[#This Row],[총류]:[역사]])</f>
        <v>1</v>
      </c>
    </row>
    <row r="222" spans="1:27" x14ac:dyDescent="0.3">
      <c r="A222" s="5">
        <v>45536</v>
      </c>
      <c r="B222" t="s">
        <v>0</v>
      </c>
      <c r="C222" s="5" t="str">
        <f>TEXT(자료실기준[[#This Row],[년월]],"yy년m월")&amp;자료실기준[[#This Row],[소장처명]]</f>
        <v>24년9월다문화자료실</v>
      </c>
      <c r="D222" t="str">
        <f>IFERROR(INDEX(자료실범례[],MATCH($B222,자료실범례[소장처명],0),2),"종합자료실")</f>
        <v>어린이자료실</v>
      </c>
      <c r="E222" s="9">
        <f t="array" ref="E222">IFERROR(INDEX(대출자[],MATCH(1,(자료실기준[[#This Row],[소장처명]]=대출자[소장처명])*(자료실기준[[#This Row],[년월]]=대출자[년월]),0),MATCH(E$1,대출자[#Headers],0)),0)</f>
        <v>3</v>
      </c>
      <c r="F222" s="9">
        <f t="array" ref="F222">IFERROR(INDEX(대출자[],MATCH(1,(자료실기준[[#This Row],[소장처명]]=대출자[소장처명])*(자료실기준[[#This Row],[년월]]=대출자[년월]),0),MATCH(F$1,대출자[#Headers],0)),0)</f>
        <v>0</v>
      </c>
      <c r="G222" s="9">
        <f t="array" ref="G222">IFERROR(INDEX(대출자[],MATCH(1,(자료실기준[[#This Row],[소장처명]]=대출자[소장처명])*(자료실기준[[#This Row],[년월]]=대출자[년월]),0),MATCH(G$1,대출자[#Headers],0)),0)</f>
        <v>0</v>
      </c>
      <c r="H222" s="9">
        <f t="array" ref="H222">IFERROR(INDEX(대출자[],MATCH(1,(자료실기준[[#This Row],[소장처명]]=대출자[소장처명])*(자료실기준[[#This Row],[년월]]=대출자[년월]),0),MATCH(H$1,대출자[#Headers],0)),0)</f>
        <v>0</v>
      </c>
      <c r="I222" s="9">
        <f t="array" ref="I222">IFERROR(INDEX(대출자[],MATCH(1,(자료실기준[[#This Row],[소장처명]]=대출자[소장처명])*(자료실기준[[#This Row],[년월]]=대출자[년월]),0),MATCH(I$1,대출자[#Headers],0)),0)</f>
        <v>1</v>
      </c>
      <c r="J222" s="9">
        <f t="array" ref="J222">IFERROR(INDEX(대출자[],MATCH(1,(자료실기준[[#This Row],[소장처명]]=대출자[소장처명])*(자료실기준[[#This Row],[년월]]=대출자[년월]),0),MATCH(J$1,대출자[#Headers],0)),0)</f>
        <v>6</v>
      </c>
      <c r="K222" s="9">
        <f t="array" ref="K222">IFERROR(INDEX(대출자[],MATCH(1,(자료실기준[[#This Row],[소장처명]]=대출자[소장처명])*(자료실기준[[#This Row],[년월]]=대출자[년월]),0),MATCH(K$1,대출자[#Headers],0)),0)</f>
        <v>3</v>
      </c>
      <c r="L222" s="9">
        <f t="array" ref="L222">IFERROR(INDEX(대출자[],MATCH(1,(자료실기준[[#This Row],[소장처명]]=대출자[소장처명])*(자료실기준[[#This Row],[년월]]=대출자[년월]),0),MATCH(L$1,대출자[#Headers],0)),0)</f>
        <v>0</v>
      </c>
      <c r="M222" s="9">
        <f t="array" ref="M222">IFERROR(INDEX(대출자[],MATCH(1,(자료실기준[[#This Row],[소장처명]]=대출자[소장처명])*(자료실기준[[#This Row],[년월]]=대출자[년월]),0),MATCH(M$1,대출자[#Headers],0)),0)</f>
        <v>7</v>
      </c>
      <c r="N222" s="9">
        <f>IFERROR(자료실기준[[#This Row],[어린이남자]]+자료실기준[[#This Row],[청소년남자]]+자료실기준[[#This Row],[성인남자]],0)</f>
        <v>4</v>
      </c>
      <c r="O222" s="9">
        <f>IFERROR(자료실기준[[#This Row],[어린이여자]]+자료실기준[[#This Row],[청소년여자]]+자료실기준[[#This Row],[성인여자]],0)</f>
        <v>6</v>
      </c>
      <c r="P222" s="9">
        <f>IFERROR(자료실기준[[#This Row],[남자]]+자료실기준[[#This Row],[여자]],0)</f>
        <v>10</v>
      </c>
      <c r="Q222" s="9">
        <f t="array" ref="Q222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22" s="9">
        <f t="array" ref="R222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22" s="9">
        <f t="array" ref="S222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22" s="9">
        <f t="array" ref="T222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22" s="9">
        <f t="array" ref="U222">IFERROR(INDEX(대출권수[],MATCH(1,(자료실기준[[#This Row],[소장처명]]=대출권수[소장처명])*(대출권수[대출반납]="대출")*(자료실기준[[#This Row],[년월]]=대출권수[년월]),0),MATCH(U$1,대출권수[#Headers],0)),0)</f>
        <v>1</v>
      </c>
      <c r="V222" s="9">
        <f t="array" ref="V222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22" s="9">
        <f t="array" ref="W222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22" s="9">
        <f t="array" ref="X222">IFERROR(INDEX(대출권수[],MATCH(1,(자료실기준[[#This Row],[소장처명]]=대출권수[소장처명])*(대출권수[대출반납]="대출")*(자료실기준[[#This Row],[년월]]=대출권수[년월]),0),MATCH(X$1,대출권수[#Headers],0)),0)</f>
        <v>10</v>
      </c>
      <c r="Y222" s="9">
        <f t="array" ref="Y222">IFERROR(INDEX(대출권수[],MATCH(1,(자료실기준[[#This Row],[소장처명]]=대출권수[소장처명])*(대출권수[대출반납]="대출")*(자료실기준[[#This Row],[년월]]=대출권수[년월]),0),MATCH(Y$1,대출권수[#Headers],0)),0)</f>
        <v>18</v>
      </c>
      <c r="Z222" s="9">
        <f t="array" ref="Z222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22" s="9">
        <f>SUM(자료실기준[[#This Row],[총류]:[역사]])</f>
        <v>29</v>
      </c>
    </row>
    <row r="223" spans="1:27" x14ac:dyDescent="0.3">
      <c r="A223" s="5">
        <v>45536</v>
      </c>
      <c r="B223" t="s">
        <v>1</v>
      </c>
      <c r="C223" s="5" t="str">
        <f>TEXT(자료실기준[[#This Row],[년월]],"yy년m월")&amp;자료실기준[[#This Row],[소장처명]]</f>
        <v>24년9월다문화자료실(영어유아)</v>
      </c>
      <c r="D223" t="str">
        <f>IFERROR(INDEX(자료실범례[],MATCH($B223,자료실범례[소장처명],0),2),"종합자료실")</f>
        <v>어린이자료실</v>
      </c>
      <c r="E223" s="9">
        <f t="array" ref="E223">IFERROR(INDEX(대출자[],MATCH(1,(자료실기준[[#This Row],[소장처명]]=대출자[소장처명])*(자료실기준[[#This Row],[년월]]=대출자[년월]),0),MATCH(E$1,대출자[#Headers],0)),0)</f>
        <v>1</v>
      </c>
      <c r="F223" s="9">
        <f t="array" ref="F223">IFERROR(INDEX(대출자[],MATCH(1,(자료실기준[[#This Row],[소장처명]]=대출자[소장처명])*(자료실기준[[#This Row],[년월]]=대출자[년월]),0),MATCH(F$1,대출자[#Headers],0)),0)</f>
        <v>1</v>
      </c>
      <c r="G223" s="9">
        <f t="array" ref="G223">IFERROR(INDEX(대출자[],MATCH(1,(자료실기준[[#This Row],[소장처명]]=대출자[소장처명])*(자료실기준[[#This Row],[년월]]=대출자[년월]),0),MATCH(G$1,대출자[#Headers],0)),0)</f>
        <v>0</v>
      </c>
      <c r="H223" s="9">
        <f t="array" ref="H223">IFERROR(INDEX(대출자[],MATCH(1,(자료실기준[[#This Row],[소장처명]]=대출자[소장처명])*(자료실기준[[#This Row],[년월]]=대출자[년월]),0),MATCH(H$1,대출자[#Headers],0)),0)</f>
        <v>0</v>
      </c>
      <c r="I223" s="9">
        <f t="array" ref="I223">IFERROR(INDEX(대출자[],MATCH(1,(자료실기준[[#This Row],[소장처명]]=대출자[소장처명])*(자료실기준[[#This Row],[년월]]=대출자[년월]),0),MATCH(I$1,대출자[#Headers],0)),0)</f>
        <v>0</v>
      </c>
      <c r="J223" s="9">
        <f t="array" ref="J223">IFERROR(INDEX(대출자[],MATCH(1,(자료실기준[[#This Row],[소장처명]]=대출자[소장처명])*(자료실기준[[#This Row],[년월]]=대출자[년월]),0),MATCH(J$1,대출자[#Headers],0)),0)</f>
        <v>2</v>
      </c>
      <c r="K223" s="9">
        <f t="array" ref="K223">IFERROR(INDEX(대출자[],MATCH(1,(자료실기준[[#This Row],[소장처명]]=대출자[소장처명])*(자료실기준[[#This Row],[년월]]=대출자[년월]),0),MATCH(K$1,대출자[#Headers],0)),0)</f>
        <v>2</v>
      </c>
      <c r="L223" s="9">
        <f t="array" ref="L223">IFERROR(INDEX(대출자[],MATCH(1,(자료실기준[[#This Row],[소장처명]]=대출자[소장처명])*(자료실기준[[#This Row],[년월]]=대출자[년월]),0),MATCH(L$1,대출자[#Headers],0)),0)</f>
        <v>0</v>
      </c>
      <c r="M223" s="9">
        <f t="array" ref="M223">IFERROR(INDEX(대출자[],MATCH(1,(자료실기준[[#This Row],[소장처명]]=대출자[소장처명])*(자료실기준[[#This Row],[년월]]=대출자[년월]),0),MATCH(M$1,대출자[#Headers],0)),0)</f>
        <v>2</v>
      </c>
      <c r="N223" s="9">
        <f>IFERROR(자료실기준[[#This Row],[어린이남자]]+자료실기준[[#This Row],[청소년남자]]+자료실기준[[#This Row],[성인남자]],0)</f>
        <v>1</v>
      </c>
      <c r="O223" s="9">
        <f>IFERROR(자료실기준[[#This Row],[어린이여자]]+자료실기준[[#This Row],[청소년여자]]+자료실기준[[#This Row],[성인여자]],0)</f>
        <v>3</v>
      </c>
      <c r="P223" s="9">
        <f>IFERROR(자료실기준[[#This Row],[남자]]+자료실기준[[#This Row],[여자]],0)</f>
        <v>4</v>
      </c>
      <c r="Q223" s="9">
        <f t="array" ref="Q223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23" s="9">
        <f t="array" ref="R223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23" s="9">
        <f t="array" ref="S223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23" s="9">
        <f t="array" ref="T223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23" s="9">
        <f t="array" ref="U223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23" s="9">
        <f t="array" ref="V223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23" s="9">
        <f t="array" ref="W223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23" s="9">
        <f t="array" ref="X223">IFERROR(INDEX(대출권수[],MATCH(1,(자료실기준[[#This Row],[소장처명]]=대출권수[소장처명])*(대출권수[대출반납]="대출")*(자료실기준[[#This Row],[년월]]=대출권수[년월]),0),MATCH(X$1,대출권수[#Headers],0)),0)</f>
        <v>33</v>
      </c>
      <c r="Y223" s="9">
        <f t="array" ref="Y223">IFERROR(INDEX(대출권수[],MATCH(1,(자료실기준[[#This Row],[소장처명]]=대출권수[소장처명])*(대출권수[대출반납]="대출")*(자료실기준[[#This Row],[년월]]=대출권수[년월]),0),MATCH(Y$1,대출권수[#Headers],0)),0)</f>
        <v>4</v>
      </c>
      <c r="Z223" s="9">
        <f t="array" ref="Z223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23" s="9">
        <f>SUM(자료실기준[[#This Row],[총류]:[역사]])</f>
        <v>37</v>
      </c>
    </row>
    <row r="224" spans="1:27" x14ac:dyDescent="0.3">
      <c r="A224" s="5">
        <v>45536</v>
      </c>
      <c r="B224" t="s">
        <v>6</v>
      </c>
      <c r="C224" s="5" t="str">
        <f>TEXT(자료실기준[[#This Row],[년월]],"yy년m월")&amp;자료실기준[[#This Row],[소장처명]]</f>
        <v>24년9월스마트도서관</v>
      </c>
      <c r="D224" t="str">
        <f>IFERROR(INDEX(자료실범례[],MATCH($B224,자료실범례[소장처명],0),2),"종합자료실")</f>
        <v>종합자료실</v>
      </c>
      <c r="E224" s="9">
        <f t="array" ref="E224">IFERROR(INDEX(대출자[],MATCH(1,(자료실기준[[#This Row],[소장처명]]=대출자[소장처명])*(자료실기준[[#This Row],[년월]]=대출자[년월]),0),MATCH(E$1,대출자[#Headers],0)),0)</f>
        <v>1</v>
      </c>
      <c r="F224" s="9">
        <f t="array" ref="F224">IFERROR(INDEX(대출자[],MATCH(1,(자료실기준[[#This Row],[소장처명]]=대출자[소장처명])*(자료실기준[[#This Row],[년월]]=대출자[년월]),0),MATCH(F$1,대출자[#Headers],0)),0)</f>
        <v>0</v>
      </c>
      <c r="G224" s="9">
        <f t="array" ref="G224">IFERROR(INDEX(대출자[],MATCH(1,(자료실기준[[#This Row],[소장처명]]=대출자[소장처명])*(자료실기준[[#This Row],[년월]]=대출자[년월]),0),MATCH(G$1,대출자[#Headers],0)),0)</f>
        <v>0</v>
      </c>
      <c r="H224" s="9">
        <f t="array" ref="H224">IFERROR(INDEX(대출자[],MATCH(1,(자료실기준[[#This Row],[소장처명]]=대출자[소장처명])*(자료실기준[[#This Row],[년월]]=대출자[년월]),0),MATCH(H$1,대출자[#Headers],0)),0)</f>
        <v>3</v>
      </c>
      <c r="I224" s="9">
        <f t="array" ref="I224">IFERROR(INDEX(대출자[],MATCH(1,(자료실기준[[#This Row],[소장처명]]=대출자[소장처명])*(자료실기준[[#This Row],[년월]]=대출자[년월]),0),MATCH(I$1,대출자[#Headers],0)),0)</f>
        <v>6</v>
      </c>
      <c r="J224" s="9">
        <f t="array" ref="J224">IFERROR(INDEX(대출자[],MATCH(1,(자료실기준[[#This Row],[소장처명]]=대출자[소장처명])*(자료실기준[[#This Row],[년월]]=대출자[년월]),0),MATCH(J$1,대출자[#Headers],0)),0)</f>
        <v>7</v>
      </c>
      <c r="K224" s="9">
        <f t="array" ref="K224">IFERROR(INDEX(대출자[],MATCH(1,(자료실기준[[#This Row],[소장처명]]=대출자[소장처명])*(자료실기준[[#This Row],[년월]]=대출자[년월]),0),MATCH(K$1,대출자[#Headers],0)),0)</f>
        <v>1</v>
      </c>
      <c r="L224" s="9">
        <f t="array" ref="L224">IFERROR(INDEX(대출자[],MATCH(1,(자료실기준[[#This Row],[소장처명]]=대출자[소장처명])*(자료실기준[[#This Row],[년월]]=대출자[년월]),0),MATCH(L$1,대출자[#Headers],0)),0)</f>
        <v>3</v>
      </c>
      <c r="M224" s="9">
        <f t="array" ref="M224">IFERROR(INDEX(대출자[],MATCH(1,(자료실기준[[#This Row],[소장처명]]=대출자[소장처명])*(자료실기준[[#This Row],[년월]]=대출자[년월]),0),MATCH(M$1,대출자[#Headers],0)),0)</f>
        <v>13</v>
      </c>
      <c r="N224" s="9">
        <f>IFERROR(자료실기준[[#This Row],[어린이남자]]+자료실기준[[#This Row],[청소년남자]]+자료실기준[[#This Row],[성인남자]],0)</f>
        <v>7</v>
      </c>
      <c r="O224" s="9">
        <f>IFERROR(자료실기준[[#This Row],[어린이여자]]+자료실기준[[#This Row],[청소년여자]]+자료실기준[[#This Row],[성인여자]],0)</f>
        <v>10</v>
      </c>
      <c r="P224" s="9">
        <f>IFERROR(자료실기준[[#This Row],[남자]]+자료실기준[[#This Row],[여자]],0)</f>
        <v>17</v>
      </c>
      <c r="Q224" s="9">
        <f t="array" ref="Q224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24" s="9">
        <f t="array" ref="R224">IFERROR(INDEX(대출권수[],MATCH(1,(자료실기준[[#This Row],[소장처명]]=대출권수[소장처명])*(대출권수[대출반납]="대출")*(자료실기준[[#This Row],[년월]]=대출권수[년월]),0),MATCH(R$1,대출권수[#Headers],0)),0)</f>
        <v>2</v>
      </c>
      <c r="S224" s="9">
        <f t="array" ref="S224">IFERROR(INDEX(대출권수[],MATCH(1,(자료실기준[[#This Row],[소장처명]]=대출권수[소장처명])*(대출권수[대출반납]="대출")*(자료실기준[[#This Row],[년월]]=대출권수[년월]),0),MATCH(S$1,대출권수[#Headers],0)),0)</f>
        <v>2</v>
      </c>
      <c r="T224" s="9">
        <f t="array" ref="T224">IFERROR(INDEX(대출권수[],MATCH(1,(자료실기준[[#This Row],[소장처명]]=대출권수[소장처명])*(대출권수[대출반납]="대출")*(자료실기준[[#This Row],[년월]]=대출권수[년월]),0),MATCH(T$1,대출권수[#Headers],0)),0)</f>
        <v>2</v>
      </c>
      <c r="U224" s="9">
        <f t="array" ref="U224">IFERROR(INDEX(대출권수[],MATCH(1,(자료실기준[[#This Row],[소장처명]]=대출권수[소장처명])*(대출권수[대출반납]="대출")*(자료실기준[[#This Row],[년월]]=대출권수[년월]),0),MATCH(U$1,대출권수[#Headers],0)),0)</f>
        <v>2</v>
      </c>
      <c r="V224" s="9">
        <f t="array" ref="V224">IFERROR(INDEX(대출권수[],MATCH(1,(자료실기준[[#This Row],[소장처명]]=대출권수[소장처명])*(대출권수[대출반납]="대출")*(자료실기준[[#This Row],[년월]]=대출권수[년월]),0),MATCH(V$1,대출권수[#Headers],0)),0)</f>
        <v>4</v>
      </c>
      <c r="W224" s="9">
        <f t="array" ref="W224">IFERROR(INDEX(대출권수[],MATCH(1,(자료실기준[[#This Row],[소장처명]]=대출권수[소장처명])*(대출권수[대출반납]="대출")*(자료실기준[[#This Row],[년월]]=대출권수[년월]),0),MATCH(W$1,대출권수[#Headers],0)),0)</f>
        <v>2</v>
      </c>
      <c r="X224" s="9">
        <f t="array" ref="X224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24" s="9">
        <f t="array" ref="Y224">IFERROR(INDEX(대출권수[],MATCH(1,(자료실기준[[#This Row],[소장처명]]=대출권수[소장처명])*(대출권수[대출반납]="대출")*(자료실기준[[#This Row],[년월]]=대출권수[년월]),0),MATCH(Y$1,대출권수[#Headers],0)),0)</f>
        <v>31</v>
      </c>
      <c r="Z224" s="9">
        <f t="array" ref="Z224">IFERROR(INDEX(대출권수[],MATCH(1,(자료실기준[[#This Row],[소장처명]]=대출권수[소장처명])*(대출권수[대출반납]="대출")*(자료실기준[[#This Row],[년월]]=대출권수[년월]),0),MATCH(Z$1,대출권수[#Headers],0)),0)</f>
        <v>1</v>
      </c>
      <c r="AA224" s="9">
        <f>SUM(자료실기준[[#This Row],[총류]:[역사]])</f>
        <v>46</v>
      </c>
    </row>
    <row r="225" spans="1:27" x14ac:dyDescent="0.3">
      <c r="A225" s="5">
        <v>45536</v>
      </c>
      <c r="B225" t="s">
        <v>18</v>
      </c>
      <c r="C225" s="5" t="str">
        <f>TEXT(자료실기준[[#This Row],[년월]],"yy년m월")&amp;자료실기준[[#This Row],[소장처명]]</f>
        <v>24년9월정기간행물(종합)</v>
      </c>
      <c r="D225" t="str">
        <f>IFERROR(INDEX(자료실범례[],MATCH($B225,자료실범례[소장처명],0),2),"종합자료실")</f>
        <v>종합자료실</v>
      </c>
      <c r="E225" s="9">
        <f t="array" ref="E225">IFERROR(INDEX(대출자[],MATCH(1,(자료실기준[[#This Row],[소장처명]]=대출자[소장처명])*(자료실기준[[#This Row],[년월]]=대출자[년월]),0),MATCH(E$1,대출자[#Headers],0)),0)</f>
        <v>0</v>
      </c>
      <c r="F225" s="9">
        <f t="array" ref="F225">IFERROR(INDEX(대출자[],MATCH(1,(자료실기준[[#This Row],[소장처명]]=대출자[소장처명])*(자료실기준[[#This Row],[년월]]=대출자[년월]),0),MATCH(F$1,대출자[#Headers],0)),0)</f>
        <v>0</v>
      </c>
      <c r="G225" s="9">
        <f t="array" ref="G225">IFERROR(INDEX(대출자[],MATCH(1,(자료실기준[[#This Row],[소장처명]]=대출자[소장처명])*(자료실기준[[#This Row],[년월]]=대출자[년월]),0),MATCH(G$1,대출자[#Headers],0)),0)</f>
        <v>0</v>
      </c>
      <c r="H225" s="9">
        <f t="array" ref="H225">IFERROR(INDEX(대출자[],MATCH(1,(자료실기준[[#This Row],[소장처명]]=대출자[소장처명])*(자료실기준[[#This Row],[년월]]=대출자[년월]),0),MATCH(H$1,대출자[#Headers],0)),0)</f>
        <v>0</v>
      </c>
      <c r="I225" s="9">
        <f t="array" ref="I225">IFERROR(INDEX(대출자[],MATCH(1,(자료실기준[[#This Row],[소장처명]]=대출자[소장처명])*(자료실기준[[#This Row],[년월]]=대출자[년월]),0),MATCH(I$1,대출자[#Headers],0)),0)</f>
        <v>0</v>
      </c>
      <c r="J225" s="9">
        <f t="array" ref="J225">IFERROR(INDEX(대출자[],MATCH(1,(자료실기준[[#This Row],[소장처명]]=대출자[소장처명])*(자료실기준[[#This Row],[년월]]=대출자[년월]),0),MATCH(J$1,대출자[#Headers],0)),0)</f>
        <v>0</v>
      </c>
      <c r="K225" s="9">
        <f t="array" ref="K225">IFERROR(INDEX(대출자[],MATCH(1,(자료실기준[[#This Row],[소장처명]]=대출자[소장처명])*(자료실기준[[#This Row],[년월]]=대출자[년월]),0),MATCH(K$1,대출자[#Headers],0)),0)</f>
        <v>0</v>
      </c>
      <c r="L225" s="9">
        <f t="array" ref="L225">IFERROR(INDEX(대출자[],MATCH(1,(자료실기준[[#This Row],[소장처명]]=대출자[소장처명])*(자료실기준[[#This Row],[년월]]=대출자[년월]),0),MATCH(L$1,대출자[#Headers],0)),0)</f>
        <v>0</v>
      </c>
      <c r="M225" s="9">
        <f t="array" ref="M225">IFERROR(INDEX(대출자[],MATCH(1,(자료실기준[[#This Row],[소장처명]]=대출자[소장처명])*(자료실기준[[#This Row],[년월]]=대출자[년월]),0),MATCH(M$1,대출자[#Headers],0)),0)</f>
        <v>0</v>
      </c>
      <c r="N225" s="9">
        <f>IFERROR(자료실기준[[#This Row],[어린이남자]]+자료실기준[[#This Row],[청소년남자]]+자료실기준[[#This Row],[성인남자]],0)</f>
        <v>0</v>
      </c>
      <c r="O225" s="9">
        <f>IFERROR(자료실기준[[#This Row],[어린이여자]]+자료실기준[[#This Row],[청소년여자]]+자료실기준[[#This Row],[성인여자]],0)</f>
        <v>0</v>
      </c>
      <c r="P225" s="9">
        <f>IFERROR(자료실기준[[#This Row],[남자]]+자료실기준[[#This Row],[여자]],0)</f>
        <v>0</v>
      </c>
      <c r="Q225" s="9">
        <f t="array" ref="Q225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25" s="9">
        <f t="array" ref="R225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25" s="9">
        <f t="array" ref="S225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25" s="9">
        <f t="array" ref="T225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25" s="9">
        <f t="array" ref="U225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25" s="9">
        <f t="array" ref="V225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25" s="9">
        <f t="array" ref="W225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25" s="9">
        <f t="array" ref="X225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25" s="9">
        <f t="array" ref="Y225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225" s="9">
        <f t="array" ref="Z225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25" s="9">
        <f>SUM(자료실기준[[#This Row],[총류]:[역사]])</f>
        <v>0</v>
      </c>
    </row>
    <row r="226" spans="1:27" x14ac:dyDescent="0.3">
      <c r="A226" s="5">
        <v>45536</v>
      </c>
      <c r="B226" t="s">
        <v>17</v>
      </c>
      <c r="C226" s="5" t="str">
        <f>TEXT(자료실기준[[#This Row],[년월]],"yy년m월")&amp;자료실기준[[#This Row],[소장처명]]</f>
        <v>24년9월정기간행물(어린이)</v>
      </c>
      <c r="D226" t="str">
        <f>IFERROR(INDEX(자료실범례[],MATCH($B226,자료실범례[소장처명],0),2),"종합자료실")</f>
        <v>어린이자료실</v>
      </c>
      <c r="E226" s="9">
        <f t="array" ref="E226">IFERROR(INDEX(대출자[],MATCH(1,(자료실기준[[#This Row],[소장처명]]=대출자[소장처명])*(자료실기준[[#This Row],[년월]]=대출자[년월]),0),MATCH(E$1,대출자[#Headers],0)),0)</f>
        <v>0</v>
      </c>
      <c r="F226" s="9">
        <f t="array" ref="F226">IFERROR(INDEX(대출자[],MATCH(1,(자료실기준[[#This Row],[소장처명]]=대출자[소장처명])*(자료실기준[[#This Row],[년월]]=대출자[년월]),0),MATCH(F$1,대출자[#Headers],0)),0)</f>
        <v>1</v>
      </c>
      <c r="G226" s="9">
        <f t="array" ref="G226">IFERROR(INDEX(대출자[],MATCH(1,(자료실기준[[#This Row],[소장처명]]=대출자[소장처명])*(자료실기준[[#This Row],[년월]]=대출자[년월]),0),MATCH(G$1,대출자[#Headers],0)),0)</f>
        <v>0</v>
      </c>
      <c r="H226" s="9">
        <f t="array" ref="H226">IFERROR(INDEX(대출자[],MATCH(1,(자료실기준[[#This Row],[소장처명]]=대출자[소장처명])*(자료실기준[[#This Row],[년월]]=대출자[년월]),0),MATCH(H$1,대출자[#Headers],0)),0)</f>
        <v>0</v>
      </c>
      <c r="I226" s="9">
        <f t="array" ref="I226">IFERROR(INDEX(대출자[],MATCH(1,(자료실기준[[#This Row],[소장처명]]=대출자[소장처명])*(자료실기준[[#This Row],[년월]]=대출자[년월]),0),MATCH(I$1,대출자[#Headers],0)),0)</f>
        <v>1</v>
      </c>
      <c r="J226" s="9">
        <f t="array" ref="J226">IFERROR(INDEX(대출자[],MATCH(1,(자료실기준[[#This Row],[소장처명]]=대출자[소장처명])*(자료실기준[[#This Row],[년월]]=대출자[년월]),0),MATCH(J$1,대출자[#Headers],0)),0)</f>
        <v>1</v>
      </c>
      <c r="K226" s="9">
        <f t="array" ref="K226">IFERROR(INDEX(대출자[],MATCH(1,(자료실기준[[#This Row],[소장처명]]=대출자[소장처명])*(자료실기준[[#This Row],[년월]]=대출자[년월]),0),MATCH(K$1,대출자[#Headers],0)),0)</f>
        <v>1</v>
      </c>
      <c r="L226" s="9">
        <f t="array" ref="L226">IFERROR(INDEX(대출자[],MATCH(1,(자료실기준[[#This Row],[소장처명]]=대출자[소장처명])*(자료실기준[[#This Row],[년월]]=대출자[년월]),0),MATCH(L$1,대출자[#Headers],0)),0)</f>
        <v>0</v>
      </c>
      <c r="M226" s="9">
        <f t="array" ref="M226">IFERROR(INDEX(대출자[],MATCH(1,(자료실기준[[#This Row],[소장처명]]=대출자[소장처명])*(자료실기준[[#This Row],[년월]]=대출자[년월]),0),MATCH(M$1,대출자[#Headers],0)),0)</f>
        <v>2</v>
      </c>
      <c r="N226" s="9">
        <f>IFERROR(자료실기준[[#This Row],[어린이남자]]+자료실기준[[#This Row],[청소년남자]]+자료실기준[[#This Row],[성인남자]],0)</f>
        <v>1</v>
      </c>
      <c r="O226" s="9">
        <f>IFERROR(자료실기준[[#This Row],[어린이여자]]+자료실기준[[#This Row],[청소년여자]]+자료실기준[[#This Row],[성인여자]],0)</f>
        <v>2</v>
      </c>
      <c r="P226" s="9">
        <f>IFERROR(자료실기준[[#This Row],[남자]]+자료실기준[[#This Row],[여자]],0)</f>
        <v>3</v>
      </c>
      <c r="Q226" s="9">
        <f t="array" ref="Q226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26" s="9">
        <f t="array" ref="R226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26" s="9">
        <f t="array" ref="S226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26" s="9">
        <f t="array" ref="T226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26" s="9">
        <f t="array" ref="U226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26" s="9">
        <f t="array" ref="V226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26" s="9">
        <f t="array" ref="W226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26" s="9">
        <f t="array" ref="X226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26" s="9">
        <f t="array" ref="Y226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226" s="9">
        <f t="array" ref="Z226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26" s="9">
        <f>SUM(자료실기준[[#This Row],[총류]:[역사]])</f>
        <v>0</v>
      </c>
    </row>
    <row r="227" spans="1:27" x14ac:dyDescent="0.3">
      <c r="A227" s="5">
        <v>45536</v>
      </c>
      <c r="B227" t="s">
        <v>197</v>
      </c>
      <c r="C227" s="5" t="str">
        <f>TEXT(자료실기준[[#This Row],[년월]],"yy년m월")&amp;자료실기준[[#This Row],[소장처명]]</f>
        <v>24년9월경남독서한마당(종합)</v>
      </c>
      <c r="D227" t="str">
        <f>IFERROR(INDEX(자료실범례[],MATCH($B227,자료실범례[소장처명],0),2),"종합자료실")</f>
        <v>종합자료실</v>
      </c>
      <c r="E227" s="9">
        <f t="array" ref="E227">IFERROR(INDEX(대출자[],MATCH(1,(자료실기준[[#This Row],[소장처명]]=대출자[소장처명])*(자료실기준[[#This Row],[년월]]=대출자[년월]),0),MATCH(E$1,대출자[#Headers],0)),0)</f>
        <v>0</v>
      </c>
      <c r="F227" s="9">
        <f t="array" ref="F227">IFERROR(INDEX(대출자[],MATCH(1,(자료실기준[[#This Row],[소장처명]]=대출자[소장처명])*(자료실기준[[#This Row],[년월]]=대출자[년월]),0),MATCH(F$1,대출자[#Headers],0)),0)</f>
        <v>1</v>
      </c>
      <c r="G227" s="9">
        <f t="array" ref="G227">IFERROR(INDEX(대출자[],MATCH(1,(자료실기준[[#This Row],[소장처명]]=대출자[소장처명])*(자료실기준[[#This Row],[년월]]=대출자[년월]),0),MATCH(G$1,대출자[#Headers],0)),0)</f>
        <v>0</v>
      </c>
      <c r="H227" s="9">
        <f t="array" ref="H227">IFERROR(INDEX(대출자[],MATCH(1,(자료실기준[[#This Row],[소장처명]]=대출자[소장처명])*(자료실기준[[#This Row],[년월]]=대출자[년월]),0),MATCH(H$1,대출자[#Headers],0)),0)</f>
        <v>0</v>
      </c>
      <c r="I227" s="9">
        <f t="array" ref="I227">IFERROR(INDEX(대출자[],MATCH(1,(자료실기준[[#This Row],[소장처명]]=대출자[소장처명])*(자료실기준[[#This Row],[년월]]=대출자[년월]),0),MATCH(I$1,대출자[#Headers],0)),0)</f>
        <v>0</v>
      </c>
      <c r="J227" s="9">
        <f t="array" ref="J227">IFERROR(INDEX(대출자[],MATCH(1,(자료실기준[[#This Row],[소장처명]]=대출자[소장처명])*(자료실기준[[#This Row],[년월]]=대출자[년월]),0),MATCH(J$1,대출자[#Headers],0)),0)</f>
        <v>6</v>
      </c>
      <c r="K227" s="9">
        <f t="array" ref="K227">IFERROR(INDEX(대출자[],MATCH(1,(자료실기준[[#This Row],[소장처명]]=대출자[소장처명])*(자료실기준[[#This Row],[년월]]=대출자[년월]),0),MATCH(K$1,대출자[#Headers],0)),0)</f>
        <v>1</v>
      </c>
      <c r="L227" s="9">
        <f t="array" ref="L227">IFERROR(INDEX(대출자[],MATCH(1,(자료실기준[[#This Row],[소장처명]]=대출자[소장처명])*(자료실기준[[#This Row],[년월]]=대출자[년월]),0),MATCH(L$1,대출자[#Headers],0)),0)</f>
        <v>0</v>
      </c>
      <c r="M227" s="9">
        <f t="array" ref="M227">IFERROR(INDEX(대출자[],MATCH(1,(자료실기준[[#This Row],[소장처명]]=대출자[소장처명])*(자료실기준[[#This Row],[년월]]=대출자[년월]),0),MATCH(M$1,대출자[#Headers],0)),0)</f>
        <v>6</v>
      </c>
      <c r="N227" s="9">
        <f>IFERROR(자료실기준[[#This Row],[어린이남자]]+자료실기준[[#This Row],[청소년남자]]+자료실기준[[#This Row],[성인남자]],0)</f>
        <v>0</v>
      </c>
      <c r="O227" s="9">
        <f>IFERROR(자료실기준[[#This Row],[어린이여자]]+자료실기준[[#This Row],[청소년여자]]+자료실기준[[#This Row],[성인여자]],0)</f>
        <v>7</v>
      </c>
      <c r="P227" s="9">
        <f>IFERROR(자료실기준[[#This Row],[남자]]+자료실기준[[#This Row],[여자]],0)</f>
        <v>7</v>
      </c>
      <c r="Q227" s="9">
        <f t="array" ref="Q227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27" s="9">
        <f t="array" ref="R227">IFERROR(INDEX(대출권수[],MATCH(1,(자료실기준[[#This Row],[소장처명]]=대출권수[소장처명])*(대출권수[대출반납]="대출")*(자료실기준[[#This Row],[년월]]=대출권수[년월]),0),MATCH(R$1,대출권수[#Headers],0)),0)</f>
        <v>3</v>
      </c>
      <c r="S227" s="9">
        <f t="array" ref="S227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27" s="9">
        <f t="array" ref="T227">IFERROR(INDEX(대출권수[],MATCH(1,(자료실기준[[#This Row],[소장처명]]=대출권수[소장처명])*(대출권수[대출반납]="대출")*(자료실기준[[#This Row],[년월]]=대출권수[년월]),0),MATCH(T$1,대출권수[#Headers],0)),0)</f>
        <v>1</v>
      </c>
      <c r="U227" s="9">
        <f t="array" ref="U227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27" s="9">
        <f t="array" ref="V227">IFERROR(INDEX(대출권수[],MATCH(1,(자료실기준[[#This Row],[소장처명]]=대출권수[소장처명])*(대출권수[대출반납]="대출")*(자료실기준[[#This Row],[년월]]=대출권수[년월]),0),MATCH(V$1,대출권수[#Headers],0)),0)</f>
        <v>2</v>
      </c>
      <c r="W227" s="9">
        <f t="array" ref="W227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27" s="9">
        <f t="array" ref="X227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27" s="9">
        <f t="array" ref="Y227">IFERROR(INDEX(대출권수[],MATCH(1,(자료실기준[[#This Row],[소장처명]]=대출권수[소장처명])*(대출권수[대출반납]="대출")*(자료실기준[[#This Row],[년월]]=대출권수[년월]),0),MATCH(Y$1,대출권수[#Headers],0)),0)</f>
        <v>5</v>
      </c>
      <c r="Z227" s="9">
        <f t="array" ref="Z227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27" s="9">
        <f>SUM(자료실기준[[#This Row],[총류]:[역사]])</f>
        <v>11</v>
      </c>
    </row>
    <row r="228" spans="1:27" x14ac:dyDescent="0.3">
      <c r="A228" s="5">
        <v>45536</v>
      </c>
      <c r="B228" t="s">
        <v>198</v>
      </c>
      <c r="C228" s="5" t="str">
        <f>TEXT(자료실기준[[#This Row],[년월]],"yy년m월")&amp;자료실기준[[#This Row],[소장처명]]</f>
        <v>24년9월경남독서한마당(어린이)</v>
      </c>
      <c r="D228" t="str">
        <f>IFERROR(INDEX(자료실범례[],MATCH($B228,자료실범례[소장처명],0),2),"종합자료실")</f>
        <v>어린이자료실</v>
      </c>
      <c r="E228" s="9">
        <f t="array" ref="E228">IFERROR(INDEX(대출자[],MATCH(1,(자료실기준[[#This Row],[소장처명]]=대출자[소장처명])*(자료실기준[[#This Row],[년월]]=대출자[년월]),0),MATCH(E$1,대출자[#Headers],0)),0)</f>
        <v>8</v>
      </c>
      <c r="F228" s="9">
        <f t="array" ref="F228">IFERROR(INDEX(대출자[],MATCH(1,(자료실기준[[#This Row],[소장처명]]=대출자[소장처명])*(자료실기준[[#This Row],[년월]]=대출자[년월]),0),MATCH(F$1,대출자[#Headers],0)),0)</f>
        <v>5</v>
      </c>
      <c r="G228" s="9">
        <f t="array" ref="G228">IFERROR(INDEX(대출자[],MATCH(1,(자료실기준[[#This Row],[소장처명]]=대출자[소장처명])*(자료실기준[[#This Row],[년월]]=대출자[년월]),0),MATCH(G$1,대출자[#Headers],0)),0)</f>
        <v>1</v>
      </c>
      <c r="H228" s="9">
        <f t="array" ref="H228">IFERROR(INDEX(대출자[],MATCH(1,(자료실기준[[#This Row],[소장처명]]=대출자[소장처명])*(자료실기준[[#This Row],[년월]]=대출자[년월]),0),MATCH(H$1,대출자[#Headers],0)),0)</f>
        <v>0</v>
      </c>
      <c r="I228" s="9">
        <f t="array" ref="I228">IFERROR(INDEX(대출자[],MATCH(1,(자료실기준[[#This Row],[소장처명]]=대출자[소장처명])*(자료실기준[[#This Row],[년월]]=대출자[년월]),0),MATCH(I$1,대출자[#Headers],0)),0)</f>
        <v>1</v>
      </c>
      <c r="J228" s="9">
        <f t="array" ref="J228">IFERROR(INDEX(대출자[],MATCH(1,(자료실기준[[#This Row],[소장처명]]=대출자[소장처명])*(자료실기준[[#This Row],[년월]]=대출자[년월]),0),MATCH(J$1,대출자[#Headers],0)),0)</f>
        <v>6</v>
      </c>
      <c r="K228" s="9">
        <f t="array" ref="K228">IFERROR(INDEX(대출자[],MATCH(1,(자료실기준[[#This Row],[소장처명]]=대출자[소장처명])*(자료실기준[[#This Row],[년월]]=대출자[년월]),0),MATCH(K$1,대출자[#Headers],0)),0)</f>
        <v>13</v>
      </c>
      <c r="L228" s="9">
        <f t="array" ref="L228">IFERROR(INDEX(대출자[],MATCH(1,(자료실기준[[#This Row],[소장처명]]=대출자[소장처명])*(자료실기준[[#This Row],[년월]]=대출자[년월]),0),MATCH(L$1,대출자[#Headers],0)),0)</f>
        <v>1</v>
      </c>
      <c r="M228" s="9">
        <f t="array" ref="M228">IFERROR(INDEX(대출자[],MATCH(1,(자료실기준[[#This Row],[소장처명]]=대출자[소장처명])*(자료실기준[[#This Row],[년월]]=대출자[년월]),0),MATCH(M$1,대출자[#Headers],0)),0)</f>
        <v>7</v>
      </c>
      <c r="N228" s="9">
        <f>IFERROR(자료실기준[[#This Row],[어린이남자]]+자료실기준[[#This Row],[청소년남자]]+자료실기준[[#This Row],[성인남자]],0)</f>
        <v>10</v>
      </c>
      <c r="O228" s="9">
        <f>IFERROR(자료실기준[[#This Row],[어린이여자]]+자료실기준[[#This Row],[청소년여자]]+자료실기준[[#This Row],[성인여자]],0)</f>
        <v>11</v>
      </c>
      <c r="P228" s="9">
        <f>IFERROR(자료실기준[[#This Row],[남자]]+자료실기준[[#This Row],[여자]],0)</f>
        <v>21</v>
      </c>
      <c r="Q228" s="9">
        <f t="array" ref="Q228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28" s="9">
        <f t="array" ref="R228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28" s="9">
        <f t="array" ref="S228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28" s="9">
        <f t="array" ref="T228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28" s="9">
        <f t="array" ref="U228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28" s="9">
        <f t="array" ref="V228">IFERROR(INDEX(대출권수[],MATCH(1,(자료실기준[[#This Row],[소장처명]]=대출권수[소장처명])*(대출권수[대출반납]="대출")*(자료실기준[[#This Row],[년월]]=대출권수[년월]),0),MATCH(V$1,대출권수[#Headers],0)),0)</f>
        <v>4</v>
      </c>
      <c r="W228" s="9">
        <f t="array" ref="W228">IFERROR(INDEX(대출권수[],MATCH(1,(자료실기준[[#This Row],[소장처명]]=대출권수[소장처명])*(대출권수[대출반납]="대출")*(자료실기준[[#This Row],[년월]]=대출권수[년월]),0),MATCH(W$1,대출권수[#Headers],0)),0)</f>
        <v>2</v>
      </c>
      <c r="X228" s="9">
        <f t="array" ref="X228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28" s="9">
        <f t="array" ref="Y228">IFERROR(INDEX(대출권수[],MATCH(1,(자료실기준[[#This Row],[소장처명]]=대출권수[소장처명])*(대출권수[대출반납]="대출")*(자료실기준[[#This Row],[년월]]=대출권수[년월]),0),MATCH(Y$1,대출권수[#Headers],0)),0)</f>
        <v>36</v>
      </c>
      <c r="Z228" s="9">
        <f t="array" ref="Z228">IFERROR(INDEX(대출권수[],MATCH(1,(자료실기준[[#This Row],[소장처명]]=대출권수[소장처명])*(대출권수[대출반납]="대출")*(자료실기준[[#This Row],[년월]]=대출권수[년월]),0),MATCH(Z$1,대출권수[#Headers],0)),0)</f>
        <v>3</v>
      </c>
      <c r="AA228" s="9">
        <f>SUM(자료실기준[[#This Row],[총류]:[역사]])</f>
        <v>45</v>
      </c>
    </row>
    <row r="229" spans="1:27" x14ac:dyDescent="0.3">
      <c r="A229" s="5">
        <v>45536</v>
      </c>
      <c r="B229" t="s">
        <v>23</v>
      </c>
      <c r="C229" s="5" t="str">
        <f>TEXT(자료실기준[[#This Row],[년월]],"yy년m월")&amp;자료실기준[[#This Row],[소장처명]]</f>
        <v>24년9월기타</v>
      </c>
      <c r="D229" t="str">
        <f>IFERROR(INDEX(자료실범례[],MATCH($B229,자료실범례[소장처명],0),2),"종합자료실")</f>
        <v>종합자료실</v>
      </c>
      <c r="E229" s="9">
        <f t="array" ref="E229">IFERROR(INDEX(대출자[],MATCH(1,(자료실기준[[#This Row],[소장처명]]=대출자[소장처명])*(자료실기준[[#This Row],[년월]]=대출자[년월]),0),MATCH(E$1,대출자[#Headers],0)),0)</f>
        <v>0</v>
      </c>
      <c r="F229" s="9">
        <f t="array" ref="F229">IFERROR(INDEX(대출자[],MATCH(1,(자료실기준[[#This Row],[소장처명]]=대출자[소장처명])*(자료실기준[[#This Row],[년월]]=대출자[년월]),0),MATCH(F$1,대출자[#Headers],0)),0)</f>
        <v>0</v>
      </c>
      <c r="G229" s="9">
        <f t="array" ref="G229">IFERROR(INDEX(대출자[],MATCH(1,(자료실기준[[#This Row],[소장처명]]=대출자[소장처명])*(자료실기준[[#This Row],[년월]]=대출자[년월]),0),MATCH(G$1,대출자[#Headers],0)),0)</f>
        <v>0</v>
      </c>
      <c r="H229" s="9">
        <f t="array" ref="H229">IFERROR(INDEX(대출자[],MATCH(1,(자료실기준[[#This Row],[소장처명]]=대출자[소장처명])*(자료실기준[[#This Row],[년월]]=대출자[년월]),0),MATCH(H$1,대출자[#Headers],0)),0)</f>
        <v>0</v>
      </c>
      <c r="I229" s="9">
        <f t="array" ref="I229">IFERROR(INDEX(대출자[],MATCH(1,(자료실기준[[#This Row],[소장처명]]=대출자[소장처명])*(자료실기준[[#This Row],[년월]]=대출자[년월]),0),MATCH(I$1,대출자[#Headers],0)),0)</f>
        <v>0</v>
      </c>
      <c r="J229" s="9">
        <f t="array" ref="J229">IFERROR(INDEX(대출자[],MATCH(1,(자료실기준[[#This Row],[소장처명]]=대출자[소장처명])*(자료실기준[[#This Row],[년월]]=대출자[년월]),0),MATCH(J$1,대출자[#Headers],0)),0)</f>
        <v>0</v>
      </c>
      <c r="K229" s="9">
        <f t="array" ref="K229">IFERROR(INDEX(대출자[],MATCH(1,(자료실기준[[#This Row],[소장처명]]=대출자[소장처명])*(자료실기준[[#This Row],[년월]]=대출자[년월]),0),MATCH(K$1,대출자[#Headers],0)),0)</f>
        <v>0</v>
      </c>
      <c r="L229" s="9">
        <f t="array" ref="L229">IFERROR(INDEX(대출자[],MATCH(1,(자료실기준[[#This Row],[소장처명]]=대출자[소장처명])*(자료실기준[[#This Row],[년월]]=대출자[년월]),0),MATCH(L$1,대출자[#Headers],0)),0)</f>
        <v>0</v>
      </c>
      <c r="M229" s="9">
        <f t="array" ref="M229">IFERROR(INDEX(대출자[],MATCH(1,(자료실기준[[#This Row],[소장처명]]=대출자[소장처명])*(자료실기준[[#This Row],[년월]]=대출자[년월]),0),MATCH(M$1,대출자[#Headers],0)),0)</f>
        <v>0</v>
      </c>
      <c r="N229" s="9">
        <f>IFERROR(자료실기준[[#This Row],[어린이남자]]+자료실기준[[#This Row],[청소년남자]]+자료실기준[[#This Row],[성인남자]],0)</f>
        <v>0</v>
      </c>
      <c r="O229" s="9">
        <f>IFERROR(자료실기준[[#This Row],[어린이여자]]+자료실기준[[#This Row],[청소년여자]]+자료실기준[[#This Row],[성인여자]],0)</f>
        <v>0</v>
      </c>
      <c r="P229" s="9">
        <f>IFERROR(자료실기준[[#This Row],[남자]]+자료실기준[[#This Row],[여자]],0)</f>
        <v>0</v>
      </c>
      <c r="Q229" s="9">
        <f t="array" ref="Q229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29" s="9">
        <f t="array" ref="R229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29" s="9">
        <f t="array" ref="S229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29" s="9">
        <f t="array" ref="T229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29" s="9">
        <f t="array" ref="U229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29" s="9">
        <f t="array" ref="V229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29" s="9">
        <f t="array" ref="W229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29" s="9">
        <f t="array" ref="X229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29" s="9">
        <f t="array" ref="Y229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229" s="9">
        <f t="array" ref="Z229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29" s="9">
        <f>SUM(자료실기준[[#This Row],[총류]:[역사]])</f>
        <v>0</v>
      </c>
    </row>
    <row r="230" spans="1:27" x14ac:dyDescent="0.3">
      <c r="A230" s="5">
        <v>45536</v>
      </c>
      <c r="C230" s="5" t="str">
        <f>TEXT(자료실기준[[#This Row],[년월]],"yy년m월")&amp;자료실기준[[#This Row],[소장처명]]</f>
        <v>24년9월</v>
      </c>
      <c r="D230" t="str">
        <f>IFERROR(INDEX(자료실범례[],MATCH($B230,자료실범례[소장처명],0),2),"종합자료실")</f>
        <v>종합자료실</v>
      </c>
      <c r="E230" s="9">
        <f t="array" ref="E230">IFERROR(INDEX(대출자[],MATCH(1,(자료실기준[[#This Row],[소장처명]]=대출자[소장처명])*(자료실기준[[#This Row],[년월]]=대출자[년월]),0),MATCH(E$1,대출자[#Headers],0)),0)</f>
        <v>0</v>
      </c>
      <c r="F230" s="9">
        <f t="array" ref="F230">IFERROR(INDEX(대출자[],MATCH(1,(자료실기준[[#This Row],[소장처명]]=대출자[소장처명])*(자료실기준[[#This Row],[년월]]=대출자[년월]),0),MATCH(F$1,대출자[#Headers],0)),0)</f>
        <v>0</v>
      </c>
      <c r="G230" s="9">
        <f t="array" ref="G230">IFERROR(INDEX(대출자[],MATCH(1,(자료실기준[[#This Row],[소장처명]]=대출자[소장처명])*(자료실기준[[#This Row],[년월]]=대출자[년월]),0),MATCH(G$1,대출자[#Headers],0)),0)</f>
        <v>0</v>
      </c>
      <c r="H230" s="9">
        <f t="array" ref="H230">IFERROR(INDEX(대출자[],MATCH(1,(자료실기준[[#This Row],[소장처명]]=대출자[소장처명])*(자료실기준[[#This Row],[년월]]=대출자[년월]),0),MATCH(H$1,대출자[#Headers],0)),0)</f>
        <v>0</v>
      </c>
      <c r="I230" s="9">
        <f t="array" ref="I230">IFERROR(INDEX(대출자[],MATCH(1,(자료실기준[[#This Row],[소장처명]]=대출자[소장처명])*(자료실기준[[#This Row],[년월]]=대출자[년월]),0),MATCH(I$1,대출자[#Headers],0)),0)</f>
        <v>0</v>
      </c>
      <c r="J230" s="9">
        <f t="array" ref="J230">IFERROR(INDEX(대출자[],MATCH(1,(자료실기준[[#This Row],[소장처명]]=대출자[소장처명])*(자료실기준[[#This Row],[년월]]=대출자[년월]),0),MATCH(J$1,대출자[#Headers],0)),0)</f>
        <v>0</v>
      </c>
      <c r="K230" s="9">
        <f t="array" ref="K230">IFERROR(INDEX(대출자[],MATCH(1,(자료실기준[[#This Row],[소장처명]]=대출자[소장처명])*(자료실기준[[#This Row],[년월]]=대출자[년월]),0),MATCH(K$1,대출자[#Headers],0)),0)</f>
        <v>0</v>
      </c>
      <c r="L230" s="9">
        <f t="array" ref="L230">IFERROR(INDEX(대출자[],MATCH(1,(자료실기준[[#This Row],[소장처명]]=대출자[소장처명])*(자료실기준[[#This Row],[년월]]=대출자[년월]),0),MATCH(L$1,대출자[#Headers],0)),0)</f>
        <v>0</v>
      </c>
      <c r="M230" s="9">
        <f t="array" ref="M230">IFERROR(INDEX(대출자[],MATCH(1,(자료실기준[[#This Row],[소장처명]]=대출자[소장처명])*(자료실기준[[#This Row],[년월]]=대출자[년월]),0),MATCH(M$1,대출자[#Headers],0)),0)</f>
        <v>0</v>
      </c>
      <c r="N230" s="9">
        <f>IFERROR(자료실기준[[#This Row],[어린이남자]]+자료실기준[[#This Row],[청소년남자]]+자료실기준[[#This Row],[성인남자]],0)</f>
        <v>0</v>
      </c>
      <c r="O230" s="9">
        <f>IFERROR(자료실기준[[#This Row],[어린이여자]]+자료실기준[[#This Row],[청소년여자]]+자료실기준[[#This Row],[성인여자]],0)</f>
        <v>0</v>
      </c>
      <c r="P230" s="9">
        <f>IFERROR(자료실기준[[#This Row],[남자]]+자료실기준[[#This Row],[여자]],0)</f>
        <v>0</v>
      </c>
      <c r="Q230" s="9">
        <f t="array" ref="Q230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30" s="9">
        <f t="array" ref="R230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30" s="9">
        <f t="array" ref="S230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30" s="9">
        <f t="array" ref="T230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30" s="9">
        <f t="array" ref="U230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30" s="9">
        <f t="array" ref="V230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30" s="9">
        <f t="array" ref="W230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30" s="9">
        <f t="array" ref="X230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30" s="9">
        <f t="array" ref="Y230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230" s="9">
        <f t="array" ref="Z230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30" s="9">
        <f>SUM(자료실기준[[#This Row],[총류]:[역사]])</f>
        <v>0</v>
      </c>
    </row>
    <row r="231" spans="1:27" x14ac:dyDescent="0.3">
      <c r="A231" s="5">
        <v>45566</v>
      </c>
      <c r="B231" t="s">
        <v>21</v>
      </c>
      <c r="C231" s="5" t="str">
        <f>TEXT(자료실기준[[#This Row],[년월]],"yy년m월")&amp;자료실기준[[#This Row],[소장처명]]</f>
        <v>24년10월종합자료실</v>
      </c>
      <c r="D231" t="str">
        <f>IFERROR(INDEX(자료실범례[],MATCH($B231,자료실범례[소장처명],0),2),"종합자료실")</f>
        <v>종합자료실</v>
      </c>
      <c r="E231" s="9">
        <f t="array" ref="E231">IFERROR(INDEX(대출자[],MATCH(1,(자료실기준[[#This Row],[소장처명]]=대출자[소장처명])*(자료실기준[[#This Row],[년월]]=대출자[년월]),0),MATCH(E$1,대출자[#Headers],0)),0)</f>
        <v>6</v>
      </c>
      <c r="F231" s="9">
        <f t="array" ref="F231">IFERROR(INDEX(대출자[],MATCH(1,(자료실기준[[#This Row],[소장처명]]=대출자[소장처명])*(자료실기준[[#This Row],[년월]]=대출자[년월]),0),MATCH(F$1,대출자[#Headers],0)),0)</f>
        <v>6</v>
      </c>
      <c r="G231" s="9">
        <f t="array" ref="G231">IFERROR(INDEX(대출자[],MATCH(1,(자료실기준[[#This Row],[소장처명]]=대출자[소장처명])*(자료실기준[[#This Row],[년월]]=대출자[년월]),0),MATCH(G$1,대출자[#Headers],0)),0)</f>
        <v>11</v>
      </c>
      <c r="H231" s="9">
        <f t="array" ref="H231">IFERROR(INDEX(대출자[],MATCH(1,(자료실기준[[#This Row],[소장처명]]=대출자[소장처명])*(자료실기준[[#This Row],[년월]]=대출자[년월]),0),MATCH(H$1,대출자[#Headers],0)),0)</f>
        <v>18</v>
      </c>
      <c r="I231" s="9">
        <f t="array" ref="I231">IFERROR(INDEX(대출자[],MATCH(1,(자료실기준[[#This Row],[소장처명]]=대출자[소장처명])*(자료실기준[[#This Row],[년월]]=대출자[년월]),0),MATCH(I$1,대출자[#Headers],0)),0)</f>
        <v>122</v>
      </c>
      <c r="J231" s="9">
        <f t="array" ref="J231">IFERROR(INDEX(대출자[],MATCH(1,(자료실기준[[#This Row],[소장처명]]=대출자[소장처명])*(자료실기준[[#This Row],[년월]]=대출자[년월]),0),MATCH(J$1,대출자[#Headers],0)),0)</f>
        <v>212</v>
      </c>
      <c r="K231" s="9">
        <f t="array" ref="K231">IFERROR(INDEX(대출자[],MATCH(1,(자료실기준[[#This Row],[소장처명]]=대출자[소장처명])*(자료실기준[[#This Row],[년월]]=대출자[년월]),0),MATCH(K$1,대출자[#Headers],0)),0)</f>
        <v>12</v>
      </c>
      <c r="L231" s="9">
        <f t="array" ref="L231">IFERROR(INDEX(대출자[],MATCH(1,(자료실기준[[#This Row],[소장처명]]=대출자[소장처명])*(자료실기준[[#This Row],[년월]]=대출자[년월]),0),MATCH(L$1,대출자[#Headers],0)),0)</f>
        <v>29</v>
      </c>
      <c r="M231" s="9">
        <f t="array" ref="M231">IFERROR(INDEX(대출자[],MATCH(1,(자료실기준[[#This Row],[소장처명]]=대출자[소장처명])*(자료실기준[[#This Row],[년월]]=대출자[년월]),0),MATCH(M$1,대출자[#Headers],0)),0)</f>
        <v>334</v>
      </c>
      <c r="N231" s="9">
        <f>IFERROR(자료실기준[[#This Row],[어린이남자]]+자료실기준[[#This Row],[청소년남자]]+자료실기준[[#This Row],[성인남자]],0)</f>
        <v>139</v>
      </c>
      <c r="O231" s="9">
        <f>IFERROR(자료실기준[[#This Row],[어린이여자]]+자료실기준[[#This Row],[청소년여자]]+자료실기준[[#This Row],[성인여자]],0)</f>
        <v>236</v>
      </c>
      <c r="P231" s="9">
        <f>IFERROR(자료실기준[[#This Row],[남자]]+자료실기준[[#This Row],[여자]],0)</f>
        <v>375</v>
      </c>
      <c r="Q231" s="9">
        <f t="array" ref="Q231">IFERROR(INDEX(대출권수[],MATCH(1,(자료실기준[[#This Row],[소장처명]]=대출권수[소장처명])*(대출권수[대출반납]="대출")*(자료실기준[[#This Row],[년월]]=대출권수[년월]),0),MATCH(Q$1,대출권수[#Headers],0)),0)</f>
        <v>40</v>
      </c>
      <c r="R231" s="9">
        <f t="array" ref="R231">IFERROR(INDEX(대출권수[],MATCH(1,(자료실기준[[#This Row],[소장처명]]=대출권수[소장처명])*(대출권수[대출반납]="대출")*(자료실기준[[#This Row],[년월]]=대출권수[년월]),0),MATCH(R$1,대출권수[#Headers],0)),0)</f>
        <v>93</v>
      </c>
      <c r="S231" s="9">
        <f t="array" ref="S231">IFERROR(INDEX(대출권수[],MATCH(1,(자료실기준[[#This Row],[소장처명]]=대출권수[소장처명])*(대출권수[대출반납]="대출")*(자료실기준[[#This Row],[년월]]=대출권수[년월]),0),MATCH(S$1,대출권수[#Headers],0)),0)</f>
        <v>33</v>
      </c>
      <c r="T231" s="9">
        <f t="array" ref="T231">IFERROR(INDEX(대출권수[],MATCH(1,(자료실기준[[#This Row],[소장처명]]=대출권수[소장처명])*(대출권수[대출반납]="대출")*(자료실기준[[#This Row],[년월]]=대출권수[년월]),0),MATCH(T$1,대출권수[#Headers],0)),0)</f>
        <v>201</v>
      </c>
      <c r="U231" s="9">
        <f t="array" ref="U231">IFERROR(INDEX(대출권수[],MATCH(1,(자료실기준[[#This Row],[소장처명]]=대출권수[소장처명])*(대출권수[대출반납]="대출")*(자료실기준[[#This Row],[년월]]=대출권수[년월]),0),MATCH(U$1,대출권수[#Headers],0)),0)</f>
        <v>36</v>
      </c>
      <c r="V231" s="9">
        <f t="array" ref="V231">IFERROR(INDEX(대출권수[],MATCH(1,(자료실기준[[#This Row],[소장처명]]=대출권수[소장처명])*(대출권수[대출반납]="대출")*(자료실기준[[#This Row],[년월]]=대출권수[년월]),0),MATCH(V$1,대출권수[#Headers],0)),0)</f>
        <v>95</v>
      </c>
      <c r="W231" s="9">
        <f t="array" ref="W231">IFERROR(INDEX(대출권수[],MATCH(1,(자료실기준[[#This Row],[소장처명]]=대출권수[소장처명])*(대출권수[대출반납]="대출")*(자료실기준[[#This Row],[년월]]=대출권수[년월]),0),MATCH(W$1,대출권수[#Headers],0)),0)</f>
        <v>49</v>
      </c>
      <c r="X231" s="9">
        <f t="array" ref="X231">IFERROR(INDEX(대출권수[],MATCH(1,(자료실기준[[#This Row],[소장처명]]=대출권수[소장처명])*(대출권수[대출반납]="대출")*(자료실기준[[#This Row],[년월]]=대출권수[년월]),0),MATCH(X$1,대출권수[#Headers],0)),0)</f>
        <v>28</v>
      </c>
      <c r="Y231" s="9">
        <f t="array" ref="Y231">IFERROR(INDEX(대출권수[],MATCH(1,(자료실기준[[#This Row],[소장처명]]=대출권수[소장처명])*(대출권수[대출반납]="대출")*(자료실기준[[#This Row],[년월]]=대출권수[년월]),0),MATCH(Y$1,대출권수[#Headers],0)),0)</f>
        <v>614</v>
      </c>
      <c r="Z231" s="9">
        <f t="array" ref="Z231">IFERROR(INDEX(대출권수[],MATCH(1,(자료실기준[[#This Row],[소장처명]]=대출권수[소장처명])*(대출권수[대출반납]="대출")*(자료실기준[[#This Row],[년월]]=대출권수[년월]),0),MATCH(Z$1,대출권수[#Headers],0)),0)</f>
        <v>60</v>
      </c>
      <c r="AA231" s="9">
        <f>SUM(자료실기준[[#This Row],[총류]:[역사]])</f>
        <v>1249</v>
      </c>
    </row>
    <row r="232" spans="1:27" x14ac:dyDescent="0.3">
      <c r="A232" s="5">
        <v>45566</v>
      </c>
      <c r="B232" t="s">
        <v>16</v>
      </c>
      <c r="C232" s="5" t="str">
        <f>TEXT(자료실기준[[#This Row],[년월]],"yy년m월")&amp;자료실기준[[#This Row],[소장처명]]</f>
        <v>24년10월어린이자료실</v>
      </c>
      <c r="D232" t="str">
        <f>IFERROR(INDEX(자료실범례[],MATCH($B232,자료실범례[소장처명],0),2),"종합자료실")</f>
        <v>어린이자료실</v>
      </c>
      <c r="E232" s="9">
        <f t="array" ref="E232">IFERROR(INDEX(대출자[],MATCH(1,(자료실기준[[#This Row],[소장처명]]=대출자[소장처명])*(자료실기준[[#This Row],[년월]]=대출자[년월]),0),MATCH(E$1,대출자[#Headers],0)),0)</f>
        <v>55</v>
      </c>
      <c r="F232" s="9">
        <f t="array" ref="F232">IFERROR(INDEX(대출자[],MATCH(1,(자료실기준[[#This Row],[소장처명]]=대출자[소장처명])*(자료실기준[[#This Row],[년월]]=대출자[년월]),0),MATCH(F$1,대출자[#Headers],0)),0)</f>
        <v>49</v>
      </c>
      <c r="G232" s="9">
        <f t="array" ref="G232">IFERROR(INDEX(대출자[],MATCH(1,(자료실기준[[#This Row],[소장처명]]=대출자[소장처명])*(자료실기준[[#This Row],[년월]]=대출자[년월]),0),MATCH(G$1,대출자[#Headers],0)),0)</f>
        <v>3</v>
      </c>
      <c r="H232" s="9">
        <f t="array" ref="H232">IFERROR(INDEX(대출자[],MATCH(1,(자료실기준[[#This Row],[소장처명]]=대출자[소장처명])*(자료실기준[[#This Row],[년월]]=대출자[년월]),0),MATCH(H$1,대출자[#Headers],0)),0)</f>
        <v>4</v>
      </c>
      <c r="I232" s="9">
        <f t="array" ref="I232">IFERROR(INDEX(대출자[],MATCH(1,(자료실기준[[#This Row],[소장처명]]=대출자[소장처명])*(자료실기준[[#This Row],[년월]]=대출자[년월]),0),MATCH(I$1,대출자[#Headers],0)),0)</f>
        <v>34</v>
      </c>
      <c r="J232" s="9">
        <f t="array" ref="J232">IFERROR(INDEX(대출자[],MATCH(1,(자료실기준[[#This Row],[소장처명]]=대출자[소장처명])*(자료실기준[[#This Row],[년월]]=대출자[년월]),0),MATCH(J$1,대출자[#Headers],0)),0)</f>
        <v>72</v>
      </c>
      <c r="K232" s="9">
        <f t="array" ref="K232">IFERROR(INDEX(대출자[],MATCH(1,(자료실기준[[#This Row],[소장처명]]=대출자[소장처명])*(자료실기준[[#This Row],[년월]]=대출자[년월]),0),MATCH(K$1,대출자[#Headers],0)),0)</f>
        <v>104</v>
      </c>
      <c r="L232" s="9">
        <f t="array" ref="L232">IFERROR(INDEX(대출자[],MATCH(1,(자료실기준[[#This Row],[소장처명]]=대출자[소장처명])*(자료실기준[[#This Row],[년월]]=대출자[년월]),0),MATCH(L$1,대출자[#Headers],0)),0)</f>
        <v>7</v>
      </c>
      <c r="M232" s="9">
        <f t="array" ref="M232">IFERROR(INDEX(대출자[],MATCH(1,(자료실기준[[#This Row],[소장처명]]=대출자[소장처명])*(자료실기준[[#This Row],[년월]]=대출자[년월]),0),MATCH(M$1,대출자[#Headers],0)),0)</f>
        <v>106</v>
      </c>
      <c r="N232" s="9">
        <f>IFERROR(자료실기준[[#This Row],[어린이남자]]+자료실기준[[#This Row],[청소년남자]]+자료실기준[[#This Row],[성인남자]],0)</f>
        <v>92</v>
      </c>
      <c r="O232" s="9">
        <f>IFERROR(자료실기준[[#This Row],[어린이여자]]+자료실기준[[#This Row],[청소년여자]]+자료실기준[[#This Row],[성인여자]],0)</f>
        <v>125</v>
      </c>
      <c r="P232" s="9">
        <f>IFERROR(자료실기준[[#This Row],[남자]]+자료실기준[[#This Row],[여자]],0)</f>
        <v>217</v>
      </c>
      <c r="Q232" s="9">
        <f t="array" ref="Q232">IFERROR(INDEX(대출권수[],MATCH(1,(자료실기준[[#This Row],[소장처명]]=대출권수[소장처명])*(대출권수[대출반납]="대출")*(자료실기준[[#This Row],[년월]]=대출권수[년월]),0),MATCH(Q$1,대출권수[#Headers],0)),0)</f>
        <v>19</v>
      </c>
      <c r="R232" s="9">
        <f t="array" ref="R232">IFERROR(INDEX(대출권수[],MATCH(1,(자료실기준[[#This Row],[소장처명]]=대출권수[소장처명])*(대출권수[대출반납]="대출")*(자료실기준[[#This Row],[년월]]=대출권수[년월]),0),MATCH(R$1,대출권수[#Headers],0)),0)</f>
        <v>18</v>
      </c>
      <c r="S232" s="9">
        <f t="array" ref="S232">IFERROR(INDEX(대출권수[],MATCH(1,(자료실기준[[#This Row],[소장처명]]=대출권수[소장처명])*(대출권수[대출반납]="대출")*(자료실기준[[#This Row],[년월]]=대출권수[년월]),0),MATCH(S$1,대출권수[#Headers],0)),0)</f>
        <v>11</v>
      </c>
      <c r="T232" s="9">
        <f t="array" ref="T232">IFERROR(INDEX(대출권수[],MATCH(1,(자료실기준[[#This Row],[소장처명]]=대출권수[소장처명])*(대출권수[대출반납]="대출")*(자료실기준[[#This Row],[년월]]=대출권수[년월]),0),MATCH(T$1,대출권수[#Headers],0)),0)</f>
        <v>114</v>
      </c>
      <c r="U232" s="9">
        <f t="array" ref="U232">IFERROR(INDEX(대출권수[],MATCH(1,(자료실기준[[#This Row],[소장처명]]=대출권수[소장처명])*(대출권수[대출반납]="대출")*(자료실기준[[#This Row],[년월]]=대출권수[년월]),0),MATCH(U$1,대출권수[#Headers],0)),0)</f>
        <v>161</v>
      </c>
      <c r="V232" s="9">
        <f t="array" ref="V232">IFERROR(INDEX(대출권수[],MATCH(1,(자료실기준[[#This Row],[소장처명]]=대출권수[소장처명])*(대출권수[대출반납]="대출")*(자료실기준[[#This Row],[년월]]=대출권수[년월]),0),MATCH(V$1,대출권수[#Headers],0)),0)</f>
        <v>28</v>
      </c>
      <c r="W232" s="9">
        <f t="array" ref="W232">IFERROR(INDEX(대출권수[],MATCH(1,(자료실기준[[#This Row],[소장처명]]=대출권수[소장처명])*(대출권수[대출반납]="대출")*(자료실기준[[#This Row],[년월]]=대출권수[년월]),0),MATCH(W$1,대출권수[#Headers],0)),0)</f>
        <v>43</v>
      </c>
      <c r="X232" s="9">
        <f t="array" ref="X232">IFERROR(INDEX(대출권수[],MATCH(1,(자료실기준[[#This Row],[소장처명]]=대출권수[소장처명])*(대출권수[대출반납]="대출")*(자료실기준[[#This Row],[년월]]=대출권수[년월]),0),MATCH(X$1,대출권수[#Headers],0)),0)</f>
        <v>25</v>
      </c>
      <c r="Y232" s="9">
        <f t="array" ref="Y232">IFERROR(INDEX(대출권수[],MATCH(1,(자료실기준[[#This Row],[소장처명]]=대출권수[소장처명])*(대출권수[대출반납]="대출")*(자료실기준[[#This Row],[년월]]=대출권수[년월]),0),MATCH(Y$1,대출권수[#Headers],0)),0)</f>
        <v>793</v>
      </c>
      <c r="Z232" s="9">
        <f t="array" ref="Z232">IFERROR(INDEX(대출권수[],MATCH(1,(자료실기준[[#This Row],[소장처명]]=대출권수[소장처명])*(대출권수[대출반납]="대출")*(자료실기준[[#This Row],[년월]]=대출권수[년월]),0),MATCH(Z$1,대출권수[#Headers],0)),0)</f>
        <v>79</v>
      </c>
      <c r="AA232" s="9">
        <f>SUM(자료실기준[[#This Row],[총류]:[역사]])</f>
        <v>1291</v>
      </c>
    </row>
    <row r="233" spans="1:27" x14ac:dyDescent="0.3">
      <c r="A233" s="5">
        <v>45566</v>
      </c>
      <c r="B233" t="s">
        <v>2</v>
      </c>
      <c r="C233" s="5" t="str">
        <f>TEXT(자료실기준[[#This Row],[년월]],"yy년m월")&amp;자료실기준[[#This Row],[소장처명]]</f>
        <v>24년10월디지털자료실</v>
      </c>
      <c r="D233" t="str">
        <f>IFERROR(INDEX(자료실범례[],MATCH($B233,자료실범례[소장처명],0),2),"종합자료실")</f>
        <v>디지털자료실</v>
      </c>
      <c r="E233" s="9">
        <f t="array" ref="E233">IFERROR(INDEX(대출자[],MATCH(1,(자료실기준[[#This Row],[소장처명]]=대출자[소장처명])*(자료실기준[[#This Row],[년월]]=대출자[년월]),0),MATCH(E$1,대출자[#Headers],0)),0)</f>
        <v>0</v>
      </c>
      <c r="F233" s="9">
        <f t="array" ref="F233">IFERROR(INDEX(대출자[],MATCH(1,(자료실기준[[#This Row],[소장처명]]=대출자[소장처명])*(자료실기준[[#This Row],[년월]]=대출자[년월]),0),MATCH(F$1,대출자[#Headers],0)),0)</f>
        <v>0</v>
      </c>
      <c r="G233" s="9">
        <f t="array" ref="G233">IFERROR(INDEX(대출자[],MATCH(1,(자료실기준[[#This Row],[소장처명]]=대출자[소장처명])*(자료실기준[[#This Row],[년월]]=대출자[년월]),0),MATCH(G$1,대출자[#Headers],0)),0)</f>
        <v>0</v>
      </c>
      <c r="H233" s="9">
        <f t="array" ref="H233">IFERROR(INDEX(대출자[],MATCH(1,(자료실기준[[#This Row],[소장처명]]=대출자[소장처명])*(자료실기준[[#This Row],[년월]]=대출자[년월]),0),MATCH(H$1,대출자[#Headers],0)),0)</f>
        <v>0</v>
      </c>
      <c r="I233" s="9">
        <f t="array" ref="I233">IFERROR(INDEX(대출자[],MATCH(1,(자료실기준[[#This Row],[소장처명]]=대출자[소장처명])*(자료실기준[[#This Row],[년월]]=대출자[년월]),0),MATCH(I$1,대출자[#Headers],0)),0)</f>
        <v>4</v>
      </c>
      <c r="J233" s="9">
        <f t="array" ref="J233">IFERROR(INDEX(대출자[],MATCH(1,(자료실기준[[#This Row],[소장처명]]=대출자[소장처명])*(자료실기준[[#This Row],[년월]]=대출자[년월]),0),MATCH(J$1,대출자[#Headers],0)),0)</f>
        <v>2</v>
      </c>
      <c r="K233" s="9">
        <f t="array" ref="K233">IFERROR(INDEX(대출자[],MATCH(1,(자료실기준[[#This Row],[소장처명]]=대출자[소장처명])*(자료실기준[[#This Row],[년월]]=대출자[년월]),0),MATCH(K$1,대출자[#Headers],0)),0)</f>
        <v>0</v>
      </c>
      <c r="L233" s="9">
        <f t="array" ref="L233">IFERROR(INDEX(대출자[],MATCH(1,(자료실기준[[#This Row],[소장처명]]=대출자[소장처명])*(자료실기준[[#This Row],[년월]]=대출자[년월]),0),MATCH(L$1,대출자[#Headers],0)),0)</f>
        <v>0</v>
      </c>
      <c r="M233" s="9">
        <f t="array" ref="M233">IFERROR(INDEX(대출자[],MATCH(1,(자료실기준[[#This Row],[소장처명]]=대출자[소장처명])*(자료실기준[[#This Row],[년월]]=대출자[년월]),0),MATCH(M$1,대출자[#Headers],0)),0)</f>
        <v>6</v>
      </c>
      <c r="N233" s="9">
        <f>IFERROR(자료실기준[[#This Row],[어린이남자]]+자료실기준[[#This Row],[청소년남자]]+자료실기준[[#This Row],[성인남자]],0)</f>
        <v>4</v>
      </c>
      <c r="O233" s="9">
        <f>IFERROR(자료실기준[[#This Row],[어린이여자]]+자료실기준[[#This Row],[청소년여자]]+자료실기준[[#This Row],[성인여자]],0)</f>
        <v>2</v>
      </c>
      <c r="P233" s="9">
        <f>IFERROR(자료실기준[[#This Row],[남자]]+자료실기준[[#This Row],[여자]],0)</f>
        <v>6</v>
      </c>
      <c r="Q233" s="9">
        <f t="array" ref="Q233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33" s="9">
        <f t="array" ref="R233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33" s="9">
        <f t="array" ref="S233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33" s="9">
        <f t="array" ref="T233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33" s="9">
        <f t="array" ref="U233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33" s="9">
        <f t="array" ref="V233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33" s="9">
        <f t="array" ref="W233">IFERROR(INDEX(대출권수[],MATCH(1,(자료실기준[[#This Row],[소장처명]]=대출권수[소장처명])*(대출권수[대출반납]="대출")*(자료실기준[[#This Row],[년월]]=대출권수[년월]),0),MATCH(W$1,대출권수[#Headers],0)),0)</f>
        <v>21</v>
      </c>
      <c r="X233" s="9">
        <f t="array" ref="X233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33" s="9">
        <f t="array" ref="Y233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233" s="9">
        <f t="array" ref="Z233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33" s="9">
        <f>SUM(자료실기준[[#This Row],[총류]:[역사]])</f>
        <v>21</v>
      </c>
    </row>
    <row r="234" spans="1:27" x14ac:dyDescent="0.3">
      <c r="A234" s="5">
        <v>45566</v>
      </c>
      <c r="B234" t="s">
        <v>19</v>
      </c>
      <c r="C234" s="5" t="str">
        <f>TEXT(자료실기준[[#This Row],[년월]],"yy년m월")&amp;자료실기준[[#This Row],[소장처명]]</f>
        <v>24년10월종합실(신간도서)</v>
      </c>
      <c r="D234" t="str">
        <f>IFERROR(INDEX(자료실범례[],MATCH($B234,자료실범례[소장처명],0),2),"종합자료실")</f>
        <v>종합자료실</v>
      </c>
      <c r="E234" s="9">
        <f t="array" ref="E234">IFERROR(INDEX(대출자[],MATCH(1,(자료실기준[[#This Row],[소장처명]]=대출자[소장처명])*(자료실기준[[#This Row],[년월]]=대출자[년월]),0),MATCH(E$1,대출자[#Headers],0)),0)</f>
        <v>6</v>
      </c>
      <c r="F234" s="9">
        <f t="array" ref="F234">IFERROR(INDEX(대출자[],MATCH(1,(자료실기준[[#This Row],[소장처명]]=대출자[소장처명])*(자료실기준[[#This Row],[년월]]=대출자[년월]),0),MATCH(F$1,대출자[#Headers],0)),0)</f>
        <v>0</v>
      </c>
      <c r="G234" s="9">
        <f t="array" ref="G234">IFERROR(INDEX(대출자[],MATCH(1,(자료실기준[[#This Row],[소장처명]]=대출자[소장처명])*(자료실기준[[#This Row],[년월]]=대출자[년월]),0),MATCH(G$1,대출자[#Headers],0)),0)</f>
        <v>2</v>
      </c>
      <c r="H234" s="9">
        <f t="array" ref="H234">IFERROR(INDEX(대출자[],MATCH(1,(자료실기준[[#This Row],[소장처명]]=대출자[소장처명])*(자료실기준[[#This Row],[년월]]=대출자[년월]),0),MATCH(H$1,대출자[#Headers],0)),0)</f>
        <v>3</v>
      </c>
      <c r="I234" s="9">
        <f t="array" ref="I234">IFERROR(INDEX(대출자[],MATCH(1,(자료실기준[[#This Row],[소장처명]]=대출자[소장처명])*(자료실기준[[#This Row],[년월]]=대출자[년월]),0),MATCH(I$1,대출자[#Headers],0)),0)</f>
        <v>47</v>
      </c>
      <c r="J234" s="9">
        <f t="array" ref="J234">IFERROR(INDEX(대출자[],MATCH(1,(자료실기준[[#This Row],[소장처명]]=대출자[소장처명])*(자료실기준[[#This Row],[년월]]=대출자[년월]),0),MATCH(J$1,대출자[#Headers],0)),0)</f>
        <v>102</v>
      </c>
      <c r="K234" s="9">
        <f t="array" ref="K234">IFERROR(INDEX(대출자[],MATCH(1,(자료실기준[[#This Row],[소장처명]]=대출자[소장처명])*(자료실기준[[#This Row],[년월]]=대출자[년월]),0),MATCH(K$1,대출자[#Headers],0)),0)</f>
        <v>6</v>
      </c>
      <c r="L234" s="9">
        <f t="array" ref="L234">IFERROR(INDEX(대출자[],MATCH(1,(자료실기준[[#This Row],[소장처명]]=대출자[소장처명])*(자료실기준[[#This Row],[년월]]=대출자[년월]),0),MATCH(L$1,대출자[#Headers],0)),0)</f>
        <v>5</v>
      </c>
      <c r="M234" s="9">
        <f t="array" ref="M234">IFERROR(INDEX(대출자[],MATCH(1,(자료실기준[[#This Row],[소장처명]]=대출자[소장처명])*(자료실기준[[#This Row],[년월]]=대출자[년월]),0),MATCH(M$1,대출자[#Headers],0)),0)</f>
        <v>149</v>
      </c>
      <c r="N234" s="9">
        <f>IFERROR(자료실기준[[#This Row],[어린이남자]]+자료실기준[[#This Row],[청소년남자]]+자료실기준[[#This Row],[성인남자]],0)</f>
        <v>55</v>
      </c>
      <c r="O234" s="9">
        <f>IFERROR(자료실기준[[#This Row],[어린이여자]]+자료실기준[[#This Row],[청소년여자]]+자료실기준[[#This Row],[성인여자]],0)</f>
        <v>105</v>
      </c>
      <c r="P234" s="9">
        <f>IFERROR(자료실기준[[#This Row],[남자]]+자료실기준[[#This Row],[여자]],0)</f>
        <v>160</v>
      </c>
      <c r="Q234" s="9">
        <f t="array" ref="Q234">IFERROR(INDEX(대출권수[],MATCH(1,(자료실기준[[#This Row],[소장처명]]=대출권수[소장처명])*(대출권수[대출반납]="대출")*(자료실기준[[#This Row],[년월]]=대출권수[년월]),0),MATCH(Q$1,대출권수[#Headers],0)),0)</f>
        <v>15</v>
      </c>
      <c r="R234" s="9">
        <f t="array" ref="R234">IFERROR(INDEX(대출권수[],MATCH(1,(자료실기준[[#This Row],[소장처명]]=대출권수[소장처명])*(대출권수[대출반납]="대출")*(자료실기준[[#This Row],[년월]]=대출권수[년월]),0),MATCH(R$1,대출권수[#Headers],0)),0)</f>
        <v>77</v>
      </c>
      <c r="S234" s="9">
        <f t="array" ref="S234">IFERROR(INDEX(대출권수[],MATCH(1,(자료실기준[[#This Row],[소장처명]]=대출권수[소장처명])*(대출권수[대출반납]="대출")*(자료실기준[[#This Row],[년월]]=대출권수[년월]),0),MATCH(S$1,대출권수[#Headers],0)),0)</f>
        <v>12</v>
      </c>
      <c r="T234" s="9">
        <f t="array" ref="T234">IFERROR(INDEX(대출권수[],MATCH(1,(자료실기준[[#This Row],[소장처명]]=대출권수[소장처명])*(대출권수[대출반납]="대출")*(자료실기준[[#This Row],[년월]]=대출권수[년월]),0),MATCH(T$1,대출권수[#Headers],0)),0)</f>
        <v>92</v>
      </c>
      <c r="U234" s="9">
        <f t="array" ref="U234">IFERROR(INDEX(대출권수[],MATCH(1,(자료실기준[[#This Row],[소장처명]]=대출권수[소장처명])*(대출권수[대출반납]="대출")*(자료실기준[[#This Row],[년월]]=대출권수[년월]),0),MATCH(U$1,대출권수[#Headers],0)),0)</f>
        <v>21</v>
      </c>
      <c r="V234" s="9">
        <f t="array" ref="V234">IFERROR(INDEX(대출권수[],MATCH(1,(자료실기준[[#This Row],[소장처명]]=대출권수[소장처명])*(대출권수[대출반납]="대출")*(자료실기준[[#This Row],[년월]]=대출권수[년월]),0),MATCH(V$1,대출권수[#Headers],0)),0)</f>
        <v>51</v>
      </c>
      <c r="W234" s="9">
        <f t="array" ref="W234">IFERROR(INDEX(대출권수[],MATCH(1,(자료실기준[[#This Row],[소장처명]]=대출권수[소장처명])*(대출권수[대출반납]="대출")*(자료실기준[[#This Row],[년월]]=대출권수[년월]),0),MATCH(W$1,대출권수[#Headers],0)),0)</f>
        <v>32</v>
      </c>
      <c r="X234" s="9">
        <f t="array" ref="X234">IFERROR(INDEX(대출권수[],MATCH(1,(자료실기준[[#This Row],[소장처명]]=대출권수[소장처명])*(대출권수[대출반납]="대출")*(자료실기준[[#This Row],[년월]]=대출권수[년월]),0),MATCH(X$1,대출권수[#Headers],0)),0)</f>
        <v>13</v>
      </c>
      <c r="Y234" s="9">
        <f t="array" ref="Y234">IFERROR(INDEX(대출권수[],MATCH(1,(자료실기준[[#This Row],[소장처명]]=대출권수[소장처명])*(대출권수[대출반납]="대출")*(자료실기준[[#This Row],[년월]]=대출권수[년월]),0),MATCH(Y$1,대출권수[#Headers],0)),0)</f>
        <v>175</v>
      </c>
      <c r="Z234" s="9">
        <f t="array" ref="Z234">IFERROR(INDEX(대출권수[],MATCH(1,(자료실기준[[#This Row],[소장처명]]=대출권수[소장처명])*(대출권수[대출반납]="대출")*(자료실기준[[#This Row],[년월]]=대출권수[년월]),0),MATCH(Z$1,대출권수[#Headers],0)),0)</f>
        <v>22</v>
      </c>
      <c r="AA234" s="9">
        <f>SUM(자료실기준[[#This Row],[총류]:[역사]])</f>
        <v>510</v>
      </c>
    </row>
    <row r="235" spans="1:27" x14ac:dyDescent="0.3">
      <c r="A235" s="5">
        <v>45566</v>
      </c>
      <c r="B235" t="s">
        <v>14</v>
      </c>
      <c r="C235" s="5" t="str">
        <f>TEXT(자료실기준[[#This Row],[년월]],"yy년m월")&amp;자료실기준[[#This Row],[소장처명]]</f>
        <v>24년10월어린이실(신간도서)</v>
      </c>
      <c r="D235" t="str">
        <f>IFERROR(INDEX(자료실범례[],MATCH($B235,자료실범례[소장처명],0),2),"종합자료실")</f>
        <v>어린이자료실</v>
      </c>
      <c r="E235" s="9">
        <f t="array" ref="E235">IFERROR(INDEX(대출자[],MATCH(1,(자료실기준[[#This Row],[소장처명]]=대출자[소장처명])*(자료실기준[[#This Row],[년월]]=대출자[년월]),0),MATCH(E$1,대출자[#Headers],0)),0)</f>
        <v>22</v>
      </c>
      <c r="F235" s="9">
        <f t="array" ref="F235">IFERROR(INDEX(대출자[],MATCH(1,(자료실기준[[#This Row],[소장처명]]=대출자[소장처명])*(자료실기준[[#This Row],[년월]]=대출자[년월]),0),MATCH(F$1,대출자[#Headers],0)),0)</f>
        <v>25</v>
      </c>
      <c r="G235" s="9">
        <f t="array" ref="G235">IFERROR(INDEX(대출자[],MATCH(1,(자료실기준[[#This Row],[소장처명]]=대출자[소장처명])*(자료실기준[[#This Row],[년월]]=대출자[년월]),0),MATCH(G$1,대출자[#Headers],0)),0)</f>
        <v>0</v>
      </c>
      <c r="H235" s="9">
        <f t="array" ref="H235">IFERROR(INDEX(대출자[],MATCH(1,(자료실기준[[#This Row],[소장처명]]=대출자[소장처명])*(자료실기준[[#This Row],[년월]]=대출자[년월]),0),MATCH(H$1,대출자[#Headers],0)),0)</f>
        <v>0</v>
      </c>
      <c r="I235" s="9">
        <f t="array" ref="I235">IFERROR(INDEX(대출자[],MATCH(1,(자료실기준[[#This Row],[소장처명]]=대출자[소장처명])*(자료실기준[[#This Row],[년월]]=대출자[년월]),0),MATCH(I$1,대출자[#Headers],0)),0)</f>
        <v>14</v>
      </c>
      <c r="J235" s="9">
        <f t="array" ref="J235">IFERROR(INDEX(대출자[],MATCH(1,(자료실기준[[#This Row],[소장처명]]=대출자[소장처명])*(자료실기준[[#This Row],[년월]]=대출자[년월]),0),MATCH(J$1,대출자[#Headers],0)),0)</f>
        <v>25</v>
      </c>
      <c r="K235" s="9">
        <f t="array" ref="K235">IFERROR(INDEX(대출자[],MATCH(1,(자료실기준[[#This Row],[소장처명]]=대출자[소장처명])*(자료실기준[[#This Row],[년월]]=대출자[년월]),0),MATCH(K$1,대출자[#Headers],0)),0)</f>
        <v>47</v>
      </c>
      <c r="L235" s="9">
        <f t="array" ref="L235">IFERROR(INDEX(대출자[],MATCH(1,(자료실기준[[#This Row],[소장처명]]=대출자[소장처명])*(자료실기준[[#This Row],[년월]]=대출자[년월]),0),MATCH(L$1,대출자[#Headers],0)),0)</f>
        <v>0</v>
      </c>
      <c r="M235" s="9">
        <f t="array" ref="M235">IFERROR(INDEX(대출자[],MATCH(1,(자료실기준[[#This Row],[소장처명]]=대출자[소장처명])*(자료실기준[[#This Row],[년월]]=대출자[년월]),0),MATCH(M$1,대출자[#Headers],0)),0)</f>
        <v>39</v>
      </c>
      <c r="N235" s="9">
        <f>IFERROR(자료실기준[[#This Row],[어린이남자]]+자료실기준[[#This Row],[청소년남자]]+자료실기준[[#This Row],[성인남자]],0)</f>
        <v>36</v>
      </c>
      <c r="O235" s="9">
        <f>IFERROR(자료실기준[[#This Row],[어린이여자]]+자료실기준[[#This Row],[청소년여자]]+자료실기준[[#This Row],[성인여자]],0)</f>
        <v>50</v>
      </c>
      <c r="P235" s="9">
        <f>IFERROR(자료실기준[[#This Row],[남자]]+자료실기준[[#This Row],[여자]],0)</f>
        <v>86</v>
      </c>
      <c r="Q235" s="9">
        <f t="array" ref="Q235">IFERROR(INDEX(대출권수[],MATCH(1,(자료실기준[[#This Row],[소장처명]]=대출권수[소장처명])*(대출권수[대출반납]="대출")*(자료실기준[[#This Row],[년월]]=대출권수[년월]),0),MATCH(Q$1,대출권수[#Headers],0)),0)</f>
        <v>5</v>
      </c>
      <c r="R235" s="9">
        <f t="array" ref="R235">IFERROR(INDEX(대출권수[],MATCH(1,(자료실기준[[#This Row],[소장처명]]=대출권수[소장처명])*(대출권수[대출반납]="대출")*(자료실기준[[#This Row],[년월]]=대출권수[년월]),0),MATCH(R$1,대출권수[#Headers],0)),0)</f>
        <v>8</v>
      </c>
      <c r="S235" s="9">
        <f t="array" ref="S235">IFERROR(INDEX(대출권수[],MATCH(1,(자료실기준[[#This Row],[소장처명]]=대출권수[소장처명])*(대출권수[대출반납]="대출")*(자료실기준[[#This Row],[년월]]=대출권수[년월]),0),MATCH(S$1,대출권수[#Headers],0)),0)</f>
        <v>4</v>
      </c>
      <c r="T235" s="9">
        <f t="array" ref="T235">IFERROR(INDEX(대출권수[],MATCH(1,(자료실기준[[#This Row],[소장처명]]=대출권수[소장처명])*(대출권수[대출반납]="대출")*(자료실기준[[#This Row],[년월]]=대출권수[년월]),0),MATCH(T$1,대출권수[#Headers],0)),0)</f>
        <v>15</v>
      </c>
      <c r="U235" s="9">
        <f t="array" ref="U235">IFERROR(INDEX(대출권수[],MATCH(1,(자료실기준[[#This Row],[소장처명]]=대출권수[소장처명])*(대출권수[대출반납]="대출")*(자료실기준[[#This Row],[년월]]=대출권수[년월]),0),MATCH(U$1,대출권수[#Headers],0)),0)</f>
        <v>24</v>
      </c>
      <c r="V235" s="9">
        <f t="array" ref="V235">IFERROR(INDEX(대출권수[],MATCH(1,(자료실기준[[#This Row],[소장처명]]=대출권수[소장처명])*(대출권수[대출반납]="대출")*(자료실기준[[#This Row],[년월]]=대출권수[년월]),0),MATCH(V$1,대출권수[#Headers],0)),0)</f>
        <v>4</v>
      </c>
      <c r="W235" s="9">
        <f t="array" ref="W235">IFERROR(INDEX(대출권수[],MATCH(1,(자료실기준[[#This Row],[소장처명]]=대출권수[소장처명])*(대출권수[대출반납]="대출")*(자료실기준[[#This Row],[년월]]=대출권수[년월]),0),MATCH(W$1,대출권수[#Headers],0)),0)</f>
        <v>5</v>
      </c>
      <c r="X235" s="9">
        <f t="array" ref="X235">IFERROR(INDEX(대출권수[],MATCH(1,(자료실기준[[#This Row],[소장처명]]=대출권수[소장처명])*(대출권수[대출반납]="대출")*(자료실기준[[#This Row],[년월]]=대출권수[년월]),0),MATCH(X$1,대출권수[#Headers],0)),0)</f>
        <v>6</v>
      </c>
      <c r="Y235" s="9">
        <f t="array" ref="Y235">IFERROR(INDEX(대출권수[],MATCH(1,(자료실기준[[#This Row],[소장처명]]=대출권수[소장처명])*(대출권수[대출반납]="대출")*(자료실기준[[#This Row],[년월]]=대출권수[년월]),0),MATCH(Y$1,대출권수[#Headers],0)),0)</f>
        <v>176</v>
      </c>
      <c r="Z235" s="9">
        <f t="array" ref="Z235">IFERROR(INDEX(대출권수[],MATCH(1,(자료실기준[[#This Row],[소장처명]]=대출권수[소장처명])*(대출권수[대출반납]="대출")*(자료실기준[[#This Row],[년월]]=대출권수[년월]),0),MATCH(Z$1,대출권수[#Headers],0)),0)</f>
        <v>23</v>
      </c>
      <c r="AA235" s="9">
        <f>SUM(자료실기준[[#This Row],[총류]:[역사]])</f>
        <v>270</v>
      </c>
    </row>
    <row r="236" spans="1:27" x14ac:dyDescent="0.3">
      <c r="A236" s="5">
        <v>45566</v>
      </c>
      <c r="B236" t="s">
        <v>13</v>
      </c>
      <c r="C236" s="5" t="str">
        <f>TEXT(자료실기준[[#This Row],[년월]],"yy년m월")&amp;자료실기준[[#This Row],[소장처명]]</f>
        <v>24년10월어린이실(수상작)</v>
      </c>
      <c r="D236" t="str">
        <f>IFERROR(INDEX(자료실범례[],MATCH($B236,자료실범례[소장처명],0),2),"종합자료실")</f>
        <v>어린이자료실</v>
      </c>
      <c r="E236" s="9">
        <f t="array" ref="E236">IFERROR(INDEX(대출자[],MATCH(1,(자료실기준[[#This Row],[소장처명]]=대출자[소장처명])*(자료실기준[[#This Row],[년월]]=대출자[년월]),0),MATCH(E$1,대출자[#Headers],0)),0)</f>
        <v>2</v>
      </c>
      <c r="F236" s="9">
        <f t="array" ref="F236">IFERROR(INDEX(대출자[],MATCH(1,(자료실기준[[#This Row],[소장처명]]=대출자[소장처명])*(자료실기준[[#This Row],[년월]]=대출자[년월]),0),MATCH(F$1,대출자[#Headers],0)),0)</f>
        <v>1</v>
      </c>
      <c r="G236" s="9">
        <f t="array" ref="G236">IFERROR(INDEX(대출자[],MATCH(1,(자료실기준[[#This Row],[소장처명]]=대출자[소장처명])*(자료실기준[[#This Row],[년월]]=대출자[년월]),0),MATCH(G$1,대출자[#Headers],0)),0)</f>
        <v>0</v>
      </c>
      <c r="H236" s="9">
        <f t="array" ref="H236">IFERROR(INDEX(대출자[],MATCH(1,(자료실기준[[#This Row],[소장처명]]=대출자[소장처명])*(자료실기준[[#This Row],[년월]]=대출자[년월]),0),MATCH(H$1,대출자[#Headers],0)),0)</f>
        <v>0</v>
      </c>
      <c r="I236" s="9">
        <f t="array" ref="I236">IFERROR(INDEX(대출자[],MATCH(1,(자료실기준[[#This Row],[소장처명]]=대출자[소장처명])*(자료실기준[[#This Row],[년월]]=대출자[년월]),0),MATCH(I$1,대출자[#Headers],0)),0)</f>
        <v>1</v>
      </c>
      <c r="J236" s="9">
        <f t="array" ref="J236">IFERROR(INDEX(대출자[],MATCH(1,(자료실기준[[#This Row],[소장처명]]=대출자[소장처명])*(자료실기준[[#This Row],[년월]]=대출자[년월]),0),MATCH(J$1,대출자[#Headers],0)),0)</f>
        <v>0</v>
      </c>
      <c r="K236" s="9">
        <f t="array" ref="K236">IFERROR(INDEX(대출자[],MATCH(1,(자료실기준[[#This Row],[소장처명]]=대출자[소장처명])*(자료실기준[[#This Row],[년월]]=대출자[년월]),0),MATCH(K$1,대출자[#Headers],0)),0)</f>
        <v>3</v>
      </c>
      <c r="L236" s="9">
        <f t="array" ref="L236">IFERROR(INDEX(대출자[],MATCH(1,(자료실기준[[#This Row],[소장처명]]=대출자[소장처명])*(자료실기준[[#This Row],[년월]]=대출자[년월]),0),MATCH(L$1,대출자[#Headers],0)),0)</f>
        <v>0</v>
      </c>
      <c r="M236" s="9">
        <f t="array" ref="M236">IFERROR(INDEX(대출자[],MATCH(1,(자료실기준[[#This Row],[소장처명]]=대출자[소장처명])*(자료실기준[[#This Row],[년월]]=대출자[년월]),0),MATCH(M$1,대출자[#Headers],0)),0)</f>
        <v>1</v>
      </c>
      <c r="N236" s="9">
        <f>IFERROR(자료실기준[[#This Row],[어린이남자]]+자료실기준[[#This Row],[청소년남자]]+자료실기준[[#This Row],[성인남자]],0)</f>
        <v>3</v>
      </c>
      <c r="O236" s="9">
        <f>IFERROR(자료실기준[[#This Row],[어린이여자]]+자료실기준[[#This Row],[청소년여자]]+자료실기준[[#This Row],[성인여자]],0)</f>
        <v>1</v>
      </c>
      <c r="P236" s="9">
        <f>IFERROR(자료실기준[[#This Row],[남자]]+자료실기준[[#This Row],[여자]],0)</f>
        <v>4</v>
      </c>
      <c r="Q236" s="9">
        <f t="array" ref="Q236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36" s="9">
        <f t="array" ref="R236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36" s="9">
        <f t="array" ref="S236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36" s="9">
        <f t="array" ref="T236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36" s="9">
        <f t="array" ref="U236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36" s="9">
        <f t="array" ref="V236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36" s="9">
        <f t="array" ref="W236">IFERROR(INDEX(대출권수[],MATCH(1,(자료실기준[[#This Row],[소장처명]]=대출권수[소장처명])*(대출권수[대출반납]="대출")*(자료실기준[[#This Row],[년월]]=대출권수[년월]),0),MATCH(W$1,대출권수[#Headers],0)),0)</f>
        <v>1</v>
      </c>
      <c r="X236" s="9">
        <f t="array" ref="X236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36" s="9">
        <f t="array" ref="Y236">IFERROR(INDEX(대출권수[],MATCH(1,(자료실기준[[#This Row],[소장처명]]=대출권수[소장처명])*(대출권수[대출반납]="대출")*(자료실기준[[#This Row],[년월]]=대출권수[년월]),0),MATCH(Y$1,대출권수[#Headers],0)),0)</f>
        <v>3</v>
      </c>
      <c r="Z236" s="9">
        <f t="array" ref="Z236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36" s="9">
        <f>SUM(자료실기준[[#This Row],[총류]:[역사]])</f>
        <v>4</v>
      </c>
    </row>
    <row r="237" spans="1:27" x14ac:dyDescent="0.3">
      <c r="A237" s="5">
        <v>45566</v>
      </c>
      <c r="B237" t="s">
        <v>15</v>
      </c>
      <c r="C237" s="5" t="str">
        <f>TEXT(자료실기준[[#This Row],[년월]],"yy년m월")&amp;자료실기준[[#This Row],[소장처명]]</f>
        <v>24년10월어린이실(학습만화)</v>
      </c>
      <c r="D237" t="str">
        <f>IFERROR(INDEX(자료실범례[],MATCH($B237,자료실범례[소장처명],0),2),"종합자료실")</f>
        <v>어린이자료실</v>
      </c>
      <c r="E237" s="9">
        <f t="array" ref="E237">IFERROR(INDEX(대출자[],MATCH(1,(자료실기준[[#This Row],[소장처명]]=대출자[소장처명])*(자료실기준[[#This Row],[년월]]=대출자[년월]),0),MATCH(E$1,대출자[#Headers],0)),0)</f>
        <v>27</v>
      </c>
      <c r="F237" s="9">
        <f t="array" ref="F237">IFERROR(INDEX(대출자[],MATCH(1,(자료실기준[[#This Row],[소장처명]]=대출자[소장처명])*(자료실기준[[#This Row],[년월]]=대출자[년월]),0),MATCH(F$1,대출자[#Headers],0)),0)</f>
        <v>15</v>
      </c>
      <c r="G237" s="9">
        <f t="array" ref="G237">IFERROR(INDEX(대출자[],MATCH(1,(자료실기준[[#This Row],[소장처명]]=대출자[소장처명])*(자료실기준[[#This Row],[년월]]=대출자[년월]),0),MATCH(G$1,대출자[#Headers],0)),0)</f>
        <v>1</v>
      </c>
      <c r="H237" s="9">
        <f t="array" ref="H237">IFERROR(INDEX(대출자[],MATCH(1,(자료실기준[[#This Row],[소장처명]]=대출자[소장처명])*(자료실기준[[#This Row],[년월]]=대출자[년월]),0),MATCH(H$1,대출자[#Headers],0)),0)</f>
        <v>2</v>
      </c>
      <c r="I237" s="9">
        <f t="array" ref="I237">IFERROR(INDEX(대출자[],MATCH(1,(자료실기준[[#This Row],[소장처명]]=대출자[소장처명])*(자료실기준[[#This Row],[년월]]=대출자[년월]),0),MATCH(I$1,대출자[#Headers],0)),0)</f>
        <v>11</v>
      </c>
      <c r="J237" s="9">
        <f t="array" ref="J237">IFERROR(INDEX(대출자[],MATCH(1,(자료실기준[[#This Row],[소장처명]]=대출자[소장처명])*(자료실기준[[#This Row],[년월]]=대출자[년월]),0),MATCH(J$1,대출자[#Headers],0)),0)</f>
        <v>28</v>
      </c>
      <c r="K237" s="9">
        <f t="array" ref="K237">IFERROR(INDEX(대출자[],MATCH(1,(자료실기준[[#This Row],[소장처명]]=대출자[소장처명])*(자료실기준[[#This Row],[년월]]=대출자[년월]),0),MATCH(K$1,대출자[#Headers],0)),0)</f>
        <v>42</v>
      </c>
      <c r="L237" s="9">
        <f t="array" ref="L237">IFERROR(INDEX(대출자[],MATCH(1,(자료실기준[[#This Row],[소장처명]]=대출자[소장처명])*(자료실기준[[#This Row],[년월]]=대출자[년월]),0),MATCH(L$1,대출자[#Headers],0)),0)</f>
        <v>3</v>
      </c>
      <c r="M237" s="9">
        <f t="array" ref="M237">IFERROR(INDEX(대출자[],MATCH(1,(자료실기준[[#This Row],[소장처명]]=대출자[소장처명])*(자료실기준[[#This Row],[년월]]=대출자[년월]),0),MATCH(M$1,대출자[#Headers],0)),0)</f>
        <v>39</v>
      </c>
      <c r="N237" s="9">
        <f>IFERROR(자료실기준[[#This Row],[어린이남자]]+자료실기준[[#This Row],[청소년남자]]+자료실기준[[#This Row],[성인남자]],0)</f>
        <v>39</v>
      </c>
      <c r="O237" s="9">
        <f>IFERROR(자료실기준[[#This Row],[어린이여자]]+자료실기준[[#This Row],[청소년여자]]+자료실기준[[#This Row],[성인여자]],0)</f>
        <v>45</v>
      </c>
      <c r="P237" s="9">
        <f>IFERROR(자료실기준[[#This Row],[남자]]+자료실기준[[#This Row],[여자]],0)</f>
        <v>84</v>
      </c>
      <c r="Q237" s="9">
        <f t="array" ref="Q237">IFERROR(INDEX(대출권수[],MATCH(1,(자료실기준[[#This Row],[소장처명]]=대출권수[소장처명])*(대출권수[대출반납]="대출")*(자료실기준[[#This Row],[년월]]=대출권수[년월]),0),MATCH(Q$1,대출권수[#Headers],0)),0)</f>
        <v>1</v>
      </c>
      <c r="R237" s="9">
        <f t="array" ref="R237">IFERROR(INDEX(대출권수[],MATCH(1,(자료실기준[[#This Row],[소장처명]]=대출권수[소장처명])*(대출권수[대출반납]="대출")*(자료실기준[[#This Row],[년월]]=대출권수[년월]),0),MATCH(R$1,대출권수[#Headers],0)),0)</f>
        <v>1</v>
      </c>
      <c r="S237" s="9">
        <f t="array" ref="S237">IFERROR(INDEX(대출권수[],MATCH(1,(자료실기준[[#This Row],[소장처명]]=대출권수[소장처명])*(대출권수[대출반납]="대출")*(자료실기준[[#This Row],[년월]]=대출권수[년월]),0),MATCH(S$1,대출권수[#Headers],0)),0)</f>
        <v>12</v>
      </c>
      <c r="T237" s="9">
        <f t="array" ref="T237">IFERROR(INDEX(대출권수[],MATCH(1,(자료실기준[[#This Row],[소장처명]]=대출권수[소장처명])*(대출권수[대출반납]="대출")*(자료실기준[[#This Row],[년월]]=대출권수[년월]),0),MATCH(T$1,대출권수[#Headers],0)),0)</f>
        <v>3</v>
      </c>
      <c r="U237" s="9">
        <f t="array" ref="U237">IFERROR(INDEX(대출권수[],MATCH(1,(자료실기준[[#This Row],[소장처명]]=대출권수[소장처명])*(대출권수[대출반납]="대출")*(자료실기준[[#This Row],[년월]]=대출권수[년월]),0),MATCH(U$1,대출권수[#Headers],0)),0)</f>
        <v>192</v>
      </c>
      <c r="V237" s="9">
        <f t="array" ref="V237">IFERROR(INDEX(대출권수[],MATCH(1,(자료실기준[[#This Row],[소장처명]]=대출권수[소장처명])*(대출권수[대출반납]="대출")*(자료실기준[[#This Row],[년월]]=대출권수[년월]),0),MATCH(V$1,대출권수[#Headers],0)),0)</f>
        <v>4</v>
      </c>
      <c r="W237" s="9">
        <f t="array" ref="W237">IFERROR(INDEX(대출권수[],MATCH(1,(자료실기준[[#This Row],[소장처명]]=대출권수[소장처명])*(대출권수[대출반납]="대출")*(자료실기준[[#This Row],[년월]]=대출권수[년월]),0),MATCH(W$1,대출권수[#Headers],0)),0)</f>
        <v>2</v>
      </c>
      <c r="X237" s="9">
        <f t="array" ref="X237">IFERROR(INDEX(대출권수[],MATCH(1,(자료실기준[[#This Row],[소장처명]]=대출권수[소장처명])*(대출권수[대출반납]="대출")*(자료실기준[[#This Row],[년월]]=대출권수[년월]),0),MATCH(X$1,대출권수[#Headers],0)),0)</f>
        <v>53</v>
      </c>
      <c r="Y237" s="9">
        <f t="array" ref="Y237">IFERROR(INDEX(대출권수[],MATCH(1,(자료실기준[[#This Row],[소장처명]]=대출권수[소장처명])*(대출권수[대출반납]="대출")*(자료실기준[[#This Row],[년월]]=대출권수[년월]),0),MATCH(Y$1,대출권수[#Headers],0)),0)</f>
        <v>28</v>
      </c>
      <c r="Z237" s="9">
        <f t="array" ref="Z237">IFERROR(INDEX(대출권수[],MATCH(1,(자료실기준[[#This Row],[소장처명]]=대출권수[소장처명])*(대출권수[대출반납]="대출")*(자료실기준[[#This Row],[년월]]=대출권수[년월]),0),MATCH(Z$1,대출권수[#Headers],0)),0)</f>
        <v>131</v>
      </c>
      <c r="AA237" s="9">
        <f>SUM(자료실기준[[#This Row],[총류]:[역사]])</f>
        <v>427</v>
      </c>
    </row>
    <row r="238" spans="1:27" x14ac:dyDescent="0.3">
      <c r="A238" s="5">
        <v>45566</v>
      </c>
      <c r="B238" t="s">
        <v>20</v>
      </c>
      <c r="C238" s="5" t="str">
        <f>TEXT(자료실기준[[#This Row],[년월]],"yy년m월")&amp;자료실기준[[#This Row],[소장처명]]</f>
        <v>24년10월종합실(청소년 진로)</v>
      </c>
      <c r="D238" t="str">
        <f>IFERROR(INDEX(자료실범례[],MATCH($B238,자료실범례[소장처명],0),2),"종합자료실")</f>
        <v>종합자료실</v>
      </c>
      <c r="E238" s="9">
        <f t="array" ref="E238">IFERROR(INDEX(대출자[],MATCH(1,(자료실기준[[#This Row],[소장처명]]=대출자[소장처명])*(자료실기준[[#This Row],[년월]]=대출자[년월]),0),MATCH(E$1,대출자[#Headers],0)),0)</f>
        <v>0</v>
      </c>
      <c r="F238" s="9">
        <f t="array" ref="F238">IFERROR(INDEX(대출자[],MATCH(1,(자료실기준[[#This Row],[소장처명]]=대출자[소장처명])*(자료실기준[[#This Row],[년월]]=대출자[년월]),0),MATCH(F$1,대출자[#Headers],0)),0)</f>
        <v>0</v>
      </c>
      <c r="G238" s="9">
        <f t="array" ref="G238">IFERROR(INDEX(대출자[],MATCH(1,(자료실기준[[#This Row],[소장처명]]=대출자[소장처명])*(자료실기준[[#This Row],[년월]]=대출자[년월]),0),MATCH(G$1,대출자[#Headers],0)),0)</f>
        <v>0</v>
      </c>
      <c r="H238" s="9">
        <f t="array" ref="H238">IFERROR(INDEX(대출자[],MATCH(1,(자료실기준[[#This Row],[소장처명]]=대출자[소장처명])*(자료실기준[[#This Row],[년월]]=대출자[년월]),0),MATCH(H$1,대출자[#Headers],0)),0)</f>
        <v>0</v>
      </c>
      <c r="I238" s="9">
        <f t="array" ref="I238">IFERROR(INDEX(대출자[],MATCH(1,(자료실기준[[#This Row],[소장처명]]=대출자[소장처명])*(자료실기준[[#This Row],[년월]]=대출자[년월]),0),MATCH(I$1,대출자[#Headers],0)),0)</f>
        <v>1</v>
      </c>
      <c r="J238" s="9">
        <f t="array" ref="J238">IFERROR(INDEX(대출자[],MATCH(1,(자료실기준[[#This Row],[소장처명]]=대출자[소장처명])*(자료실기준[[#This Row],[년월]]=대출자[년월]),0),MATCH(J$1,대출자[#Headers],0)),0)</f>
        <v>1</v>
      </c>
      <c r="K238" s="9">
        <f t="array" ref="K238">IFERROR(INDEX(대출자[],MATCH(1,(자료실기준[[#This Row],[소장처명]]=대출자[소장처명])*(자료실기준[[#This Row],[년월]]=대출자[년월]),0),MATCH(K$1,대출자[#Headers],0)),0)</f>
        <v>0</v>
      </c>
      <c r="L238" s="9">
        <f t="array" ref="L238">IFERROR(INDEX(대출자[],MATCH(1,(자료실기준[[#This Row],[소장처명]]=대출자[소장처명])*(자료실기준[[#This Row],[년월]]=대출자[년월]),0),MATCH(L$1,대출자[#Headers],0)),0)</f>
        <v>0</v>
      </c>
      <c r="M238" s="9">
        <f t="array" ref="M238">IFERROR(INDEX(대출자[],MATCH(1,(자료실기준[[#This Row],[소장처명]]=대출자[소장처명])*(자료실기준[[#This Row],[년월]]=대출자[년월]),0),MATCH(M$1,대출자[#Headers],0)),0)</f>
        <v>2</v>
      </c>
      <c r="N238" s="9">
        <f>IFERROR(자료실기준[[#This Row],[어린이남자]]+자료실기준[[#This Row],[청소년남자]]+자료실기준[[#This Row],[성인남자]],0)</f>
        <v>1</v>
      </c>
      <c r="O238" s="9">
        <f>IFERROR(자료실기준[[#This Row],[어린이여자]]+자료실기준[[#This Row],[청소년여자]]+자료실기준[[#This Row],[성인여자]],0)</f>
        <v>1</v>
      </c>
      <c r="P238" s="9">
        <f>IFERROR(자료실기준[[#This Row],[남자]]+자료실기준[[#This Row],[여자]],0)</f>
        <v>2</v>
      </c>
      <c r="Q238" s="9">
        <f t="array" ref="Q238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38" s="9">
        <f t="array" ref="R238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38" s="9">
        <f t="array" ref="S238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38" s="9">
        <f t="array" ref="T238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38" s="9">
        <f t="array" ref="U238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38" s="9">
        <f t="array" ref="V238">IFERROR(INDEX(대출권수[],MATCH(1,(자료실기준[[#This Row],[소장처명]]=대출권수[소장처명])*(대출권수[대출반납]="대출")*(자료실기준[[#This Row],[년월]]=대출권수[년월]),0),MATCH(V$1,대출권수[#Headers],0)),0)</f>
        <v>1</v>
      </c>
      <c r="W238" s="9">
        <f t="array" ref="W238">IFERROR(INDEX(대출권수[],MATCH(1,(자료실기준[[#This Row],[소장처명]]=대출권수[소장처명])*(대출권수[대출반납]="대출")*(자료실기준[[#This Row],[년월]]=대출권수[년월]),0),MATCH(W$1,대출권수[#Headers],0)),0)</f>
        <v>1</v>
      </c>
      <c r="X238" s="9">
        <f t="array" ref="X238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38" s="9">
        <f t="array" ref="Y238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238" s="9">
        <f t="array" ref="Z238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38" s="9">
        <f>SUM(자료실기준[[#This Row],[총류]:[역사]])</f>
        <v>2</v>
      </c>
    </row>
    <row r="239" spans="1:27" x14ac:dyDescent="0.3">
      <c r="A239" s="5">
        <v>45566</v>
      </c>
      <c r="B239" t="s">
        <v>3</v>
      </c>
      <c r="C239" s="5" t="str">
        <f>TEXT(자료실기준[[#This Row],[년월]],"yy년m월")&amp;자료실기준[[#This Row],[소장처명]]</f>
        <v>24년10월별관 서고(디지털자료실)</v>
      </c>
      <c r="D239" t="str">
        <f>IFERROR(INDEX(자료실범례[],MATCH($B239,자료실범례[소장처명],0),2),"종합자료실")</f>
        <v>디지털자료실</v>
      </c>
      <c r="E239" s="9">
        <f t="array" ref="E239">IFERROR(INDEX(대출자[],MATCH(1,(자료실기준[[#This Row],[소장처명]]=대출자[소장처명])*(자료실기준[[#This Row],[년월]]=대출자[년월]),0),MATCH(E$1,대출자[#Headers],0)),0)</f>
        <v>0</v>
      </c>
      <c r="F239" s="9">
        <f t="array" ref="F239">IFERROR(INDEX(대출자[],MATCH(1,(자료실기준[[#This Row],[소장처명]]=대출자[소장처명])*(자료실기준[[#This Row],[년월]]=대출자[년월]),0),MATCH(F$1,대출자[#Headers],0)),0)</f>
        <v>1</v>
      </c>
      <c r="G239" s="9">
        <f t="array" ref="G239">IFERROR(INDEX(대출자[],MATCH(1,(자료실기준[[#This Row],[소장처명]]=대출자[소장처명])*(자료실기준[[#This Row],[년월]]=대출자[년월]),0),MATCH(G$1,대출자[#Headers],0)),0)</f>
        <v>0</v>
      </c>
      <c r="H239" s="9">
        <f t="array" ref="H239">IFERROR(INDEX(대출자[],MATCH(1,(자료실기준[[#This Row],[소장처명]]=대출자[소장처명])*(자료실기준[[#This Row],[년월]]=대출자[년월]),0),MATCH(H$1,대출자[#Headers],0)),0)</f>
        <v>0</v>
      </c>
      <c r="I239" s="9">
        <f t="array" ref="I239">IFERROR(INDEX(대출자[],MATCH(1,(자료실기준[[#This Row],[소장처명]]=대출자[소장처명])*(자료실기준[[#This Row],[년월]]=대출자[년월]),0),MATCH(I$1,대출자[#Headers],0)),0)</f>
        <v>0</v>
      </c>
      <c r="J239" s="9">
        <f t="array" ref="J239">IFERROR(INDEX(대출자[],MATCH(1,(자료실기준[[#This Row],[소장처명]]=대출자[소장처명])*(자료실기준[[#This Row],[년월]]=대출자[년월]),0),MATCH(J$1,대출자[#Headers],0)),0)</f>
        <v>1</v>
      </c>
      <c r="K239" s="9">
        <f t="array" ref="K239">IFERROR(INDEX(대출자[],MATCH(1,(자료실기준[[#This Row],[소장처명]]=대출자[소장처명])*(자료실기준[[#This Row],[년월]]=대출자[년월]),0),MATCH(K$1,대출자[#Headers],0)),0)</f>
        <v>1</v>
      </c>
      <c r="L239" s="9">
        <f t="array" ref="L239">IFERROR(INDEX(대출자[],MATCH(1,(자료실기준[[#This Row],[소장처명]]=대출자[소장처명])*(자료실기준[[#This Row],[년월]]=대출자[년월]),0),MATCH(L$1,대출자[#Headers],0)),0)</f>
        <v>0</v>
      </c>
      <c r="M239" s="9">
        <f t="array" ref="M239">IFERROR(INDEX(대출자[],MATCH(1,(자료실기준[[#This Row],[소장처명]]=대출자[소장처명])*(자료실기준[[#This Row],[년월]]=대출자[년월]),0),MATCH(M$1,대출자[#Headers],0)),0)</f>
        <v>1</v>
      </c>
      <c r="N239" s="9">
        <f>IFERROR(자료실기준[[#This Row],[어린이남자]]+자료실기준[[#This Row],[청소년남자]]+자료실기준[[#This Row],[성인남자]],0)</f>
        <v>0</v>
      </c>
      <c r="O239" s="9">
        <f>IFERROR(자료실기준[[#This Row],[어린이여자]]+자료실기준[[#This Row],[청소년여자]]+자료실기준[[#This Row],[성인여자]],0)</f>
        <v>2</v>
      </c>
      <c r="P239" s="9">
        <f>IFERROR(자료실기준[[#This Row],[남자]]+자료실기준[[#This Row],[여자]],0)</f>
        <v>2</v>
      </c>
      <c r="Q239" s="9">
        <f t="array" ref="Q239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39" s="9">
        <f t="array" ref="R239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39" s="9">
        <f t="array" ref="S239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39" s="9">
        <f t="array" ref="T239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39" s="9">
        <f t="array" ref="U239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39" s="9">
        <f t="array" ref="V239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39" s="9">
        <f t="array" ref="W239">IFERROR(INDEX(대출권수[],MATCH(1,(자료실기준[[#This Row],[소장처명]]=대출권수[소장처명])*(대출권수[대출반납]="대출")*(자료실기준[[#This Row],[년월]]=대출권수[년월]),0),MATCH(W$1,대출권수[#Headers],0)),0)</f>
        <v>2</v>
      </c>
      <c r="X239" s="9">
        <f t="array" ref="X239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39" s="9">
        <f t="array" ref="Y239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239" s="9">
        <f t="array" ref="Z239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39" s="9">
        <f>SUM(자료실기준[[#This Row],[총류]:[역사]])</f>
        <v>2</v>
      </c>
    </row>
    <row r="240" spans="1:27" x14ac:dyDescent="0.3">
      <c r="A240" s="5">
        <v>45566</v>
      </c>
      <c r="B240" t="s">
        <v>4</v>
      </c>
      <c r="C240" s="5" t="str">
        <f>TEXT(자료실기준[[#This Row],[년월]],"yy년m월")&amp;자료실기준[[#This Row],[소장처명]]</f>
        <v>24년10월별관 서고(어린이자료실)</v>
      </c>
      <c r="D240" t="str">
        <f>IFERROR(INDEX(자료실범례[],MATCH($B240,자료실범례[소장처명],0),2),"종합자료실")</f>
        <v>어린이자료실</v>
      </c>
      <c r="E240" s="9">
        <f t="array" ref="E240">IFERROR(INDEX(대출자[],MATCH(1,(자료실기준[[#This Row],[소장처명]]=대출자[소장처명])*(자료실기준[[#This Row],[년월]]=대출자[년월]),0),MATCH(E$1,대출자[#Headers],0)),0)</f>
        <v>2</v>
      </c>
      <c r="F240" s="9">
        <f t="array" ref="F240">IFERROR(INDEX(대출자[],MATCH(1,(자료실기준[[#This Row],[소장처명]]=대출자[소장처명])*(자료실기준[[#This Row],[년월]]=대출자[년월]),0),MATCH(F$1,대출자[#Headers],0)),0)</f>
        <v>0</v>
      </c>
      <c r="G240" s="9">
        <f t="array" ref="G240">IFERROR(INDEX(대출자[],MATCH(1,(자료실기준[[#This Row],[소장처명]]=대출자[소장처명])*(자료실기준[[#This Row],[년월]]=대출자[년월]),0),MATCH(G$1,대출자[#Headers],0)),0)</f>
        <v>0</v>
      </c>
      <c r="H240" s="9">
        <f t="array" ref="H240">IFERROR(INDEX(대출자[],MATCH(1,(자료실기준[[#This Row],[소장처명]]=대출자[소장처명])*(자료실기준[[#This Row],[년월]]=대출자[년월]),0),MATCH(H$1,대출자[#Headers],0)),0)</f>
        <v>0</v>
      </c>
      <c r="I240" s="9">
        <f t="array" ref="I240">IFERROR(INDEX(대출자[],MATCH(1,(자료실기준[[#This Row],[소장처명]]=대출자[소장처명])*(자료실기준[[#This Row],[년월]]=대출자[년월]),0),MATCH(I$1,대출자[#Headers],0)),0)</f>
        <v>2</v>
      </c>
      <c r="J240" s="9">
        <f t="array" ref="J240">IFERROR(INDEX(대출자[],MATCH(1,(자료실기준[[#This Row],[소장처명]]=대출자[소장처명])*(자료실기준[[#This Row],[년월]]=대출자[년월]),0),MATCH(J$1,대출자[#Headers],0)),0)</f>
        <v>2</v>
      </c>
      <c r="K240" s="9">
        <f t="array" ref="K240">IFERROR(INDEX(대출자[],MATCH(1,(자료실기준[[#This Row],[소장처명]]=대출자[소장처명])*(자료실기준[[#This Row],[년월]]=대출자[년월]),0),MATCH(K$1,대출자[#Headers],0)),0)</f>
        <v>2</v>
      </c>
      <c r="L240" s="9">
        <f t="array" ref="L240">IFERROR(INDEX(대출자[],MATCH(1,(자료실기준[[#This Row],[소장처명]]=대출자[소장처명])*(자료실기준[[#This Row],[년월]]=대출자[년월]),0),MATCH(L$1,대출자[#Headers],0)),0)</f>
        <v>0</v>
      </c>
      <c r="M240" s="9">
        <f t="array" ref="M240">IFERROR(INDEX(대출자[],MATCH(1,(자료실기준[[#This Row],[소장처명]]=대출자[소장처명])*(자료실기준[[#This Row],[년월]]=대출자[년월]),0),MATCH(M$1,대출자[#Headers],0)),0)</f>
        <v>4</v>
      </c>
      <c r="N240" s="9">
        <f>IFERROR(자료실기준[[#This Row],[어린이남자]]+자료실기준[[#This Row],[청소년남자]]+자료실기준[[#This Row],[성인남자]],0)</f>
        <v>4</v>
      </c>
      <c r="O240" s="9">
        <f>IFERROR(자료실기준[[#This Row],[어린이여자]]+자료실기준[[#This Row],[청소년여자]]+자료실기준[[#This Row],[성인여자]],0)</f>
        <v>2</v>
      </c>
      <c r="P240" s="9">
        <f>IFERROR(자료실기준[[#This Row],[남자]]+자료실기준[[#This Row],[여자]],0)</f>
        <v>6</v>
      </c>
      <c r="Q240" s="9">
        <f t="array" ref="Q240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40" s="9">
        <f t="array" ref="R240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40" s="9">
        <f t="array" ref="S240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40" s="9">
        <f t="array" ref="T240">IFERROR(INDEX(대출권수[],MATCH(1,(자료실기준[[#This Row],[소장처명]]=대출권수[소장처명])*(대출권수[대출반납]="대출")*(자료실기준[[#This Row],[년월]]=대출권수[년월]),0),MATCH(T$1,대출권수[#Headers],0)),0)</f>
        <v>1</v>
      </c>
      <c r="U240" s="9">
        <f t="array" ref="U240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40" s="9">
        <f t="array" ref="V240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40" s="9">
        <f t="array" ref="W240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40" s="9">
        <f t="array" ref="X240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40" s="9">
        <f t="array" ref="Y240">IFERROR(INDEX(대출권수[],MATCH(1,(자료실기준[[#This Row],[소장처명]]=대출권수[소장처명])*(대출권수[대출반납]="대출")*(자료실기준[[#This Row],[년월]]=대출권수[년월]),0),MATCH(Y$1,대출권수[#Headers],0)),0)</f>
        <v>11</v>
      </c>
      <c r="Z240" s="9">
        <f t="array" ref="Z240">IFERROR(INDEX(대출권수[],MATCH(1,(자료실기준[[#This Row],[소장처명]]=대출권수[소장처명])*(대출권수[대출반납]="대출")*(자료실기준[[#This Row],[년월]]=대출권수[년월]),0),MATCH(Z$1,대출권수[#Headers],0)),0)</f>
        <v>1</v>
      </c>
      <c r="AA240" s="9">
        <f>SUM(자료실기준[[#This Row],[총류]:[역사]])</f>
        <v>13</v>
      </c>
    </row>
    <row r="241" spans="1:27" x14ac:dyDescent="0.3">
      <c r="A241" s="5">
        <v>45566</v>
      </c>
      <c r="B241" t="s">
        <v>5</v>
      </c>
      <c r="C241" s="5" t="str">
        <f>TEXT(자료실기준[[#This Row],[년월]],"yy년m월")&amp;자료실기준[[#This Row],[소장처명]]</f>
        <v>24년10월별관 서고(종합자료실)</v>
      </c>
      <c r="D241" t="str">
        <f>IFERROR(INDEX(자료실범례[],MATCH($B241,자료실범례[소장처명],0),2),"종합자료실")</f>
        <v>종합자료실</v>
      </c>
      <c r="E241" s="9">
        <f t="array" ref="E241">IFERROR(INDEX(대출자[],MATCH(1,(자료실기준[[#This Row],[소장처명]]=대출자[소장처명])*(자료실기준[[#This Row],[년월]]=대출자[년월]),0),MATCH(E$1,대출자[#Headers],0)),0)</f>
        <v>1</v>
      </c>
      <c r="F241" s="9">
        <f t="array" ref="F241">IFERROR(INDEX(대출자[],MATCH(1,(자료실기준[[#This Row],[소장처명]]=대출자[소장처명])*(자료실기준[[#This Row],[년월]]=대출자[년월]),0),MATCH(F$1,대출자[#Headers],0)),0)</f>
        <v>0</v>
      </c>
      <c r="G241" s="9">
        <f t="array" ref="G241">IFERROR(INDEX(대출자[],MATCH(1,(자료실기준[[#This Row],[소장처명]]=대출자[소장처명])*(자료실기준[[#This Row],[년월]]=대출자[년월]),0),MATCH(G$1,대출자[#Headers],0)),0)</f>
        <v>0</v>
      </c>
      <c r="H241" s="9">
        <f t="array" ref="H241">IFERROR(INDEX(대출자[],MATCH(1,(자료실기준[[#This Row],[소장처명]]=대출자[소장처명])*(자료실기준[[#This Row],[년월]]=대출자[년월]),0),MATCH(H$1,대출자[#Headers],0)),0)</f>
        <v>1</v>
      </c>
      <c r="I241" s="9">
        <f t="array" ref="I241">IFERROR(INDEX(대출자[],MATCH(1,(자료실기준[[#This Row],[소장처명]]=대출자[소장처명])*(자료실기준[[#This Row],[년월]]=대출자[년월]),0),MATCH(I$1,대출자[#Headers],0)),0)</f>
        <v>14</v>
      </c>
      <c r="J241" s="9">
        <f t="array" ref="J241">IFERROR(INDEX(대출자[],MATCH(1,(자료실기준[[#This Row],[소장처명]]=대출자[소장처명])*(자료실기준[[#This Row],[년월]]=대출자[년월]),0),MATCH(J$1,대출자[#Headers],0)),0)</f>
        <v>26</v>
      </c>
      <c r="K241" s="9">
        <f t="array" ref="K241">IFERROR(INDEX(대출자[],MATCH(1,(자료실기준[[#This Row],[소장처명]]=대출자[소장처명])*(자료실기준[[#This Row],[년월]]=대출자[년월]),0),MATCH(K$1,대출자[#Headers],0)),0)</f>
        <v>1</v>
      </c>
      <c r="L241" s="9">
        <f t="array" ref="L241">IFERROR(INDEX(대출자[],MATCH(1,(자료실기준[[#This Row],[소장처명]]=대출자[소장처명])*(자료실기준[[#This Row],[년월]]=대출자[년월]),0),MATCH(L$1,대출자[#Headers],0)),0)</f>
        <v>1</v>
      </c>
      <c r="M241" s="9">
        <f t="array" ref="M241">IFERROR(INDEX(대출자[],MATCH(1,(자료실기준[[#This Row],[소장처명]]=대출자[소장처명])*(자료실기준[[#This Row],[년월]]=대출자[년월]),0),MATCH(M$1,대출자[#Headers],0)),0)</f>
        <v>40</v>
      </c>
      <c r="N241" s="9">
        <f>IFERROR(자료실기준[[#This Row],[어린이남자]]+자료실기준[[#This Row],[청소년남자]]+자료실기준[[#This Row],[성인남자]],0)</f>
        <v>15</v>
      </c>
      <c r="O241" s="9">
        <f>IFERROR(자료실기준[[#This Row],[어린이여자]]+자료실기준[[#This Row],[청소년여자]]+자료실기준[[#This Row],[성인여자]],0)</f>
        <v>27</v>
      </c>
      <c r="P241" s="9">
        <f>IFERROR(자료실기준[[#This Row],[남자]]+자료실기준[[#This Row],[여자]],0)</f>
        <v>42</v>
      </c>
      <c r="Q241" s="9">
        <f t="array" ref="Q241">IFERROR(INDEX(대출권수[],MATCH(1,(자료실기준[[#This Row],[소장처명]]=대출권수[소장처명])*(대출권수[대출반납]="대출")*(자료실기준[[#This Row],[년월]]=대출권수[년월]),0),MATCH(Q$1,대출권수[#Headers],0)),0)</f>
        <v>1</v>
      </c>
      <c r="R241" s="9">
        <f t="array" ref="R241">IFERROR(INDEX(대출권수[],MATCH(1,(자료실기준[[#This Row],[소장처명]]=대출권수[소장처명])*(대출권수[대출반납]="대출")*(자료실기준[[#This Row],[년월]]=대출권수[년월]),0),MATCH(R$1,대출권수[#Headers],0)),0)</f>
        <v>11</v>
      </c>
      <c r="S241" s="9">
        <f t="array" ref="S241">IFERROR(INDEX(대출권수[],MATCH(1,(자료실기준[[#This Row],[소장처명]]=대출권수[소장처명])*(대출권수[대출반납]="대출")*(자료실기준[[#This Row],[년월]]=대출권수[년월]),0),MATCH(S$1,대출권수[#Headers],0)),0)</f>
        <v>2</v>
      </c>
      <c r="T241" s="9">
        <f t="array" ref="T241">IFERROR(INDEX(대출권수[],MATCH(1,(자료실기준[[#This Row],[소장처명]]=대출권수[소장처명])*(대출권수[대출반납]="대출")*(자료실기준[[#This Row],[년월]]=대출권수[년월]),0),MATCH(T$1,대출권수[#Headers],0)),0)</f>
        <v>4</v>
      </c>
      <c r="U241" s="9">
        <f t="array" ref="U241">IFERROR(INDEX(대출권수[],MATCH(1,(자료실기준[[#This Row],[소장처명]]=대출권수[소장처명])*(대출권수[대출반납]="대출")*(자료실기준[[#This Row],[년월]]=대출권수[년월]),0),MATCH(U$1,대출권수[#Headers],0)),0)</f>
        <v>1</v>
      </c>
      <c r="V241" s="9">
        <f t="array" ref="V241">IFERROR(INDEX(대출권수[],MATCH(1,(자료실기준[[#This Row],[소장처명]]=대출권수[소장처명])*(대출권수[대출반납]="대출")*(자료실기준[[#This Row],[년월]]=대출권수[년월]),0),MATCH(V$1,대출권수[#Headers],0)),0)</f>
        <v>7</v>
      </c>
      <c r="W241" s="9">
        <f t="array" ref="W241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41" s="9">
        <f t="array" ref="X241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41" s="9">
        <f t="array" ref="Y241">IFERROR(INDEX(대출권수[],MATCH(1,(자료실기준[[#This Row],[소장처명]]=대출권수[소장처명])*(대출권수[대출반납]="대출")*(자료실기준[[#This Row],[년월]]=대출권수[년월]),0),MATCH(Y$1,대출권수[#Headers],0)),0)</f>
        <v>43</v>
      </c>
      <c r="Z241" s="9">
        <f t="array" ref="Z241">IFERROR(INDEX(대출권수[],MATCH(1,(자료실기준[[#This Row],[소장처명]]=대출권수[소장처명])*(대출권수[대출반납]="대출")*(자료실기준[[#This Row],[년월]]=대출권수[년월]),0),MATCH(Z$1,대출권수[#Headers],0)),0)</f>
        <v>1</v>
      </c>
      <c r="AA241" s="9">
        <f>SUM(자료실기준[[#This Row],[총류]:[역사]])</f>
        <v>70</v>
      </c>
    </row>
    <row r="242" spans="1:27" x14ac:dyDescent="0.3">
      <c r="A242" s="5">
        <v>45566</v>
      </c>
      <c r="B242" t="s">
        <v>7</v>
      </c>
      <c r="C242" s="5" t="str">
        <f>TEXT(자료실기준[[#This Row],[년월]],"yy년m월")&amp;자료실기준[[#This Row],[소장처명]]</f>
        <v>24년10월어린이실(교과1학년)</v>
      </c>
      <c r="D242" t="str">
        <f>IFERROR(INDEX(자료실범례[],MATCH($B242,자료실범례[소장처명],0),2),"종합자료실")</f>
        <v>어린이자료실</v>
      </c>
      <c r="E242" s="9">
        <f t="array" ref="E242">IFERROR(INDEX(대출자[],MATCH(1,(자료실기준[[#This Row],[소장처명]]=대출자[소장처명])*(자료실기준[[#This Row],[년월]]=대출자[년월]),0),MATCH(E$1,대출자[#Headers],0)),0)</f>
        <v>0</v>
      </c>
      <c r="F242" s="9">
        <f t="array" ref="F242">IFERROR(INDEX(대출자[],MATCH(1,(자료실기준[[#This Row],[소장처명]]=대출자[소장처명])*(자료실기준[[#This Row],[년월]]=대출자[년월]),0),MATCH(F$1,대출자[#Headers],0)),0)</f>
        <v>4</v>
      </c>
      <c r="G242" s="9">
        <f t="array" ref="G242">IFERROR(INDEX(대출자[],MATCH(1,(자료실기준[[#This Row],[소장처명]]=대출자[소장처명])*(자료실기준[[#This Row],[년월]]=대출자[년월]),0),MATCH(G$1,대출자[#Headers],0)),0)</f>
        <v>0</v>
      </c>
      <c r="H242" s="9">
        <f t="array" ref="H242">IFERROR(INDEX(대출자[],MATCH(1,(자료실기준[[#This Row],[소장처명]]=대출자[소장처명])*(자료실기준[[#This Row],[년월]]=대출자[년월]),0),MATCH(H$1,대출자[#Headers],0)),0)</f>
        <v>0</v>
      </c>
      <c r="I242" s="9">
        <f t="array" ref="I242">IFERROR(INDEX(대출자[],MATCH(1,(자료실기준[[#This Row],[소장처명]]=대출자[소장처명])*(자료실기준[[#This Row],[년월]]=대출자[년월]),0),MATCH(I$1,대출자[#Headers],0)),0)</f>
        <v>3</v>
      </c>
      <c r="J242" s="9">
        <f t="array" ref="J242">IFERROR(INDEX(대출자[],MATCH(1,(자료실기준[[#This Row],[소장처명]]=대출자[소장처명])*(자료실기준[[#This Row],[년월]]=대출자[년월]),0),MATCH(J$1,대출자[#Headers],0)),0)</f>
        <v>4</v>
      </c>
      <c r="K242" s="9">
        <f t="array" ref="K242">IFERROR(INDEX(대출자[],MATCH(1,(자료실기준[[#This Row],[소장처명]]=대출자[소장처명])*(자료실기준[[#This Row],[년월]]=대출자[년월]),0),MATCH(K$1,대출자[#Headers],0)),0)</f>
        <v>4</v>
      </c>
      <c r="L242" s="9">
        <f t="array" ref="L242">IFERROR(INDEX(대출자[],MATCH(1,(자료실기준[[#This Row],[소장처명]]=대출자[소장처명])*(자료실기준[[#This Row],[년월]]=대출자[년월]),0),MATCH(L$1,대출자[#Headers],0)),0)</f>
        <v>0</v>
      </c>
      <c r="M242" s="9">
        <f t="array" ref="M242">IFERROR(INDEX(대출자[],MATCH(1,(자료실기준[[#This Row],[소장처명]]=대출자[소장처명])*(자료실기준[[#This Row],[년월]]=대출자[년월]),0),MATCH(M$1,대출자[#Headers],0)),0)</f>
        <v>7</v>
      </c>
      <c r="N242" s="9">
        <f>IFERROR(자료실기준[[#This Row],[어린이남자]]+자료실기준[[#This Row],[청소년남자]]+자료실기준[[#This Row],[성인남자]],0)</f>
        <v>3</v>
      </c>
      <c r="O242" s="9">
        <f>IFERROR(자료실기준[[#This Row],[어린이여자]]+자료실기준[[#This Row],[청소년여자]]+자료실기준[[#This Row],[성인여자]],0)</f>
        <v>8</v>
      </c>
      <c r="P242" s="9">
        <f>IFERROR(자료실기준[[#This Row],[남자]]+자료실기준[[#This Row],[여자]],0)</f>
        <v>11</v>
      </c>
      <c r="Q242" s="9">
        <f t="array" ref="Q242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42" s="9">
        <f t="array" ref="R242">IFERROR(INDEX(대출권수[],MATCH(1,(자료실기준[[#This Row],[소장처명]]=대출권수[소장처명])*(대출권수[대출반납]="대출")*(자료실기준[[#This Row],[년월]]=대출권수[년월]),0),MATCH(R$1,대출권수[#Headers],0)),0)</f>
        <v>2</v>
      </c>
      <c r="S242" s="9">
        <f t="array" ref="S242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42" s="9">
        <f t="array" ref="T242">IFERROR(INDEX(대출권수[],MATCH(1,(자료실기준[[#This Row],[소장처명]]=대출권수[소장처명])*(대출권수[대출반납]="대출")*(자료실기준[[#This Row],[년월]]=대출권수[년월]),0),MATCH(T$1,대출권수[#Headers],0)),0)</f>
        <v>1</v>
      </c>
      <c r="U242" s="9">
        <f t="array" ref="U242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42" s="9">
        <f t="array" ref="V242">IFERROR(INDEX(대출권수[],MATCH(1,(자료실기준[[#This Row],[소장처명]]=대출권수[소장처명])*(대출권수[대출반납]="대출")*(자료실기준[[#This Row],[년월]]=대출권수[년월]),0),MATCH(V$1,대출권수[#Headers],0)),0)</f>
        <v>2</v>
      </c>
      <c r="W242" s="9">
        <f t="array" ref="W242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42" s="9">
        <f t="array" ref="X242">IFERROR(INDEX(대출권수[],MATCH(1,(자료실기준[[#This Row],[소장처명]]=대출권수[소장처명])*(대출권수[대출반납]="대출")*(자료실기준[[#This Row],[년월]]=대출권수[년월]),0),MATCH(X$1,대출권수[#Headers],0)),0)</f>
        <v>1</v>
      </c>
      <c r="Y242" s="9">
        <f t="array" ref="Y242">IFERROR(INDEX(대출권수[],MATCH(1,(자료실기준[[#This Row],[소장처명]]=대출권수[소장처명])*(대출권수[대출반납]="대출")*(자료실기준[[#This Row],[년월]]=대출권수[년월]),0),MATCH(Y$1,대출권수[#Headers],0)),0)</f>
        <v>11</v>
      </c>
      <c r="Z242" s="9">
        <f t="array" ref="Z242">IFERROR(INDEX(대출권수[],MATCH(1,(자료실기준[[#This Row],[소장처명]]=대출권수[소장처명])*(대출권수[대출반납]="대출")*(자료실기준[[#This Row],[년월]]=대출권수[년월]),0),MATCH(Z$1,대출권수[#Headers],0)),0)</f>
        <v>1</v>
      </c>
      <c r="AA242" s="9">
        <f>SUM(자료실기준[[#This Row],[총류]:[역사]])</f>
        <v>18</v>
      </c>
    </row>
    <row r="243" spans="1:27" x14ac:dyDescent="0.3">
      <c r="A243" s="5">
        <v>45566</v>
      </c>
      <c r="B243" t="s">
        <v>8</v>
      </c>
      <c r="C243" s="5" t="str">
        <f>TEXT(자료실기준[[#This Row],[년월]],"yy년m월")&amp;자료실기준[[#This Row],[소장처명]]</f>
        <v>24년10월어린이실(교과2학년)</v>
      </c>
      <c r="D243" t="str">
        <f>IFERROR(INDEX(자료실범례[],MATCH($B243,자료실범례[소장처명],0),2),"종합자료실")</f>
        <v>어린이자료실</v>
      </c>
      <c r="E243" s="9">
        <f t="array" ref="E243">IFERROR(INDEX(대출자[],MATCH(1,(자료실기준[[#This Row],[소장처명]]=대출자[소장처명])*(자료실기준[[#This Row],[년월]]=대출자[년월]),0),MATCH(E$1,대출자[#Headers],0)),0)</f>
        <v>2</v>
      </c>
      <c r="F243" s="9">
        <f t="array" ref="F243">IFERROR(INDEX(대출자[],MATCH(1,(자료실기준[[#This Row],[소장처명]]=대출자[소장처명])*(자료실기준[[#This Row],[년월]]=대출자[년월]),0),MATCH(F$1,대출자[#Headers],0)),0)</f>
        <v>4</v>
      </c>
      <c r="G243" s="9">
        <f t="array" ref="G243">IFERROR(INDEX(대출자[],MATCH(1,(자료실기준[[#This Row],[소장처명]]=대출자[소장처명])*(자료실기준[[#This Row],[년월]]=대출자[년월]),0),MATCH(G$1,대출자[#Headers],0)),0)</f>
        <v>0</v>
      </c>
      <c r="H243" s="9">
        <f t="array" ref="H243">IFERROR(INDEX(대출자[],MATCH(1,(자료실기준[[#This Row],[소장처명]]=대출자[소장처명])*(자료실기준[[#This Row],[년월]]=대출자[년월]),0),MATCH(H$1,대출자[#Headers],0)),0)</f>
        <v>0</v>
      </c>
      <c r="I243" s="9">
        <f t="array" ref="I243">IFERROR(INDEX(대출자[],MATCH(1,(자료실기준[[#This Row],[소장처명]]=대출자[소장처명])*(자료실기준[[#This Row],[년월]]=대출자[년월]),0),MATCH(I$1,대출자[#Headers],0)),0)</f>
        <v>2</v>
      </c>
      <c r="J243" s="9">
        <f t="array" ref="J243">IFERROR(INDEX(대출자[],MATCH(1,(자료실기준[[#This Row],[소장처명]]=대출자[소장처명])*(자료실기준[[#This Row],[년월]]=대출자[년월]),0),MATCH(J$1,대출자[#Headers],0)),0)</f>
        <v>3</v>
      </c>
      <c r="K243" s="9">
        <f t="array" ref="K243">IFERROR(INDEX(대출자[],MATCH(1,(자료실기준[[#This Row],[소장처명]]=대출자[소장처명])*(자료실기준[[#This Row],[년월]]=대출자[년월]),0),MATCH(K$1,대출자[#Headers],0)),0)</f>
        <v>6</v>
      </c>
      <c r="L243" s="9">
        <f t="array" ref="L243">IFERROR(INDEX(대출자[],MATCH(1,(자료실기준[[#This Row],[소장처명]]=대출자[소장처명])*(자료실기준[[#This Row],[년월]]=대출자[년월]),0),MATCH(L$1,대출자[#Headers],0)),0)</f>
        <v>0</v>
      </c>
      <c r="M243" s="9">
        <f t="array" ref="M243">IFERROR(INDEX(대출자[],MATCH(1,(자료실기준[[#This Row],[소장처명]]=대출자[소장처명])*(자료실기준[[#This Row],[년월]]=대출자[년월]),0),MATCH(M$1,대출자[#Headers],0)),0)</f>
        <v>5</v>
      </c>
      <c r="N243" s="9">
        <f>IFERROR(자료실기준[[#This Row],[어린이남자]]+자료실기준[[#This Row],[청소년남자]]+자료실기준[[#This Row],[성인남자]],0)</f>
        <v>4</v>
      </c>
      <c r="O243" s="9">
        <f>IFERROR(자료실기준[[#This Row],[어린이여자]]+자료실기준[[#This Row],[청소년여자]]+자료실기준[[#This Row],[성인여자]],0)</f>
        <v>7</v>
      </c>
      <c r="P243" s="9">
        <f>IFERROR(자료실기준[[#This Row],[남자]]+자료실기준[[#This Row],[여자]],0)</f>
        <v>11</v>
      </c>
      <c r="Q243" s="9">
        <f t="array" ref="Q243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43" s="9">
        <f t="array" ref="R243">IFERROR(INDEX(대출권수[],MATCH(1,(자료실기준[[#This Row],[소장처명]]=대출권수[소장처명])*(대출권수[대출반납]="대출")*(자료실기준[[#This Row],[년월]]=대출권수[년월]),0),MATCH(R$1,대출권수[#Headers],0)),0)</f>
        <v>4</v>
      </c>
      <c r="S243" s="9">
        <f t="array" ref="S243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43" s="9">
        <f t="array" ref="T243">IFERROR(INDEX(대출권수[],MATCH(1,(자료실기준[[#This Row],[소장처명]]=대출권수[소장처명])*(대출권수[대출반납]="대출")*(자료실기준[[#This Row],[년월]]=대출권수[년월]),0),MATCH(T$1,대출권수[#Headers],0)),0)</f>
        <v>2</v>
      </c>
      <c r="U243" s="9">
        <f t="array" ref="U243">IFERROR(INDEX(대출권수[],MATCH(1,(자료실기준[[#This Row],[소장처명]]=대출권수[소장처명])*(대출권수[대출반납]="대출")*(자료실기준[[#This Row],[년월]]=대출권수[년월]),0),MATCH(U$1,대출권수[#Headers],0)),0)</f>
        <v>2</v>
      </c>
      <c r="V243" s="9">
        <f t="array" ref="V243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43" s="9">
        <f t="array" ref="W243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43" s="9">
        <f t="array" ref="X243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43" s="9">
        <f t="array" ref="Y243">IFERROR(INDEX(대출권수[],MATCH(1,(자료실기준[[#This Row],[소장처명]]=대출권수[소장처명])*(대출권수[대출반납]="대출")*(자료실기준[[#This Row],[년월]]=대출권수[년월]),0),MATCH(Y$1,대출권수[#Headers],0)),0)</f>
        <v>17</v>
      </c>
      <c r="Z243" s="9">
        <f t="array" ref="Z243">IFERROR(INDEX(대출권수[],MATCH(1,(자료실기준[[#This Row],[소장처명]]=대출권수[소장처명])*(대출권수[대출반납]="대출")*(자료실기준[[#This Row],[년월]]=대출권수[년월]),0),MATCH(Z$1,대출권수[#Headers],0)),0)</f>
        <v>2</v>
      </c>
      <c r="AA243" s="9">
        <f>SUM(자료실기준[[#This Row],[총류]:[역사]])</f>
        <v>27</v>
      </c>
    </row>
    <row r="244" spans="1:27" x14ac:dyDescent="0.3">
      <c r="A244" s="5">
        <v>45566</v>
      </c>
      <c r="B244" t="s">
        <v>9</v>
      </c>
      <c r="C244" s="5" t="str">
        <f>TEXT(자료실기준[[#This Row],[년월]],"yy년m월")&amp;자료실기준[[#This Row],[소장처명]]</f>
        <v>24년10월어린이실(교과3학년)</v>
      </c>
      <c r="D244" t="str">
        <f>IFERROR(INDEX(자료실범례[],MATCH($B244,자료실범례[소장처명],0),2),"종합자료실")</f>
        <v>어린이자료실</v>
      </c>
      <c r="E244" s="9">
        <f t="array" ref="E244">IFERROR(INDEX(대출자[],MATCH(1,(자료실기준[[#This Row],[소장처명]]=대출자[소장처명])*(자료실기준[[#This Row],[년월]]=대출자[년월]),0),MATCH(E$1,대출자[#Headers],0)),0)</f>
        <v>3</v>
      </c>
      <c r="F244" s="9">
        <f t="array" ref="F244">IFERROR(INDEX(대출자[],MATCH(1,(자료실기준[[#This Row],[소장처명]]=대출자[소장처명])*(자료실기준[[#This Row],[년월]]=대출자[년월]),0),MATCH(F$1,대출자[#Headers],0)),0)</f>
        <v>4</v>
      </c>
      <c r="G244" s="9">
        <f t="array" ref="G244">IFERROR(INDEX(대출자[],MATCH(1,(자료실기준[[#This Row],[소장처명]]=대출자[소장처명])*(자료실기준[[#This Row],[년월]]=대출자[년월]),0),MATCH(G$1,대출자[#Headers],0)),0)</f>
        <v>0</v>
      </c>
      <c r="H244" s="9">
        <f t="array" ref="H244">IFERROR(INDEX(대출자[],MATCH(1,(자료실기준[[#This Row],[소장처명]]=대출자[소장처명])*(자료실기준[[#This Row],[년월]]=대출자[년월]),0),MATCH(H$1,대출자[#Headers],0)),0)</f>
        <v>0</v>
      </c>
      <c r="I244" s="9">
        <f t="array" ref="I244">IFERROR(INDEX(대출자[],MATCH(1,(자료실기준[[#This Row],[소장처명]]=대출자[소장처명])*(자료실기준[[#This Row],[년월]]=대출자[년월]),0),MATCH(I$1,대출자[#Headers],0)),0)</f>
        <v>0</v>
      </c>
      <c r="J244" s="9">
        <f t="array" ref="J244">IFERROR(INDEX(대출자[],MATCH(1,(자료실기준[[#This Row],[소장처명]]=대출자[소장처명])*(자료실기준[[#This Row],[년월]]=대출자[년월]),0),MATCH(J$1,대출자[#Headers],0)),0)</f>
        <v>2</v>
      </c>
      <c r="K244" s="9">
        <f t="array" ref="K244">IFERROR(INDEX(대출자[],MATCH(1,(자료실기준[[#This Row],[소장처명]]=대출자[소장처명])*(자료실기준[[#This Row],[년월]]=대출자[년월]),0),MATCH(K$1,대출자[#Headers],0)),0)</f>
        <v>7</v>
      </c>
      <c r="L244" s="9">
        <f t="array" ref="L244">IFERROR(INDEX(대출자[],MATCH(1,(자료실기준[[#This Row],[소장처명]]=대출자[소장처명])*(자료실기준[[#This Row],[년월]]=대출자[년월]),0),MATCH(L$1,대출자[#Headers],0)),0)</f>
        <v>0</v>
      </c>
      <c r="M244" s="9">
        <f t="array" ref="M244">IFERROR(INDEX(대출자[],MATCH(1,(자료실기준[[#This Row],[소장처명]]=대출자[소장처명])*(자료실기준[[#This Row],[년월]]=대출자[년월]),0),MATCH(M$1,대출자[#Headers],0)),0)</f>
        <v>2</v>
      </c>
      <c r="N244" s="9">
        <f>IFERROR(자료실기준[[#This Row],[어린이남자]]+자료실기준[[#This Row],[청소년남자]]+자료실기준[[#This Row],[성인남자]],0)</f>
        <v>3</v>
      </c>
      <c r="O244" s="9">
        <f>IFERROR(자료실기준[[#This Row],[어린이여자]]+자료실기준[[#This Row],[청소년여자]]+자료실기준[[#This Row],[성인여자]],0)</f>
        <v>6</v>
      </c>
      <c r="P244" s="9">
        <f>IFERROR(자료실기준[[#This Row],[남자]]+자료실기준[[#This Row],[여자]],0)</f>
        <v>9</v>
      </c>
      <c r="Q244" s="9">
        <f t="array" ref="Q244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44" s="9">
        <f t="array" ref="R244">IFERROR(INDEX(대출권수[],MATCH(1,(자료실기준[[#This Row],[소장처명]]=대출권수[소장처명])*(대출권수[대출반납]="대출")*(자료실기준[[#This Row],[년월]]=대출권수[년월]),0),MATCH(R$1,대출권수[#Headers],0)),0)</f>
        <v>1</v>
      </c>
      <c r="S244" s="9">
        <f t="array" ref="S244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44" s="9">
        <f t="array" ref="T244">IFERROR(INDEX(대출권수[],MATCH(1,(자료실기준[[#This Row],[소장처명]]=대출권수[소장처명])*(대출권수[대출반납]="대출")*(자료실기준[[#This Row],[년월]]=대출권수[년월]),0),MATCH(T$1,대출권수[#Headers],0)),0)</f>
        <v>2</v>
      </c>
      <c r="U244" s="9">
        <f t="array" ref="U244">IFERROR(INDEX(대출권수[],MATCH(1,(자료실기준[[#This Row],[소장처명]]=대출권수[소장처명])*(대출권수[대출반납]="대출")*(자료실기준[[#This Row],[년월]]=대출권수[년월]),0),MATCH(U$1,대출권수[#Headers],0)),0)</f>
        <v>3</v>
      </c>
      <c r="V244" s="9">
        <f t="array" ref="V244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44" s="9">
        <f t="array" ref="W244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44" s="9">
        <f t="array" ref="X244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44" s="9">
        <f t="array" ref="Y244">IFERROR(INDEX(대출권수[],MATCH(1,(자료실기준[[#This Row],[소장처명]]=대출권수[소장처명])*(대출권수[대출반납]="대출")*(자료실기준[[#This Row],[년월]]=대출권수[년월]),0),MATCH(Y$1,대출권수[#Headers],0)),0)</f>
        <v>4</v>
      </c>
      <c r="Z244" s="9">
        <f t="array" ref="Z244">IFERROR(INDEX(대출권수[],MATCH(1,(자료실기준[[#This Row],[소장처명]]=대출권수[소장처명])*(대출권수[대출반납]="대출")*(자료실기준[[#This Row],[년월]]=대출권수[년월]),0),MATCH(Z$1,대출권수[#Headers],0)),0)</f>
        <v>1</v>
      </c>
      <c r="AA244" s="9">
        <f>SUM(자료실기준[[#This Row],[총류]:[역사]])</f>
        <v>11</v>
      </c>
    </row>
    <row r="245" spans="1:27" x14ac:dyDescent="0.3">
      <c r="A245" s="5">
        <v>45566</v>
      </c>
      <c r="B245" t="s">
        <v>10</v>
      </c>
      <c r="C245" s="5" t="str">
        <f>TEXT(자료실기준[[#This Row],[년월]],"yy년m월")&amp;자료실기준[[#This Row],[소장처명]]</f>
        <v>24년10월어린이실(교과4학년)</v>
      </c>
      <c r="D245" t="str">
        <f>IFERROR(INDEX(자료실범례[],MATCH($B245,자료실범례[소장처명],0),2),"종합자료실")</f>
        <v>어린이자료실</v>
      </c>
      <c r="E245" s="9">
        <f t="array" ref="E245">IFERROR(INDEX(대출자[],MATCH(1,(자료실기준[[#This Row],[소장처명]]=대출자[소장처명])*(자료실기준[[#This Row],[년월]]=대출자[년월]),0),MATCH(E$1,대출자[#Headers],0)),0)</f>
        <v>2</v>
      </c>
      <c r="F245" s="9">
        <f t="array" ref="F245">IFERROR(INDEX(대출자[],MATCH(1,(자료실기준[[#This Row],[소장처명]]=대출자[소장처명])*(자료실기준[[#This Row],[년월]]=대출자[년월]),0),MATCH(F$1,대출자[#Headers],0)),0)</f>
        <v>2</v>
      </c>
      <c r="G245" s="9">
        <f t="array" ref="G245">IFERROR(INDEX(대출자[],MATCH(1,(자료실기준[[#This Row],[소장처명]]=대출자[소장처명])*(자료실기준[[#This Row],[년월]]=대출자[년월]),0),MATCH(G$1,대출자[#Headers],0)),0)</f>
        <v>0</v>
      </c>
      <c r="H245" s="9">
        <f t="array" ref="H245">IFERROR(INDEX(대출자[],MATCH(1,(자료실기준[[#This Row],[소장처명]]=대출자[소장처명])*(자료실기준[[#This Row],[년월]]=대출자[년월]),0),MATCH(H$1,대출자[#Headers],0)),0)</f>
        <v>0</v>
      </c>
      <c r="I245" s="9">
        <f t="array" ref="I245">IFERROR(INDEX(대출자[],MATCH(1,(자료실기준[[#This Row],[소장처명]]=대출자[소장처명])*(자료실기준[[#This Row],[년월]]=대출자[년월]),0),MATCH(I$1,대출자[#Headers],0)),0)</f>
        <v>0</v>
      </c>
      <c r="J245" s="9">
        <f t="array" ref="J245">IFERROR(INDEX(대출자[],MATCH(1,(자료실기준[[#This Row],[소장처명]]=대출자[소장처명])*(자료실기준[[#This Row],[년월]]=대출자[년월]),0),MATCH(J$1,대출자[#Headers],0)),0)</f>
        <v>2</v>
      </c>
      <c r="K245" s="9">
        <f t="array" ref="K245">IFERROR(INDEX(대출자[],MATCH(1,(자료실기준[[#This Row],[소장처명]]=대출자[소장처명])*(자료실기준[[#This Row],[년월]]=대출자[년월]),0),MATCH(K$1,대출자[#Headers],0)),0)</f>
        <v>4</v>
      </c>
      <c r="L245" s="9">
        <f t="array" ref="L245">IFERROR(INDEX(대출자[],MATCH(1,(자료실기준[[#This Row],[소장처명]]=대출자[소장처명])*(자료실기준[[#This Row],[년월]]=대출자[년월]),0),MATCH(L$1,대출자[#Headers],0)),0)</f>
        <v>0</v>
      </c>
      <c r="M245" s="9">
        <f t="array" ref="M245">IFERROR(INDEX(대출자[],MATCH(1,(자료실기준[[#This Row],[소장처명]]=대출자[소장처명])*(자료실기준[[#This Row],[년월]]=대출자[년월]),0),MATCH(M$1,대출자[#Headers],0)),0)</f>
        <v>2</v>
      </c>
      <c r="N245" s="9">
        <f>IFERROR(자료실기준[[#This Row],[어린이남자]]+자료실기준[[#This Row],[청소년남자]]+자료실기준[[#This Row],[성인남자]],0)</f>
        <v>2</v>
      </c>
      <c r="O245" s="9">
        <f>IFERROR(자료실기준[[#This Row],[어린이여자]]+자료실기준[[#This Row],[청소년여자]]+자료실기준[[#This Row],[성인여자]],0)</f>
        <v>4</v>
      </c>
      <c r="P245" s="9">
        <f>IFERROR(자료실기준[[#This Row],[남자]]+자료실기준[[#This Row],[여자]],0)</f>
        <v>6</v>
      </c>
      <c r="Q245" s="9">
        <f t="array" ref="Q245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45" s="9">
        <f t="array" ref="R245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45" s="9">
        <f t="array" ref="S245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45" s="9">
        <f t="array" ref="T245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45" s="9">
        <f t="array" ref="U245">IFERROR(INDEX(대출권수[],MATCH(1,(자료실기준[[#This Row],[소장처명]]=대출권수[소장처명])*(대출권수[대출반납]="대출")*(자료실기준[[#This Row],[년월]]=대출권수[년월]),0),MATCH(U$1,대출권수[#Headers],0)),0)</f>
        <v>2</v>
      </c>
      <c r="V245" s="9">
        <f t="array" ref="V245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45" s="9">
        <f t="array" ref="W245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45" s="9">
        <f t="array" ref="X245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45" s="9">
        <f t="array" ref="Y245">IFERROR(INDEX(대출권수[],MATCH(1,(자료실기준[[#This Row],[소장처명]]=대출권수[소장처명])*(대출권수[대출반납]="대출")*(자료실기준[[#This Row],[년월]]=대출권수[년월]),0),MATCH(Y$1,대출권수[#Headers],0)),0)</f>
        <v>3</v>
      </c>
      <c r="Z245" s="9">
        <f t="array" ref="Z245">IFERROR(INDEX(대출권수[],MATCH(1,(자료실기준[[#This Row],[소장처명]]=대출권수[소장처명])*(대출권수[대출반납]="대출")*(자료실기준[[#This Row],[년월]]=대출권수[년월]),0),MATCH(Z$1,대출권수[#Headers],0)),0)</f>
        <v>2</v>
      </c>
      <c r="AA245" s="9">
        <f>SUM(자료실기준[[#This Row],[총류]:[역사]])</f>
        <v>7</v>
      </c>
    </row>
    <row r="246" spans="1:27" x14ac:dyDescent="0.3">
      <c r="A246" s="5">
        <v>45566</v>
      </c>
      <c r="B246" t="s">
        <v>11</v>
      </c>
      <c r="C246" s="5" t="str">
        <f>TEXT(자료실기준[[#This Row],[년월]],"yy년m월")&amp;자료실기준[[#This Row],[소장처명]]</f>
        <v>24년10월어린이실(교과5학년)</v>
      </c>
      <c r="D246" t="str">
        <f>IFERROR(INDEX(자료실범례[],MATCH($B246,자료실범례[소장처명],0),2),"종합자료실")</f>
        <v>어린이자료실</v>
      </c>
      <c r="E246" s="9">
        <f t="array" ref="E246">IFERROR(INDEX(대출자[],MATCH(1,(자료실기준[[#This Row],[소장처명]]=대출자[소장처명])*(자료실기준[[#This Row],[년월]]=대출자[년월]),0),MATCH(E$1,대출자[#Headers],0)),0)</f>
        <v>2</v>
      </c>
      <c r="F246" s="9">
        <f t="array" ref="F246">IFERROR(INDEX(대출자[],MATCH(1,(자료실기준[[#This Row],[소장처명]]=대출자[소장처명])*(자료실기준[[#This Row],[년월]]=대출자[년월]),0),MATCH(F$1,대출자[#Headers],0)),0)</f>
        <v>1</v>
      </c>
      <c r="G246" s="9">
        <f t="array" ref="G246">IFERROR(INDEX(대출자[],MATCH(1,(자료실기준[[#This Row],[소장처명]]=대출자[소장처명])*(자료실기준[[#This Row],[년월]]=대출자[년월]),0),MATCH(G$1,대출자[#Headers],0)),0)</f>
        <v>0</v>
      </c>
      <c r="H246" s="9">
        <f t="array" ref="H246">IFERROR(INDEX(대출자[],MATCH(1,(자료실기준[[#This Row],[소장처명]]=대출자[소장처명])*(자료실기준[[#This Row],[년월]]=대출자[년월]),0),MATCH(H$1,대출자[#Headers],0)),0)</f>
        <v>1</v>
      </c>
      <c r="I246" s="9">
        <f t="array" ref="I246">IFERROR(INDEX(대출자[],MATCH(1,(자료실기준[[#This Row],[소장처명]]=대출자[소장처명])*(자료실기준[[#This Row],[년월]]=대출자[년월]),0),MATCH(I$1,대출자[#Headers],0)),0)</f>
        <v>3</v>
      </c>
      <c r="J246" s="9">
        <f t="array" ref="J246">IFERROR(INDEX(대출자[],MATCH(1,(자료실기준[[#This Row],[소장처명]]=대출자[소장처명])*(자료실기준[[#This Row],[년월]]=대출자[년월]),0),MATCH(J$1,대출자[#Headers],0)),0)</f>
        <v>0</v>
      </c>
      <c r="K246" s="9">
        <f t="array" ref="K246">IFERROR(INDEX(대출자[],MATCH(1,(자료실기준[[#This Row],[소장처명]]=대출자[소장처명])*(자료실기준[[#This Row],[년월]]=대출자[년월]),0),MATCH(K$1,대출자[#Headers],0)),0)</f>
        <v>3</v>
      </c>
      <c r="L246" s="9">
        <f t="array" ref="L246">IFERROR(INDEX(대출자[],MATCH(1,(자료실기준[[#This Row],[소장처명]]=대출자[소장처명])*(자료실기준[[#This Row],[년월]]=대출자[년월]),0),MATCH(L$1,대출자[#Headers],0)),0)</f>
        <v>1</v>
      </c>
      <c r="M246" s="9">
        <f t="array" ref="M246">IFERROR(INDEX(대출자[],MATCH(1,(자료실기준[[#This Row],[소장처명]]=대출자[소장처명])*(자료실기준[[#This Row],[년월]]=대출자[년월]),0),MATCH(M$1,대출자[#Headers],0)),0)</f>
        <v>3</v>
      </c>
      <c r="N246" s="9">
        <f>IFERROR(자료실기준[[#This Row],[어린이남자]]+자료실기준[[#This Row],[청소년남자]]+자료실기준[[#This Row],[성인남자]],0)</f>
        <v>5</v>
      </c>
      <c r="O246" s="9">
        <f>IFERROR(자료실기준[[#This Row],[어린이여자]]+자료실기준[[#This Row],[청소년여자]]+자료실기준[[#This Row],[성인여자]],0)</f>
        <v>2</v>
      </c>
      <c r="P246" s="9">
        <f>IFERROR(자료실기준[[#This Row],[남자]]+자료실기준[[#This Row],[여자]],0)</f>
        <v>7</v>
      </c>
      <c r="Q246" s="9">
        <f t="array" ref="Q246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46" s="9">
        <f t="array" ref="R246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46" s="9">
        <f t="array" ref="S246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46" s="9">
        <f t="array" ref="T246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46" s="9">
        <f t="array" ref="U246">IFERROR(INDEX(대출권수[],MATCH(1,(자료실기준[[#This Row],[소장처명]]=대출권수[소장처명])*(대출권수[대출반납]="대출")*(자료실기준[[#This Row],[년월]]=대출권수[년월]),0),MATCH(U$1,대출권수[#Headers],0)),0)</f>
        <v>1</v>
      </c>
      <c r="V246" s="9">
        <f t="array" ref="V246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46" s="9">
        <f t="array" ref="W246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46" s="9">
        <f t="array" ref="X246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46" s="9">
        <f t="array" ref="Y246">IFERROR(INDEX(대출권수[],MATCH(1,(자료실기준[[#This Row],[소장처명]]=대출권수[소장처명])*(대출권수[대출반납]="대출")*(자료실기준[[#This Row],[년월]]=대출권수[년월]),0),MATCH(Y$1,대출권수[#Headers],0)),0)</f>
        <v>19</v>
      </c>
      <c r="Z246" s="9">
        <f t="array" ref="Z246">IFERROR(INDEX(대출권수[],MATCH(1,(자료실기준[[#This Row],[소장처명]]=대출권수[소장처명])*(대출권수[대출반납]="대출")*(자료실기준[[#This Row],[년월]]=대출권수[년월]),0),MATCH(Z$1,대출권수[#Headers],0)),0)</f>
        <v>1</v>
      </c>
      <c r="AA246" s="9">
        <f>SUM(자료실기준[[#This Row],[총류]:[역사]])</f>
        <v>21</v>
      </c>
    </row>
    <row r="247" spans="1:27" x14ac:dyDescent="0.3">
      <c r="A247" s="5">
        <v>45566</v>
      </c>
      <c r="B247" t="s">
        <v>12</v>
      </c>
      <c r="C247" s="5" t="str">
        <f>TEXT(자료실기준[[#This Row],[년월]],"yy년m월")&amp;자료실기준[[#This Row],[소장처명]]</f>
        <v>24년10월어린이실(교과6학년)</v>
      </c>
      <c r="D247" t="str">
        <f>IFERROR(INDEX(자료실범례[],MATCH($B247,자료실범례[소장처명],0),2),"종합자료실")</f>
        <v>어린이자료실</v>
      </c>
      <c r="E247" s="9">
        <f t="array" ref="E247">IFERROR(INDEX(대출자[],MATCH(1,(자료실기준[[#This Row],[소장처명]]=대출자[소장처명])*(자료실기준[[#This Row],[년월]]=대출자[년월]),0),MATCH(E$1,대출자[#Headers],0)),0)</f>
        <v>1</v>
      </c>
      <c r="F247" s="9">
        <f t="array" ref="F247">IFERROR(INDEX(대출자[],MATCH(1,(자료실기준[[#This Row],[소장처명]]=대출자[소장처명])*(자료실기준[[#This Row],[년월]]=대출자[년월]),0),MATCH(F$1,대출자[#Headers],0)),0)</f>
        <v>0</v>
      </c>
      <c r="G247" s="9">
        <f t="array" ref="G247">IFERROR(INDEX(대출자[],MATCH(1,(자료실기준[[#This Row],[소장처명]]=대출자[소장처명])*(자료실기준[[#This Row],[년월]]=대출자[년월]),0),MATCH(G$1,대출자[#Headers],0)),0)</f>
        <v>0</v>
      </c>
      <c r="H247" s="9">
        <f t="array" ref="H247">IFERROR(INDEX(대출자[],MATCH(1,(자료실기준[[#This Row],[소장처명]]=대출자[소장처명])*(자료실기준[[#This Row],[년월]]=대출자[년월]),0),MATCH(H$1,대출자[#Headers],0)),0)</f>
        <v>1</v>
      </c>
      <c r="I247" s="9">
        <f t="array" ref="I247">IFERROR(INDEX(대출자[],MATCH(1,(자료실기준[[#This Row],[소장처명]]=대출자[소장처명])*(자료실기준[[#This Row],[년월]]=대출자[년월]),0),MATCH(I$1,대출자[#Headers],0)),0)</f>
        <v>0</v>
      </c>
      <c r="J247" s="9">
        <f t="array" ref="J247">IFERROR(INDEX(대출자[],MATCH(1,(자료실기준[[#This Row],[소장처명]]=대출자[소장처명])*(자료실기준[[#This Row],[년월]]=대출자[년월]),0),MATCH(J$1,대출자[#Headers],0)),0)</f>
        <v>0</v>
      </c>
      <c r="K247" s="9">
        <f t="array" ref="K247">IFERROR(INDEX(대출자[],MATCH(1,(자료실기준[[#This Row],[소장처명]]=대출자[소장처명])*(자료실기준[[#This Row],[년월]]=대출자[년월]),0),MATCH(K$1,대출자[#Headers],0)),0)</f>
        <v>1</v>
      </c>
      <c r="L247" s="9">
        <f t="array" ref="L247">IFERROR(INDEX(대출자[],MATCH(1,(자료실기준[[#This Row],[소장처명]]=대출자[소장처명])*(자료실기준[[#This Row],[년월]]=대출자[년월]),0),MATCH(L$1,대출자[#Headers],0)),0)</f>
        <v>1</v>
      </c>
      <c r="M247" s="9">
        <f t="array" ref="M247">IFERROR(INDEX(대출자[],MATCH(1,(자료실기준[[#This Row],[소장처명]]=대출자[소장처명])*(자료실기준[[#This Row],[년월]]=대출자[년월]),0),MATCH(M$1,대출자[#Headers],0)),0)</f>
        <v>0</v>
      </c>
      <c r="N247" s="9">
        <f>IFERROR(자료실기준[[#This Row],[어린이남자]]+자료실기준[[#This Row],[청소년남자]]+자료실기준[[#This Row],[성인남자]],0)</f>
        <v>1</v>
      </c>
      <c r="O247" s="9">
        <f>IFERROR(자료실기준[[#This Row],[어린이여자]]+자료실기준[[#This Row],[청소년여자]]+자료실기준[[#This Row],[성인여자]],0)</f>
        <v>1</v>
      </c>
      <c r="P247" s="9">
        <f>IFERROR(자료실기준[[#This Row],[남자]]+자료실기준[[#This Row],[여자]],0)</f>
        <v>2</v>
      </c>
      <c r="Q247" s="9">
        <f t="array" ref="Q247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47" s="9">
        <f t="array" ref="R247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47" s="9">
        <f t="array" ref="S247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47" s="9">
        <f t="array" ref="T247">IFERROR(INDEX(대출권수[],MATCH(1,(자료실기준[[#This Row],[소장처명]]=대출권수[소장처명])*(대출권수[대출반납]="대출")*(자료실기준[[#This Row],[년월]]=대출권수[년월]),0),MATCH(T$1,대출권수[#Headers],0)),0)</f>
        <v>3</v>
      </c>
      <c r="U247" s="9">
        <f t="array" ref="U247">IFERROR(INDEX(대출권수[],MATCH(1,(자료실기준[[#This Row],[소장처명]]=대출권수[소장처명])*(대출권수[대출반납]="대출")*(자료실기준[[#This Row],[년월]]=대출권수[년월]),0),MATCH(U$1,대출권수[#Headers],0)),0)</f>
        <v>1</v>
      </c>
      <c r="V247" s="9">
        <f t="array" ref="V247">IFERROR(INDEX(대출권수[],MATCH(1,(자료실기준[[#This Row],[소장처명]]=대출권수[소장처명])*(대출권수[대출반납]="대출")*(자료실기준[[#This Row],[년월]]=대출권수[년월]),0),MATCH(V$1,대출권수[#Headers],0)),0)</f>
        <v>3</v>
      </c>
      <c r="W247" s="9">
        <f t="array" ref="W247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47" s="9">
        <f t="array" ref="X247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47" s="9">
        <f t="array" ref="Y247">IFERROR(INDEX(대출권수[],MATCH(1,(자료실기준[[#This Row],[소장처명]]=대출권수[소장처명])*(대출권수[대출반납]="대출")*(자료실기준[[#This Row],[년월]]=대출권수[년월]),0),MATCH(Y$1,대출권수[#Headers],0)),0)</f>
        <v>2</v>
      </c>
      <c r="Z247" s="9">
        <f t="array" ref="Z247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47" s="9">
        <f>SUM(자료실기준[[#This Row],[총류]:[역사]])</f>
        <v>9</v>
      </c>
    </row>
    <row r="248" spans="1:27" x14ac:dyDescent="0.3">
      <c r="A248" s="5">
        <v>45566</v>
      </c>
      <c r="B248" t="s">
        <v>0</v>
      </c>
      <c r="C248" s="5" t="str">
        <f>TEXT(자료실기준[[#This Row],[년월]],"yy년m월")&amp;자료실기준[[#This Row],[소장처명]]</f>
        <v>24년10월다문화자료실</v>
      </c>
      <c r="D248" t="str">
        <f>IFERROR(INDEX(자료실범례[],MATCH($B248,자료실범례[소장처명],0),2),"종합자료실")</f>
        <v>어린이자료실</v>
      </c>
      <c r="E248" s="9">
        <f t="array" ref="E248">IFERROR(INDEX(대출자[],MATCH(1,(자료실기준[[#This Row],[소장처명]]=대출자[소장처명])*(자료실기준[[#This Row],[년월]]=대출자[년월]),0),MATCH(E$1,대출자[#Headers],0)),0)</f>
        <v>0</v>
      </c>
      <c r="F248" s="9">
        <f t="array" ref="F248">IFERROR(INDEX(대출자[],MATCH(1,(자료실기준[[#This Row],[소장처명]]=대출자[소장처명])*(자료실기준[[#This Row],[년월]]=대출자[년월]),0),MATCH(F$1,대출자[#Headers],0)),0)</f>
        <v>2</v>
      </c>
      <c r="G248" s="9">
        <f t="array" ref="G248">IFERROR(INDEX(대출자[],MATCH(1,(자료실기준[[#This Row],[소장처명]]=대출자[소장처명])*(자료실기준[[#This Row],[년월]]=대출자[년월]),0),MATCH(G$1,대출자[#Headers],0)),0)</f>
        <v>0</v>
      </c>
      <c r="H248" s="9">
        <f t="array" ref="H248">IFERROR(INDEX(대출자[],MATCH(1,(자료실기준[[#This Row],[소장처명]]=대출자[소장처명])*(자료실기준[[#This Row],[년월]]=대출자[년월]),0),MATCH(H$1,대출자[#Headers],0)),0)</f>
        <v>0</v>
      </c>
      <c r="I248" s="9">
        <f t="array" ref="I248">IFERROR(INDEX(대출자[],MATCH(1,(자료실기준[[#This Row],[소장처명]]=대출자[소장처명])*(자료실기준[[#This Row],[년월]]=대출자[년월]),0),MATCH(I$1,대출자[#Headers],0)),0)</f>
        <v>3</v>
      </c>
      <c r="J248" s="9">
        <f t="array" ref="J248">IFERROR(INDEX(대출자[],MATCH(1,(자료실기준[[#This Row],[소장처명]]=대출자[소장처명])*(자료실기준[[#This Row],[년월]]=대출자[년월]),0),MATCH(J$1,대출자[#Headers],0)),0)</f>
        <v>3</v>
      </c>
      <c r="K248" s="9">
        <f t="array" ref="K248">IFERROR(INDEX(대출자[],MATCH(1,(자료실기준[[#This Row],[소장처명]]=대출자[소장처명])*(자료실기준[[#This Row],[년월]]=대출자[년월]),0),MATCH(K$1,대출자[#Headers],0)),0)</f>
        <v>2</v>
      </c>
      <c r="L248" s="9">
        <f t="array" ref="L248">IFERROR(INDEX(대출자[],MATCH(1,(자료실기준[[#This Row],[소장처명]]=대출자[소장처명])*(자료실기준[[#This Row],[년월]]=대출자[년월]),0),MATCH(L$1,대출자[#Headers],0)),0)</f>
        <v>0</v>
      </c>
      <c r="M248" s="9">
        <f t="array" ref="M248">IFERROR(INDEX(대출자[],MATCH(1,(자료실기준[[#This Row],[소장처명]]=대출자[소장처명])*(자료실기준[[#This Row],[년월]]=대출자[년월]),0),MATCH(M$1,대출자[#Headers],0)),0)</f>
        <v>6</v>
      </c>
      <c r="N248" s="9">
        <f>IFERROR(자료실기준[[#This Row],[어린이남자]]+자료실기준[[#This Row],[청소년남자]]+자료실기준[[#This Row],[성인남자]],0)</f>
        <v>3</v>
      </c>
      <c r="O248" s="9">
        <f>IFERROR(자료실기준[[#This Row],[어린이여자]]+자료실기준[[#This Row],[청소년여자]]+자료실기준[[#This Row],[성인여자]],0)</f>
        <v>5</v>
      </c>
      <c r="P248" s="9">
        <f>IFERROR(자료실기준[[#This Row],[남자]]+자료실기준[[#This Row],[여자]],0)</f>
        <v>8</v>
      </c>
      <c r="Q248" s="9">
        <f t="array" ref="Q248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48" s="9">
        <f t="array" ref="R248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48" s="9">
        <f t="array" ref="S248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48" s="9">
        <f t="array" ref="T248">IFERROR(INDEX(대출권수[],MATCH(1,(자료실기준[[#This Row],[소장처명]]=대출권수[소장처명])*(대출권수[대출반납]="대출")*(자료실기준[[#This Row],[년월]]=대출권수[년월]),0),MATCH(T$1,대출권수[#Headers],0)),0)</f>
        <v>1</v>
      </c>
      <c r="U248" s="9">
        <f t="array" ref="U248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48" s="9">
        <f t="array" ref="V248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48" s="9">
        <f t="array" ref="W248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48" s="9">
        <f t="array" ref="X248">IFERROR(INDEX(대출권수[],MATCH(1,(자료실기준[[#This Row],[소장처명]]=대출권수[소장처명])*(대출권수[대출반납]="대출")*(자료실기준[[#This Row],[년월]]=대출권수[년월]),0),MATCH(X$1,대출권수[#Headers],0)),0)</f>
        <v>1</v>
      </c>
      <c r="Y248" s="9">
        <f t="array" ref="Y248">IFERROR(INDEX(대출권수[],MATCH(1,(자료실기준[[#This Row],[소장처명]]=대출권수[소장처명])*(대출권수[대출반납]="대출")*(자료실기준[[#This Row],[년월]]=대출권수[년월]),0),MATCH(Y$1,대출권수[#Headers],0)),0)</f>
        <v>8</v>
      </c>
      <c r="Z248" s="9">
        <f t="array" ref="Z248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48" s="9">
        <f>SUM(자료실기준[[#This Row],[총류]:[역사]])</f>
        <v>10</v>
      </c>
    </row>
    <row r="249" spans="1:27" x14ac:dyDescent="0.3">
      <c r="A249" s="5">
        <v>45566</v>
      </c>
      <c r="B249" t="s">
        <v>1</v>
      </c>
      <c r="C249" s="5" t="str">
        <f>TEXT(자료실기준[[#This Row],[년월]],"yy년m월")&amp;자료실기준[[#This Row],[소장처명]]</f>
        <v>24년10월다문화자료실(영어유아)</v>
      </c>
      <c r="D249" t="str">
        <f>IFERROR(INDEX(자료실범례[],MATCH($B249,자료실범례[소장처명],0),2),"종합자료실")</f>
        <v>어린이자료실</v>
      </c>
      <c r="E249" s="9">
        <f t="array" ref="E249">IFERROR(INDEX(대출자[],MATCH(1,(자료실기준[[#This Row],[소장처명]]=대출자[소장처명])*(자료실기준[[#This Row],[년월]]=대출자[년월]),0),MATCH(E$1,대출자[#Headers],0)),0)</f>
        <v>1</v>
      </c>
      <c r="F249" s="9">
        <f t="array" ref="F249">IFERROR(INDEX(대출자[],MATCH(1,(자료실기준[[#This Row],[소장처명]]=대출자[소장처명])*(자료실기준[[#This Row],[년월]]=대출자[년월]),0),MATCH(F$1,대출자[#Headers],0)),0)</f>
        <v>3</v>
      </c>
      <c r="G249" s="9">
        <f t="array" ref="G249">IFERROR(INDEX(대출자[],MATCH(1,(자료실기준[[#This Row],[소장처명]]=대출자[소장처명])*(자료실기준[[#This Row],[년월]]=대출자[년월]),0),MATCH(G$1,대출자[#Headers],0)),0)</f>
        <v>0</v>
      </c>
      <c r="H249" s="9">
        <f t="array" ref="H249">IFERROR(INDEX(대출자[],MATCH(1,(자료실기준[[#This Row],[소장처명]]=대출자[소장처명])*(자료실기준[[#This Row],[년월]]=대출자[년월]),0),MATCH(H$1,대출자[#Headers],0)),0)</f>
        <v>0</v>
      </c>
      <c r="I249" s="9">
        <f t="array" ref="I249">IFERROR(INDEX(대출자[],MATCH(1,(자료실기준[[#This Row],[소장처명]]=대출자[소장처명])*(자료실기준[[#This Row],[년월]]=대출자[년월]),0),MATCH(I$1,대출자[#Headers],0)),0)</f>
        <v>1</v>
      </c>
      <c r="J249" s="9">
        <f t="array" ref="J249">IFERROR(INDEX(대출자[],MATCH(1,(자료실기준[[#This Row],[소장처명]]=대출자[소장처명])*(자료실기준[[#This Row],[년월]]=대출자[년월]),0),MATCH(J$1,대출자[#Headers],0)),0)</f>
        <v>1</v>
      </c>
      <c r="K249" s="9">
        <f t="array" ref="K249">IFERROR(INDEX(대출자[],MATCH(1,(자료실기준[[#This Row],[소장처명]]=대출자[소장처명])*(자료실기준[[#This Row],[년월]]=대출자[년월]),0),MATCH(K$1,대출자[#Headers],0)),0)</f>
        <v>4</v>
      </c>
      <c r="L249" s="9">
        <f t="array" ref="L249">IFERROR(INDEX(대출자[],MATCH(1,(자료실기준[[#This Row],[소장처명]]=대출자[소장처명])*(자료실기준[[#This Row],[년월]]=대출자[년월]),0),MATCH(L$1,대출자[#Headers],0)),0)</f>
        <v>0</v>
      </c>
      <c r="M249" s="9">
        <f t="array" ref="M249">IFERROR(INDEX(대출자[],MATCH(1,(자료실기준[[#This Row],[소장처명]]=대출자[소장처명])*(자료실기준[[#This Row],[년월]]=대출자[년월]),0),MATCH(M$1,대출자[#Headers],0)),0)</f>
        <v>2</v>
      </c>
      <c r="N249" s="9">
        <f>IFERROR(자료실기준[[#This Row],[어린이남자]]+자료실기준[[#This Row],[청소년남자]]+자료실기준[[#This Row],[성인남자]],0)</f>
        <v>2</v>
      </c>
      <c r="O249" s="9">
        <f>IFERROR(자료실기준[[#This Row],[어린이여자]]+자료실기준[[#This Row],[청소년여자]]+자료실기준[[#This Row],[성인여자]],0)</f>
        <v>4</v>
      </c>
      <c r="P249" s="9">
        <f>IFERROR(자료실기준[[#This Row],[남자]]+자료실기준[[#This Row],[여자]],0)</f>
        <v>6</v>
      </c>
      <c r="Q249" s="9">
        <f t="array" ref="Q249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49" s="9">
        <f t="array" ref="R249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49" s="9">
        <f t="array" ref="S249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49" s="9">
        <f t="array" ref="T249">IFERROR(INDEX(대출권수[],MATCH(1,(자료실기준[[#This Row],[소장처명]]=대출권수[소장처명])*(대출권수[대출반납]="대출")*(자료실기준[[#This Row],[년월]]=대출권수[년월]),0),MATCH(T$1,대출권수[#Headers],0)),0)</f>
        <v>1</v>
      </c>
      <c r="U249" s="9">
        <f t="array" ref="U249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49" s="9">
        <f t="array" ref="V249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49" s="9">
        <f t="array" ref="W249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49" s="9">
        <f t="array" ref="X249">IFERROR(INDEX(대출권수[],MATCH(1,(자료실기준[[#This Row],[소장처명]]=대출권수[소장처명])*(대출권수[대출반납]="대출")*(자료실기준[[#This Row],[년월]]=대출권수[년월]),0),MATCH(X$1,대출권수[#Headers],0)),0)</f>
        <v>13</v>
      </c>
      <c r="Y249" s="9">
        <f t="array" ref="Y249">IFERROR(INDEX(대출권수[],MATCH(1,(자료실기준[[#This Row],[소장처명]]=대출권수[소장처명])*(대출권수[대출반납]="대출")*(자료실기준[[#This Row],[년월]]=대출권수[년월]),0),MATCH(Y$1,대출권수[#Headers],0)),0)</f>
        <v>5</v>
      </c>
      <c r="Z249" s="9">
        <f t="array" ref="Z249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49" s="9">
        <f>SUM(자료실기준[[#This Row],[총류]:[역사]])</f>
        <v>19</v>
      </c>
    </row>
    <row r="250" spans="1:27" x14ac:dyDescent="0.3">
      <c r="A250" s="5">
        <v>45566</v>
      </c>
      <c r="B250" t="s">
        <v>6</v>
      </c>
      <c r="C250" s="5" t="str">
        <f>TEXT(자료실기준[[#This Row],[년월]],"yy년m월")&amp;자료실기준[[#This Row],[소장처명]]</f>
        <v>24년10월스마트도서관</v>
      </c>
      <c r="D250" t="str">
        <f>IFERROR(INDEX(자료실범례[],MATCH($B250,자료실범례[소장처명],0),2),"종합자료실")</f>
        <v>종합자료실</v>
      </c>
      <c r="E250" s="9">
        <f t="array" ref="E250">IFERROR(INDEX(대출자[],MATCH(1,(자료실기준[[#This Row],[소장처명]]=대출자[소장처명])*(자료실기준[[#This Row],[년월]]=대출자[년월]),0),MATCH(E$1,대출자[#Headers],0)),0)</f>
        <v>4</v>
      </c>
      <c r="F250" s="9">
        <f t="array" ref="F250">IFERROR(INDEX(대출자[],MATCH(1,(자료실기준[[#This Row],[소장처명]]=대출자[소장처명])*(자료실기준[[#This Row],[년월]]=대출자[년월]),0),MATCH(F$1,대출자[#Headers],0)),0)</f>
        <v>5</v>
      </c>
      <c r="G250" s="9">
        <f t="array" ref="G250">IFERROR(INDEX(대출자[],MATCH(1,(자료실기준[[#This Row],[소장처명]]=대출자[소장처명])*(자료실기준[[#This Row],[년월]]=대출자[년월]),0),MATCH(G$1,대출자[#Headers],0)),0)</f>
        <v>0</v>
      </c>
      <c r="H250" s="9">
        <f t="array" ref="H250">IFERROR(INDEX(대출자[],MATCH(1,(자료실기준[[#This Row],[소장처명]]=대출자[소장처명])*(자료실기준[[#This Row],[년월]]=대출자[년월]),0),MATCH(H$1,대출자[#Headers],0)),0)</f>
        <v>2</v>
      </c>
      <c r="I250" s="9">
        <f t="array" ref="I250">IFERROR(INDEX(대출자[],MATCH(1,(자료실기준[[#This Row],[소장처명]]=대출자[소장처명])*(자료실기준[[#This Row],[년월]]=대출자[년월]),0),MATCH(I$1,대출자[#Headers],0)),0)</f>
        <v>7</v>
      </c>
      <c r="J250" s="9">
        <f t="array" ref="J250">IFERROR(INDEX(대출자[],MATCH(1,(자료실기준[[#This Row],[소장처명]]=대출자[소장처명])*(자료실기준[[#This Row],[년월]]=대출자[년월]),0),MATCH(J$1,대출자[#Headers],0)),0)</f>
        <v>17</v>
      </c>
      <c r="K250" s="9">
        <f t="array" ref="K250">IFERROR(INDEX(대출자[],MATCH(1,(자료실기준[[#This Row],[소장처명]]=대출자[소장처명])*(자료실기준[[#This Row],[년월]]=대출자[년월]),0),MATCH(K$1,대출자[#Headers],0)),0)</f>
        <v>9</v>
      </c>
      <c r="L250" s="9">
        <f t="array" ref="L250">IFERROR(INDEX(대출자[],MATCH(1,(자료실기준[[#This Row],[소장처명]]=대출자[소장처명])*(자료실기준[[#This Row],[년월]]=대출자[년월]),0),MATCH(L$1,대출자[#Headers],0)),0)</f>
        <v>2</v>
      </c>
      <c r="M250" s="9">
        <f t="array" ref="M250">IFERROR(INDEX(대출자[],MATCH(1,(자료실기준[[#This Row],[소장처명]]=대출자[소장처명])*(자료실기준[[#This Row],[년월]]=대출자[년월]),0),MATCH(M$1,대출자[#Headers],0)),0)</f>
        <v>24</v>
      </c>
      <c r="N250" s="9">
        <f>IFERROR(자료실기준[[#This Row],[어린이남자]]+자료실기준[[#This Row],[청소년남자]]+자료실기준[[#This Row],[성인남자]],0)</f>
        <v>11</v>
      </c>
      <c r="O250" s="9">
        <f>IFERROR(자료실기준[[#This Row],[어린이여자]]+자료실기준[[#This Row],[청소년여자]]+자료실기준[[#This Row],[성인여자]],0)</f>
        <v>24</v>
      </c>
      <c r="P250" s="9">
        <f>IFERROR(자료실기준[[#This Row],[남자]]+자료실기준[[#This Row],[여자]],0)</f>
        <v>35</v>
      </c>
      <c r="Q250" s="9">
        <f t="array" ref="Q250">IFERROR(INDEX(대출권수[],MATCH(1,(자료실기준[[#This Row],[소장처명]]=대출권수[소장처명])*(대출권수[대출반납]="대출")*(자료실기준[[#This Row],[년월]]=대출권수[년월]),0),MATCH(Q$1,대출권수[#Headers],0)),0)</f>
        <v>1</v>
      </c>
      <c r="R250" s="9">
        <f t="array" ref="R250">IFERROR(INDEX(대출권수[],MATCH(1,(자료실기준[[#This Row],[소장처명]]=대출권수[소장처명])*(대출권수[대출반납]="대출")*(자료실기준[[#This Row],[년월]]=대출권수[년월]),0),MATCH(R$1,대출권수[#Headers],0)),0)</f>
        <v>7</v>
      </c>
      <c r="S250" s="9">
        <f t="array" ref="S250">IFERROR(INDEX(대출권수[],MATCH(1,(자료실기준[[#This Row],[소장처명]]=대출권수[소장처명])*(대출권수[대출반납]="대출")*(자료실기준[[#This Row],[년월]]=대출권수[년월]),0),MATCH(S$1,대출권수[#Headers],0)),0)</f>
        <v>2</v>
      </c>
      <c r="T250" s="9">
        <f t="array" ref="T250">IFERROR(INDEX(대출권수[],MATCH(1,(자료실기준[[#This Row],[소장처명]]=대출권수[소장처명])*(대출권수[대출반납]="대출")*(자료실기준[[#This Row],[년월]]=대출권수[년월]),0),MATCH(T$1,대출권수[#Headers],0)),0)</f>
        <v>12</v>
      </c>
      <c r="U250" s="9">
        <f t="array" ref="U250">IFERROR(INDEX(대출권수[],MATCH(1,(자료실기준[[#This Row],[소장처명]]=대출권수[소장처명])*(대출권수[대출반납]="대출")*(자료실기준[[#This Row],[년월]]=대출권수[년월]),0),MATCH(U$1,대출권수[#Headers],0)),0)</f>
        <v>3</v>
      </c>
      <c r="V250" s="9">
        <f t="array" ref="V250">IFERROR(INDEX(대출권수[],MATCH(1,(자료실기준[[#This Row],[소장처명]]=대출권수[소장처명])*(대출권수[대출반납]="대출")*(자료실기준[[#This Row],[년월]]=대출권수[년월]),0),MATCH(V$1,대출권수[#Headers],0)),0)</f>
        <v>9</v>
      </c>
      <c r="W250" s="9">
        <f t="array" ref="W250">IFERROR(INDEX(대출권수[],MATCH(1,(자료실기준[[#This Row],[소장처명]]=대출권수[소장처명])*(대출권수[대출반납]="대출")*(자료실기준[[#This Row],[년월]]=대출권수[년월]),0),MATCH(W$1,대출권수[#Headers],0)),0)</f>
        <v>4</v>
      </c>
      <c r="X250" s="9">
        <f t="array" ref="X250">IFERROR(INDEX(대출권수[],MATCH(1,(자료실기준[[#This Row],[소장처명]]=대출권수[소장처명])*(대출권수[대출반납]="대출")*(자료실기준[[#This Row],[년월]]=대출권수[년월]),0),MATCH(X$1,대출권수[#Headers],0)),0)</f>
        <v>4</v>
      </c>
      <c r="Y250" s="9">
        <f t="array" ref="Y250">IFERROR(INDEX(대출권수[],MATCH(1,(자료실기준[[#This Row],[소장처명]]=대출권수[소장처명])*(대출권수[대출반납]="대출")*(자료실기준[[#This Row],[년월]]=대출권수[년월]),0),MATCH(Y$1,대출권수[#Headers],0)),0)</f>
        <v>63</v>
      </c>
      <c r="Z250" s="9">
        <f t="array" ref="Z250">IFERROR(INDEX(대출권수[],MATCH(1,(자료실기준[[#This Row],[소장처명]]=대출권수[소장처명])*(대출권수[대출반납]="대출")*(자료실기준[[#This Row],[년월]]=대출권수[년월]),0),MATCH(Z$1,대출권수[#Headers],0)),0)</f>
        <v>3</v>
      </c>
      <c r="AA250" s="9">
        <f>SUM(자료실기준[[#This Row],[총류]:[역사]])</f>
        <v>108</v>
      </c>
    </row>
    <row r="251" spans="1:27" x14ac:dyDescent="0.3">
      <c r="A251" s="5">
        <v>45566</v>
      </c>
      <c r="B251" t="s">
        <v>18</v>
      </c>
      <c r="C251" s="5" t="str">
        <f>TEXT(자료실기준[[#This Row],[년월]],"yy년m월")&amp;자료실기준[[#This Row],[소장처명]]</f>
        <v>24년10월정기간행물(종합)</v>
      </c>
      <c r="D251" t="str">
        <f>IFERROR(INDEX(자료실범례[],MATCH($B251,자료실범례[소장처명],0),2),"종합자료실")</f>
        <v>종합자료실</v>
      </c>
      <c r="E251" s="9">
        <f t="array" ref="E251">IFERROR(INDEX(대출자[],MATCH(1,(자료실기준[[#This Row],[소장처명]]=대출자[소장처명])*(자료실기준[[#This Row],[년월]]=대출자[년월]),0),MATCH(E$1,대출자[#Headers],0)),0)</f>
        <v>0</v>
      </c>
      <c r="F251" s="9">
        <f t="array" ref="F251">IFERROR(INDEX(대출자[],MATCH(1,(자료실기준[[#This Row],[소장처명]]=대출자[소장처명])*(자료실기준[[#This Row],[년월]]=대출자[년월]),0),MATCH(F$1,대출자[#Headers],0)),0)</f>
        <v>0</v>
      </c>
      <c r="G251" s="9">
        <f t="array" ref="G251">IFERROR(INDEX(대출자[],MATCH(1,(자료실기준[[#This Row],[소장처명]]=대출자[소장처명])*(자료실기준[[#This Row],[년월]]=대출자[년월]),0),MATCH(G$1,대출자[#Headers],0)),0)</f>
        <v>0</v>
      </c>
      <c r="H251" s="9">
        <f t="array" ref="H251">IFERROR(INDEX(대출자[],MATCH(1,(자료실기준[[#This Row],[소장처명]]=대출자[소장처명])*(자료실기준[[#This Row],[년월]]=대출자[년월]),0),MATCH(H$1,대출자[#Headers],0)),0)</f>
        <v>0</v>
      </c>
      <c r="I251" s="9">
        <f t="array" ref="I251">IFERROR(INDEX(대출자[],MATCH(1,(자료실기준[[#This Row],[소장처명]]=대출자[소장처명])*(자료실기준[[#This Row],[년월]]=대출자[년월]),0),MATCH(I$1,대출자[#Headers],0)),0)</f>
        <v>2</v>
      </c>
      <c r="J251" s="9">
        <f t="array" ref="J251">IFERROR(INDEX(대출자[],MATCH(1,(자료실기준[[#This Row],[소장처명]]=대출자[소장처명])*(자료실기준[[#This Row],[년월]]=대출자[년월]),0),MATCH(J$1,대출자[#Headers],0)),0)</f>
        <v>1</v>
      </c>
      <c r="K251" s="9">
        <f t="array" ref="K251">IFERROR(INDEX(대출자[],MATCH(1,(자료실기준[[#This Row],[소장처명]]=대출자[소장처명])*(자료실기준[[#This Row],[년월]]=대출자[년월]),0),MATCH(K$1,대출자[#Headers],0)),0)</f>
        <v>0</v>
      </c>
      <c r="L251" s="9">
        <f t="array" ref="L251">IFERROR(INDEX(대출자[],MATCH(1,(자료실기준[[#This Row],[소장처명]]=대출자[소장처명])*(자료실기준[[#This Row],[년월]]=대출자[년월]),0),MATCH(L$1,대출자[#Headers],0)),0)</f>
        <v>0</v>
      </c>
      <c r="M251" s="9">
        <f t="array" ref="M251">IFERROR(INDEX(대출자[],MATCH(1,(자료실기준[[#This Row],[소장처명]]=대출자[소장처명])*(자료실기준[[#This Row],[년월]]=대출자[년월]),0),MATCH(M$1,대출자[#Headers],0)),0)</f>
        <v>3</v>
      </c>
      <c r="N251" s="9">
        <f>IFERROR(자료실기준[[#This Row],[어린이남자]]+자료실기준[[#This Row],[청소년남자]]+자료실기준[[#This Row],[성인남자]],0)</f>
        <v>2</v>
      </c>
      <c r="O251" s="9">
        <f>IFERROR(자료실기준[[#This Row],[어린이여자]]+자료실기준[[#This Row],[청소년여자]]+자료실기준[[#This Row],[성인여자]],0)</f>
        <v>1</v>
      </c>
      <c r="P251" s="9">
        <f>IFERROR(자료실기준[[#This Row],[남자]]+자료실기준[[#This Row],[여자]],0)</f>
        <v>3</v>
      </c>
      <c r="Q251" s="9">
        <f t="array" ref="Q251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51" s="9">
        <f t="array" ref="R251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51" s="9">
        <f t="array" ref="S251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51" s="9">
        <f t="array" ref="T251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51" s="9">
        <f t="array" ref="U251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51" s="9">
        <f t="array" ref="V251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51" s="9">
        <f t="array" ref="W251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51" s="9">
        <f t="array" ref="X251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51" s="9">
        <f t="array" ref="Y251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251" s="9">
        <f t="array" ref="Z251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51" s="9">
        <f>SUM(자료실기준[[#This Row],[총류]:[역사]])</f>
        <v>0</v>
      </c>
    </row>
    <row r="252" spans="1:27" x14ac:dyDescent="0.3">
      <c r="A252" s="5">
        <v>45566</v>
      </c>
      <c r="B252" t="s">
        <v>17</v>
      </c>
      <c r="C252" s="5" t="str">
        <f>TEXT(자료실기준[[#This Row],[년월]],"yy년m월")&amp;자료실기준[[#This Row],[소장처명]]</f>
        <v>24년10월정기간행물(어린이)</v>
      </c>
      <c r="D252" t="str">
        <f>IFERROR(INDEX(자료실범례[],MATCH($B252,자료실범례[소장처명],0),2),"종합자료실")</f>
        <v>어린이자료실</v>
      </c>
      <c r="E252" s="9">
        <f t="array" ref="E252">IFERROR(INDEX(대출자[],MATCH(1,(자료실기준[[#This Row],[소장처명]]=대출자[소장처명])*(자료실기준[[#This Row],[년월]]=대출자[년월]),0),MATCH(E$1,대출자[#Headers],0)),0)</f>
        <v>1</v>
      </c>
      <c r="F252" s="9">
        <f t="array" ref="F252">IFERROR(INDEX(대출자[],MATCH(1,(자료실기준[[#This Row],[소장처명]]=대출자[소장처명])*(자료실기준[[#This Row],[년월]]=대출자[년월]),0),MATCH(F$1,대출자[#Headers],0)),0)</f>
        <v>0</v>
      </c>
      <c r="G252" s="9">
        <f t="array" ref="G252">IFERROR(INDEX(대출자[],MATCH(1,(자료실기준[[#This Row],[소장처명]]=대출자[소장처명])*(자료실기준[[#This Row],[년월]]=대출자[년월]),0),MATCH(G$1,대출자[#Headers],0)),0)</f>
        <v>0</v>
      </c>
      <c r="H252" s="9">
        <f t="array" ref="H252">IFERROR(INDEX(대출자[],MATCH(1,(자료실기준[[#This Row],[소장처명]]=대출자[소장처명])*(자료실기준[[#This Row],[년월]]=대출자[년월]),0),MATCH(H$1,대출자[#Headers],0)),0)</f>
        <v>0</v>
      </c>
      <c r="I252" s="9">
        <f t="array" ref="I252">IFERROR(INDEX(대출자[],MATCH(1,(자료실기준[[#This Row],[소장처명]]=대출자[소장처명])*(자료실기준[[#This Row],[년월]]=대출자[년월]),0),MATCH(I$1,대출자[#Headers],0)),0)</f>
        <v>0</v>
      </c>
      <c r="J252" s="9">
        <f t="array" ref="J252">IFERROR(INDEX(대출자[],MATCH(1,(자료실기준[[#This Row],[소장처명]]=대출자[소장처명])*(자료실기준[[#This Row],[년월]]=대출자[년월]),0),MATCH(J$1,대출자[#Headers],0)),0)</f>
        <v>0</v>
      </c>
      <c r="K252" s="9">
        <f t="array" ref="K252">IFERROR(INDEX(대출자[],MATCH(1,(자료실기준[[#This Row],[소장처명]]=대출자[소장처명])*(자료실기준[[#This Row],[년월]]=대출자[년월]),0),MATCH(K$1,대출자[#Headers],0)),0)</f>
        <v>1</v>
      </c>
      <c r="L252" s="9">
        <f t="array" ref="L252">IFERROR(INDEX(대출자[],MATCH(1,(자료실기준[[#This Row],[소장처명]]=대출자[소장처명])*(자료실기준[[#This Row],[년월]]=대출자[년월]),0),MATCH(L$1,대출자[#Headers],0)),0)</f>
        <v>0</v>
      </c>
      <c r="M252" s="9">
        <f t="array" ref="M252">IFERROR(INDEX(대출자[],MATCH(1,(자료실기준[[#This Row],[소장처명]]=대출자[소장처명])*(자료실기준[[#This Row],[년월]]=대출자[년월]),0),MATCH(M$1,대출자[#Headers],0)),0)</f>
        <v>0</v>
      </c>
      <c r="N252" s="9">
        <f>IFERROR(자료실기준[[#This Row],[어린이남자]]+자료실기준[[#This Row],[청소년남자]]+자료실기준[[#This Row],[성인남자]],0)</f>
        <v>1</v>
      </c>
      <c r="O252" s="9">
        <f>IFERROR(자료실기준[[#This Row],[어린이여자]]+자료실기준[[#This Row],[청소년여자]]+자료실기준[[#This Row],[성인여자]],0)</f>
        <v>0</v>
      </c>
      <c r="P252" s="9">
        <f>IFERROR(자료실기준[[#This Row],[남자]]+자료실기준[[#This Row],[여자]],0)</f>
        <v>1</v>
      </c>
      <c r="Q252" s="9">
        <f t="array" ref="Q252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52" s="9">
        <f t="array" ref="R252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52" s="9">
        <f t="array" ref="S252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52" s="9">
        <f t="array" ref="T252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52" s="9">
        <f t="array" ref="U252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52" s="9">
        <f t="array" ref="V252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52" s="9">
        <f t="array" ref="W252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52" s="9">
        <f t="array" ref="X252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52" s="9">
        <f t="array" ref="Y252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252" s="9">
        <f t="array" ref="Z252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52" s="9">
        <f>SUM(자료실기준[[#This Row],[총류]:[역사]])</f>
        <v>0</v>
      </c>
    </row>
    <row r="253" spans="1:27" x14ac:dyDescent="0.3">
      <c r="A253" s="5">
        <v>45566</v>
      </c>
      <c r="B253" t="s">
        <v>197</v>
      </c>
      <c r="C253" s="5" t="str">
        <f>TEXT(자료실기준[[#This Row],[년월]],"yy년m월")&amp;자료실기준[[#This Row],[소장처명]]</f>
        <v>24년10월경남독서한마당(종합)</v>
      </c>
      <c r="D253" t="str">
        <f>IFERROR(INDEX(자료실범례[],MATCH($B253,자료실범례[소장처명],0),2),"종합자료실")</f>
        <v>종합자료실</v>
      </c>
      <c r="E253" s="9">
        <f t="array" ref="E253">IFERROR(INDEX(대출자[],MATCH(1,(자료실기준[[#This Row],[소장처명]]=대출자[소장처명])*(자료실기준[[#This Row],[년월]]=대출자[년월]),0),MATCH(E$1,대출자[#Headers],0)),0)</f>
        <v>0</v>
      </c>
      <c r="F253" s="9">
        <f t="array" ref="F253">IFERROR(INDEX(대출자[],MATCH(1,(자료실기준[[#This Row],[소장처명]]=대출자[소장처명])*(자료실기준[[#This Row],[년월]]=대출자[년월]),0),MATCH(F$1,대출자[#Headers],0)),0)</f>
        <v>0</v>
      </c>
      <c r="G253" s="9">
        <f t="array" ref="G253">IFERROR(INDEX(대출자[],MATCH(1,(자료실기준[[#This Row],[소장처명]]=대출자[소장처명])*(자료실기준[[#This Row],[년월]]=대출자[년월]),0),MATCH(G$1,대출자[#Headers],0)),0)</f>
        <v>0</v>
      </c>
      <c r="H253" s="9">
        <f t="array" ref="H253">IFERROR(INDEX(대출자[],MATCH(1,(자료실기준[[#This Row],[소장처명]]=대출자[소장처명])*(자료실기준[[#This Row],[년월]]=대출자[년월]),0),MATCH(H$1,대출자[#Headers],0)),0)</f>
        <v>1</v>
      </c>
      <c r="I253" s="9">
        <f t="array" ref="I253">IFERROR(INDEX(대출자[],MATCH(1,(자료실기준[[#This Row],[소장처명]]=대출자[소장처명])*(자료실기준[[#This Row],[년월]]=대출자[년월]),0),MATCH(I$1,대출자[#Headers],0)),0)</f>
        <v>2</v>
      </c>
      <c r="J253" s="9">
        <f t="array" ref="J253">IFERROR(INDEX(대출자[],MATCH(1,(자료실기준[[#This Row],[소장처명]]=대출자[소장처명])*(자료실기준[[#This Row],[년월]]=대출자[년월]),0),MATCH(J$1,대출자[#Headers],0)),0)</f>
        <v>6</v>
      </c>
      <c r="K253" s="9">
        <f t="array" ref="K253">IFERROR(INDEX(대출자[],MATCH(1,(자료실기준[[#This Row],[소장처명]]=대출자[소장처명])*(자료실기준[[#This Row],[년월]]=대출자[년월]),0),MATCH(K$1,대출자[#Headers],0)),0)</f>
        <v>0</v>
      </c>
      <c r="L253" s="9">
        <f t="array" ref="L253">IFERROR(INDEX(대출자[],MATCH(1,(자료실기준[[#This Row],[소장처명]]=대출자[소장처명])*(자료실기준[[#This Row],[년월]]=대출자[년월]),0),MATCH(L$1,대출자[#Headers],0)),0)</f>
        <v>1</v>
      </c>
      <c r="M253" s="9">
        <f t="array" ref="M253">IFERROR(INDEX(대출자[],MATCH(1,(자료실기준[[#This Row],[소장처명]]=대출자[소장처명])*(자료실기준[[#This Row],[년월]]=대출자[년월]),0),MATCH(M$1,대출자[#Headers],0)),0)</f>
        <v>8</v>
      </c>
      <c r="N253" s="9">
        <f>IFERROR(자료실기준[[#This Row],[어린이남자]]+자료실기준[[#This Row],[청소년남자]]+자료실기준[[#This Row],[성인남자]],0)</f>
        <v>2</v>
      </c>
      <c r="O253" s="9">
        <f>IFERROR(자료실기준[[#This Row],[어린이여자]]+자료실기준[[#This Row],[청소년여자]]+자료실기준[[#This Row],[성인여자]],0)</f>
        <v>7</v>
      </c>
      <c r="P253" s="9">
        <f>IFERROR(자료실기준[[#This Row],[남자]]+자료실기준[[#This Row],[여자]],0)</f>
        <v>9</v>
      </c>
      <c r="Q253" s="9">
        <f t="array" ref="Q253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53" s="9">
        <f t="array" ref="R253">IFERROR(INDEX(대출권수[],MATCH(1,(자료실기준[[#This Row],[소장처명]]=대출권수[소장처명])*(대출권수[대출반납]="대출")*(자료실기준[[#This Row],[년월]]=대출권수[년월]),0),MATCH(R$1,대출권수[#Headers],0)),0)</f>
        <v>1</v>
      </c>
      <c r="S253" s="9">
        <f t="array" ref="S253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53" s="9">
        <f t="array" ref="T253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53" s="9">
        <f t="array" ref="U253">IFERROR(INDEX(대출권수[],MATCH(1,(자료실기준[[#This Row],[소장처명]]=대출권수[소장처명])*(대출권수[대출반납]="대출")*(자료실기준[[#This Row],[년월]]=대출권수[년월]),0),MATCH(U$1,대출권수[#Headers],0)),0)</f>
        <v>1</v>
      </c>
      <c r="V253" s="9">
        <f t="array" ref="V253">IFERROR(INDEX(대출권수[],MATCH(1,(자료실기준[[#This Row],[소장처명]]=대출권수[소장처명])*(대출권수[대출반납]="대출")*(자료실기준[[#This Row],[년월]]=대출권수[년월]),0),MATCH(V$1,대출권수[#Headers],0)),0)</f>
        <v>2</v>
      </c>
      <c r="W253" s="9">
        <f t="array" ref="W253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53" s="9">
        <f t="array" ref="X253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53" s="9">
        <f t="array" ref="Y253">IFERROR(INDEX(대출권수[],MATCH(1,(자료실기준[[#This Row],[소장처명]]=대출권수[소장처명])*(대출권수[대출반납]="대출")*(자료실기준[[#This Row],[년월]]=대출권수[년월]),0),MATCH(Y$1,대출권수[#Headers],0)),0)</f>
        <v>4</v>
      </c>
      <c r="Z253" s="9">
        <f t="array" ref="Z253">IFERROR(INDEX(대출권수[],MATCH(1,(자료실기준[[#This Row],[소장처명]]=대출권수[소장처명])*(대출권수[대출반납]="대출")*(자료실기준[[#This Row],[년월]]=대출권수[년월]),0),MATCH(Z$1,대출권수[#Headers],0)),0)</f>
        <v>1</v>
      </c>
      <c r="AA253" s="9">
        <f>SUM(자료실기준[[#This Row],[총류]:[역사]])</f>
        <v>9</v>
      </c>
    </row>
    <row r="254" spans="1:27" x14ac:dyDescent="0.3">
      <c r="A254" s="5">
        <v>45566</v>
      </c>
      <c r="B254" t="s">
        <v>198</v>
      </c>
      <c r="C254" s="5" t="str">
        <f>TEXT(자료실기준[[#This Row],[년월]],"yy년m월")&amp;자료실기준[[#This Row],[소장처명]]</f>
        <v>24년10월경남독서한마당(어린이)</v>
      </c>
      <c r="D254" t="str">
        <f>IFERROR(INDEX(자료실범례[],MATCH($B254,자료실범례[소장처명],0),2),"종합자료실")</f>
        <v>어린이자료실</v>
      </c>
      <c r="E254" s="9">
        <f t="array" ref="E254">IFERROR(INDEX(대출자[],MATCH(1,(자료실기준[[#This Row],[소장처명]]=대출자[소장처명])*(자료실기준[[#This Row],[년월]]=대출자[년월]),0),MATCH(E$1,대출자[#Headers],0)),0)</f>
        <v>6</v>
      </c>
      <c r="F254" s="9">
        <f t="array" ref="F254">IFERROR(INDEX(대출자[],MATCH(1,(자료실기준[[#This Row],[소장처명]]=대출자[소장처명])*(자료실기준[[#This Row],[년월]]=대출자[년월]),0),MATCH(F$1,대출자[#Headers],0)),0)</f>
        <v>3</v>
      </c>
      <c r="G254" s="9">
        <f t="array" ref="G254">IFERROR(INDEX(대출자[],MATCH(1,(자료실기준[[#This Row],[소장처명]]=대출자[소장처명])*(자료실기준[[#This Row],[년월]]=대출자[년월]),0),MATCH(G$1,대출자[#Headers],0)),0)</f>
        <v>0</v>
      </c>
      <c r="H254" s="9">
        <f t="array" ref="H254">IFERROR(INDEX(대출자[],MATCH(1,(자료실기준[[#This Row],[소장처명]]=대출자[소장처명])*(자료실기준[[#This Row],[년월]]=대출자[년월]),0),MATCH(H$1,대출자[#Headers],0)),0)</f>
        <v>0</v>
      </c>
      <c r="I254" s="9">
        <f t="array" ref="I254">IFERROR(INDEX(대출자[],MATCH(1,(자료실기준[[#This Row],[소장처명]]=대출자[소장처명])*(자료실기준[[#This Row],[년월]]=대출자[년월]),0),MATCH(I$1,대출자[#Headers],0)),0)</f>
        <v>3</v>
      </c>
      <c r="J254" s="9">
        <f t="array" ref="J254">IFERROR(INDEX(대출자[],MATCH(1,(자료실기준[[#This Row],[소장처명]]=대출자[소장처명])*(자료실기준[[#This Row],[년월]]=대출자[년월]),0),MATCH(J$1,대출자[#Headers],0)),0)</f>
        <v>1</v>
      </c>
      <c r="K254" s="9">
        <f t="array" ref="K254">IFERROR(INDEX(대출자[],MATCH(1,(자료실기준[[#This Row],[소장처명]]=대출자[소장처명])*(자료실기준[[#This Row],[년월]]=대출자[년월]),0),MATCH(K$1,대출자[#Headers],0)),0)</f>
        <v>9</v>
      </c>
      <c r="L254" s="9">
        <f t="array" ref="L254">IFERROR(INDEX(대출자[],MATCH(1,(자료실기준[[#This Row],[소장처명]]=대출자[소장처명])*(자료실기준[[#This Row],[년월]]=대출자[년월]),0),MATCH(L$1,대출자[#Headers],0)),0)</f>
        <v>0</v>
      </c>
      <c r="M254" s="9">
        <f t="array" ref="M254">IFERROR(INDEX(대출자[],MATCH(1,(자료실기준[[#This Row],[소장처명]]=대출자[소장처명])*(자료실기준[[#This Row],[년월]]=대출자[년월]),0),MATCH(M$1,대출자[#Headers],0)),0)</f>
        <v>4</v>
      </c>
      <c r="N254" s="9">
        <f>IFERROR(자료실기준[[#This Row],[어린이남자]]+자료실기준[[#This Row],[청소년남자]]+자료실기준[[#This Row],[성인남자]],0)</f>
        <v>9</v>
      </c>
      <c r="O254" s="9">
        <f>IFERROR(자료실기준[[#This Row],[어린이여자]]+자료실기준[[#This Row],[청소년여자]]+자료실기준[[#This Row],[성인여자]],0)</f>
        <v>4</v>
      </c>
      <c r="P254" s="9">
        <f>IFERROR(자료실기준[[#This Row],[남자]]+자료실기준[[#This Row],[여자]],0)</f>
        <v>13</v>
      </c>
      <c r="Q254" s="9">
        <f t="array" ref="Q254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54" s="9">
        <f t="array" ref="R254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54" s="9">
        <f t="array" ref="S254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54" s="9">
        <f t="array" ref="T254">IFERROR(INDEX(대출권수[],MATCH(1,(자료실기준[[#This Row],[소장처명]]=대출권수[소장처명])*(대출권수[대출반납]="대출")*(자료실기준[[#This Row],[년월]]=대출권수[년월]),0),MATCH(T$1,대출권수[#Headers],0)),0)</f>
        <v>2</v>
      </c>
      <c r="U254" s="9">
        <f t="array" ref="U254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54" s="9">
        <f t="array" ref="V254">IFERROR(INDEX(대출권수[],MATCH(1,(자료실기준[[#This Row],[소장처명]]=대출권수[소장처명])*(대출권수[대출반납]="대출")*(자료실기준[[#This Row],[년월]]=대출권수[년월]),0),MATCH(V$1,대출권수[#Headers],0)),0)</f>
        <v>2</v>
      </c>
      <c r="W254" s="9">
        <f t="array" ref="W254">IFERROR(INDEX(대출권수[],MATCH(1,(자료실기준[[#This Row],[소장처명]]=대출권수[소장처명])*(대출권수[대출반납]="대출")*(자료실기준[[#This Row],[년월]]=대출권수[년월]),0),MATCH(W$1,대출권수[#Headers],0)),0)</f>
        <v>1</v>
      </c>
      <c r="X254" s="9">
        <f t="array" ref="X254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54" s="9">
        <f t="array" ref="Y254">IFERROR(INDEX(대출권수[],MATCH(1,(자료실기준[[#This Row],[소장처명]]=대출권수[소장처명])*(대출권수[대출반납]="대출")*(자료실기준[[#This Row],[년월]]=대출권수[년월]),0),MATCH(Y$1,대출권수[#Headers],0)),0)</f>
        <v>21</v>
      </c>
      <c r="Z254" s="9">
        <f t="array" ref="Z254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54" s="9">
        <f>SUM(자료실기준[[#This Row],[총류]:[역사]])</f>
        <v>26</v>
      </c>
    </row>
    <row r="255" spans="1:27" x14ac:dyDescent="0.3">
      <c r="A255" s="5">
        <v>45566</v>
      </c>
      <c r="B255" t="s">
        <v>23</v>
      </c>
      <c r="C255" s="5" t="str">
        <f>TEXT(자료실기준[[#This Row],[년월]],"yy년m월")&amp;자료실기준[[#This Row],[소장처명]]</f>
        <v>24년10월기타</v>
      </c>
      <c r="D255" t="str">
        <f>IFERROR(INDEX(자료실범례[],MATCH($B255,자료실범례[소장처명],0),2),"종합자료실")</f>
        <v>종합자료실</v>
      </c>
      <c r="E255" s="9">
        <f t="array" ref="E255">IFERROR(INDEX(대출자[],MATCH(1,(자료실기준[[#This Row],[소장처명]]=대출자[소장처명])*(자료실기준[[#This Row],[년월]]=대출자[년월]),0),MATCH(E$1,대출자[#Headers],0)),0)</f>
        <v>0</v>
      </c>
      <c r="F255" s="9">
        <f t="array" ref="F255">IFERROR(INDEX(대출자[],MATCH(1,(자료실기준[[#This Row],[소장처명]]=대출자[소장처명])*(자료실기준[[#This Row],[년월]]=대출자[년월]),0),MATCH(F$1,대출자[#Headers],0)),0)</f>
        <v>0</v>
      </c>
      <c r="G255" s="9">
        <f t="array" ref="G255">IFERROR(INDEX(대출자[],MATCH(1,(자료실기준[[#This Row],[소장처명]]=대출자[소장처명])*(자료실기준[[#This Row],[년월]]=대출자[년월]),0),MATCH(G$1,대출자[#Headers],0)),0)</f>
        <v>0</v>
      </c>
      <c r="H255" s="9">
        <f t="array" ref="H255">IFERROR(INDEX(대출자[],MATCH(1,(자료실기준[[#This Row],[소장처명]]=대출자[소장처명])*(자료실기준[[#This Row],[년월]]=대출자[년월]),0),MATCH(H$1,대출자[#Headers],0)),0)</f>
        <v>0</v>
      </c>
      <c r="I255" s="9">
        <f t="array" ref="I255">IFERROR(INDEX(대출자[],MATCH(1,(자료실기준[[#This Row],[소장처명]]=대출자[소장처명])*(자료실기준[[#This Row],[년월]]=대출자[년월]),0),MATCH(I$1,대출자[#Headers],0)),0)</f>
        <v>0</v>
      </c>
      <c r="J255" s="9">
        <f t="array" ref="J255">IFERROR(INDEX(대출자[],MATCH(1,(자료실기준[[#This Row],[소장처명]]=대출자[소장처명])*(자료실기준[[#This Row],[년월]]=대출자[년월]),0),MATCH(J$1,대출자[#Headers],0)),0)</f>
        <v>0</v>
      </c>
      <c r="K255" s="9">
        <f t="array" ref="K255">IFERROR(INDEX(대출자[],MATCH(1,(자료실기준[[#This Row],[소장처명]]=대출자[소장처명])*(자료실기준[[#This Row],[년월]]=대출자[년월]),0),MATCH(K$1,대출자[#Headers],0)),0)</f>
        <v>0</v>
      </c>
      <c r="L255" s="9">
        <f t="array" ref="L255">IFERROR(INDEX(대출자[],MATCH(1,(자료실기준[[#This Row],[소장처명]]=대출자[소장처명])*(자료실기준[[#This Row],[년월]]=대출자[년월]),0),MATCH(L$1,대출자[#Headers],0)),0)</f>
        <v>0</v>
      </c>
      <c r="M255" s="9">
        <f t="array" ref="M255">IFERROR(INDEX(대출자[],MATCH(1,(자료실기준[[#This Row],[소장처명]]=대출자[소장처명])*(자료실기준[[#This Row],[년월]]=대출자[년월]),0),MATCH(M$1,대출자[#Headers],0)),0)</f>
        <v>0</v>
      </c>
      <c r="N255" s="9">
        <f>IFERROR(자료실기준[[#This Row],[어린이남자]]+자료실기준[[#This Row],[청소년남자]]+자료실기준[[#This Row],[성인남자]],0)</f>
        <v>0</v>
      </c>
      <c r="O255" s="9">
        <f>IFERROR(자료실기준[[#This Row],[어린이여자]]+자료실기준[[#This Row],[청소년여자]]+자료실기준[[#This Row],[성인여자]],0)</f>
        <v>0</v>
      </c>
      <c r="P255" s="9">
        <f>IFERROR(자료실기준[[#This Row],[남자]]+자료실기준[[#This Row],[여자]],0)</f>
        <v>0</v>
      </c>
      <c r="Q255" s="9">
        <f t="array" ref="Q255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55" s="9">
        <f t="array" ref="R255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55" s="9">
        <f t="array" ref="S255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55" s="9">
        <f t="array" ref="T255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55" s="9">
        <f t="array" ref="U255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55" s="9">
        <f t="array" ref="V255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55" s="9">
        <f t="array" ref="W255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55" s="9">
        <f t="array" ref="X255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55" s="9">
        <f t="array" ref="Y255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255" s="9">
        <f t="array" ref="Z255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55" s="9">
        <f>SUM(자료실기준[[#This Row],[총류]:[역사]])</f>
        <v>0</v>
      </c>
    </row>
    <row r="256" spans="1:27" x14ac:dyDescent="0.3">
      <c r="A256" s="5">
        <v>45566</v>
      </c>
      <c r="C256" s="5" t="str">
        <f>TEXT(자료실기준[[#This Row],[년월]],"yy년m월")&amp;자료실기준[[#This Row],[소장처명]]</f>
        <v>24년10월</v>
      </c>
      <c r="D256" t="str">
        <f>IFERROR(INDEX(자료실범례[],MATCH($B256,자료실범례[소장처명],0),2),"종합자료실")</f>
        <v>종합자료실</v>
      </c>
      <c r="E256" s="9">
        <f t="array" ref="E256">IFERROR(INDEX(대출자[],MATCH(1,(자료실기준[[#This Row],[소장처명]]=대출자[소장처명])*(자료실기준[[#This Row],[년월]]=대출자[년월]),0),MATCH(E$1,대출자[#Headers],0)),0)</f>
        <v>0</v>
      </c>
      <c r="F256" s="9">
        <f t="array" ref="F256">IFERROR(INDEX(대출자[],MATCH(1,(자료실기준[[#This Row],[소장처명]]=대출자[소장처명])*(자료실기준[[#This Row],[년월]]=대출자[년월]),0),MATCH(F$1,대출자[#Headers],0)),0)</f>
        <v>0</v>
      </c>
      <c r="G256" s="9">
        <f t="array" ref="G256">IFERROR(INDEX(대출자[],MATCH(1,(자료실기준[[#This Row],[소장처명]]=대출자[소장처명])*(자료실기준[[#This Row],[년월]]=대출자[년월]),0),MATCH(G$1,대출자[#Headers],0)),0)</f>
        <v>0</v>
      </c>
      <c r="H256" s="9">
        <f t="array" ref="H256">IFERROR(INDEX(대출자[],MATCH(1,(자료실기준[[#This Row],[소장처명]]=대출자[소장처명])*(자료실기준[[#This Row],[년월]]=대출자[년월]),0),MATCH(H$1,대출자[#Headers],0)),0)</f>
        <v>0</v>
      </c>
      <c r="I256" s="9">
        <f t="array" ref="I256">IFERROR(INDEX(대출자[],MATCH(1,(자료실기준[[#This Row],[소장처명]]=대출자[소장처명])*(자료실기준[[#This Row],[년월]]=대출자[년월]),0),MATCH(I$1,대출자[#Headers],0)),0)</f>
        <v>0</v>
      </c>
      <c r="J256" s="9">
        <f t="array" ref="J256">IFERROR(INDEX(대출자[],MATCH(1,(자료실기준[[#This Row],[소장처명]]=대출자[소장처명])*(자료실기준[[#This Row],[년월]]=대출자[년월]),0),MATCH(J$1,대출자[#Headers],0)),0)</f>
        <v>0</v>
      </c>
      <c r="K256" s="9">
        <f t="array" ref="K256">IFERROR(INDEX(대출자[],MATCH(1,(자료실기준[[#This Row],[소장처명]]=대출자[소장처명])*(자료실기준[[#This Row],[년월]]=대출자[년월]),0),MATCH(K$1,대출자[#Headers],0)),0)</f>
        <v>0</v>
      </c>
      <c r="L256" s="9">
        <f t="array" ref="L256">IFERROR(INDEX(대출자[],MATCH(1,(자료실기준[[#This Row],[소장처명]]=대출자[소장처명])*(자료실기준[[#This Row],[년월]]=대출자[년월]),0),MATCH(L$1,대출자[#Headers],0)),0)</f>
        <v>0</v>
      </c>
      <c r="M256" s="9">
        <f t="array" ref="M256">IFERROR(INDEX(대출자[],MATCH(1,(자료실기준[[#This Row],[소장처명]]=대출자[소장처명])*(자료실기준[[#This Row],[년월]]=대출자[년월]),0),MATCH(M$1,대출자[#Headers],0)),0)</f>
        <v>0</v>
      </c>
      <c r="N256" s="9">
        <f>IFERROR(자료실기준[[#This Row],[어린이남자]]+자료실기준[[#This Row],[청소년남자]]+자료실기준[[#This Row],[성인남자]],0)</f>
        <v>0</v>
      </c>
      <c r="O256" s="9">
        <f>IFERROR(자료실기준[[#This Row],[어린이여자]]+자료실기준[[#This Row],[청소년여자]]+자료실기준[[#This Row],[성인여자]],0)</f>
        <v>0</v>
      </c>
      <c r="P256" s="9">
        <f>IFERROR(자료실기준[[#This Row],[남자]]+자료실기준[[#This Row],[여자]],0)</f>
        <v>0</v>
      </c>
      <c r="Q256" s="9">
        <f t="array" ref="Q256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56" s="9">
        <f t="array" ref="R256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56" s="9">
        <f t="array" ref="S256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56" s="9">
        <f t="array" ref="T256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56" s="9">
        <f t="array" ref="U256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56" s="9">
        <f t="array" ref="V256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56" s="9">
        <f t="array" ref="W256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56" s="9">
        <f t="array" ref="X256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56" s="9">
        <f t="array" ref="Y256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256" s="9">
        <f t="array" ref="Z256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56" s="9">
        <f>SUM(자료실기준[[#This Row],[총류]:[역사]])</f>
        <v>0</v>
      </c>
    </row>
    <row r="257" spans="1:27" x14ac:dyDescent="0.3">
      <c r="A257" s="5">
        <v>45597</v>
      </c>
      <c r="B257" t="s">
        <v>21</v>
      </c>
      <c r="C257" s="5" t="str">
        <f>TEXT(자료실기준[[#This Row],[년월]],"yy년m월")&amp;자료실기준[[#This Row],[소장처명]]</f>
        <v>24년11월종합자료실</v>
      </c>
      <c r="D257" t="str">
        <f>IFERROR(INDEX(자료실범례[],MATCH($B257,자료실범례[소장처명],0),2),"종합자료실")</f>
        <v>종합자료실</v>
      </c>
      <c r="E257" s="9">
        <f t="array" ref="E257">IFERROR(INDEX(대출자[],MATCH(1,(자료실기준[[#This Row],[소장처명]]=대출자[소장처명])*(자료실기준[[#This Row],[년월]]=대출자[년월]),0),MATCH(E$1,대출자[#Headers],0)),0)</f>
        <v>11</v>
      </c>
      <c r="F257" s="9">
        <f t="array" ref="F257">IFERROR(INDEX(대출자[],MATCH(1,(자료실기준[[#This Row],[소장처명]]=대출자[소장처명])*(자료실기준[[#This Row],[년월]]=대출자[년월]),0),MATCH(F$1,대출자[#Headers],0)),0)</f>
        <v>11</v>
      </c>
      <c r="G257" s="9">
        <f t="array" ref="G257">IFERROR(INDEX(대출자[],MATCH(1,(자료실기준[[#This Row],[소장처명]]=대출자[소장처명])*(자료실기준[[#This Row],[년월]]=대출자[년월]),0),MATCH(G$1,대출자[#Headers],0)),0)</f>
        <v>14</v>
      </c>
      <c r="H257" s="9">
        <f t="array" ref="H257">IFERROR(INDEX(대출자[],MATCH(1,(자료실기준[[#This Row],[소장처명]]=대출자[소장처명])*(자료실기준[[#This Row],[년월]]=대출자[년월]),0),MATCH(H$1,대출자[#Headers],0)),0)</f>
        <v>24</v>
      </c>
      <c r="I257" s="9">
        <f t="array" ref="I257">IFERROR(INDEX(대출자[],MATCH(1,(자료실기준[[#This Row],[소장처명]]=대출자[소장처명])*(자료실기준[[#This Row],[년월]]=대출자[년월]),0),MATCH(I$1,대출자[#Headers],0)),0)</f>
        <v>113</v>
      </c>
      <c r="J257" s="9">
        <f t="array" ref="J257">IFERROR(INDEX(대출자[],MATCH(1,(자료실기준[[#This Row],[소장처명]]=대출자[소장처명])*(자료실기준[[#This Row],[년월]]=대출자[년월]),0),MATCH(J$1,대출자[#Headers],0)),0)</f>
        <v>235</v>
      </c>
      <c r="K257" s="9">
        <f t="array" ref="K257">IFERROR(INDEX(대출자[],MATCH(1,(자료실기준[[#This Row],[소장처명]]=대출자[소장처명])*(자료실기준[[#This Row],[년월]]=대출자[년월]),0),MATCH(K$1,대출자[#Headers],0)),0)</f>
        <v>22</v>
      </c>
      <c r="L257" s="9">
        <f t="array" ref="L257">IFERROR(INDEX(대출자[],MATCH(1,(자료실기준[[#This Row],[소장처명]]=대출자[소장처명])*(자료실기준[[#This Row],[년월]]=대출자[년월]),0),MATCH(L$1,대출자[#Headers],0)),0)</f>
        <v>38</v>
      </c>
      <c r="M257" s="9">
        <f t="array" ref="M257">IFERROR(INDEX(대출자[],MATCH(1,(자료실기준[[#This Row],[소장처명]]=대출자[소장처명])*(자료실기준[[#This Row],[년월]]=대출자[년월]),0),MATCH(M$1,대출자[#Headers],0)),0)</f>
        <v>348</v>
      </c>
      <c r="N257" s="9">
        <f>IFERROR(자료실기준[[#This Row],[어린이남자]]+자료실기준[[#This Row],[청소년남자]]+자료실기준[[#This Row],[성인남자]],0)</f>
        <v>138</v>
      </c>
      <c r="O257" s="9">
        <f>IFERROR(자료실기준[[#This Row],[어린이여자]]+자료실기준[[#This Row],[청소년여자]]+자료실기준[[#This Row],[성인여자]],0)</f>
        <v>270</v>
      </c>
      <c r="P257" s="9">
        <f>IFERROR(자료실기준[[#This Row],[남자]]+자료실기준[[#This Row],[여자]],0)</f>
        <v>408</v>
      </c>
      <c r="Q257" s="9">
        <f t="array" ref="Q257">IFERROR(INDEX(대출권수[],MATCH(1,(자료실기준[[#This Row],[소장처명]]=대출권수[소장처명])*(대출권수[대출반납]="대출")*(자료실기준[[#This Row],[년월]]=대출권수[년월]),0),MATCH(Q$1,대출권수[#Headers],0)),0)</f>
        <v>47</v>
      </c>
      <c r="R257" s="9">
        <f t="array" ref="R257">IFERROR(INDEX(대출권수[],MATCH(1,(자료실기준[[#This Row],[소장처명]]=대출권수[소장처명])*(대출권수[대출반납]="대출")*(자료실기준[[#This Row],[년월]]=대출권수[년월]),0),MATCH(R$1,대출권수[#Headers],0)),0)</f>
        <v>142</v>
      </c>
      <c r="S257" s="9">
        <f t="array" ref="S257">IFERROR(INDEX(대출권수[],MATCH(1,(자료실기준[[#This Row],[소장처명]]=대출권수[소장처명])*(대출권수[대출반납]="대출")*(자료실기준[[#This Row],[년월]]=대출권수[년월]),0),MATCH(S$1,대출권수[#Headers],0)),0)</f>
        <v>32</v>
      </c>
      <c r="T257" s="9">
        <f t="array" ref="T257">IFERROR(INDEX(대출권수[],MATCH(1,(자료실기준[[#This Row],[소장처명]]=대출권수[소장처명])*(대출권수[대출반납]="대출")*(자료실기준[[#This Row],[년월]]=대출권수[년월]),0),MATCH(T$1,대출권수[#Headers],0)),0)</f>
        <v>203</v>
      </c>
      <c r="U257" s="9">
        <f t="array" ref="U257">IFERROR(INDEX(대출권수[],MATCH(1,(자료실기준[[#This Row],[소장처명]]=대출권수[소장처명])*(대출권수[대출반납]="대출")*(자료실기준[[#This Row],[년월]]=대출권수[년월]),0),MATCH(U$1,대출권수[#Headers],0)),0)</f>
        <v>89</v>
      </c>
      <c r="V257" s="9">
        <f t="array" ref="V257">IFERROR(INDEX(대출권수[],MATCH(1,(자료실기준[[#This Row],[소장처명]]=대출권수[소장처명])*(대출권수[대출반납]="대출")*(자료실기준[[#This Row],[년월]]=대출권수[년월]),0),MATCH(V$1,대출권수[#Headers],0)),0)</f>
        <v>120</v>
      </c>
      <c r="W257" s="9">
        <f t="array" ref="W257">IFERROR(INDEX(대출권수[],MATCH(1,(자료실기준[[#This Row],[소장처명]]=대출권수[소장처명])*(대출권수[대출반납]="대출")*(자료실기준[[#This Row],[년월]]=대출권수[년월]),0),MATCH(W$1,대출권수[#Headers],0)),0)</f>
        <v>31</v>
      </c>
      <c r="X257" s="9">
        <f t="array" ref="X257">IFERROR(INDEX(대출권수[],MATCH(1,(자료실기준[[#This Row],[소장처명]]=대출권수[소장처명])*(대출권수[대출반납]="대출")*(자료실기준[[#This Row],[년월]]=대출권수[년월]),0),MATCH(X$1,대출권수[#Headers],0)),0)</f>
        <v>26</v>
      </c>
      <c r="Y257" s="9">
        <f t="array" ref="Y257">IFERROR(INDEX(대출권수[],MATCH(1,(자료실기준[[#This Row],[소장처명]]=대출권수[소장처명])*(대출권수[대출반납]="대출")*(자료실기준[[#This Row],[년월]]=대출권수[년월]),0),MATCH(Y$1,대출권수[#Headers],0)),0)</f>
        <v>665</v>
      </c>
      <c r="Z257" s="9">
        <f t="array" ref="Z257">IFERROR(INDEX(대출권수[],MATCH(1,(자료실기준[[#This Row],[소장처명]]=대출권수[소장처명])*(대출권수[대출반납]="대출")*(자료실기준[[#This Row],[년월]]=대출권수[년월]),0),MATCH(Z$1,대출권수[#Headers],0)),0)</f>
        <v>82</v>
      </c>
      <c r="AA257" s="9">
        <f>SUM(자료실기준[[#This Row],[총류]:[역사]])</f>
        <v>1437</v>
      </c>
    </row>
    <row r="258" spans="1:27" x14ac:dyDescent="0.3">
      <c r="A258" s="5">
        <v>45597</v>
      </c>
      <c r="B258" t="s">
        <v>16</v>
      </c>
      <c r="C258" s="5" t="str">
        <f>TEXT(자료실기준[[#This Row],[년월]],"yy년m월")&amp;자료실기준[[#This Row],[소장처명]]</f>
        <v>24년11월어린이자료실</v>
      </c>
      <c r="D258" t="str">
        <f>IFERROR(INDEX(자료실범례[],MATCH($B258,자료실범례[소장처명],0),2),"종합자료실")</f>
        <v>어린이자료실</v>
      </c>
      <c r="E258" s="9">
        <f t="array" ref="E258">IFERROR(INDEX(대출자[],MATCH(1,(자료실기준[[#This Row],[소장처명]]=대출자[소장처명])*(자료실기준[[#This Row],[년월]]=대출자[년월]),0),MATCH(E$1,대출자[#Headers],0)),0)</f>
        <v>57</v>
      </c>
      <c r="F258" s="9">
        <f t="array" ref="F258">IFERROR(INDEX(대출자[],MATCH(1,(자료실기준[[#This Row],[소장처명]]=대출자[소장처명])*(자료실기준[[#This Row],[년월]]=대출자[년월]),0),MATCH(F$1,대출자[#Headers],0)),0)</f>
        <v>53</v>
      </c>
      <c r="G258" s="9">
        <f t="array" ref="G258">IFERROR(INDEX(대출자[],MATCH(1,(자료실기준[[#This Row],[소장처명]]=대출자[소장처명])*(자료실기준[[#This Row],[년월]]=대출자[년월]),0),MATCH(G$1,대출자[#Headers],0)),0)</f>
        <v>2</v>
      </c>
      <c r="H258" s="9">
        <f t="array" ref="H258">IFERROR(INDEX(대출자[],MATCH(1,(자료실기준[[#This Row],[소장처명]]=대출자[소장처명])*(자료실기준[[#This Row],[년월]]=대출자[년월]),0),MATCH(H$1,대출자[#Headers],0)),0)</f>
        <v>5</v>
      </c>
      <c r="I258" s="9">
        <f t="array" ref="I258">IFERROR(INDEX(대출자[],MATCH(1,(자료실기준[[#This Row],[소장처명]]=대출자[소장처명])*(자료실기준[[#This Row],[년월]]=대출자[년월]),0),MATCH(I$1,대출자[#Headers],0)),0)</f>
        <v>29</v>
      </c>
      <c r="J258" s="9">
        <f t="array" ref="J258">IFERROR(INDEX(대출자[],MATCH(1,(자료실기준[[#This Row],[소장처명]]=대출자[소장처명])*(자료실기준[[#This Row],[년월]]=대출자[년월]),0),MATCH(J$1,대출자[#Headers],0)),0)</f>
        <v>95</v>
      </c>
      <c r="K258" s="9">
        <f t="array" ref="K258">IFERROR(INDEX(대출자[],MATCH(1,(자료실기준[[#This Row],[소장처명]]=대출자[소장처명])*(자료실기준[[#This Row],[년월]]=대출자[년월]),0),MATCH(K$1,대출자[#Headers],0)),0)</f>
        <v>110</v>
      </c>
      <c r="L258" s="9">
        <f t="array" ref="L258">IFERROR(INDEX(대출자[],MATCH(1,(자료실기준[[#This Row],[소장처명]]=대출자[소장처명])*(자료실기준[[#This Row],[년월]]=대출자[년월]),0),MATCH(L$1,대출자[#Headers],0)),0)</f>
        <v>7</v>
      </c>
      <c r="M258" s="9">
        <f t="array" ref="M258">IFERROR(INDEX(대출자[],MATCH(1,(자료실기준[[#This Row],[소장처명]]=대출자[소장처명])*(자료실기준[[#This Row],[년월]]=대출자[년월]),0),MATCH(M$1,대출자[#Headers],0)),0)</f>
        <v>124</v>
      </c>
      <c r="N258" s="9">
        <f>IFERROR(자료실기준[[#This Row],[어린이남자]]+자료실기준[[#This Row],[청소년남자]]+자료실기준[[#This Row],[성인남자]],0)</f>
        <v>88</v>
      </c>
      <c r="O258" s="9">
        <f>IFERROR(자료실기준[[#This Row],[어린이여자]]+자료실기준[[#This Row],[청소년여자]]+자료실기준[[#This Row],[성인여자]],0)</f>
        <v>153</v>
      </c>
      <c r="P258" s="9">
        <f>IFERROR(자료실기준[[#This Row],[남자]]+자료실기준[[#This Row],[여자]],0)</f>
        <v>241</v>
      </c>
      <c r="Q258" s="9">
        <f t="array" ref="Q258">IFERROR(INDEX(대출권수[],MATCH(1,(자료실기준[[#This Row],[소장처명]]=대출권수[소장처명])*(대출권수[대출반납]="대출")*(자료실기준[[#This Row],[년월]]=대출권수[년월]),0),MATCH(Q$1,대출권수[#Headers],0)),0)</f>
        <v>32</v>
      </c>
      <c r="R258" s="9">
        <f t="array" ref="R258">IFERROR(INDEX(대출권수[],MATCH(1,(자료실기준[[#This Row],[소장처명]]=대출권수[소장처명])*(대출권수[대출반납]="대출")*(자료실기준[[#This Row],[년월]]=대출권수[년월]),0),MATCH(R$1,대출권수[#Headers],0)),0)</f>
        <v>14</v>
      </c>
      <c r="S258" s="9">
        <f t="array" ref="S258">IFERROR(INDEX(대출권수[],MATCH(1,(자료실기준[[#This Row],[소장처명]]=대출권수[소장처명])*(대출권수[대출반납]="대출")*(자료실기준[[#This Row],[년월]]=대출권수[년월]),0),MATCH(S$1,대출권수[#Headers],0)),0)</f>
        <v>19</v>
      </c>
      <c r="T258" s="9">
        <f t="array" ref="T258">IFERROR(INDEX(대출권수[],MATCH(1,(자료실기준[[#This Row],[소장처명]]=대출권수[소장처명])*(대출권수[대출반납]="대출")*(자료실기준[[#This Row],[년월]]=대출권수[년월]),0),MATCH(T$1,대출권수[#Headers],0)),0)</f>
        <v>88</v>
      </c>
      <c r="U258" s="9">
        <f t="array" ref="U258">IFERROR(INDEX(대출권수[],MATCH(1,(자료실기준[[#This Row],[소장처명]]=대출권수[소장처명])*(대출권수[대출반납]="대출")*(자료실기준[[#This Row],[년월]]=대출권수[년월]),0),MATCH(U$1,대출권수[#Headers],0)),0)</f>
        <v>154</v>
      </c>
      <c r="V258" s="9">
        <f t="array" ref="V258">IFERROR(INDEX(대출권수[],MATCH(1,(자료실기준[[#This Row],[소장처명]]=대출권수[소장처명])*(대출권수[대출반납]="대출")*(자료실기준[[#This Row],[년월]]=대출권수[년월]),0),MATCH(V$1,대출권수[#Headers],0)),0)</f>
        <v>42</v>
      </c>
      <c r="W258" s="9">
        <f t="array" ref="W258">IFERROR(INDEX(대출권수[],MATCH(1,(자료실기준[[#This Row],[소장처명]]=대출권수[소장처명])*(대출권수[대출반납]="대출")*(자료실기준[[#This Row],[년월]]=대출권수[년월]),0),MATCH(W$1,대출권수[#Headers],0)),0)</f>
        <v>27</v>
      </c>
      <c r="X258" s="9">
        <f t="array" ref="X258">IFERROR(INDEX(대출권수[],MATCH(1,(자료실기준[[#This Row],[소장처명]]=대출권수[소장처명])*(대출권수[대출반납]="대출")*(자료실기준[[#This Row],[년월]]=대출권수[년월]),0),MATCH(X$1,대출권수[#Headers],0)),0)</f>
        <v>30</v>
      </c>
      <c r="Y258" s="9">
        <f t="array" ref="Y258">IFERROR(INDEX(대출권수[],MATCH(1,(자료실기준[[#This Row],[소장처명]]=대출권수[소장처명])*(대출권수[대출반납]="대출")*(자료실기준[[#This Row],[년월]]=대출권수[년월]),0),MATCH(Y$1,대출권수[#Headers],0)),0)</f>
        <v>907</v>
      </c>
      <c r="Z258" s="9">
        <f t="array" ref="Z258">IFERROR(INDEX(대출권수[],MATCH(1,(자료실기준[[#This Row],[소장처명]]=대출권수[소장처명])*(대출권수[대출반납]="대출")*(자료실기준[[#This Row],[년월]]=대출권수[년월]),0),MATCH(Z$1,대출권수[#Headers],0)),0)</f>
        <v>117</v>
      </c>
      <c r="AA258" s="9">
        <f>SUM(자료실기준[[#This Row],[총류]:[역사]])</f>
        <v>1430</v>
      </c>
    </row>
    <row r="259" spans="1:27" x14ac:dyDescent="0.3">
      <c r="A259" s="5">
        <v>45597</v>
      </c>
      <c r="B259" t="s">
        <v>2</v>
      </c>
      <c r="C259" s="5" t="str">
        <f>TEXT(자료실기준[[#This Row],[년월]],"yy년m월")&amp;자료실기준[[#This Row],[소장처명]]</f>
        <v>24년11월디지털자료실</v>
      </c>
      <c r="D259" t="str">
        <f>IFERROR(INDEX(자료실범례[],MATCH($B259,자료실범례[소장처명],0),2),"종합자료실")</f>
        <v>디지털자료실</v>
      </c>
      <c r="E259" s="9">
        <f t="array" ref="E259">IFERROR(INDEX(대출자[],MATCH(1,(자료실기준[[#This Row],[소장처명]]=대출자[소장처명])*(자료실기준[[#This Row],[년월]]=대출자[년월]),0),MATCH(E$1,대출자[#Headers],0)),0)</f>
        <v>1</v>
      </c>
      <c r="F259" s="9">
        <f t="array" ref="F259">IFERROR(INDEX(대출자[],MATCH(1,(자료실기준[[#This Row],[소장처명]]=대출자[소장처명])*(자료실기준[[#This Row],[년월]]=대출자[년월]),0),MATCH(F$1,대출자[#Headers],0)),0)</f>
        <v>0</v>
      </c>
      <c r="G259" s="9">
        <f t="array" ref="G259">IFERROR(INDEX(대출자[],MATCH(1,(자료실기준[[#This Row],[소장처명]]=대출자[소장처명])*(자료실기준[[#This Row],[년월]]=대출자[년월]),0),MATCH(G$1,대출자[#Headers],0)),0)</f>
        <v>0</v>
      </c>
      <c r="H259" s="9">
        <f t="array" ref="H259">IFERROR(INDEX(대출자[],MATCH(1,(자료실기준[[#This Row],[소장처명]]=대출자[소장처명])*(자료실기준[[#This Row],[년월]]=대출자[년월]),0),MATCH(H$1,대출자[#Headers],0)),0)</f>
        <v>0</v>
      </c>
      <c r="I259" s="9">
        <f t="array" ref="I259">IFERROR(INDEX(대출자[],MATCH(1,(자료실기준[[#This Row],[소장처명]]=대출자[소장처명])*(자료실기준[[#This Row],[년월]]=대출자[년월]),0),MATCH(I$1,대출자[#Headers],0)),0)</f>
        <v>1</v>
      </c>
      <c r="J259" s="9">
        <f t="array" ref="J259">IFERROR(INDEX(대출자[],MATCH(1,(자료실기준[[#This Row],[소장처명]]=대출자[소장처명])*(자료실기준[[#This Row],[년월]]=대출자[년월]),0),MATCH(J$1,대출자[#Headers],0)),0)</f>
        <v>1</v>
      </c>
      <c r="K259" s="9">
        <f t="array" ref="K259">IFERROR(INDEX(대출자[],MATCH(1,(자료실기준[[#This Row],[소장처명]]=대출자[소장처명])*(자료실기준[[#This Row],[년월]]=대출자[년월]),0),MATCH(K$1,대출자[#Headers],0)),0)</f>
        <v>1</v>
      </c>
      <c r="L259" s="9">
        <f t="array" ref="L259">IFERROR(INDEX(대출자[],MATCH(1,(자료실기준[[#This Row],[소장처명]]=대출자[소장처명])*(자료실기준[[#This Row],[년월]]=대출자[년월]),0),MATCH(L$1,대출자[#Headers],0)),0)</f>
        <v>0</v>
      </c>
      <c r="M259" s="9">
        <f t="array" ref="M259">IFERROR(INDEX(대출자[],MATCH(1,(자료실기준[[#This Row],[소장처명]]=대출자[소장처명])*(자료실기준[[#This Row],[년월]]=대출자[년월]),0),MATCH(M$1,대출자[#Headers],0)),0)</f>
        <v>2</v>
      </c>
      <c r="N259" s="9">
        <f>IFERROR(자료실기준[[#This Row],[어린이남자]]+자료실기준[[#This Row],[청소년남자]]+자료실기준[[#This Row],[성인남자]],0)</f>
        <v>2</v>
      </c>
      <c r="O259" s="9">
        <f>IFERROR(자료실기준[[#This Row],[어린이여자]]+자료실기준[[#This Row],[청소년여자]]+자료실기준[[#This Row],[성인여자]],0)</f>
        <v>1</v>
      </c>
      <c r="P259" s="9">
        <f>IFERROR(자료실기준[[#This Row],[남자]]+자료실기준[[#This Row],[여자]],0)</f>
        <v>3</v>
      </c>
      <c r="Q259" s="9">
        <f t="array" ref="Q259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59" s="9">
        <f t="array" ref="R259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59" s="9">
        <f t="array" ref="S259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59" s="9">
        <f t="array" ref="T259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59" s="9">
        <f t="array" ref="U259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59" s="9">
        <f t="array" ref="V259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59" s="9">
        <f t="array" ref="W259">IFERROR(INDEX(대출권수[],MATCH(1,(자료실기준[[#This Row],[소장처명]]=대출권수[소장처명])*(대출권수[대출반납]="대출")*(자료실기준[[#This Row],[년월]]=대출권수[년월]),0),MATCH(W$1,대출권수[#Headers],0)),0)</f>
        <v>12</v>
      </c>
      <c r="X259" s="9">
        <f t="array" ref="X259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59" s="9">
        <f t="array" ref="Y259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259" s="9">
        <f t="array" ref="Z259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59" s="9">
        <f>SUM(자료실기준[[#This Row],[총류]:[역사]])</f>
        <v>12</v>
      </c>
    </row>
    <row r="260" spans="1:27" x14ac:dyDescent="0.3">
      <c r="A260" s="5">
        <v>45597</v>
      </c>
      <c r="B260" t="s">
        <v>19</v>
      </c>
      <c r="C260" s="5" t="str">
        <f>TEXT(자료실기준[[#This Row],[년월]],"yy년m월")&amp;자료실기준[[#This Row],[소장처명]]</f>
        <v>24년11월종합실(신간도서)</v>
      </c>
      <c r="D260" t="str">
        <f>IFERROR(INDEX(자료실범례[],MATCH($B260,자료실범례[소장처명],0),2),"종합자료실")</f>
        <v>종합자료실</v>
      </c>
      <c r="E260" s="9">
        <f t="array" ref="E260">IFERROR(INDEX(대출자[],MATCH(1,(자료실기준[[#This Row],[소장처명]]=대출자[소장처명])*(자료실기준[[#This Row],[년월]]=대출자[년월]),0),MATCH(E$1,대출자[#Headers],0)),0)</f>
        <v>7</v>
      </c>
      <c r="F260" s="9">
        <f t="array" ref="F260">IFERROR(INDEX(대출자[],MATCH(1,(자료실기준[[#This Row],[소장처명]]=대출자[소장처명])*(자료실기준[[#This Row],[년월]]=대출자[년월]),0),MATCH(F$1,대출자[#Headers],0)),0)</f>
        <v>2</v>
      </c>
      <c r="G260" s="9">
        <f t="array" ref="G260">IFERROR(INDEX(대출자[],MATCH(1,(자료실기준[[#This Row],[소장처명]]=대출자[소장처명])*(자료실기준[[#This Row],[년월]]=대출자[년월]),0),MATCH(G$1,대출자[#Headers],0)),0)</f>
        <v>3</v>
      </c>
      <c r="H260" s="9">
        <f t="array" ref="H260">IFERROR(INDEX(대출자[],MATCH(1,(자료실기준[[#This Row],[소장처명]]=대출자[소장처명])*(자료실기준[[#This Row],[년월]]=대출자[년월]),0),MATCH(H$1,대출자[#Headers],0)),0)</f>
        <v>8</v>
      </c>
      <c r="I260" s="9">
        <f t="array" ref="I260">IFERROR(INDEX(대출자[],MATCH(1,(자료실기준[[#This Row],[소장처명]]=대출자[소장처명])*(자료실기준[[#This Row],[년월]]=대출자[년월]),0),MATCH(I$1,대출자[#Headers],0)),0)</f>
        <v>55</v>
      </c>
      <c r="J260" s="9">
        <f t="array" ref="J260">IFERROR(INDEX(대출자[],MATCH(1,(자료실기준[[#This Row],[소장처명]]=대출자[소장처명])*(자료실기준[[#This Row],[년월]]=대출자[년월]),0),MATCH(J$1,대출자[#Headers],0)),0)</f>
        <v>93</v>
      </c>
      <c r="K260" s="9">
        <f t="array" ref="K260">IFERROR(INDEX(대출자[],MATCH(1,(자료실기준[[#This Row],[소장처명]]=대출자[소장처명])*(자료실기준[[#This Row],[년월]]=대출자[년월]),0),MATCH(K$1,대출자[#Headers],0)),0)</f>
        <v>9</v>
      </c>
      <c r="L260" s="9">
        <f t="array" ref="L260">IFERROR(INDEX(대출자[],MATCH(1,(자료실기준[[#This Row],[소장처명]]=대출자[소장처명])*(자료실기준[[#This Row],[년월]]=대출자[년월]),0),MATCH(L$1,대출자[#Headers],0)),0)</f>
        <v>11</v>
      </c>
      <c r="M260" s="9">
        <f t="array" ref="M260">IFERROR(INDEX(대출자[],MATCH(1,(자료실기준[[#This Row],[소장처명]]=대출자[소장처명])*(자료실기준[[#This Row],[년월]]=대출자[년월]),0),MATCH(M$1,대출자[#Headers],0)),0)</f>
        <v>148</v>
      </c>
      <c r="N260" s="9">
        <f>IFERROR(자료실기준[[#This Row],[어린이남자]]+자료실기준[[#This Row],[청소년남자]]+자료실기준[[#This Row],[성인남자]],0)</f>
        <v>65</v>
      </c>
      <c r="O260" s="9">
        <f>IFERROR(자료실기준[[#This Row],[어린이여자]]+자료실기준[[#This Row],[청소년여자]]+자료실기준[[#This Row],[성인여자]],0)</f>
        <v>103</v>
      </c>
      <c r="P260" s="9">
        <f>IFERROR(자료실기준[[#This Row],[남자]]+자료실기준[[#This Row],[여자]],0)</f>
        <v>168</v>
      </c>
      <c r="Q260" s="9">
        <f t="array" ref="Q260">IFERROR(INDEX(대출권수[],MATCH(1,(자료실기준[[#This Row],[소장처명]]=대출권수[소장처명])*(대출권수[대출반납]="대출")*(자료실기준[[#This Row],[년월]]=대출권수[년월]),0),MATCH(Q$1,대출권수[#Headers],0)),0)</f>
        <v>12</v>
      </c>
      <c r="R260" s="9">
        <f t="array" ref="R260">IFERROR(INDEX(대출권수[],MATCH(1,(자료실기준[[#This Row],[소장처명]]=대출권수[소장처명])*(대출권수[대출반납]="대출")*(자료실기준[[#This Row],[년월]]=대출권수[년월]),0),MATCH(R$1,대출권수[#Headers],0)),0)</f>
        <v>84</v>
      </c>
      <c r="S260" s="9">
        <f t="array" ref="S260">IFERROR(INDEX(대출권수[],MATCH(1,(자료실기준[[#This Row],[소장처명]]=대출권수[소장처명])*(대출권수[대출반납]="대출")*(자료실기준[[#This Row],[년월]]=대출권수[년월]),0),MATCH(S$1,대출권수[#Headers],0)),0)</f>
        <v>7</v>
      </c>
      <c r="T260" s="9">
        <f t="array" ref="T260">IFERROR(INDEX(대출권수[],MATCH(1,(자료실기준[[#This Row],[소장처명]]=대출권수[소장처명])*(대출권수[대출반납]="대출")*(자료실기준[[#This Row],[년월]]=대출권수[년월]),0),MATCH(T$1,대출권수[#Headers],0)),0)</f>
        <v>72</v>
      </c>
      <c r="U260" s="9">
        <f t="array" ref="U260">IFERROR(INDEX(대출권수[],MATCH(1,(자료실기준[[#This Row],[소장처명]]=대출권수[소장처명])*(대출권수[대출반납]="대출")*(자료실기준[[#This Row],[년월]]=대출권수[년월]),0),MATCH(U$1,대출권수[#Headers],0)),0)</f>
        <v>27</v>
      </c>
      <c r="V260" s="9">
        <f t="array" ref="V260">IFERROR(INDEX(대출권수[],MATCH(1,(자료실기준[[#This Row],[소장처명]]=대출권수[소장처명])*(대출권수[대출반납]="대출")*(자료실기준[[#This Row],[년월]]=대출권수[년월]),0),MATCH(V$1,대출권수[#Headers],0)),0)</f>
        <v>44</v>
      </c>
      <c r="W260" s="9">
        <f t="array" ref="W260">IFERROR(INDEX(대출권수[],MATCH(1,(자료실기준[[#This Row],[소장처명]]=대출권수[소장처명])*(대출권수[대출반납]="대출")*(자료실기준[[#This Row],[년월]]=대출권수[년월]),0),MATCH(W$1,대출권수[#Headers],0)),0)</f>
        <v>13</v>
      </c>
      <c r="X260" s="9">
        <f t="array" ref="X260">IFERROR(INDEX(대출권수[],MATCH(1,(자료실기준[[#This Row],[소장처명]]=대출권수[소장처명])*(대출권수[대출반납]="대출")*(자료실기준[[#This Row],[년월]]=대출권수[년월]),0),MATCH(X$1,대출권수[#Headers],0)),0)</f>
        <v>15</v>
      </c>
      <c r="Y260" s="9">
        <f t="array" ref="Y260">IFERROR(INDEX(대출권수[],MATCH(1,(자료실기준[[#This Row],[소장처명]]=대출권수[소장처명])*(대출권수[대출반납]="대출")*(자료실기준[[#This Row],[년월]]=대출권수[년월]),0),MATCH(Y$1,대출권수[#Headers],0)),0)</f>
        <v>195</v>
      </c>
      <c r="Z260" s="9">
        <f t="array" ref="Z260">IFERROR(INDEX(대출권수[],MATCH(1,(자료실기준[[#This Row],[소장처명]]=대출권수[소장처명])*(대출권수[대출반납]="대출")*(자료실기준[[#This Row],[년월]]=대출권수[년월]),0),MATCH(Z$1,대출권수[#Headers],0)),0)</f>
        <v>20</v>
      </c>
      <c r="AA260" s="9">
        <f>SUM(자료실기준[[#This Row],[총류]:[역사]])</f>
        <v>489</v>
      </c>
    </row>
    <row r="261" spans="1:27" x14ac:dyDescent="0.3">
      <c r="A261" s="5">
        <v>45597</v>
      </c>
      <c r="B261" t="s">
        <v>14</v>
      </c>
      <c r="C261" s="5" t="str">
        <f>TEXT(자료실기준[[#This Row],[년월]],"yy년m월")&amp;자료실기준[[#This Row],[소장처명]]</f>
        <v>24년11월어린이실(신간도서)</v>
      </c>
      <c r="D261" t="str">
        <f>IFERROR(INDEX(자료실범례[],MATCH($B261,자료실범례[소장처명],0),2),"종합자료실")</f>
        <v>어린이자료실</v>
      </c>
      <c r="E261" s="9">
        <f t="array" ref="E261">IFERROR(INDEX(대출자[],MATCH(1,(자료실기준[[#This Row],[소장처명]]=대출자[소장처명])*(자료실기준[[#This Row],[년월]]=대출자[년월]),0),MATCH(E$1,대출자[#Headers],0)),0)</f>
        <v>23</v>
      </c>
      <c r="F261" s="9">
        <f t="array" ref="F261">IFERROR(INDEX(대출자[],MATCH(1,(자료실기준[[#This Row],[소장처명]]=대출자[소장처명])*(자료실기준[[#This Row],[년월]]=대출자[년월]),0),MATCH(F$1,대출자[#Headers],0)),0)</f>
        <v>24</v>
      </c>
      <c r="G261" s="9">
        <f t="array" ref="G261">IFERROR(INDEX(대출자[],MATCH(1,(자료실기준[[#This Row],[소장처명]]=대출자[소장처명])*(자료실기준[[#This Row],[년월]]=대출자[년월]),0),MATCH(G$1,대출자[#Headers],0)),0)</f>
        <v>3</v>
      </c>
      <c r="H261" s="9">
        <f t="array" ref="H261">IFERROR(INDEX(대출자[],MATCH(1,(자료실기준[[#This Row],[소장처명]]=대출자[소장처명])*(자료실기준[[#This Row],[년월]]=대출자[년월]),0),MATCH(H$1,대출자[#Headers],0)),0)</f>
        <v>3</v>
      </c>
      <c r="I261" s="9">
        <f t="array" ref="I261">IFERROR(INDEX(대출자[],MATCH(1,(자료실기준[[#This Row],[소장처명]]=대출자[소장처명])*(자료실기준[[#This Row],[년월]]=대출자[년월]),0),MATCH(I$1,대출자[#Headers],0)),0)</f>
        <v>12</v>
      </c>
      <c r="J261" s="9">
        <f t="array" ref="J261">IFERROR(INDEX(대출자[],MATCH(1,(자료실기준[[#This Row],[소장처명]]=대출자[소장처명])*(자료실기준[[#This Row],[년월]]=대출자[년월]),0),MATCH(J$1,대출자[#Headers],0)),0)</f>
        <v>46</v>
      </c>
      <c r="K261" s="9">
        <f t="array" ref="K261">IFERROR(INDEX(대출자[],MATCH(1,(자료실기준[[#This Row],[소장처명]]=대출자[소장처명])*(자료실기준[[#This Row],[년월]]=대출자[년월]),0),MATCH(K$1,대출자[#Headers],0)),0)</f>
        <v>47</v>
      </c>
      <c r="L261" s="9">
        <f t="array" ref="L261">IFERROR(INDEX(대출자[],MATCH(1,(자료실기준[[#This Row],[소장처명]]=대출자[소장처명])*(자료실기준[[#This Row],[년월]]=대출자[년월]),0),MATCH(L$1,대출자[#Headers],0)),0)</f>
        <v>6</v>
      </c>
      <c r="M261" s="9">
        <f t="array" ref="M261">IFERROR(INDEX(대출자[],MATCH(1,(자료실기준[[#This Row],[소장처명]]=대출자[소장처명])*(자료실기준[[#This Row],[년월]]=대출자[년월]),0),MATCH(M$1,대출자[#Headers],0)),0)</f>
        <v>58</v>
      </c>
      <c r="N261" s="9">
        <f>IFERROR(자료실기준[[#This Row],[어린이남자]]+자료실기준[[#This Row],[청소년남자]]+자료실기준[[#This Row],[성인남자]],0)</f>
        <v>38</v>
      </c>
      <c r="O261" s="9">
        <f>IFERROR(자료실기준[[#This Row],[어린이여자]]+자료실기준[[#This Row],[청소년여자]]+자료실기준[[#This Row],[성인여자]],0)</f>
        <v>73</v>
      </c>
      <c r="P261" s="9">
        <f>IFERROR(자료실기준[[#This Row],[남자]]+자료실기준[[#This Row],[여자]],0)</f>
        <v>111</v>
      </c>
      <c r="Q261" s="9">
        <f t="array" ref="Q261">IFERROR(INDEX(대출권수[],MATCH(1,(자료실기준[[#This Row],[소장처명]]=대출권수[소장처명])*(대출권수[대출반납]="대출")*(자료실기준[[#This Row],[년월]]=대출권수[년월]),0),MATCH(Q$1,대출권수[#Headers],0)),0)</f>
        <v>13</v>
      </c>
      <c r="R261" s="9">
        <f t="array" ref="R261">IFERROR(INDEX(대출권수[],MATCH(1,(자료실기준[[#This Row],[소장처명]]=대출권수[소장처명])*(대출권수[대출반납]="대출")*(자료실기준[[#This Row],[년월]]=대출권수[년월]),0),MATCH(R$1,대출권수[#Headers],0)),0)</f>
        <v>14</v>
      </c>
      <c r="S261" s="9">
        <f t="array" ref="S261">IFERROR(INDEX(대출권수[],MATCH(1,(자료실기준[[#This Row],[소장처명]]=대출권수[소장처명])*(대출권수[대출반납]="대출")*(자료실기준[[#This Row],[년월]]=대출권수[년월]),0),MATCH(S$1,대출권수[#Headers],0)),0)</f>
        <v>2</v>
      </c>
      <c r="T261" s="9">
        <f t="array" ref="T261">IFERROR(INDEX(대출권수[],MATCH(1,(자료실기준[[#This Row],[소장처명]]=대출권수[소장처명])*(대출권수[대출반납]="대출")*(자료실기준[[#This Row],[년월]]=대출권수[년월]),0),MATCH(T$1,대출권수[#Headers],0)),0)</f>
        <v>16</v>
      </c>
      <c r="U261" s="9">
        <f t="array" ref="U261">IFERROR(INDEX(대출권수[],MATCH(1,(자료실기준[[#This Row],[소장처명]]=대출권수[소장처명])*(대출권수[대출반납]="대출")*(자료실기준[[#This Row],[년월]]=대출권수[년월]),0),MATCH(U$1,대출권수[#Headers],0)),0)</f>
        <v>180</v>
      </c>
      <c r="V261" s="9">
        <f t="array" ref="V261">IFERROR(INDEX(대출권수[],MATCH(1,(자료실기준[[#This Row],[소장처명]]=대출권수[소장처명])*(대출권수[대출반납]="대출")*(자료실기준[[#This Row],[년월]]=대출권수[년월]),0),MATCH(V$1,대출권수[#Headers],0)),0)</f>
        <v>8</v>
      </c>
      <c r="W261" s="9">
        <f t="array" ref="W261">IFERROR(INDEX(대출권수[],MATCH(1,(자료실기준[[#This Row],[소장처명]]=대출권수[소장처명])*(대출권수[대출반납]="대출")*(자료실기준[[#This Row],[년월]]=대출권수[년월]),0),MATCH(W$1,대출권수[#Headers],0)),0)</f>
        <v>11</v>
      </c>
      <c r="X261" s="9">
        <f t="array" ref="X261">IFERROR(INDEX(대출권수[],MATCH(1,(자료실기준[[#This Row],[소장처명]]=대출권수[소장처명])*(대출권수[대출반납]="대출")*(자료실기준[[#This Row],[년월]]=대출권수[년월]),0),MATCH(X$1,대출권수[#Headers],0)),0)</f>
        <v>4</v>
      </c>
      <c r="Y261" s="9">
        <f t="array" ref="Y261">IFERROR(INDEX(대출권수[],MATCH(1,(자료실기준[[#This Row],[소장처명]]=대출권수[소장처명])*(대출권수[대출반납]="대출")*(자료실기준[[#This Row],[년월]]=대출권수[년월]),0),MATCH(Y$1,대출권수[#Headers],0)),0)</f>
        <v>178</v>
      </c>
      <c r="Z261" s="9">
        <f t="array" ref="Z261">IFERROR(INDEX(대출권수[],MATCH(1,(자료실기준[[#This Row],[소장처명]]=대출권수[소장처명])*(대출권수[대출반납]="대출")*(자료실기준[[#This Row],[년월]]=대출권수[년월]),0),MATCH(Z$1,대출권수[#Headers],0)),0)</f>
        <v>33</v>
      </c>
      <c r="AA261" s="9">
        <f>SUM(자료실기준[[#This Row],[총류]:[역사]])</f>
        <v>459</v>
      </c>
    </row>
    <row r="262" spans="1:27" x14ac:dyDescent="0.3">
      <c r="A262" s="5">
        <v>45597</v>
      </c>
      <c r="B262" t="s">
        <v>13</v>
      </c>
      <c r="C262" s="5" t="str">
        <f>TEXT(자료실기준[[#This Row],[년월]],"yy년m월")&amp;자료실기준[[#This Row],[소장처명]]</f>
        <v>24년11월어린이실(수상작)</v>
      </c>
      <c r="D262" t="str">
        <f>IFERROR(INDEX(자료실범례[],MATCH($B262,자료실범례[소장처명],0),2),"종합자료실")</f>
        <v>어린이자료실</v>
      </c>
      <c r="E262" s="9">
        <f t="array" ref="E262">IFERROR(INDEX(대출자[],MATCH(1,(자료실기준[[#This Row],[소장처명]]=대출자[소장처명])*(자료실기준[[#This Row],[년월]]=대출자[년월]),0),MATCH(E$1,대출자[#Headers],0)),0)</f>
        <v>2</v>
      </c>
      <c r="F262" s="9">
        <f t="array" ref="F262">IFERROR(INDEX(대출자[],MATCH(1,(자료실기준[[#This Row],[소장처명]]=대출자[소장처명])*(자료실기준[[#This Row],[년월]]=대출자[년월]),0),MATCH(F$1,대출자[#Headers],0)),0)</f>
        <v>1</v>
      </c>
      <c r="G262" s="9">
        <f t="array" ref="G262">IFERROR(INDEX(대출자[],MATCH(1,(자료실기준[[#This Row],[소장처명]]=대출자[소장처명])*(자료실기준[[#This Row],[년월]]=대출자[년월]),0),MATCH(G$1,대출자[#Headers],0)),0)</f>
        <v>0</v>
      </c>
      <c r="H262" s="9">
        <f t="array" ref="H262">IFERROR(INDEX(대출자[],MATCH(1,(자료실기준[[#This Row],[소장처명]]=대출자[소장처명])*(자료실기준[[#This Row],[년월]]=대출자[년월]),0),MATCH(H$1,대출자[#Headers],0)),0)</f>
        <v>1</v>
      </c>
      <c r="I262" s="9">
        <f t="array" ref="I262">IFERROR(INDEX(대출자[],MATCH(1,(자료실기준[[#This Row],[소장처명]]=대출자[소장처명])*(자료실기준[[#This Row],[년월]]=대출자[년월]),0),MATCH(I$1,대출자[#Headers],0)),0)</f>
        <v>0</v>
      </c>
      <c r="J262" s="9">
        <f t="array" ref="J262">IFERROR(INDEX(대출자[],MATCH(1,(자료실기준[[#This Row],[소장처명]]=대출자[소장처명])*(자료실기준[[#This Row],[년월]]=대출자[년월]),0),MATCH(J$1,대출자[#Headers],0)),0)</f>
        <v>0</v>
      </c>
      <c r="K262" s="9">
        <f t="array" ref="K262">IFERROR(INDEX(대출자[],MATCH(1,(자료실기준[[#This Row],[소장처명]]=대출자[소장처명])*(자료실기준[[#This Row],[년월]]=대출자[년월]),0),MATCH(K$1,대출자[#Headers],0)),0)</f>
        <v>3</v>
      </c>
      <c r="L262" s="9">
        <f t="array" ref="L262">IFERROR(INDEX(대출자[],MATCH(1,(자료실기준[[#This Row],[소장처명]]=대출자[소장처명])*(자료실기준[[#This Row],[년월]]=대출자[년월]),0),MATCH(L$1,대출자[#Headers],0)),0)</f>
        <v>1</v>
      </c>
      <c r="M262" s="9">
        <f t="array" ref="M262">IFERROR(INDEX(대출자[],MATCH(1,(자료실기준[[#This Row],[소장처명]]=대출자[소장처명])*(자료실기준[[#This Row],[년월]]=대출자[년월]),0),MATCH(M$1,대출자[#Headers],0)),0)</f>
        <v>0</v>
      </c>
      <c r="N262" s="9">
        <f>IFERROR(자료실기준[[#This Row],[어린이남자]]+자료실기준[[#This Row],[청소년남자]]+자료실기준[[#This Row],[성인남자]],0)</f>
        <v>2</v>
      </c>
      <c r="O262" s="9">
        <f>IFERROR(자료실기준[[#This Row],[어린이여자]]+자료실기준[[#This Row],[청소년여자]]+자료실기준[[#This Row],[성인여자]],0)</f>
        <v>2</v>
      </c>
      <c r="P262" s="9">
        <f>IFERROR(자료실기준[[#This Row],[남자]]+자료실기준[[#This Row],[여자]],0)</f>
        <v>4</v>
      </c>
      <c r="Q262" s="9">
        <f t="array" ref="Q262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62" s="9">
        <f t="array" ref="R262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62" s="9">
        <f t="array" ref="S262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62" s="9">
        <f t="array" ref="T262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62" s="9">
        <f t="array" ref="U262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62" s="9">
        <f t="array" ref="V262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62" s="9">
        <f t="array" ref="W262">IFERROR(INDEX(대출권수[],MATCH(1,(자료실기준[[#This Row],[소장처명]]=대출권수[소장처명])*(대출권수[대출반납]="대출")*(자료실기준[[#This Row],[년월]]=대출권수[년월]),0),MATCH(W$1,대출권수[#Headers],0)),0)</f>
        <v>2</v>
      </c>
      <c r="X262" s="9">
        <f t="array" ref="X262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62" s="9">
        <f t="array" ref="Y262">IFERROR(INDEX(대출권수[],MATCH(1,(자료실기준[[#This Row],[소장처명]]=대출권수[소장처명])*(대출권수[대출반납]="대출")*(자료실기준[[#This Row],[년월]]=대출권수[년월]),0),MATCH(Y$1,대출권수[#Headers],0)),0)</f>
        <v>7</v>
      </c>
      <c r="Z262" s="9">
        <f t="array" ref="Z262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62" s="9">
        <f>SUM(자료실기준[[#This Row],[총류]:[역사]])</f>
        <v>9</v>
      </c>
    </row>
    <row r="263" spans="1:27" x14ac:dyDescent="0.3">
      <c r="A263" s="5">
        <v>45597</v>
      </c>
      <c r="B263" t="s">
        <v>15</v>
      </c>
      <c r="C263" s="5" t="str">
        <f>TEXT(자료실기준[[#This Row],[년월]],"yy년m월")&amp;자료실기준[[#This Row],[소장처명]]</f>
        <v>24년11월어린이실(학습만화)</v>
      </c>
      <c r="D263" t="str">
        <f>IFERROR(INDEX(자료실범례[],MATCH($B263,자료실범례[소장처명],0),2),"종합자료실")</f>
        <v>어린이자료실</v>
      </c>
      <c r="E263" s="9">
        <f t="array" ref="E263">IFERROR(INDEX(대출자[],MATCH(1,(자료실기준[[#This Row],[소장처명]]=대출자[소장처명])*(자료실기준[[#This Row],[년월]]=대출자[년월]),0),MATCH(E$1,대출자[#Headers],0)),0)</f>
        <v>31</v>
      </c>
      <c r="F263" s="9">
        <f t="array" ref="F263">IFERROR(INDEX(대출자[],MATCH(1,(자료실기준[[#This Row],[소장처명]]=대출자[소장처명])*(자료실기준[[#This Row],[년월]]=대출자[년월]),0),MATCH(F$1,대출자[#Headers],0)),0)</f>
        <v>20</v>
      </c>
      <c r="G263" s="9">
        <f t="array" ref="G263">IFERROR(INDEX(대출자[],MATCH(1,(자료실기준[[#This Row],[소장처명]]=대출자[소장처명])*(자료실기준[[#This Row],[년월]]=대출자[년월]),0),MATCH(G$1,대출자[#Headers],0)),0)</f>
        <v>2</v>
      </c>
      <c r="H263" s="9">
        <f t="array" ref="H263">IFERROR(INDEX(대출자[],MATCH(1,(자료실기준[[#This Row],[소장처명]]=대출자[소장처명])*(자료실기준[[#This Row],[년월]]=대출자[년월]),0),MATCH(H$1,대출자[#Headers],0)),0)</f>
        <v>3</v>
      </c>
      <c r="I263" s="9">
        <f t="array" ref="I263">IFERROR(INDEX(대출자[],MATCH(1,(자료실기준[[#This Row],[소장처명]]=대출자[소장처명])*(자료실기준[[#This Row],[년월]]=대출자[년월]),0),MATCH(I$1,대출자[#Headers],0)),0)</f>
        <v>16</v>
      </c>
      <c r="J263" s="9">
        <f t="array" ref="J263">IFERROR(INDEX(대출자[],MATCH(1,(자료실기준[[#This Row],[소장처명]]=대출자[소장처명])*(자료실기준[[#This Row],[년월]]=대출자[년월]),0),MATCH(J$1,대출자[#Headers],0)),0)</f>
        <v>28</v>
      </c>
      <c r="K263" s="9">
        <f t="array" ref="K263">IFERROR(INDEX(대출자[],MATCH(1,(자료실기준[[#This Row],[소장처명]]=대출자[소장처명])*(자료실기준[[#This Row],[년월]]=대출자[년월]),0),MATCH(K$1,대출자[#Headers],0)),0)</f>
        <v>51</v>
      </c>
      <c r="L263" s="9">
        <f t="array" ref="L263">IFERROR(INDEX(대출자[],MATCH(1,(자료실기준[[#This Row],[소장처명]]=대출자[소장처명])*(자료실기준[[#This Row],[년월]]=대출자[년월]),0),MATCH(L$1,대출자[#Headers],0)),0)</f>
        <v>5</v>
      </c>
      <c r="M263" s="9">
        <f t="array" ref="M263">IFERROR(INDEX(대출자[],MATCH(1,(자료실기준[[#This Row],[소장처명]]=대출자[소장처명])*(자료실기준[[#This Row],[년월]]=대출자[년월]),0),MATCH(M$1,대출자[#Headers],0)),0)</f>
        <v>44</v>
      </c>
      <c r="N263" s="9">
        <f>IFERROR(자료실기준[[#This Row],[어린이남자]]+자료실기준[[#This Row],[청소년남자]]+자료실기준[[#This Row],[성인남자]],0)</f>
        <v>49</v>
      </c>
      <c r="O263" s="9">
        <f>IFERROR(자료실기준[[#This Row],[어린이여자]]+자료실기준[[#This Row],[청소년여자]]+자료실기준[[#This Row],[성인여자]],0)</f>
        <v>51</v>
      </c>
      <c r="P263" s="9">
        <f>IFERROR(자료실기준[[#This Row],[남자]]+자료실기준[[#This Row],[여자]],0)</f>
        <v>100</v>
      </c>
      <c r="Q263" s="9">
        <f t="array" ref="Q263">IFERROR(INDEX(대출권수[],MATCH(1,(자료실기준[[#This Row],[소장처명]]=대출권수[소장처명])*(대출권수[대출반납]="대출")*(자료실기준[[#This Row],[년월]]=대출권수[년월]),0),MATCH(Q$1,대출권수[#Headers],0)),0)</f>
        <v>6</v>
      </c>
      <c r="R263" s="9">
        <f t="array" ref="R263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63" s="9">
        <f t="array" ref="S263">IFERROR(INDEX(대출권수[],MATCH(1,(자료실기준[[#This Row],[소장처명]]=대출권수[소장처명])*(대출권수[대출반납]="대출")*(자료실기준[[#This Row],[년월]]=대출권수[년월]),0),MATCH(S$1,대출권수[#Headers],0)),0)</f>
        <v>16</v>
      </c>
      <c r="T263" s="9">
        <f t="array" ref="T263">IFERROR(INDEX(대출권수[],MATCH(1,(자료실기준[[#This Row],[소장처명]]=대출권수[소장처명])*(대출권수[대출반납]="대출")*(자료실기준[[#This Row],[년월]]=대출권수[년월]),0),MATCH(T$1,대출권수[#Headers],0)),0)</f>
        <v>2</v>
      </c>
      <c r="U263" s="9">
        <f t="array" ref="U263">IFERROR(INDEX(대출권수[],MATCH(1,(자료실기준[[#This Row],[소장처명]]=대출권수[소장처명])*(대출권수[대출반납]="대출")*(자료실기준[[#This Row],[년월]]=대출권수[년월]),0),MATCH(U$1,대출권수[#Headers],0)),0)</f>
        <v>189</v>
      </c>
      <c r="V263" s="9">
        <f t="array" ref="V263">IFERROR(INDEX(대출권수[],MATCH(1,(자료실기준[[#This Row],[소장처명]]=대출권수[소장처명])*(대출권수[대출반납]="대출")*(자료실기준[[#This Row],[년월]]=대출권수[년월]),0),MATCH(V$1,대출권수[#Headers],0)),0)</f>
        <v>2</v>
      </c>
      <c r="W263" s="9">
        <f t="array" ref="W263">IFERROR(INDEX(대출권수[],MATCH(1,(자료실기준[[#This Row],[소장처명]]=대출권수[소장처명])*(대출권수[대출반납]="대출")*(자료실기준[[#This Row],[년월]]=대출권수[년월]),0),MATCH(W$1,대출권수[#Headers],0)),0)</f>
        <v>2</v>
      </c>
      <c r="X263" s="9">
        <f t="array" ref="X263">IFERROR(INDEX(대출권수[],MATCH(1,(자료실기준[[#This Row],[소장처명]]=대출권수[소장처명])*(대출권수[대출반납]="대출")*(자료실기준[[#This Row],[년월]]=대출권수[년월]),0),MATCH(X$1,대출권수[#Headers],0)),0)</f>
        <v>101</v>
      </c>
      <c r="Y263" s="9">
        <f t="array" ref="Y263">IFERROR(INDEX(대출권수[],MATCH(1,(자료실기준[[#This Row],[소장처명]]=대출권수[소장처명])*(대출권수[대출반납]="대출")*(자료실기준[[#This Row],[년월]]=대출권수[년월]),0),MATCH(Y$1,대출권수[#Headers],0)),0)</f>
        <v>41</v>
      </c>
      <c r="Z263" s="9">
        <f t="array" ref="Z263">IFERROR(INDEX(대출권수[],MATCH(1,(자료실기준[[#This Row],[소장처명]]=대출권수[소장처명])*(대출권수[대출반납]="대출")*(자료실기준[[#This Row],[년월]]=대출권수[년월]),0),MATCH(Z$1,대출권수[#Headers],0)),0)</f>
        <v>148</v>
      </c>
      <c r="AA263" s="9">
        <f>SUM(자료실기준[[#This Row],[총류]:[역사]])</f>
        <v>507</v>
      </c>
    </row>
    <row r="264" spans="1:27" x14ac:dyDescent="0.3">
      <c r="A264" s="5">
        <v>45597</v>
      </c>
      <c r="B264" t="s">
        <v>20</v>
      </c>
      <c r="C264" s="5" t="str">
        <f>TEXT(자료실기준[[#This Row],[년월]],"yy년m월")&amp;자료실기준[[#This Row],[소장처명]]</f>
        <v>24년11월종합실(청소년 진로)</v>
      </c>
      <c r="D264" t="str">
        <f>IFERROR(INDEX(자료실범례[],MATCH($B264,자료실범례[소장처명],0),2),"종합자료실")</f>
        <v>종합자료실</v>
      </c>
      <c r="E264" s="9">
        <f t="array" ref="E264">IFERROR(INDEX(대출자[],MATCH(1,(자료실기준[[#This Row],[소장처명]]=대출자[소장처명])*(자료실기준[[#This Row],[년월]]=대출자[년월]),0),MATCH(E$1,대출자[#Headers],0)),0)</f>
        <v>0</v>
      </c>
      <c r="F264" s="9">
        <f t="array" ref="F264">IFERROR(INDEX(대출자[],MATCH(1,(자료실기준[[#This Row],[소장처명]]=대출자[소장처명])*(자료실기준[[#This Row],[년월]]=대출자[년월]),0),MATCH(F$1,대출자[#Headers],0)),0)</f>
        <v>0</v>
      </c>
      <c r="G264" s="9">
        <f t="array" ref="G264">IFERROR(INDEX(대출자[],MATCH(1,(자료실기준[[#This Row],[소장처명]]=대출자[소장처명])*(자료실기준[[#This Row],[년월]]=대출자[년월]),0),MATCH(G$1,대출자[#Headers],0)),0)</f>
        <v>0</v>
      </c>
      <c r="H264" s="9">
        <f t="array" ref="H264">IFERROR(INDEX(대출자[],MATCH(1,(자료실기준[[#This Row],[소장처명]]=대출자[소장처명])*(자료실기준[[#This Row],[년월]]=대출자[년월]),0),MATCH(H$1,대출자[#Headers],0)),0)</f>
        <v>0</v>
      </c>
      <c r="I264" s="9">
        <f t="array" ref="I264">IFERROR(INDEX(대출자[],MATCH(1,(자료실기준[[#This Row],[소장처명]]=대출자[소장처명])*(자료실기준[[#This Row],[년월]]=대출자[년월]),0),MATCH(I$1,대출자[#Headers],0)),0)</f>
        <v>0</v>
      </c>
      <c r="J264" s="9">
        <f t="array" ref="J264">IFERROR(INDEX(대출자[],MATCH(1,(자료실기준[[#This Row],[소장처명]]=대출자[소장처명])*(자료실기준[[#This Row],[년월]]=대출자[년월]),0),MATCH(J$1,대출자[#Headers],0)),0)</f>
        <v>0</v>
      </c>
      <c r="K264" s="9">
        <f t="array" ref="K264">IFERROR(INDEX(대출자[],MATCH(1,(자료실기준[[#This Row],[소장처명]]=대출자[소장처명])*(자료실기준[[#This Row],[년월]]=대출자[년월]),0),MATCH(K$1,대출자[#Headers],0)),0)</f>
        <v>0</v>
      </c>
      <c r="L264" s="9">
        <f t="array" ref="L264">IFERROR(INDEX(대출자[],MATCH(1,(자료실기준[[#This Row],[소장처명]]=대출자[소장처명])*(자료실기준[[#This Row],[년월]]=대출자[년월]),0),MATCH(L$1,대출자[#Headers],0)),0)</f>
        <v>0</v>
      </c>
      <c r="M264" s="9">
        <f t="array" ref="M264">IFERROR(INDEX(대출자[],MATCH(1,(자료실기준[[#This Row],[소장처명]]=대출자[소장처명])*(자료실기준[[#This Row],[년월]]=대출자[년월]),0),MATCH(M$1,대출자[#Headers],0)),0)</f>
        <v>0</v>
      </c>
      <c r="N264" s="9">
        <f>IFERROR(자료실기준[[#This Row],[어린이남자]]+자료실기준[[#This Row],[청소년남자]]+자료실기준[[#This Row],[성인남자]],0)</f>
        <v>0</v>
      </c>
      <c r="O264" s="9">
        <f>IFERROR(자료실기준[[#This Row],[어린이여자]]+자료실기준[[#This Row],[청소년여자]]+자료실기준[[#This Row],[성인여자]],0)</f>
        <v>0</v>
      </c>
      <c r="P264" s="9">
        <f>IFERROR(자료실기준[[#This Row],[남자]]+자료실기준[[#This Row],[여자]],0)</f>
        <v>0</v>
      </c>
      <c r="Q264" s="9">
        <f t="array" ref="Q264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64" s="9">
        <f t="array" ref="R264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64" s="9">
        <f t="array" ref="S264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64" s="9">
        <f t="array" ref="T264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64" s="9">
        <f t="array" ref="U264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64" s="9">
        <f t="array" ref="V264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64" s="9">
        <f t="array" ref="W264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64" s="9">
        <f t="array" ref="X264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64" s="9">
        <f t="array" ref="Y264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264" s="9">
        <f t="array" ref="Z264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64" s="9">
        <f>SUM(자료실기준[[#This Row],[총류]:[역사]])</f>
        <v>0</v>
      </c>
    </row>
    <row r="265" spans="1:27" x14ac:dyDescent="0.3">
      <c r="A265" s="5">
        <v>45597</v>
      </c>
      <c r="B265" t="s">
        <v>3</v>
      </c>
      <c r="C265" s="5" t="str">
        <f>TEXT(자료실기준[[#This Row],[년월]],"yy년m월")&amp;자료실기준[[#This Row],[소장처명]]</f>
        <v>24년11월별관 서고(디지털자료실)</v>
      </c>
      <c r="D265" t="str">
        <f>IFERROR(INDEX(자료실범례[],MATCH($B265,자료실범례[소장처명],0),2),"종합자료실")</f>
        <v>디지털자료실</v>
      </c>
      <c r="E265" s="9">
        <f t="array" ref="E265">IFERROR(INDEX(대출자[],MATCH(1,(자료실기준[[#This Row],[소장처명]]=대출자[소장처명])*(자료실기준[[#This Row],[년월]]=대출자[년월]),0),MATCH(E$1,대출자[#Headers],0)),0)</f>
        <v>0</v>
      </c>
      <c r="F265" s="9">
        <f t="array" ref="F265">IFERROR(INDEX(대출자[],MATCH(1,(자료실기준[[#This Row],[소장처명]]=대출자[소장처명])*(자료실기준[[#This Row],[년월]]=대출자[년월]),0),MATCH(F$1,대출자[#Headers],0)),0)</f>
        <v>0</v>
      </c>
      <c r="G265" s="9">
        <f t="array" ref="G265">IFERROR(INDEX(대출자[],MATCH(1,(자료실기준[[#This Row],[소장처명]]=대출자[소장처명])*(자료실기준[[#This Row],[년월]]=대출자[년월]),0),MATCH(G$1,대출자[#Headers],0)),0)</f>
        <v>0</v>
      </c>
      <c r="H265" s="9">
        <f t="array" ref="H265">IFERROR(INDEX(대출자[],MATCH(1,(자료실기준[[#This Row],[소장처명]]=대출자[소장처명])*(자료실기준[[#This Row],[년월]]=대출자[년월]),0),MATCH(H$1,대출자[#Headers],0)),0)</f>
        <v>0</v>
      </c>
      <c r="I265" s="9">
        <f t="array" ref="I265">IFERROR(INDEX(대출자[],MATCH(1,(자료실기준[[#This Row],[소장처명]]=대출자[소장처명])*(자료실기준[[#This Row],[년월]]=대출자[년월]),0),MATCH(I$1,대출자[#Headers],0)),0)</f>
        <v>0</v>
      </c>
      <c r="J265" s="9">
        <f t="array" ref="J265">IFERROR(INDEX(대출자[],MATCH(1,(자료실기준[[#This Row],[소장처명]]=대출자[소장처명])*(자료실기준[[#This Row],[년월]]=대출자[년월]),0),MATCH(J$1,대출자[#Headers],0)),0)</f>
        <v>0</v>
      </c>
      <c r="K265" s="9">
        <f t="array" ref="K265">IFERROR(INDEX(대출자[],MATCH(1,(자료실기준[[#This Row],[소장처명]]=대출자[소장처명])*(자료실기준[[#This Row],[년월]]=대출자[년월]),0),MATCH(K$1,대출자[#Headers],0)),0)</f>
        <v>0</v>
      </c>
      <c r="L265" s="9">
        <f t="array" ref="L265">IFERROR(INDEX(대출자[],MATCH(1,(자료실기준[[#This Row],[소장처명]]=대출자[소장처명])*(자료실기준[[#This Row],[년월]]=대출자[년월]),0),MATCH(L$1,대출자[#Headers],0)),0)</f>
        <v>0</v>
      </c>
      <c r="M265" s="9">
        <f t="array" ref="M265">IFERROR(INDEX(대출자[],MATCH(1,(자료실기준[[#This Row],[소장처명]]=대출자[소장처명])*(자료실기준[[#This Row],[년월]]=대출자[년월]),0),MATCH(M$1,대출자[#Headers],0)),0)</f>
        <v>0</v>
      </c>
      <c r="N265" s="9">
        <f>IFERROR(자료실기준[[#This Row],[어린이남자]]+자료실기준[[#This Row],[청소년남자]]+자료실기준[[#This Row],[성인남자]],0)</f>
        <v>0</v>
      </c>
      <c r="O265" s="9">
        <f>IFERROR(자료실기준[[#This Row],[어린이여자]]+자료실기준[[#This Row],[청소년여자]]+자료실기준[[#This Row],[성인여자]],0)</f>
        <v>0</v>
      </c>
      <c r="P265" s="9">
        <f>IFERROR(자료실기준[[#This Row],[남자]]+자료실기준[[#This Row],[여자]],0)</f>
        <v>0</v>
      </c>
      <c r="Q265" s="9">
        <f t="array" ref="Q265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65" s="9">
        <f t="array" ref="R265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65" s="9">
        <f t="array" ref="S265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65" s="9">
        <f t="array" ref="T265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65" s="9">
        <f t="array" ref="U265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65" s="9">
        <f t="array" ref="V265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65" s="9">
        <f t="array" ref="W265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65" s="9">
        <f t="array" ref="X265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65" s="9">
        <f t="array" ref="Y265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265" s="9">
        <f t="array" ref="Z265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65" s="9">
        <f>SUM(자료실기준[[#This Row],[총류]:[역사]])</f>
        <v>0</v>
      </c>
    </row>
    <row r="266" spans="1:27" x14ac:dyDescent="0.3">
      <c r="A266" s="5">
        <v>45597</v>
      </c>
      <c r="B266" t="s">
        <v>4</v>
      </c>
      <c r="C266" s="5" t="str">
        <f>TEXT(자료실기준[[#This Row],[년월]],"yy년m월")&amp;자료실기준[[#This Row],[소장처명]]</f>
        <v>24년11월별관 서고(어린이자료실)</v>
      </c>
      <c r="D266" t="str">
        <f>IFERROR(INDEX(자료실범례[],MATCH($B266,자료실범례[소장처명],0),2),"종합자료실")</f>
        <v>어린이자료실</v>
      </c>
      <c r="E266" s="9">
        <f t="array" ref="E266">IFERROR(INDEX(대출자[],MATCH(1,(자료실기준[[#This Row],[소장처명]]=대출자[소장처명])*(자료실기준[[#This Row],[년월]]=대출자[년월]),0),MATCH(E$1,대출자[#Headers],0)),0)</f>
        <v>1</v>
      </c>
      <c r="F266" s="9">
        <f t="array" ref="F266">IFERROR(INDEX(대출자[],MATCH(1,(자료실기준[[#This Row],[소장처명]]=대출자[소장처명])*(자료실기준[[#This Row],[년월]]=대출자[년월]),0),MATCH(F$1,대출자[#Headers],0)),0)</f>
        <v>2</v>
      </c>
      <c r="G266" s="9">
        <f t="array" ref="G266">IFERROR(INDEX(대출자[],MATCH(1,(자료실기준[[#This Row],[소장처명]]=대출자[소장처명])*(자료실기준[[#This Row],[년월]]=대출자[년월]),0),MATCH(G$1,대출자[#Headers],0)),0)</f>
        <v>0</v>
      </c>
      <c r="H266" s="9">
        <f t="array" ref="H266">IFERROR(INDEX(대출자[],MATCH(1,(자료실기준[[#This Row],[소장처명]]=대출자[소장처명])*(자료실기준[[#This Row],[년월]]=대출자[년월]),0),MATCH(H$1,대출자[#Headers],0)),0)</f>
        <v>0</v>
      </c>
      <c r="I266" s="9">
        <f t="array" ref="I266">IFERROR(INDEX(대출자[],MATCH(1,(자료실기준[[#This Row],[소장처명]]=대출자[소장처명])*(자료실기준[[#This Row],[년월]]=대출자[년월]),0),MATCH(I$1,대출자[#Headers],0)),0)</f>
        <v>0</v>
      </c>
      <c r="J266" s="9">
        <f t="array" ref="J266">IFERROR(INDEX(대출자[],MATCH(1,(자료실기준[[#This Row],[소장처명]]=대출자[소장처명])*(자료실기준[[#This Row],[년월]]=대출자[년월]),0),MATCH(J$1,대출자[#Headers],0)),0)</f>
        <v>5</v>
      </c>
      <c r="K266" s="9">
        <f t="array" ref="K266">IFERROR(INDEX(대출자[],MATCH(1,(자료실기준[[#This Row],[소장처명]]=대출자[소장처명])*(자료실기준[[#This Row],[년월]]=대출자[년월]),0),MATCH(K$1,대출자[#Headers],0)),0)</f>
        <v>3</v>
      </c>
      <c r="L266" s="9">
        <f t="array" ref="L266">IFERROR(INDEX(대출자[],MATCH(1,(자료실기준[[#This Row],[소장처명]]=대출자[소장처명])*(자료실기준[[#This Row],[년월]]=대출자[년월]),0),MATCH(L$1,대출자[#Headers],0)),0)</f>
        <v>0</v>
      </c>
      <c r="M266" s="9">
        <f t="array" ref="M266">IFERROR(INDEX(대출자[],MATCH(1,(자료실기준[[#This Row],[소장처명]]=대출자[소장처명])*(자료실기준[[#This Row],[년월]]=대출자[년월]),0),MATCH(M$1,대출자[#Headers],0)),0)</f>
        <v>5</v>
      </c>
      <c r="N266" s="9">
        <f>IFERROR(자료실기준[[#This Row],[어린이남자]]+자료실기준[[#This Row],[청소년남자]]+자료실기준[[#This Row],[성인남자]],0)</f>
        <v>1</v>
      </c>
      <c r="O266" s="9">
        <f>IFERROR(자료실기준[[#This Row],[어린이여자]]+자료실기준[[#This Row],[청소년여자]]+자료실기준[[#This Row],[성인여자]],0)</f>
        <v>7</v>
      </c>
      <c r="P266" s="9">
        <f>IFERROR(자료실기준[[#This Row],[남자]]+자료실기준[[#This Row],[여자]],0)</f>
        <v>8</v>
      </c>
      <c r="Q266" s="9">
        <f t="array" ref="Q266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66" s="9">
        <f t="array" ref="R266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66" s="9">
        <f t="array" ref="S266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66" s="9">
        <f t="array" ref="T266">IFERROR(INDEX(대출권수[],MATCH(1,(자료실기준[[#This Row],[소장처명]]=대출권수[소장처명])*(대출권수[대출반납]="대출")*(자료실기준[[#This Row],[년월]]=대출권수[년월]),0),MATCH(T$1,대출권수[#Headers],0)),0)</f>
        <v>1</v>
      </c>
      <c r="U266" s="9">
        <f t="array" ref="U266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66" s="9">
        <f t="array" ref="V266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66" s="9">
        <f t="array" ref="W266">IFERROR(INDEX(대출권수[],MATCH(1,(자료실기준[[#This Row],[소장처명]]=대출권수[소장처명])*(대출권수[대출반납]="대출")*(자료실기준[[#This Row],[년월]]=대출권수[년월]),0),MATCH(W$1,대출권수[#Headers],0)),0)</f>
        <v>3</v>
      </c>
      <c r="X266" s="9">
        <f t="array" ref="X266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66" s="9">
        <f t="array" ref="Y266">IFERROR(INDEX(대출권수[],MATCH(1,(자료실기준[[#This Row],[소장처명]]=대출권수[소장처명])*(대출권수[대출반납]="대출")*(자료실기준[[#This Row],[년월]]=대출권수[년월]),0),MATCH(Y$1,대출권수[#Headers],0)),0)</f>
        <v>5</v>
      </c>
      <c r="Z266" s="9">
        <f t="array" ref="Z266">IFERROR(INDEX(대출권수[],MATCH(1,(자료실기준[[#This Row],[소장처명]]=대출권수[소장처명])*(대출권수[대출반납]="대출")*(자료실기준[[#This Row],[년월]]=대출권수[년월]),0),MATCH(Z$1,대출권수[#Headers],0)),0)</f>
        <v>1</v>
      </c>
      <c r="AA266" s="9">
        <f>SUM(자료실기준[[#This Row],[총류]:[역사]])</f>
        <v>10</v>
      </c>
    </row>
    <row r="267" spans="1:27" x14ac:dyDescent="0.3">
      <c r="A267" s="5">
        <v>45597</v>
      </c>
      <c r="B267" t="s">
        <v>5</v>
      </c>
      <c r="C267" s="5" t="str">
        <f>TEXT(자료실기준[[#This Row],[년월]],"yy년m월")&amp;자료실기준[[#This Row],[소장처명]]</f>
        <v>24년11월별관 서고(종합자료실)</v>
      </c>
      <c r="D267" t="str">
        <f>IFERROR(INDEX(자료실범례[],MATCH($B267,자료실범례[소장처명],0),2),"종합자료실")</f>
        <v>종합자료실</v>
      </c>
      <c r="E267" s="9">
        <f t="array" ref="E267">IFERROR(INDEX(대출자[],MATCH(1,(자료실기준[[#This Row],[소장처명]]=대출자[소장처명])*(자료실기준[[#This Row],[년월]]=대출자[년월]),0),MATCH(E$1,대출자[#Headers],0)),0)</f>
        <v>1</v>
      </c>
      <c r="F267" s="9">
        <f t="array" ref="F267">IFERROR(INDEX(대출자[],MATCH(1,(자료실기준[[#This Row],[소장처명]]=대출자[소장처명])*(자료실기준[[#This Row],[년월]]=대출자[년월]),0),MATCH(F$1,대출자[#Headers],0)),0)</f>
        <v>1</v>
      </c>
      <c r="G267" s="9">
        <f t="array" ref="G267">IFERROR(INDEX(대출자[],MATCH(1,(자료실기준[[#This Row],[소장처명]]=대출자[소장처명])*(자료실기준[[#This Row],[년월]]=대출자[년월]),0),MATCH(G$1,대출자[#Headers],0)),0)</f>
        <v>0</v>
      </c>
      <c r="H267" s="9">
        <f t="array" ref="H267">IFERROR(INDEX(대출자[],MATCH(1,(자료실기준[[#This Row],[소장처명]]=대출자[소장처명])*(자료실기준[[#This Row],[년월]]=대출자[년월]),0),MATCH(H$1,대출자[#Headers],0)),0)</f>
        <v>2</v>
      </c>
      <c r="I267" s="9">
        <f t="array" ref="I267">IFERROR(INDEX(대출자[],MATCH(1,(자료실기준[[#This Row],[소장처명]]=대출자[소장처명])*(자료실기준[[#This Row],[년월]]=대출자[년월]),0),MATCH(I$1,대출자[#Headers],0)),0)</f>
        <v>4</v>
      </c>
      <c r="J267" s="9">
        <f t="array" ref="J267">IFERROR(INDEX(대출자[],MATCH(1,(자료실기준[[#This Row],[소장처명]]=대출자[소장처명])*(자료실기준[[#This Row],[년월]]=대출자[년월]),0),MATCH(J$1,대출자[#Headers],0)),0)</f>
        <v>11</v>
      </c>
      <c r="K267" s="9">
        <f t="array" ref="K267">IFERROR(INDEX(대출자[],MATCH(1,(자료실기준[[#This Row],[소장처명]]=대출자[소장처명])*(자료실기준[[#This Row],[년월]]=대출자[년월]),0),MATCH(K$1,대출자[#Headers],0)),0)</f>
        <v>2</v>
      </c>
      <c r="L267" s="9">
        <f t="array" ref="L267">IFERROR(INDEX(대출자[],MATCH(1,(자료실기준[[#This Row],[소장처명]]=대출자[소장처명])*(자료실기준[[#This Row],[년월]]=대출자[년월]),0),MATCH(L$1,대출자[#Headers],0)),0)</f>
        <v>2</v>
      </c>
      <c r="M267" s="9">
        <f t="array" ref="M267">IFERROR(INDEX(대출자[],MATCH(1,(자료실기준[[#This Row],[소장처명]]=대출자[소장처명])*(자료실기준[[#This Row],[년월]]=대출자[년월]),0),MATCH(M$1,대출자[#Headers],0)),0)</f>
        <v>15</v>
      </c>
      <c r="N267" s="9">
        <f>IFERROR(자료실기준[[#This Row],[어린이남자]]+자료실기준[[#This Row],[청소년남자]]+자료실기준[[#This Row],[성인남자]],0)</f>
        <v>5</v>
      </c>
      <c r="O267" s="9">
        <f>IFERROR(자료실기준[[#This Row],[어린이여자]]+자료실기준[[#This Row],[청소년여자]]+자료실기준[[#This Row],[성인여자]],0)</f>
        <v>14</v>
      </c>
      <c r="P267" s="9">
        <f>IFERROR(자료실기준[[#This Row],[남자]]+자료실기준[[#This Row],[여자]],0)</f>
        <v>19</v>
      </c>
      <c r="Q267" s="9">
        <f t="array" ref="Q267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67" s="9">
        <f t="array" ref="R267">IFERROR(INDEX(대출권수[],MATCH(1,(자료실기준[[#This Row],[소장처명]]=대출권수[소장처명])*(대출권수[대출반납]="대출")*(자료실기준[[#This Row],[년월]]=대출권수[년월]),0),MATCH(R$1,대출권수[#Headers],0)),0)</f>
        <v>2</v>
      </c>
      <c r="S267" s="9">
        <f t="array" ref="S267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67" s="9">
        <f t="array" ref="T267">IFERROR(INDEX(대출권수[],MATCH(1,(자료실기준[[#This Row],[소장처명]]=대출권수[소장처명])*(대출권수[대출반납]="대출")*(자료실기준[[#This Row],[년월]]=대출권수[년월]),0),MATCH(T$1,대출권수[#Headers],0)),0)</f>
        <v>3</v>
      </c>
      <c r="U267" s="9">
        <f t="array" ref="U267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67" s="9">
        <f t="array" ref="V267">IFERROR(INDEX(대출권수[],MATCH(1,(자료실기준[[#This Row],[소장처명]]=대출권수[소장처명])*(대출권수[대출반납]="대출")*(자료실기준[[#This Row],[년월]]=대출권수[년월]),0),MATCH(V$1,대출권수[#Headers],0)),0)</f>
        <v>3</v>
      </c>
      <c r="W267" s="9">
        <f t="array" ref="W267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67" s="9">
        <f t="array" ref="X267">IFERROR(INDEX(대출권수[],MATCH(1,(자료실기준[[#This Row],[소장처명]]=대출권수[소장처명])*(대출권수[대출반납]="대출")*(자료실기준[[#This Row],[년월]]=대출권수[년월]),0),MATCH(X$1,대출권수[#Headers],0)),0)</f>
        <v>1</v>
      </c>
      <c r="Y267" s="9">
        <f t="array" ref="Y267">IFERROR(INDEX(대출권수[],MATCH(1,(자료실기준[[#This Row],[소장처명]]=대출권수[소장처명])*(대출권수[대출반납]="대출")*(자료실기준[[#This Row],[년월]]=대출권수[년월]),0),MATCH(Y$1,대출권수[#Headers],0)),0)</f>
        <v>14</v>
      </c>
      <c r="Z267" s="9">
        <f t="array" ref="Z267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67" s="9">
        <f>SUM(자료실기준[[#This Row],[총류]:[역사]])</f>
        <v>23</v>
      </c>
    </row>
    <row r="268" spans="1:27" x14ac:dyDescent="0.3">
      <c r="A268" s="5">
        <v>45597</v>
      </c>
      <c r="B268" t="s">
        <v>7</v>
      </c>
      <c r="C268" s="5" t="str">
        <f>TEXT(자료실기준[[#This Row],[년월]],"yy년m월")&amp;자료실기준[[#This Row],[소장처명]]</f>
        <v>24년11월어린이실(교과1학년)</v>
      </c>
      <c r="D268" t="str">
        <f>IFERROR(INDEX(자료실범례[],MATCH($B268,자료실범례[소장처명],0),2),"종합자료실")</f>
        <v>어린이자료실</v>
      </c>
      <c r="E268" s="9">
        <f t="array" ref="E268">IFERROR(INDEX(대출자[],MATCH(1,(자료실기준[[#This Row],[소장처명]]=대출자[소장처명])*(자료실기준[[#This Row],[년월]]=대출자[년월]),0),MATCH(E$1,대출자[#Headers],0)),0)</f>
        <v>3</v>
      </c>
      <c r="F268" s="9">
        <f t="array" ref="F268">IFERROR(INDEX(대출자[],MATCH(1,(자료실기준[[#This Row],[소장처명]]=대출자[소장처명])*(자료실기준[[#This Row],[년월]]=대출자[년월]),0),MATCH(F$1,대출자[#Headers],0)),0)</f>
        <v>3</v>
      </c>
      <c r="G268" s="9">
        <f t="array" ref="G268">IFERROR(INDEX(대출자[],MATCH(1,(자료실기준[[#This Row],[소장처명]]=대출자[소장처명])*(자료실기준[[#This Row],[년월]]=대출자[년월]),0),MATCH(G$1,대출자[#Headers],0)),0)</f>
        <v>1</v>
      </c>
      <c r="H268" s="9">
        <f t="array" ref="H268">IFERROR(INDEX(대출자[],MATCH(1,(자료실기준[[#This Row],[소장처명]]=대출자[소장처명])*(자료실기준[[#This Row],[년월]]=대출자[년월]),0),MATCH(H$1,대출자[#Headers],0)),0)</f>
        <v>0</v>
      </c>
      <c r="I268" s="9">
        <f t="array" ref="I268">IFERROR(INDEX(대출자[],MATCH(1,(자료실기준[[#This Row],[소장처명]]=대출자[소장처명])*(자료실기준[[#This Row],[년월]]=대출자[년월]),0),MATCH(I$1,대출자[#Headers],0)),0)</f>
        <v>0</v>
      </c>
      <c r="J268" s="9">
        <f t="array" ref="J268">IFERROR(INDEX(대출자[],MATCH(1,(자료실기준[[#This Row],[소장처명]]=대출자[소장처명])*(자료실기준[[#This Row],[년월]]=대출자[년월]),0),MATCH(J$1,대출자[#Headers],0)),0)</f>
        <v>4</v>
      </c>
      <c r="K268" s="9">
        <f t="array" ref="K268">IFERROR(INDEX(대출자[],MATCH(1,(자료실기준[[#This Row],[소장처명]]=대출자[소장처명])*(자료실기준[[#This Row],[년월]]=대출자[년월]),0),MATCH(K$1,대출자[#Headers],0)),0)</f>
        <v>6</v>
      </c>
      <c r="L268" s="9">
        <f t="array" ref="L268">IFERROR(INDEX(대출자[],MATCH(1,(자료실기준[[#This Row],[소장처명]]=대출자[소장처명])*(자료실기준[[#This Row],[년월]]=대출자[년월]),0),MATCH(L$1,대출자[#Headers],0)),0)</f>
        <v>1</v>
      </c>
      <c r="M268" s="9">
        <f t="array" ref="M268">IFERROR(INDEX(대출자[],MATCH(1,(자료실기준[[#This Row],[소장처명]]=대출자[소장처명])*(자료실기준[[#This Row],[년월]]=대출자[년월]),0),MATCH(M$1,대출자[#Headers],0)),0)</f>
        <v>4</v>
      </c>
      <c r="N268" s="9">
        <f>IFERROR(자료실기준[[#This Row],[어린이남자]]+자료실기준[[#This Row],[청소년남자]]+자료실기준[[#This Row],[성인남자]],0)</f>
        <v>4</v>
      </c>
      <c r="O268" s="9">
        <f>IFERROR(자료실기준[[#This Row],[어린이여자]]+자료실기준[[#This Row],[청소년여자]]+자료실기준[[#This Row],[성인여자]],0)</f>
        <v>7</v>
      </c>
      <c r="P268" s="9">
        <f>IFERROR(자료실기준[[#This Row],[남자]]+자료실기준[[#This Row],[여자]],0)</f>
        <v>11</v>
      </c>
      <c r="Q268" s="9">
        <f t="array" ref="Q268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68" s="9">
        <f t="array" ref="R268">IFERROR(INDEX(대출권수[],MATCH(1,(자료실기준[[#This Row],[소장처명]]=대출권수[소장처명])*(대출권수[대출반납]="대출")*(자료실기준[[#This Row],[년월]]=대출권수[년월]),0),MATCH(R$1,대출권수[#Headers],0)),0)</f>
        <v>1</v>
      </c>
      <c r="S268" s="9">
        <f t="array" ref="S268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68" s="9">
        <f t="array" ref="T268">IFERROR(INDEX(대출권수[],MATCH(1,(자료실기준[[#This Row],[소장처명]]=대출권수[소장처명])*(대출권수[대출반납]="대출")*(자료실기준[[#This Row],[년월]]=대출권수[년월]),0),MATCH(T$1,대출권수[#Headers],0)),0)</f>
        <v>2</v>
      </c>
      <c r="U268" s="9">
        <f t="array" ref="U268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68" s="9">
        <f t="array" ref="V268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68" s="9">
        <f t="array" ref="W268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68" s="9">
        <f t="array" ref="X268">IFERROR(INDEX(대출권수[],MATCH(1,(자료실기준[[#This Row],[소장처명]]=대출권수[소장처명])*(대출권수[대출반납]="대출")*(자료실기준[[#This Row],[년월]]=대출권수[년월]),0),MATCH(X$1,대출권수[#Headers],0)),0)</f>
        <v>1</v>
      </c>
      <c r="Y268" s="9">
        <f t="array" ref="Y268">IFERROR(INDEX(대출권수[],MATCH(1,(자료실기준[[#This Row],[소장처명]]=대출권수[소장처명])*(대출권수[대출반납]="대출")*(자료실기준[[#This Row],[년월]]=대출권수[년월]),0),MATCH(Y$1,대출권수[#Headers],0)),0)</f>
        <v>18</v>
      </c>
      <c r="Z268" s="9">
        <f t="array" ref="Z268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68" s="9">
        <f>SUM(자료실기준[[#This Row],[총류]:[역사]])</f>
        <v>22</v>
      </c>
    </row>
    <row r="269" spans="1:27" x14ac:dyDescent="0.3">
      <c r="A269" s="5">
        <v>45597</v>
      </c>
      <c r="B269" t="s">
        <v>8</v>
      </c>
      <c r="C269" s="5" t="str">
        <f>TEXT(자료실기준[[#This Row],[년월]],"yy년m월")&amp;자료실기준[[#This Row],[소장처명]]</f>
        <v>24년11월어린이실(교과2학년)</v>
      </c>
      <c r="D269" t="str">
        <f>IFERROR(INDEX(자료실범례[],MATCH($B269,자료실범례[소장처명],0),2),"종합자료실")</f>
        <v>어린이자료실</v>
      </c>
      <c r="E269" s="9">
        <f t="array" ref="E269">IFERROR(INDEX(대출자[],MATCH(1,(자료실기준[[#This Row],[소장처명]]=대출자[소장처명])*(자료실기준[[#This Row],[년월]]=대출자[년월]),0),MATCH(E$1,대출자[#Headers],0)),0)</f>
        <v>4</v>
      </c>
      <c r="F269" s="9">
        <f t="array" ref="F269">IFERROR(INDEX(대출자[],MATCH(1,(자료실기준[[#This Row],[소장처명]]=대출자[소장처명])*(자료실기준[[#This Row],[년월]]=대출자[년월]),0),MATCH(F$1,대출자[#Headers],0)),0)</f>
        <v>1</v>
      </c>
      <c r="G269" s="9">
        <f t="array" ref="G269">IFERROR(INDEX(대출자[],MATCH(1,(자료실기준[[#This Row],[소장처명]]=대출자[소장처명])*(자료실기준[[#This Row],[년월]]=대출자[년월]),0),MATCH(G$1,대출자[#Headers],0)),0)</f>
        <v>1</v>
      </c>
      <c r="H269" s="9">
        <f t="array" ref="H269">IFERROR(INDEX(대출자[],MATCH(1,(자료실기준[[#This Row],[소장처명]]=대출자[소장처명])*(자료실기준[[#This Row],[년월]]=대출자[년월]),0),MATCH(H$1,대출자[#Headers],0)),0)</f>
        <v>0</v>
      </c>
      <c r="I269" s="9">
        <f t="array" ref="I269">IFERROR(INDEX(대출자[],MATCH(1,(자료실기준[[#This Row],[소장처명]]=대출자[소장처명])*(자료실기준[[#This Row],[년월]]=대출자[년월]),0),MATCH(I$1,대출자[#Headers],0)),0)</f>
        <v>1</v>
      </c>
      <c r="J269" s="9">
        <f t="array" ref="J269">IFERROR(INDEX(대출자[],MATCH(1,(자료실기준[[#This Row],[소장처명]]=대출자[소장처명])*(자료실기준[[#This Row],[년월]]=대출자[년월]),0),MATCH(J$1,대출자[#Headers],0)),0)</f>
        <v>2</v>
      </c>
      <c r="K269" s="9">
        <f t="array" ref="K269">IFERROR(INDEX(대출자[],MATCH(1,(자료실기준[[#This Row],[소장처명]]=대출자[소장처명])*(자료실기준[[#This Row],[년월]]=대출자[년월]),0),MATCH(K$1,대출자[#Headers],0)),0)</f>
        <v>5</v>
      </c>
      <c r="L269" s="9">
        <f t="array" ref="L269">IFERROR(INDEX(대출자[],MATCH(1,(자료실기준[[#This Row],[소장처명]]=대출자[소장처명])*(자료실기준[[#This Row],[년월]]=대출자[년월]),0),MATCH(L$1,대출자[#Headers],0)),0)</f>
        <v>1</v>
      </c>
      <c r="M269" s="9">
        <f t="array" ref="M269">IFERROR(INDEX(대출자[],MATCH(1,(자료실기준[[#This Row],[소장처명]]=대출자[소장처명])*(자료실기준[[#This Row],[년월]]=대출자[년월]),0),MATCH(M$1,대출자[#Headers],0)),0)</f>
        <v>3</v>
      </c>
      <c r="N269" s="9">
        <f>IFERROR(자료실기준[[#This Row],[어린이남자]]+자료실기준[[#This Row],[청소년남자]]+자료실기준[[#This Row],[성인남자]],0)</f>
        <v>6</v>
      </c>
      <c r="O269" s="9">
        <f>IFERROR(자료실기준[[#This Row],[어린이여자]]+자료실기준[[#This Row],[청소년여자]]+자료실기준[[#This Row],[성인여자]],0)</f>
        <v>3</v>
      </c>
      <c r="P269" s="9">
        <f>IFERROR(자료실기준[[#This Row],[남자]]+자료실기준[[#This Row],[여자]],0)</f>
        <v>9</v>
      </c>
      <c r="Q269" s="9">
        <f t="array" ref="Q269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69" s="9">
        <f t="array" ref="R269">IFERROR(INDEX(대출권수[],MATCH(1,(자료실기준[[#This Row],[소장처명]]=대출권수[소장처명])*(대출권수[대출반납]="대출")*(자료실기준[[#This Row],[년월]]=대출권수[년월]),0),MATCH(R$1,대출권수[#Headers],0)),0)</f>
        <v>1</v>
      </c>
      <c r="S269" s="9">
        <f t="array" ref="S269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69" s="9">
        <f t="array" ref="T269">IFERROR(INDEX(대출권수[],MATCH(1,(자료실기준[[#This Row],[소장처명]]=대출권수[소장처명])*(대출권수[대출반납]="대출")*(자료실기준[[#This Row],[년월]]=대출권수[년월]),0),MATCH(T$1,대출권수[#Headers],0)),0)</f>
        <v>2</v>
      </c>
      <c r="U269" s="9">
        <f t="array" ref="U269">IFERROR(INDEX(대출권수[],MATCH(1,(자료실기준[[#This Row],[소장처명]]=대출권수[소장처명])*(대출권수[대출반납]="대출")*(자료실기준[[#This Row],[년월]]=대출권수[년월]),0),MATCH(U$1,대출권수[#Headers],0)),0)</f>
        <v>1</v>
      </c>
      <c r="V269" s="9">
        <f t="array" ref="V269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69" s="9">
        <f t="array" ref="W269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69" s="9">
        <f t="array" ref="X269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69" s="9">
        <f t="array" ref="Y269">IFERROR(INDEX(대출권수[],MATCH(1,(자료실기준[[#This Row],[소장처명]]=대출권수[소장처명])*(대출권수[대출반납]="대출")*(자료실기준[[#This Row],[년월]]=대출권수[년월]),0),MATCH(Y$1,대출권수[#Headers],0)),0)</f>
        <v>9</v>
      </c>
      <c r="Z269" s="9">
        <f t="array" ref="Z269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69" s="9">
        <f>SUM(자료실기준[[#This Row],[총류]:[역사]])</f>
        <v>13</v>
      </c>
    </row>
    <row r="270" spans="1:27" x14ac:dyDescent="0.3">
      <c r="A270" s="5">
        <v>45597</v>
      </c>
      <c r="B270" t="s">
        <v>9</v>
      </c>
      <c r="C270" s="5" t="str">
        <f>TEXT(자료실기준[[#This Row],[년월]],"yy년m월")&amp;자료실기준[[#This Row],[소장처명]]</f>
        <v>24년11월어린이실(교과3학년)</v>
      </c>
      <c r="D270" t="str">
        <f>IFERROR(INDEX(자료실범례[],MATCH($B270,자료실범례[소장처명],0),2),"종합자료실")</f>
        <v>어린이자료실</v>
      </c>
      <c r="E270" s="9">
        <f t="array" ref="E270">IFERROR(INDEX(대출자[],MATCH(1,(자료실기준[[#This Row],[소장처명]]=대출자[소장처명])*(자료실기준[[#This Row],[년월]]=대출자[년월]),0),MATCH(E$1,대출자[#Headers],0)),0)</f>
        <v>1</v>
      </c>
      <c r="F270" s="9">
        <f t="array" ref="F270">IFERROR(INDEX(대출자[],MATCH(1,(자료실기준[[#This Row],[소장처명]]=대출자[소장처명])*(자료실기준[[#This Row],[년월]]=대출자[년월]),0),MATCH(F$1,대출자[#Headers],0)),0)</f>
        <v>0</v>
      </c>
      <c r="G270" s="9">
        <f t="array" ref="G270">IFERROR(INDEX(대출자[],MATCH(1,(자료실기준[[#This Row],[소장처명]]=대출자[소장처명])*(자료실기준[[#This Row],[년월]]=대출자[년월]),0),MATCH(G$1,대출자[#Headers],0)),0)</f>
        <v>1</v>
      </c>
      <c r="H270" s="9">
        <f t="array" ref="H270">IFERROR(INDEX(대출자[],MATCH(1,(자료실기준[[#This Row],[소장처명]]=대출자[소장처명])*(자료실기준[[#This Row],[년월]]=대출자[년월]),0),MATCH(H$1,대출자[#Headers],0)),0)</f>
        <v>0</v>
      </c>
      <c r="I270" s="9">
        <f t="array" ref="I270">IFERROR(INDEX(대출자[],MATCH(1,(자료실기준[[#This Row],[소장처명]]=대출자[소장처명])*(자료실기준[[#This Row],[년월]]=대출자[년월]),0),MATCH(I$1,대출자[#Headers],0)),0)</f>
        <v>0</v>
      </c>
      <c r="J270" s="9">
        <f t="array" ref="J270">IFERROR(INDEX(대출자[],MATCH(1,(자료실기준[[#This Row],[소장처명]]=대출자[소장처명])*(자료실기준[[#This Row],[년월]]=대출자[년월]),0),MATCH(J$1,대출자[#Headers],0)),0)</f>
        <v>1</v>
      </c>
      <c r="K270" s="9">
        <f t="array" ref="K270">IFERROR(INDEX(대출자[],MATCH(1,(자료실기준[[#This Row],[소장처명]]=대출자[소장처명])*(자료실기준[[#This Row],[년월]]=대출자[년월]),0),MATCH(K$1,대출자[#Headers],0)),0)</f>
        <v>1</v>
      </c>
      <c r="L270" s="9">
        <f t="array" ref="L270">IFERROR(INDEX(대출자[],MATCH(1,(자료실기준[[#This Row],[소장처명]]=대출자[소장처명])*(자료실기준[[#This Row],[년월]]=대출자[년월]),0),MATCH(L$1,대출자[#Headers],0)),0)</f>
        <v>1</v>
      </c>
      <c r="M270" s="9">
        <f t="array" ref="M270">IFERROR(INDEX(대출자[],MATCH(1,(자료실기준[[#This Row],[소장처명]]=대출자[소장처명])*(자료실기준[[#This Row],[년월]]=대출자[년월]),0),MATCH(M$1,대출자[#Headers],0)),0)</f>
        <v>1</v>
      </c>
      <c r="N270" s="9">
        <f>IFERROR(자료실기준[[#This Row],[어린이남자]]+자료실기준[[#This Row],[청소년남자]]+자료실기준[[#This Row],[성인남자]],0)</f>
        <v>2</v>
      </c>
      <c r="O270" s="9">
        <f>IFERROR(자료실기준[[#This Row],[어린이여자]]+자료실기준[[#This Row],[청소년여자]]+자료실기준[[#This Row],[성인여자]],0)</f>
        <v>1</v>
      </c>
      <c r="P270" s="9">
        <f>IFERROR(자료실기준[[#This Row],[남자]]+자료실기준[[#This Row],[여자]],0)</f>
        <v>3</v>
      </c>
      <c r="Q270" s="9">
        <f t="array" ref="Q270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70" s="9">
        <f t="array" ref="R270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70" s="9">
        <f t="array" ref="S270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70" s="9">
        <f t="array" ref="T270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70" s="9">
        <f t="array" ref="U270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70" s="9">
        <f t="array" ref="V270">IFERROR(INDEX(대출권수[],MATCH(1,(자료실기준[[#This Row],[소장처명]]=대출권수[소장처명])*(대출권수[대출반납]="대출")*(자료실기준[[#This Row],[년월]]=대출권수[년월]),0),MATCH(V$1,대출권수[#Headers],0)),0)</f>
        <v>1</v>
      </c>
      <c r="W270" s="9">
        <f t="array" ref="W270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70" s="9">
        <f t="array" ref="X270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70" s="9">
        <f t="array" ref="Y270">IFERROR(INDEX(대출권수[],MATCH(1,(자료실기준[[#This Row],[소장처명]]=대출권수[소장처명])*(대출권수[대출반납]="대출")*(자료실기준[[#This Row],[년월]]=대출권수[년월]),0),MATCH(Y$1,대출권수[#Headers],0)),0)</f>
        <v>4</v>
      </c>
      <c r="Z270" s="9">
        <f t="array" ref="Z270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70" s="9">
        <f>SUM(자료실기준[[#This Row],[총류]:[역사]])</f>
        <v>5</v>
      </c>
    </row>
    <row r="271" spans="1:27" x14ac:dyDescent="0.3">
      <c r="A271" s="5">
        <v>45597</v>
      </c>
      <c r="B271" t="s">
        <v>10</v>
      </c>
      <c r="C271" s="5" t="str">
        <f>TEXT(자료실기준[[#This Row],[년월]],"yy년m월")&amp;자료실기준[[#This Row],[소장처명]]</f>
        <v>24년11월어린이실(교과4학년)</v>
      </c>
      <c r="D271" t="str">
        <f>IFERROR(INDEX(자료실범례[],MATCH($B271,자료실범례[소장처명],0),2),"종합자료실")</f>
        <v>어린이자료실</v>
      </c>
      <c r="E271" s="9">
        <f t="array" ref="E271">IFERROR(INDEX(대출자[],MATCH(1,(자료실기준[[#This Row],[소장처명]]=대출자[소장처명])*(자료실기준[[#This Row],[년월]]=대출자[년월]),0),MATCH(E$1,대출자[#Headers],0)),0)</f>
        <v>1</v>
      </c>
      <c r="F271" s="9">
        <f t="array" ref="F271">IFERROR(INDEX(대출자[],MATCH(1,(자료실기준[[#This Row],[소장처명]]=대출자[소장처명])*(자료실기준[[#This Row],[년월]]=대출자[년월]),0),MATCH(F$1,대출자[#Headers],0)),0)</f>
        <v>0</v>
      </c>
      <c r="G271" s="9">
        <f t="array" ref="G271">IFERROR(INDEX(대출자[],MATCH(1,(자료실기준[[#This Row],[소장처명]]=대출자[소장처명])*(자료실기준[[#This Row],[년월]]=대출자[년월]),0),MATCH(G$1,대출자[#Headers],0)),0)</f>
        <v>0</v>
      </c>
      <c r="H271" s="9">
        <f t="array" ref="H271">IFERROR(INDEX(대출자[],MATCH(1,(자료실기준[[#This Row],[소장처명]]=대출자[소장처명])*(자료실기준[[#This Row],[년월]]=대출자[년월]),0),MATCH(H$1,대출자[#Headers],0)),0)</f>
        <v>0</v>
      </c>
      <c r="I271" s="9">
        <f t="array" ref="I271">IFERROR(INDEX(대출자[],MATCH(1,(자료실기준[[#This Row],[소장처명]]=대출자[소장처명])*(자료실기준[[#This Row],[년월]]=대출자[년월]),0),MATCH(I$1,대출자[#Headers],0)),0)</f>
        <v>1</v>
      </c>
      <c r="J271" s="9">
        <f t="array" ref="J271">IFERROR(INDEX(대출자[],MATCH(1,(자료실기준[[#This Row],[소장처명]]=대출자[소장처명])*(자료실기준[[#This Row],[년월]]=대출자[년월]),0),MATCH(J$1,대출자[#Headers],0)),0)</f>
        <v>3</v>
      </c>
      <c r="K271" s="9">
        <f t="array" ref="K271">IFERROR(INDEX(대출자[],MATCH(1,(자료실기준[[#This Row],[소장처명]]=대출자[소장처명])*(자료실기준[[#This Row],[년월]]=대출자[년월]),0),MATCH(K$1,대출자[#Headers],0)),0)</f>
        <v>1</v>
      </c>
      <c r="L271" s="9">
        <f t="array" ref="L271">IFERROR(INDEX(대출자[],MATCH(1,(자료실기준[[#This Row],[소장처명]]=대출자[소장처명])*(자료실기준[[#This Row],[년월]]=대출자[년월]),0),MATCH(L$1,대출자[#Headers],0)),0)</f>
        <v>0</v>
      </c>
      <c r="M271" s="9">
        <f t="array" ref="M271">IFERROR(INDEX(대출자[],MATCH(1,(자료실기준[[#This Row],[소장처명]]=대출자[소장처명])*(자료실기준[[#This Row],[년월]]=대출자[년월]),0),MATCH(M$1,대출자[#Headers],0)),0)</f>
        <v>4</v>
      </c>
      <c r="N271" s="9">
        <f>IFERROR(자료실기준[[#This Row],[어린이남자]]+자료실기준[[#This Row],[청소년남자]]+자료실기준[[#This Row],[성인남자]],0)</f>
        <v>2</v>
      </c>
      <c r="O271" s="9">
        <f>IFERROR(자료실기준[[#This Row],[어린이여자]]+자료실기준[[#This Row],[청소년여자]]+자료실기준[[#This Row],[성인여자]],0)</f>
        <v>3</v>
      </c>
      <c r="P271" s="9">
        <f>IFERROR(자료실기준[[#This Row],[남자]]+자료실기준[[#This Row],[여자]],0)</f>
        <v>5</v>
      </c>
      <c r="Q271" s="9">
        <f t="array" ref="Q271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71" s="9">
        <f t="array" ref="R271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71" s="9">
        <f t="array" ref="S271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71" s="9">
        <f t="array" ref="T271">IFERROR(INDEX(대출권수[],MATCH(1,(자료실기준[[#This Row],[소장처명]]=대출권수[소장처명])*(대출권수[대출반납]="대출")*(자료실기준[[#This Row],[년월]]=대출권수[년월]),0),MATCH(T$1,대출권수[#Headers],0)),0)</f>
        <v>1</v>
      </c>
      <c r="U271" s="9">
        <f t="array" ref="U271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71" s="9">
        <f t="array" ref="V271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71" s="9">
        <f t="array" ref="W271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71" s="9">
        <f t="array" ref="X271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71" s="9">
        <f t="array" ref="Y271">IFERROR(INDEX(대출권수[],MATCH(1,(자료실기준[[#This Row],[소장처명]]=대출권수[소장처명])*(대출권수[대출반납]="대출")*(자료실기준[[#This Row],[년월]]=대출권수[년월]),0),MATCH(Y$1,대출권수[#Headers],0)),0)</f>
        <v>4</v>
      </c>
      <c r="Z271" s="9">
        <f t="array" ref="Z271">IFERROR(INDEX(대출권수[],MATCH(1,(자료실기준[[#This Row],[소장처명]]=대출권수[소장처명])*(대출권수[대출반납]="대출")*(자료실기준[[#This Row],[년월]]=대출권수[년월]),0),MATCH(Z$1,대출권수[#Headers],0)),0)</f>
        <v>1</v>
      </c>
      <c r="AA271" s="9">
        <f>SUM(자료실기준[[#This Row],[총류]:[역사]])</f>
        <v>6</v>
      </c>
    </row>
    <row r="272" spans="1:27" x14ac:dyDescent="0.3">
      <c r="A272" s="5">
        <v>45597</v>
      </c>
      <c r="B272" t="s">
        <v>11</v>
      </c>
      <c r="C272" s="5" t="str">
        <f>TEXT(자료실기준[[#This Row],[년월]],"yy년m월")&amp;자료실기준[[#This Row],[소장처명]]</f>
        <v>24년11월어린이실(교과5학년)</v>
      </c>
      <c r="D272" t="str">
        <f>IFERROR(INDEX(자료실범례[],MATCH($B272,자료실범례[소장처명],0),2),"종합자료실")</f>
        <v>어린이자료실</v>
      </c>
      <c r="E272" s="9">
        <f t="array" ref="E272">IFERROR(INDEX(대출자[],MATCH(1,(자료실기준[[#This Row],[소장처명]]=대출자[소장처명])*(자료실기준[[#This Row],[년월]]=대출자[년월]),0),MATCH(E$1,대출자[#Headers],0)),0)</f>
        <v>0</v>
      </c>
      <c r="F272" s="9">
        <f t="array" ref="F272">IFERROR(INDEX(대출자[],MATCH(1,(자료실기준[[#This Row],[소장처명]]=대출자[소장처명])*(자료실기준[[#This Row],[년월]]=대출자[년월]),0),MATCH(F$1,대출자[#Headers],0)),0)</f>
        <v>0</v>
      </c>
      <c r="G272" s="9">
        <f t="array" ref="G272">IFERROR(INDEX(대출자[],MATCH(1,(자료실기준[[#This Row],[소장처명]]=대출자[소장처명])*(자료실기준[[#This Row],[년월]]=대출자[년월]),0),MATCH(G$1,대출자[#Headers],0)),0)</f>
        <v>0</v>
      </c>
      <c r="H272" s="9">
        <f t="array" ref="H272">IFERROR(INDEX(대출자[],MATCH(1,(자료실기준[[#This Row],[소장처명]]=대출자[소장처명])*(자료실기준[[#This Row],[년월]]=대출자[년월]),0),MATCH(H$1,대출자[#Headers],0)),0)</f>
        <v>1</v>
      </c>
      <c r="I272" s="9">
        <f t="array" ref="I272">IFERROR(INDEX(대출자[],MATCH(1,(자료실기준[[#This Row],[소장처명]]=대출자[소장처명])*(자료실기준[[#This Row],[년월]]=대출자[년월]),0),MATCH(I$1,대출자[#Headers],0)),0)</f>
        <v>0</v>
      </c>
      <c r="J272" s="9">
        <f t="array" ref="J272">IFERROR(INDEX(대출자[],MATCH(1,(자료실기준[[#This Row],[소장처명]]=대출자[소장처명])*(자료실기준[[#This Row],[년월]]=대출자[년월]),0),MATCH(J$1,대출자[#Headers],0)),0)</f>
        <v>2</v>
      </c>
      <c r="K272" s="9">
        <f t="array" ref="K272">IFERROR(INDEX(대출자[],MATCH(1,(자료실기준[[#This Row],[소장처명]]=대출자[소장처명])*(자료실기준[[#This Row],[년월]]=대출자[년월]),0),MATCH(K$1,대출자[#Headers],0)),0)</f>
        <v>0</v>
      </c>
      <c r="L272" s="9">
        <f t="array" ref="L272">IFERROR(INDEX(대출자[],MATCH(1,(자료실기준[[#This Row],[소장처명]]=대출자[소장처명])*(자료실기준[[#This Row],[년월]]=대출자[년월]),0),MATCH(L$1,대출자[#Headers],0)),0)</f>
        <v>1</v>
      </c>
      <c r="M272" s="9">
        <f t="array" ref="M272">IFERROR(INDEX(대출자[],MATCH(1,(자료실기준[[#This Row],[소장처명]]=대출자[소장처명])*(자료실기준[[#This Row],[년월]]=대출자[년월]),0),MATCH(M$1,대출자[#Headers],0)),0)</f>
        <v>2</v>
      </c>
      <c r="N272" s="9">
        <f>IFERROR(자료실기준[[#This Row],[어린이남자]]+자료실기준[[#This Row],[청소년남자]]+자료실기준[[#This Row],[성인남자]],0)</f>
        <v>0</v>
      </c>
      <c r="O272" s="9">
        <f>IFERROR(자료실기준[[#This Row],[어린이여자]]+자료실기준[[#This Row],[청소년여자]]+자료실기준[[#This Row],[성인여자]],0)</f>
        <v>3</v>
      </c>
      <c r="P272" s="9">
        <f>IFERROR(자료실기준[[#This Row],[남자]]+자료실기준[[#This Row],[여자]],0)</f>
        <v>3</v>
      </c>
      <c r="Q272" s="9">
        <f t="array" ref="Q272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72" s="9">
        <f t="array" ref="R272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72" s="9">
        <f t="array" ref="S272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72" s="9">
        <f t="array" ref="T272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72" s="9">
        <f t="array" ref="U272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72" s="9">
        <f t="array" ref="V272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72" s="9">
        <f t="array" ref="W272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72" s="9">
        <f t="array" ref="X272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72" s="9">
        <f t="array" ref="Y272">IFERROR(INDEX(대출권수[],MATCH(1,(자료실기준[[#This Row],[소장처명]]=대출권수[소장처명])*(대출권수[대출반납]="대출")*(자료실기준[[#This Row],[년월]]=대출권수[년월]),0),MATCH(Y$1,대출권수[#Headers],0)),0)</f>
        <v>5</v>
      </c>
      <c r="Z272" s="9">
        <f t="array" ref="Z272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72" s="9">
        <f>SUM(자료실기준[[#This Row],[총류]:[역사]])</f>
        <v>5</v>
      </c>
    </row>
    <row r="273" spans="1:27" x14ac:dyDescent="0.3">
      <c r="A273" s="5">
        <v>45597</v>
      </c>
      <c r="B273" t="s">
        <v>12</v>
      </c>
      <c r="C273" s="5" t="str">
        <f>TEXT(자료실기준[[#This Row],[년월]],"yy년m월")&amp;자료실기준[[#This Row],[소장처명]]</f>
        <v>24년11월어린이실(교과6학년)</v>
      </c>
      <c r="D273" t="str">
        <f>IFERROR(INDEX(자료실범례[],MATCH($B273,자료실범례[소장처명],0),2),"종합자료실")</f>
        <v>어린이자료실</v>
      </c>
      <c r="E273" s="9">
        <f t="array" ref="E273">IFERROR(INDEX(대출자[],MATCH(1,(자료실기준[[#This Row],[소장처명]]=대출자[소장처명])*(자료실기준[[#This Row],[년월]]=대출자[년월]),0),MATCH(E$1,대출자[#Headers],0)),0)</f>
        <v>0</v>
      </c>
      <c r="F273" s="9">
        <f t="array" ref="F273">IFERROR(INDEX(대출자[],MATCH(1,(자료실기준[[#This Row],[소장처명]]=대출자[소장처명])*(자료실기준[[#This Row],[년월]]=대출자[년월]),0),MATCH(F$1,대출자[#Headers],0)),0)</f>
        <v>0</v>
      </c>
      <c r="G273" s="9">
        <f t="array" ref="G273">IFERROR(INDEX(대출자[],MATCH(1,(자료실기준[[#This Row],[소장처명]]=대출자[소장처명])*(자료실기준[[#This Row],[년월]]=대출자[년월]),0),MATCH(G$1,대출자[#Headers],0)),0)</f>
        <v>0</v>
      </c>
      <c r="H273" s="9">
        <f t="array" ref="H273">IFERROR(INDEX(대출자[],MATCH(1,(자료실기준[[#This Row],[소장처명]]=대출자[소장처명])*(자료실기준[[#This Row],[년월]]=대출자[년월]),0),MATCH(H$1,대출자[#Headers],0)),0)</f>
        <v>1</v>
      </c>
      <c r="I273" s="9">
        <f t="array" ref="I273">IFERROR(INDEX(대출자[],MATCH(1,(자료실기준[[#This Row],[소장처명]]=대출자[소장처명])*(자료실기준[[#This Row],[년월]]=대출자[년월]),0),MATCH(I$1,대출자[#Headers],0)),0)</f>
        <v>0</v>
      </c>
      <c r="J273" s="9">
        <f t="array" ref="J273">IFERROR(INDEX(대출자[],MATCH(1,(자료실기준[[#This Row],[소장처명]]=대출자[소장처명])*(자료실기준[[#This Row],[년월]]=대출자[년월]),0),MATCH(J$1,대출자[#Headers],0)),0)</f>
        <v>2</v>
      </c>
      <c r="K273" s="9">
        <f t="array" ref="K273">IFERROR(INDEX(대출자[],MATCH(1,(자료실기준[[#This Row],[소장처명]]=대출자[소장처명])*(자료실기준[[#This Row],[년월]]=대출자[년월]),0),MATCH(K$1,대출자[#Headers],0)),0)</f>
        <v>0</v>
      </c>
      <c r="L273" s="9">
        <f t="array" ref="L273">IFERROR(INDEX(대출자[],MATCH(1,(자료실기준[[#This Row],[소장처명]]=대출자[소장처명])*(자료실기준[[#This Row],[년월]]=대출자[년월]),0),MATCH(L$1,대출자[#Headers],0)),0)</f>
        <v>1</v>
      </c>
      <c r="M273" s="9">
        <f t="array" ref="M273">IFERROR(INDEX(대출자[],MATCH(1,(자료실기준[[#This Row],[소장처명]]=대출자[소장처명])*(자료실기준[[#This Row],[년월]]=대출자[년월]),0),MATCH(M$1,대출자[#Headers],0)),0)</f>
        <v>2</v>
      </c>
      <c r="N273" s="9">
        <f>IFERROR(자료실기준[[#This Row],[어린이남자]]+자료실기준[[#This Row],[청소년남자]]+자료실기준[[#This Row],[성인남자]],0)</f>
        <v>0</v>
      </c>
      <c r="O273" s="9">
        <f>IFERROR(자료실기준[[#This Row],[어린이여자]]+자료실기준[[#This Row],[청소년여자]]+자료실기준[[#This Row],[성인여자]],0)</f>
        <v>3</v>
      </c>
      <c r="P273" s="9">
        <f>IFERROR(자료실기준[[#This Row],[남자]]+자료실기준[[#This Row],[여자]],0)</f>
        <v>3</v>
      </c>
      <c r="Q273" s="9">
        <f t="array" ref="Q273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73" s="9">
        <f t="array" ref="R273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73" s="9">
        <f t="array" ref="S273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73" s="9">
        <f t="array" ref="T273">IFERROR(INDEX(대출권수[],MATCH(1,(자료실기준[[#This Row],[소장처명]]=대출권수[소장처명])*(대출권수[대출반납]="대출")*(자료실기준[[#This Row],[년월]]=대출권수[년월]),0),MATCH(T$1,대출권수[#Headers],0)),0)</f>
        <v>2</v>
      </c>
      <c r="U273" s="9">
        <f t="array" ref="U273">IFERROR(INDEX(대출권수[],MATCH(1,(자료실기준[[#This Row],[소장처명]]=대출권수[소장처명])*(대출권수[대출반납]="대출")*(자료실기준[[#This Row],[년월]]=대출권수[년월]),0),MATCH(U$1,대출권수[#Headers],0)),0)</f>
        <v>1</v>
      </c>
      <c r="V273" s="9">
        <f t="array" ref="V273">IFERROR(INDEX(대출권수[],MATCH(1,(자료실기준[[#This Row],[소장처명]]=대출권수[소장처명])*(대출권수[대출반납]="대출")*(자료실기준[[#This Row],[년월]]=대출권수[년월]),0),MATCH(V$1,대출권수[#Headers],0)),0)</f>
        <v>2</v>
      </c>
      <c r="W273" s="9">
        <f t="array" ref="W273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73" s="9">
        <f t="array" ref="X273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73" s="9">
        <f t="array" ref="Y273">IFERROR(INDEX(대출권수[],MATCH(1,(자료실기준[[#This Row],[소장처명]]=대출권수[소장처명])*(대출권수[대출반납]="대출")*(자료실기준[[#This Row],[년월]]=대출권수[년월]),0),MATCH(Y$1,대출권수[#Headers],0)),0)</f>
        <v>3</v>
      </c>
      <c r="Z273" s="9">
        <f t="array" ref="Z273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73" s="9">
        <f>SUM(자료실기준[[#This Row],[총류]:[역사]])</f>
        <v>8</v>
      </c>
    </row>
    <row r="274" spans="1:27" x14ac:dyDescent="0.3">
      <c r="A274" s="5">
        <v>45597</v>
      </c>
      <c r="B274" t="s">
        <v>0</v>
      </c>
      <c r="C274" s="5" t="str">
        <f>TEXT(자료실기준[[#This Row],[년월]],"yy년m월")&amp;자료실기준[[#This Row],[소장처명]]</f>
        <v>24년11월다문화자료실</v>
      </c>
      <c r="D274" t="str">
        <f>IFERROR(INDEX(자료실범례[],MATCH($B274,자료실범례[소장처명],0),2),"종합자료실")</f>
        <v>어린이자료실</v>
      </c>
      <c r="E274" s="9">
        <f t="array" ref="E274">IFERROR(INDEX(대출자[],MATCH(1,(자료실기준[[#This Row],[소장처명]]=대출자[소장처명])*(자료실기준[[#This Row],[년월]]=대출자[년월]),0),MATCH(E$1,대출자[#Headers],0)),0)</f>
        <v>3</v>
      </c>
      <c r="F274" s="9">
        <f t="array" ref="F274">IFERROR(INDEX(대출자[],MATCH(1,(자료실기준[[#This Row],[소장처명]]=대출자[소장처명])*(자료실기준[[#This Row],[년월]]=대출자[년월]),0),MATCH(F$1,대출자[#Headers],0)),0)</f>
        <v>0</v>
      </c>
      <c r="G274" s="9">
        <f t="array" ref="G274">IFERROR(INDEX(대출자[],MATCH(1,(자료실기준[[#This Row],[소장처명]]=대출자[소장처명])*(자료실기준[[#This Row],[년월]]=대출자[년월]),0),MATCH(G$1,대출자[#Headers],0)),0)</f>
        <v>0</v>
      </c>
      <c r="H274" s="9">
        <f t="array" ref="H274">IFERROR(INDEX(대출자[],MATCH(1,(자료실기준[[#This Row],[소장처명]]=대출자[소장처명])*(자료실기준[[#This Row],[년월]]=대출자[년월]),0),MATCH(H$1,대출자[#Headers],0)),0)</f>
        <v>0</v>
      </c>
      <c r="I274" s="9">
        <f t="array" ref="I274">IFERROR(INDEX(대출자[],MATCH(1,(자료실기준[[#This Row],[소장처명]]=대출자[소장처명])*(자료실기준[[#This Row],[년월]]=대출자[년월]),0),MATCH(I$1,대출자[#Headers],0)),0)</f>
        <v>2</v>
      </c>
      <c r="J274" s="9">
        <f t="array" ref="J274">IFERROR(INDEX(대출자[],MATCH(1,(자료실기준[[#This Row],[소장처명]]=대출자[소장처명])*(자료실기준[[#This Row],[년월]]=대출자[년월]),0),MATCH(J$1,대출자[#Headers],0)),0)</f>
        <v>2</v>
      </c>
      <c r="K274" s="9">
        <f t="array" ref="K274">IFERROR(INDEX(대출자[],MATCH(1,(자료실기준[[#This Row],[소장처명]]=대출자[소장처명])*(자료실기준[[#This Row],[년월]]=대출자[년월]),0),MATCH(K$1,대출자[#Headers],0)),0)</f>
        <v>3</v>
      </c>
      <c r="L274" s="9">
        <f t="array" ref="L274">IFERROR(INDEX(대출자[],MATCH(1,(자료실기준[[#This Row],[소장처명]]=대출자[소장처명])*(자료실기준[[#This Row],[년월]]=대출자[년월]),0),MATCH(L$1,대출자[#Headers],0)),0)</f>
        <v>0</v>
      </c>
      <c r="M274" s="9">
        <f t="array" ref="M274">IFERROR(INDEX(대출자[],MATCH(1,(자료실기준[[#This Row],[소장처명]]=대출자[소장처명])*(자료실기준[[#This Row],[년월]]=대출자[년월]),0),MATCH(M$1,대출자[#Headers],0)),0)</f>
        <v>4</v>
      </c>
      <c r="N274" s="9">
        <f>IFERROR(자료실기준[[#This Row],[어린이남자]]+자료실기준[[#This Row],[청소년남자]]+자료실기준[[#This Row],[성인남자]],0)</f>
        <v>5</v>
      </c>
      <c r="O274" s="9">
        <f>IFERROR(자료실기준[[#This Row],[어린이여자]]+자료실기준[[#This Row],[청소년여자]]+자료실기준[[#This Row],[성인여자]],0)</f>
        <v>2</v>
      </c>
      <c r="P274" s="9">
        <f>IFERROR(자료실기준[[#This Row],[남자]]+자료실기준[[#This Row],[여자]],0)</f>
        <v>7</v>
      </c>
      <c r="Q274" s="9">
        <f t="array" ref="Q274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74" s="9">
        <f t="array" ref="R274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74" s="9">
        <f t="array" ref="S274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74" s="9">
        <f t="array" ref="T274">IFERROR(INDEX(대출권수[],MATCH(1,(자료실기준[[#This Row],[소장처명]]=대출권수[소장처명])*(대출권수[대출반납]="대출")*(자료실기준[[#This Row],[년월]]=대출권수[년월]),0),MATCH(T$1,대출권수[#Headers],0)),0)</f>
        <v>1</v>
      </c>
      <c r="U274" s="9">
        <f t="array" ref="U274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74" s="9">
        <f t="array" ref="V274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74" s="9">
        <f t="array" ref="W274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74" s="9">
        <f t="array" ref="X274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74" s="9">
        <f t="array" ref="Y274">IFERROR(INDEX(대출권수[],MATCH(1,(자료실기준[[#This Row],[소장처명]]=대출권수[소장처명])*(대출권수[대출반납]="대출")*(자료실기준[[#This Row],[년월]]=대출권수[년월]),0),MATCH(Y$1,대출권수[#Headers],0)),0)</f>
        <v>7</v>
      </c>
      <c r="Z274" s="9">
        <f t="array" ref="Z274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74" s="9">
        <f>SUM(자료실기준[[#This Row],[총류]:[역사]])</f>
        <v>8</v>
      </c>
    </row>
    <row r="275" spans="1:27" x14ac:dyDescent="0.3">
      <c r="A275" s="5">
        <v>45597</v>
      </c>
      <c r="B275" t="s">
        <v>1</v>
      </c>
      <c r="C275" s="5" t="str">
        <f>TEXT(자료실기준[[#This Row],[년월]],"yy년m월")&amp;자료실기준[[#This Row],[소장처명]]</f>
        <v>24년11월다문화자료실(영어유아)</v>
      </c>
      <c r="D275" t="str">
        <f>IFERROR(INDEX(자료실범례[],MATCH($B275,자료실범례[소장처명],0),2),"종합자료실")</f>
        <v>어린이자료실</v>
      </c>
      <c r="E275" s="9">
        <f t="array" ref="E275">IFERROR(INDEX(대출자[],MATCH(1,(자료실기준[[#This Row],[소장처명]]=대출자[소장처명])*(자료실기준[[#This Row],[년월]]=대출자[년월]),0),MATCH(E$1,대출자[#Headers],0)),0)</f>
        <v>5</v>
      </c>
      <c r="F275" s="9">
        <f t="array" ref="F275">IFERROR(INDEX(대출자[],MATCH(1,(자료실기준[[#This Row],[소장처명]]=대출자[소장처명])*(자료실기준[[#This Row],[년월]]=대출자[년월]),0),MATCH(F$1,대출자[#Headers],0)),0)</f>
        <v>0</v>
      </c>
      <c r="G275" s="9">
        <f t="array" ref="G275">IFERROR(INDEX(대출자[],MATCH(1,(자료실기준[[#This Row],[소장처명]]=대출자[소장처명])*(자료실기준[[#This Row],[년월]]=대출자[년월]),0),MATCH(G$1,대출자[#Headers],0)),0)</f>
        <v>0</v>
      </c>
      <c r="H275" s="9">
        <f t="array" ref="H275">IFERROR(INDEX(대출자[],MATCH(1,(자료실기준[[#This Row],[소장처명]]=대출자[소장처명])*(자료실기준[[#This Row],[년월]]=대출자[년월]),0),MATCH(H$1,대출자[#Headers],0)),0)</f>
        <v>0</v>
      </c>
      <c r="I275" s="9">
        <f t="array" ref="I275">IFERROR(INDEX(대출자[],MATCH(1,(자료실기준[[#This Row],[소장처명]]=대출자[소장처명])*(자료실기준[[#This Row],[년월]]=대출자[년월]),0),MATCH(I$1,대출자[#Headers],0)),0)</f>
        <v>1</v>
      </c>
      <c r="J275" s="9">
        <f t="array" ref="J275">IFERROR(INDEX(대출자[],MATCH(1,(자료실기준[[#This Row],[소장처명]]=대출자[소장처명])*(자료실기준[[#This Row],[년월]]=대출자[년월]),0),MATCH(J$1,대출자[#Headers],0)),0)</f>
        <v>3</v>
      </c>
      <c r="K275" s="9">
        <f t="array" ref="K275">IFERROR(INDEX(대출자[],MATCH(1,(자료실기준[[#This Row],[소장처명]]=대출자[소장처명])*(자료실기준[[#This Row],[년월]]=대출자[년월]),0),MATCH(K$1,대출자[#Headers],0)),0)</f>
        <v>5</v>
      </c>
      <c r="L275" s="9">
        <f t="array" ref="L275">IFERROR(INDEX(대출자[],MATCH(1,(자료실기준[[#This Row],[소장처명]]=대출자[소장처명])*(자료실기준[[#This Row],[년월]]=대출자[년월]),0),MATCH(L$1,대출자[#Headers],0)),0)</f>
        <v>0</v>
      </c>
      <c r="M275" s="9">
        <f t="array" ref="M275">IFERROR(INDEX(대출자[],MATCH(1,(자료실기준[[#This Row],[소장처명]]=대출자[소장처명])*(자료실기준[[#This Row],[년월]]=대출자[년월]),0),MATCH(M$1,대출자[#Headers],0)),0)</f>
        <v>4</v>
      </c>
      <c r="N275" s="9">
        <f>IFERROR(자료실기준[[#This Row],[어린이남자]]+자료실기준[[#This Row],[청소년남자]]+자료실기준[[#This Row],[성인남자]],0)</f>
        <v>6</v>
      </c>
      <c r="O275" s="9">
        <f>IFERROR(자료실기준[[#This Row],[어린이여자]]+자료실기준[[#This Row],[청소년여자]]+자료실기준[[#This Row],[성인여자]],0)</f>
        <v>3</v>
      </c>
      <c r="P275" s="9">
        <f>IFERROR(자료실기준[[#This Row],[남자]]+자료실기준[[#This Row],[여자]],0)</f>
        <v>9</v>
      </c>
      <c r="Q275" s="9">
        <f t="array" ref="Q275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75" s="9">
        <f t="array" ref="R275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75" s="9">
        <f t="array" ref="S275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75" s="9">
        <f t="array" ref="T275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75" s="9">
        <f t="array" ref="U275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75" s="9">
        <f t="array" ref="V275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75" s="9">
        <f t="array" ref="W275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75" s="9">
        <f t="array" ref="X275">IFERROR(INDEX(대출권수[],MATCH(1,(자료실기준[[#This Row],[소장처명]]=대출권수[소장처명])*(대출권수[대출반납]="대출")*(자료실기준[[#This Row],[년월]]=대출권수[년월]),0),MATCH(X$1,대출권수[#Headers],0)),0)</f>
        <v>52</v>
      </c>
      <c r="Y275" s="9">
        <f t="array" ref="Y275">IFERROR(INDEX(대출권수[],MATCH(1,(자료실기준[[#This Row],[소장처명]]=대출권수[소장처명])*(대출권수[대출반납]="대출")*(자료실기준[[#This Row],[년월]]=대출권수[년월]),0),MATCH(Y$1,대출권수[#Headers],0)),0)</f>
        <v>8</v>
      </c>
      <c r="Z275" s="9">
        <f t="array" ref="Z275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75" s="9">
        <f>SUM(자료실기준[[#This Row],[총류]:[역사]])</f>
        <v>60</v>
      </c>
    </row>
    <row r="276" spans="1:27" x14ac:dyDescent="0.3">
      <c r="A276" s="5">
        <v>45597</v>
      </c>
      <c r="B276" t="s">
        <v>6</v>
      </c>
      <c r="C276" s="5" t="str">
        <f>TEXT(자료실기준[[#This Row],[년월]],"yy년m월")&amp;자료실기준[[#This Row],[소장처명]]</f>
        <v>24년11월스마트도서관</v>
      </c>
      <c r="D276" t="str">
        <f>IFERROR(INDEX(자료실범례[],MATCH($B276,자료실범례[소장처명],0),2),"종합자료실")</f>
        <v>종합자료실</v>
      </c>
      <c r="E276" s="9">
        <f t="array" ref="E276">IFERROR(INDEX(대출자[],MATCH(1,(자료실기준[[#This Row],[소장처명]]=대출자[소장처명])*(자료실기준[[#This Row],[년월]]=대출자[년월]),0),MATCH(E$1,대출자[#Headers],0)),0)</f>
        <v>4</v>
      </c>
      <c r="F276" s="9">
        <f t="array" ref="F276">IFERROR(INDEX(대출자[],MATCH(1,(자료실기준[[#This Row],[소장처명]]=대출자[소장처명])*(자료실기준[[#This Row],[년월]]=대출자[년월]),0),MATCH(F$1,대출자[#Headers],0)),0)</f>
        <v>7</v>
      </c>
      <c r="G276" s="9">
        <f t="array" ref="G276">IFERROR(INDEX(대출자[],MATCH(1,(자료실기준[[#This Row],[소장처명]]=대출자[소장처명])*(자료실기준[[#This Row],[년월]]=대출자[년월]),0),MATCH(G$1,대출자[#Headers],0)),0)</f>
        <v>2</v>
      </c>
      <c r="H276" s="9">
        <f t="array" ref="H276">IFERROR(INDEX(대출자[],MATCH(1,(자료실기준[[#This Row],[소장처명]]=대출자[소장처명])*(자료실기준[[#This Row],[년월]]=대출자[년월]),0),MATCH(H$1,대출자[#Headers],0)),0)</f>
        <v>3</v>
      </c>
      <c r="I276" s="9">
        <f t="array" ref="I276">IFERROR(INDEX(대출자[],MATCH(1,(자료실기준[[#This Row],[소장처명]]=대출자[소장처명])*(자료실기준[[#This Row],[년월]]=대출자[년월]),0),MATCH(I$1,대출자[#Headers],0)),0)</f>
        <v>6</v>
      </c>
      <c r="J276" s="9">
        <f t="array" ref="J276">IFERROR(INDEX(대출자[],MATCH(1,(자료실기준[[#This Row],[소장처명]]=대출자[소장처명])*(자료실기준[[#This Row],[년월]]=대출자[년월]),0),MATCH(J$1,대출자[#Headers],0)),0)</f>
        <v>9</v>
      </c>
      <c r="K276" s="9">
        <f t="array" ref="K276">IFERROR(INDEX(대출자[],MATCH(1,(자료실기준[[#This Row],[소장처명]]=대출자[소장처명])*(자료실기준[[#This Row],[년월]]=대출자[년월]),0),MATCH(K$1,대출자[#Headers],0)),0)</f>
        <v>11</v>
      </c>
      <c r="L276" s="9">
        <f t="array" ref="L276">IFERROR(INDEX(대출자[],MATCH(1,(자료실기준[[#This Row],[소장처명]]=대출자[소장처명])*(자료실기준[[#This Row],[년월]]=대출자[년월]),0),MATCH(L$1,대출자[#Headers],0)),0)</f>
        <v>5</v>
      </c>
      <c r="M276" s="9">
        <f t="array" ref="M276">IFERROR(INDEX(대출자[],MATCH(1,(자료실기준[[#This Row],[소장처명]]=대출자[소장처명])*(자료실기준[[#This Row],[년월]]=대출자[년월]),0),MATCH(M$1,대출자[#Headers],0)),0)</f>
        <v>15</v>
      </c>
      <c r="N276" s="9">
        <f>IFERROR(자료실기준[[#This Row],[어린이남자]]+자료실기준[[#This Row],[청소년남자]]+자료실기준[[#This Row],[성인남자]],0)</f>
        <v>12</v>
      </c>
      <c r="O276" s="9">
        <f>IFERROR(자료실기준[[#This Row],[어린이여자]]+자료실기준[[#This Row],[청소년여자]]+자료실기준[[#This Row],[성인여자]],0)</f>
        <v>19</v>
      </c>
      <c r="P276" s="9">
        <f>IFERROR(자료실기준[[#This Row],[남자]]+자료실기준[[#This Row],[여자]],0)</f>
        <v>31</v>
      </c>
      <c r="Q276" s="9">
        <f t="array" ref="Q276">IFERROR(INDEX(대출권수[],MATCH(1,(자료실기준[[#This Row],[소장처명]]=대출권수[소장처명])*(대출권수[대출반납]="대출")*(자료실기준[[#This Row],[년월]]=대출권수[년월]),0),MATCH(Q$1,대출권수[#Headers],0)),0)</f>
        <v>1</v>
      </c>
      <c r="R276" s="9">
        <f t="array" ref="R276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76" s="9">
        <f t="array" ref="S276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76" s="9">
        <f t="array" ref="T276">IFERROR(INDEX(대출권수[],MATCH(1,(자료실기준[[#This Row],[소장처명]]=대출권수[소장처명])*(대출권수[대출반납]="대출")*(자료실기준[[#This Row],[년월]]=대출권수[년월]),0),MATCH(T$1,대출권수[#Headers],0)),0)</f>
        <v>11</v>
      </c>
      <c r="U276" s="9">
        <f t="array" ref="U276">IFERROR(INDEX(대출권수[],MATCH(1,(자료실기준[[#This Row],[소장처명]]=대출권수[소장처명])*(대출권수[대출반납]="대출")*(자료실기준[[#This Row],[년월]]=대출권수[년월]),0),MATCH(U$1,대출권수[#Headers],0)),0)</f>
        <v>4</v>
      </c>
      <c r="V276" s="9">
        <f t="array" ref="V276">IFERROR(INDEX(대출권수[],MATCH(1,(자료실기준[[#This Row],[소장처명]]=대출권수[소장처명])*(대출권수[대출반납]="대출")*(자료실기준[[#This Row],[년월]]=대출권수[년월]),0),MATCH(V$1,대출권수[#Headers],0)),0)</f>
        <v>5</v>
      </c>
      <c r="W276" s="9">
        <f t="array" ref="W276">IFERROR(INDEX(대출권수[],MATCH(1,(자료실기준[[#This Row],[소장처명]]=대출권수[소장처명])*(대출권수[대출반납]="대출")*(자료실기준[[#This Row],[년월]]=대출권수[년월]),0),MATCH(W$1,대출권수[#Headers],0)),0)</f>
        <v>4</v>
      </c>
      <c r="X276" s="9">
        <f t="array" ref="X276">IFERROR(INDEX(대출권수[],MATCH(1,(자료실기준[[#This Row],[소장처명]]=대출권수[소장처명])*(대출권수[대출반납]="대출")*(자료실기준[[#This Row],[년월]]=대출권수[년월]),0),MATCH(X$1,대출권수[#Headers],0)),0)</f>
        <v>1</v>
      </c>
      <c r="Y276" s="9">
        <f t="array" ref="Y276">IFERROR(INDEX(대출권수[],MATCH(1,(자료실기준[[#This Row],[소장처명]]=대출권수[소장처명])*(대출권수[대출반납]="대출")*(자료실기준[[#This Row],[년월]]=대출권수[년월]),0),MATCH(Y$1,대출권수[#Headers],0)),0)</f>
        <v>67</v>
      </c>
      <c r="Z276" s="9">
        <f t="array" ref="Z276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76" s="9">
        <f>SUM(자료실기준[[#This Row],[총류]:[역사]])</f>
        <v>93</v>
      </c>
    </row>
    <row r="277" spans="1:27" x14ac:dyDescent="0.3">
      <c r="A277" s="5">
        <v>45597</v>
      </c>
      <c r="B277" t="s">
        <v>18</v>
      </c>
      <c r="C277" s="5" t="str">
        <f>TEXT(자료실기준[[#This Row],[년월]],"yy년m월")&amp;자료실기준[[#This Row],[소장처명]]</f>
        <v>24년11월정기간행물(종합)</v>
      </c>
      <c r="D277" t="str">
        <f>IFERROR(INDEX(자료실범례[],MATCH($B277,자료실범례[소장처명],0),2),"종합자료실")</f>
        <v>종합자료실</v>
      </c>
      <c r="E277" s="9">
        <f t="array" ref="E277">IFERROR(INDEX(대출자[],MATCH(1,(자료실기준[[#This Row],[소장처명]]=대출자[소장처명])*(자료실기준[[#This Row],[년월]]=대출자[년월]),0),MATCH(E$1,대출자[#Headers],0)),0)</f>
        <v>0</v>
      </c>
      <c r="F277" s="9">
        <f t="array" ref="F277">IFERROR(INDEX(대출자[],MATCH(1,(자료실기준[[#This Row],[소장처명]]=대출자[소장처명])*(자료실기준[[#This Row],[년월]]=대출자[년월]),0),MATCH(F$1,대출자[#Headers],0)),0)</f>
        <v>0</v>
      </c>
      <c r="G277" s="9">
        <f t="array" ref="G277">IFERROR(INDEX(대출자[],MATCH(1,(자료실기준[[#This Row],[소장처명]]=대출자[소장처명])*(자료실기준[[#This Row],[년월]]=대출자[년월]),0),MATCH(G$1,대출자[#Headers],0)),0)</f>
        <v>0</v>
      </c>
      <c r="H277" s="9">
        <f t="array" ref="H277">IFERROR(INDEX(대출자[],MATCH(1,(자료실기준[[#This Row],[소장처명]]=대출자[소장처명])*(자료실기준[[#This Row],[년월]]=대출자[년월]),0),MATCH(H$1,대출자[#Headers],0)),0)</f>
        <v>0</v>
      </c>
      <c r="I277" s="9">
        <f t="array" ref="I277">IFERROR(INDEX(대출자[],MATCH(1,(자료실기준[[#This Row],[소장처명]]=대출자[소장처명])*(자료실기준[[#This Row],[년월]]=대출자[년월]),0),MATCH(I$1,대출자[#Headers],0)),0)</f>
        <v>1</v>
      </c>
      <c r="J277" s="9">
        <f t="array" ref="J277">IFERROR(INDEX(대출자[],MATCH(1,(자료실기준[[#This Row],[소장처명]]=대출자[소장처명])*(자료실기준[[#This Row],[년월]]=대출자[년월]),0),MATCH(J$1,대출자[#Headers],0)),0)</f>
        <v>0</v>
      </c>
      <c r="K277" s="9">
        <f t="array" ref="K277">IFERROR(INDEX(대출자[],MATCH(1,(자료실기준[[#This Row],[소장처명]]=대출자[소장처명])*(자료실기준[[#This Row],[년월]]=대출자[년월]),0),MATCH(K$1,대출자[#Headers],0)),0)</f>
        <v>0</v>
      </c>
      <c r="L277" s="9">
        <f t="array" ref="L277">IFERROR(INDEX(대출자[],MATCH(1,(자료실기준[[#This Row],[소장처명]]=대출자[소장처명])*(자료실기준[[#This Row],[년월]]=대출자[년월]),0),MATCH(L$1,대출자[#Headers],0)),0)</f>
        <v>0</v>
      </c>
      <c r="M277" s="9">
        <f t="array" ref="M277">IFERROR(INDEX(대출자[],MATCH(1,(자료실기준[[#This Row],[소장처명]]=대출자[소장처명])*(자료실기준[[#This Row],[년월]]=대출자[년월]),0),MATCH(M$1,대출자[#Headers],0)),0)</f>
        <v>1</v>
      </c>
      <c r="N277" s="9">
        <f>IFERROR(자료실기준[[#This Row],[어린이남자]]+자료실기준[[#This Row],[청소년남자]]+자료실기준[[#This Row],[성인남자]],0)</f>
        <v>1</v>
      </c>
      <c r="O277" s="9">
        <f>IFERROR(자료실기준[[#This Row],[어린이여자]]+자료실기준[[#This Row],[청소년여자]]+자료실기준[[#This Row],[성인여자]],0)</f>
        <v>0</v>
      </c>
      <c r="P277" s="9">
        <f>IFERROR(자료실기준[[#This Row],[남자]]+자료실기준[[#This Row],[여자]],0)</f>
        <v>1</v>
      </c>
      <c r="Q277" s="9">
        <f t="array" ref="Q277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77" s="9">
        <f t="array" ref="R277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77" s="9">
        <f t="array" ref="S277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77" s="9">
        <f t="array" ref="T277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77" s="9">
        <f t="array" ref="U277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77" s="9">
        <f t="array" ref="V277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77" s="9">
        <f t="array" ref="W277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77" s="9">
        <f t="array" ref="X277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77" s="9">
        <f t="array" ref="Y277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277" s="9">
        <f t="array" ref="Z277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77" s="9">
        <f>SUM(자료실기준[[#This Row],[총류]:[역사]])</f>
        <v>0</v>
      </c>
    </row>
    <row r="278" spans="1:27" x14ac:dyDescent="0.3">
      <c r="A278" s="5">
        <v>45597</v>
      </c>
      <c r="B278" t="s">
        <v>17</v>
      </c>
      <c r="C278" s="5" t="str">
        <f>TEXT(자료실기준[[#This Row],[년월]],"yy년m월")&amp;자료실기준[[#This Row],[소장처명]]</f>
        <v>24년11월정기간행물(어린이)</v>
      </c>
      <c r="D278" t="str">
        <f>IFERROR(INDEX(자료실범례[],MATCH($B278,자료실범례[소장처명],0),2),"종합자료실")</f>
        <v>어린이자료실</v>
      </c>
      <c r="E278" s="9">
        <f t="array" ref="E278">IFERROR(INDEX(대출자[],MATCH(1,(자료실기준[[#This Row],[소장처명]]=대출자[소장처명])*(자료실기준[[#This Row],[년월]]=대출자[년월]),0),MATCH(E$1,대출자[#Headers],0)),0)</f>
        <v>1</v>
      </c>
      <c r="F278" s="9">
        <f t="array" ref="F278">IFERROR(INDEX(대출자[],MATCH(1,(자료실기준[[#This Row],[소장처명]]=대출자[소장처명])*(자료실기준[[#This Row],[년월]]=대출자[년월]),0),MATCH(F$1,대출자[#Headers],0)),0)</f>
        <v>0</v>
      </c>
      <c r="G278" s="9">
        <f t="array" ref="G278">IFERROR(INDEX(대출자[],MATCH(1,(자료실기준[[#This Row],[소장처명]]=대출자[소장처명])*(자료실기준[[#This Row],[년월]]=대출자[년월]),0),MATCH(G$1,대출자[#Headers],0)),0)</f>
        <v>0</v>
      </c>
      <c r="H278" s="9">
        <f t="array" ref="H278">IFERROR(INDEX(대출자[],MATCH(1,(자료실기준[[#This Row],[소장처명]]=대출자[소장처명])*(자료실기준[[#This Row],[년월]]=대출자[년월]),0),MATCH(H$1,대출자[#Headers],0)),0)</f>
        <v>0</v>
      </c>
      <c r="I278" s="9">
        <f t="array" ref="I278">IFERROR(INDEX(대출자[],MATCH(1,(자료실기준[[#This Row],[소장처명]]=대출자[소장처명])*(자료실기준[[#This Row],[년월]]=대출자[년월]),0),MATCH(I$1,대출자[#Headers],0)),0)</f>
        <v>0</v>
      </c>
      <c r="J278" s="9">
        <f t="array" ref="J278">IFERROR(INDEX(대출자[],MATCH(1,(자료실기준[[#This Row],[소장처명]]=대출자[소장처명])*(자료실기준[[#This Row],[년월]]=대출자[년월]),0),MATCH(J$1,대출자[#Headers],0)),0)</f>
        <v>2</v>
      </c>
      <c r="K278" s="9">
        <f t="array" ref="K278">IFERROR(INDEX(대출자[],MATCH(1,(자료실기준[[#This Row],[소장처명]]=대출자[소장처명])*(자료실기준[[#This Row],[년월]]=대출자[년월]),0),MATCH(K$1,대출자[#Headers],0)),0)</f>
        <v>1</v>
      </c>
      <c r="L278" s="9">
        <f t="array" ref="L278">IFERROR(INDEX(대출자[],MATCH(1,(자료실기준[[#This Row],[소장처명]]=대출자[소장처명])*(자료실기준[[#This Row],[년월]]=대출자[년월]),0),MATCH(L$1,대출자[#Headers],0)),0)</f>
        <v>0</v>
      </c>
      <c r="M278" s="9">
        <f t="array" ref="M278">IFERROR(INDEX(대출자[],MATCH(1,(자료실기준[[#This Row],[소장처명]]=대출자[소장처명])*(자료실기준[[#This Row],[년월]]=대출자[년월]),0),MATCH(M$1,대출자[#Headers],0)),0)</f>
        <v>2</v>
      </c>
      <c r="N278" s="9">
        <f>IFERROR(자료실기준[[#This Row],[어린이남자]]+자료실기준[[#This Row],[청소년남자]]+자료실기준[[#This Row],[성인남자]],0)</f>
        <v>1</v>
      </c>
      <c r="O278" s="9">
        <f>IFERROR(자료실기준[[#This Row],[어린이여자]]+자료실기준[[#This Row],[청소년여자]]+자료실기준[[#This Row],[성인여자]],0)</f>
        <v>2</v>
      </c>
      <c r="P278" s="9">
        <f>IFERROR(자료실기준[[#This Row],[남자]]+자료실기준[[#This Row],[여자]],0)</f>
        <v>3</v>
      </c>
      <c r="Q278" s="9">
        <f t="array" ref="Q278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78" s="9">
        <f t="array" ref="R278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78" s="9">
        <f t="array" ref="S278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78" s="9">
        <f t="array" ref="T278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78" s="9">
        <f t="array" ref="U278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78" s="9">
        <f t="array" ref="V278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78" s="9">
        <f t="array" ref="W278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78" s="9">
        <f t="array" ref="X278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78" s="9">
        <f t="array" ref="Y278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278" s="9">
        <f t="array" ref="Z278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78" s="9">
        <f>SUM(자료실기준[[#This Row],[총류]:[역사]])</f>
        <v>0</v>
      </c>
    </row>
    <row r="279" spans="1:27" x14ac:dyDescent="0.3">
      <c r="A279" s="5">
        <v>45597</v>
      </c>
      <c r="B279" t="s">
        <v>197</v>
      </c>
      <c r="C279" s="5" t="str">
        <f>TEXT(자료실기준[[#This Row],[년월]],"yy년m월")&amp;자료실기준[[#This Row],[소장처명]]</f>
        <v>24년11월경남독서한마당(종합)</v>
      </c>
      <c r="D279" t="str">
        <f>IFERROR(INDEX(자료실범례[],MATCH($B279,자료실범례[소장처명],0),2),"종합자료실")</f>
        <v>종합자료실</v>
      </c>
      <c r="E279" s="9">
        <f t="array" ref="E279">IFERROR(INDEX(대출자[],MATCH(1,(자료실기준[[#This Row],[소장처명]]=대출자[소장처명])*(자료실기준[[#This Row],[년월]]=대출자[년월]),0),MATCH(E$1,대출자[#Headers],0)),0)</f>
        <v>1</v>
      </c>
      <c r="F279" s="9">
        <f t="array" ref="F279">IFERROR(INDEX(대출자[],MATCH(1,(자료실기준[[#This Row],[소장처명]]=대출자[소장처명])*(자료실기준[[#This Row],[년월]]=대출자[년월]),0),MATCH(F$1,대출자[#Headers],0)),0)</f>
        <v>0</v>
      </c>
      <c r="G279" s="9">
        <f t="array" ref="G279">IFERROR(INDEX(대출자[],MATCH(1,(자료실기준[[#This Row],[소장처명]]=대출자[소장처명])*(자료실기준[[#This Row],[년월]]=대출자[년월]),0),MATCH(G$1,대출자[#Headers],0)),0)</f>
        <v>1</v>
      </c>
      <c r="H279" s="9">
        <f t="array" ref="H279">IFERROR(INDEX(대출자[],MATCH(1,(자료실기준[[#This Row],[소장처명]]=대출자[소장처명])*(자료실기준[[#This Row],[년월]]=대출자[년월]),0),MATCH(H$1,대출자[#Headers],0)),0)</f>
        <v>2</v>
      </c>
      <c r="I279" s="9">
        <f t="array" ref="I279">IFERROR(INDEX(대출자[],MATCH(1,(자료실기준[[#This Row],[소장처명]]=대출자[소장처명])*(자료실기준[[#This Row],[년월]]=대출자[년월]),0),MATCH(I$1,대출자[#Headers],0)),0)</f>
        <v>1</v>
      </c>
      <c r="J279" s="9">
        <f t="array" ref="J279">IFERROR(INDEX(대출자[],MATCH(1,(자료실기준[[#This Row],[소장처명]]=대출자[소장처명])*(자료실기준[[#This Row],[년월]]=대출자[년월]),0),MATCH(J$1,대출자[#Headers],0)),0)</f>
        <v>3</v>
      </c>
      <c r="K279" s="9">
        <f t="array" ref="K279">IFERROR(INDEX(대출자[],MATCH(1,(자료실기준[[#This Row],[소장처명]]=대출자[소장처명])*(자료실기준[[#This Row],[년월]]=대출자[년월]),0),MATCH(K$1,대출자[#Headers],0)),0)</f>
        <v>1</v>
      </c>
      <c r="L279" s="9">
        <f t="array" ref="L279">IFERROR(INDEX(대출자[],MATCH(1,(자료실기준[[#This Row],[소장처명]]=대출자[소장처명])*(자료실기준[[#This Row],[년월]]=대출자[년월]),0),MATCH(L$1,대출자[#Headers],0)),0)</f>
        <v>3</v>
      </c>
      <c r="M279" s="9">
        <f t="array" ref="M279">IFERROR(INDEX(대출자[],MATCH(1,(자료실기준[[#This Row],[소장처명]]=대출자[소장처명])*(자료실기준[[#This Row],[년월]]=대출자[년월]),0),MATCH(M$1,대출자[#Headers],0)),0)</f>
        <v>4</v>
      </c>
      <c r="N279" s="9">
        <f>IFERROR(자료실기준[[#This Row],[어린이남자]]+자료실기준[[#This Row],[청소년남자]]+자료실기준[[#This Row],[성인남자]],0)</f>
        <v>3</v>
      </c>
      <c r="O279" s="9">
        <f>IFERROR(자료실기준[[#This Row],[어린이여자]]+자료실기준[[#This Row],[청소년여자]]+자료실기준[[#This Row],[성인여자]],0)</f>
        <v>5</v>
      </c>
      <c r="P279" s="9">
        <f>IFERROR(자료실기준[[#This Row],[남자]]+자료실기준[[#This Row],[여자]],0)</f>
        <v>8</v>
      </c>
      <c r="Q279" s="9">
        <f t="array" ref="Q279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79" s="9">
        <f t="array" ref="R279">IFERROR(INDEX(대출권수[],MATCH(1,(자료실기준[[#This Row],[소장처명]]=대출권수[소장처명])*(대출권수[대출반납]="대출")*(자료실기준[[#This Row],[년월]]=대출권수[년월]),0),MATCH(R$1,대출권수[#Headers],0)),0)</f>
        <v>2</v>
      </c>
      <c r="S279" s="9">
        <f t="array" ref="S279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79" s="9">
        <f t="array" ref="T279">IFERROR(INDEX(대출권수[],MATCH(1,(자료실기준[[#This Row],[소장처명]]=대출권수[소장처명])*(대출권수[대출반납]="대출")*(자료실기준[[#This Row],[년월]]=대출권수[년월]),0),MATCH(T$1,대출권수[#Headers],0)),0)</f>
        <v>2</v>
      </c>
      <c r="U279" s="9">
        <f t="array" ref="U279">IFERROR(INDEX(대출권수[],MATCH(1,(자료실기준[[#This Row],[소장처명]]=대출권수[소장처명])*(대출권수[대출반납]="대출")*(자료실기준[[#This Row],[년월]]=대출권수[년월]),0),MATCH(U$1,대출권수[#Headers],0)),0)</f>
        <v>1</v>
      </c>
      <c r="V279" s="9">
        <f t="array" ref="V279">IFERROR(INDEX(대출권수[],MATCH(1,(자료실기준[[#This Row],[소장처명]]=대출권수[소장처명])*(대출권수[대출반납]="대출")*(자료실기준[[#This Row],[년월]]=대출권수[년월]),0),MATCH(V$1,대출권수[#Headers],0)),0)</f>
        <v>1</v>
      </c>
      <c r="W279" s="9">
        <f t="array" ref="W279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79" s="9">
        <f t="array" ref="X279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79" s="9">
        <f t="array" ref="Y279">IFERROR(INDEX(대출권수[],MATCH(1,(자료실기준[[#This Row],[소장처명]]=대출권수[소장처명])*(대출권수[대출반납]="대출")*(자료실기준[[#This Row],[년월]]=대출권수[년월]),0),MATCH(Y$1,대출권수[#Headers],0)),0)</f>
        <v>2</v>
      </c>
      <c r="Z279" s="9">
        <f t="array" ref="Z279">IFERROR(INDEX(대출권수[],MATCH(1,(자료실기준[[#This Row],[소장처명]]=대출권수[소장처명])*(대출권수[대출반납]="대출")*(자료실기준[[#This Row],[년월]]=대출권수[년월]),0),MATCH(Z$1,대출권수[#Headers],0)),0)</f>
        <v>1</v>
      </c>
      <c r="AA279" s="9">
        <f>SUM(자료실기준[[#This Row],[총류]:[역사]])</f>
        <v>9</v>
      </c>
    </row>
    <row r="280" spans="1:27" x14ac:dyDescent="0.3">
      <c r="A280" s="5">
        <v>45597</v>
      </c>
      <c r="B280" t="s">
        <v>198</v>
      </c>
      <c r="C280" s="5" t="str">
        <f>TEXT(자료실기준[[#This Row],[년월]],"yy년m월")&amp;자료실기준[[#This Row],[소장처명]]</f>
        <v>24년11월경남독서한마당(어린이)</v>
      </c>
      <c r="D280" t="str">
        <f>IFERROR(INDEX(자료실범례[],MATCH($B280,자료실범례[소장처명],0),2),"종합자료실")</f>
        <v>어린이자료실</v>
      </c>
      <c r="E280" s="9">
        <f t="array" ref="E280">IFERROR(INDEX(대출자[],MATCH(1,(자료실기준[[#This Row],[소장처명]]=대출자[소장처명])*(자료실기준[[#This Row],[년월]]=대출자[년월]),0),MATCH(E$1,대출자[#Headers],0)),0)</f>
        <v>6</v>
      </c>
      <c r="F280" s="9">
        <f t="array" ref="F280">IFERROR(INDEX(대출자[],MATCH(1,(자료실기준[[#This Row],[소장처명]]=대출자[소장처명])*(자료실기준[[#This Row],[년월]]=대출자[년월]),0),MATCH(F$1,대출자[#Headers],0)),0)</f>
        <v>2</v>
      </c>
      <c r="G280" s="9">
        <f t="array" ref="G280">IFERROR(INDEX(대출자[],MATCH(1,(자료실기준[[#This Row],[소장처명]]=대출자[소장처명])*(자료실기준[[#This Row],[년월]]=대출자[년월]),0),MATCH(G$1,대출자[#Headers],0)),0)</f>
        <v>0</v>
      </c>
      <c r="H280" s="9">
        <f t="array" ref="H280">IFERROR(INDEX(대출자[],MATCH(1,(자료실기준[[#This Row],[소장처명]]=대출자[소장처명])*(자료실기준[[#This Row],[년월]]=대출자[년월]),0),MATCH(H$1,대출자[#Headers],0)),0)</f>
        <v>0</v>
      </c>
      <c r="I280" s="9">
        <f t="array" ref="I280">IFERROR(INDEX(대출자[],MATCH(1,(자료실기준[[#This Row],[소장처명]]=대출자[소장처명])*(자료실기준[[#This Row],[년월]]=대출자[년월]),0),MATCH(I$1,대출자[#Headers],0)),0)</f>
        <v>2</v>
      </c>
      <c r="J280" s="9">
        <f t="array" ref="J280">IFERROR(INDEX(대출자[],MATCH(1,(자료실기준[[#This Row],[소장처명]]=대출자[소장처명])*(자료실기준[[#This Row],[년월]]=대출자[년월]),0),MATCH(J$1,대출자[#Headers],0)),0)</f>
        <v>4</v>
      </c>
      <c r="K280" s="9">
        <f t="array" ref="K280">IFERROR(INDEX(대출자[],MATCH(1,(자료실기준[[#This Row],[소장처명]]=대출자[소장처명])*(자료실기준[[#This Row],[년월]]=대출자[년월]),0),MATCH(K$1,대출자[#Headers],0)),0)</f>
        <v>8</v>
      </c>
      <c r="L280" s="9">
        <f t="array" ref="L280">IFERROR(INDEX(대출자[],MATCH(1,(자료실기준[[#This Row],[소장처명]]=대출자[소장처명])*(자료실기준[[#This Row],[년월]]=대출자[년월]),0),MATCH(L$1,대출자[#Headers],0)),0)</f>
        <v>0</v>
      </c>
      <c r="M280" s="9">
        <f t="array" ref="M280">IFERROR(INDEX(대출자[],MATCH(1,(자료실기준[[#This Row],[소장처명]]=대출자[소장처명])*(자료실기준[[#This Row],[년월]]=대출자[년월]),0),MATCH(M$1,대출자[#Headers],0)),0)</f>
        <v>6</v>
      </c>
      <c r="N280" s="9">
        <f>IFERROR(자료실기준[[#This Row],[어린이남자]]+자료실기준[[#This Row],[청소년남자]]+자료실기준[[#This Row],[성인남자]],0)</f>
        <v>8</v>
      </c>
      <c r="O280" s="9">
        <f>IFERROR(자료실기준[[#This Row],[어린이여자]]+자료실기준[[#This Row],[청소년여자]]+자료실기준[[#This Row],[성인여자]],0)</f>
        <v>6</v>
      </c>
      <c r="P280" s="9">
        <f>IFERROR(자료실기준[[#This Row],[남자]]+자료실기준[[#This Row],[여자]],0)</f>
        <v>14</v>
      </c>
      <c r="Q280" s="9">
        <f t="array" ref="Q280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80" s="9">
        <f t="array" ref="R280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80" s="9">
        <f t="array" ref="S280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80" s="9">
        <f t="array" ref="T280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80" s="9">
        <f t="array" ref="U280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80" s="9">
        <f t="array" ref="V280">IFERROR(INDEX(대출권수[],MATCH(1,(자료실기준[[#This Row],[소장처명]]=대출권수[소장처명])*(대출권수[대출반납]="대출")*(자료실기준[[#This Row],[년월]]=대출권수[년월]),0),MATCH(V$1,대출권수[#Headers],0)),0)</f>
        <v>2</v>
      </c>
      <c r="W280" s="9">
        <f t="array" ref="W280">IFERROR(INDEX(대출권수[],MATCH(1,(자료실기준[[#This Row],[소장처명]]=대출권수[소장처명])*(대출권수[대출반납]="대출")*(자료실기준[[#This Row],[년월]]=대출권수[년월]),0),MATCH(W$1,대출권수[#Headers],0)),0)</f>
        <v>1</v>
      </c>
      <c r="X280" s="9">
        <f t="array" ref="X280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80" s="9">
        <f t="array" ref="Y280">IFERROR(INDEX(대출권수[],MATCH(1,(자료실기준[[#This Row],[소장처명]]=대출권수[소장처명])*(대출권수[대출반납]="대출")*(자료실기준[[#This Row],[년월]]=대출권수[년월]),0),MATCH(Y$1,대출권수[#Headers],0)),0)</f>
        <v>24</v>
      </c>
      <c r="Z280" s="9">
        <f t="array" ref="Z280">IFERROR(INDEX(대출권수[],MATCH(1,(자료실기준[[#This Row],[소장처명]]=대출권수[소장처명])*(대출권수[대출반납]="대출")*(자료실기준[[#This Row],[년월]]=대출권수[년월]),0),MATCH(Z$1,대출권수[#Headers],0)),0)</f>
        <v>1</v>
      </c>
      <c r="AA280" s="9">
        <f>SUM(자료실기준[[#This Row],[총류]:[역사]])</f>
        <v>28</v>
      </c>
    </row>
    <row r="281" spans="1:27" x14ac:dyDescent="0.3">
      <c r="A281" s="5">
        <v>45597</v>
      </c>
      <c r="B281" t="s">
        <v>23</v>
      </c>
      <c r="C281" s="5" t="str">
        <f>TEXT(자료실기준[[#This Row],[년월]],"yy년m월")&amp;자료실기준[[#This Row],[소장처명]]</f>
        <v>24년11월기타</v>
      </c>
      <c r="D281" t="str">
        <f>IFERROR(INDEX(자료실범례[],MATCH($B281,자료실범례[소장처명],0),2),"종합자료실")</f>
        <v>종합자료실</v>
      </c>
      <c r="E281" s="9">
        <f t="array" ref="E281">IFERROR(INDEX(대출자[],MATCH(1,(자료실기준[[#This Row],[소장처명]]=대출자[소장처명])*(자료실기준[[#This Row],[년월]]=대출자[년월]),0),MATCH(E$1,대출자[#Headers],0)),0)</f>
        <v>1</v>
      </c>
      <c r="F281" s="9">
        <f t="array" ref="F281">IFERROR(INDEX(대출자[],MATCH(1,(자료실기준[[#This Row],[소장처명]]=대출자[소장처명])*(자료실기준[[#This Row],[년월]]=대출자[년월]),0),MATCH(F$1,대출자[#Headers],0)),0)</f>
        <v>1</v>
      </c>
      <c r="G281" s="9">
        <f t="array" ref="G281">IFERROR(INDEX(대출자[],MATCH(1,(자료실기준[[#This Row],[소장처명]]=대출자[소장처명])*(자료실기준[[#This Row],[년월]]=대출자[년월]),0),MATCH(G$1,대출자[#Headers],0)),0)</f>
        <v>0</v>
      </c>
      <c r="H281" s="9">
        <f t="array" ref="H281">IFERROR(INDEX(대출자[],MATCH(1,(자료실기준[[#This Row],[소장처명]]=대출자[소장처명])*(자료실기준[[#This Row],[년월]]=대출자[년월]),0),MATCH(H$1,대출자[#Headers],0)),0)</f>
        <v>0</v>
      </c>
      <c r="I281" s="9">
        <f t="array" ref="I281">IFERROR(INDEX(대출자[],MATCH(1,(자료실기준[[#This Row],[소장처명]]=대출자[소장처명])*(자료실기준[[#This Row],[년월]]=대출자[년월]),0),MATCH(I$1,대출자[#Headers],0)),0)</f>
        <v>2</v>
      </c>
      <c r="J281" s="9">
        <f t="array" ref="J281">IFERROR(INDEX(대출자[],MATCH(1,(자료실기준[[#This Row],[소장처명]]=대출자[소장처명])*(자료실기준[[#This Row],[년월]]=대출자[년월]),0),MATCH(J$1,대출자[#Headers],0)),0)</f>
        <v>12</v>
      </c>
      <c r="K281" s="9">
        <f t="array" ref="K281">IFERROR(INDEX(대출자[],MATCH(1,(자료실기준[[#This Row],[소장처명]]=대출자[소장처명])*(자료실기준[[#This Row],[년월]]=대출자[년월]),0),MATCH(K$1,대출자[#Headers],0)),0)</f>
        <v>2</v>
      </c>
      <c r="L281" s="9">
        <f t="array" ref="L281">IFERROR(INDEX(대출자[],MATCH(1,(자료실기준[[#This Row],[소장처명]]=대출자[소장처명])*(자료실기준[[#This Row],[년월]]=대출자[년월]),0),MATCH(L$1,대출자[#Headers],0)),0)</f>
        <v>0</v>
      </c>
      <c r="M281" s="9">
        <f t="array" ref="M281">IFERROR(INDEX(대출자[],MATCH(1,(자료실기준[[#This Row],[소장처명]]=대출자[소장처명])*(자료실기준[[#This Row],[년월]]=대출자[년월]),0),MATCH(M$1,대출자[#Headers],0)),0)</f>
        <v>14</v>
      </c>
      <c r="N281" s="9">
        <f>IFERROR(자료실기준[[#This Row],[어린이남자]]+자료실기준[[#This Row],[청소년남자]]+자료실기준[[#This Row],[성인남자]],0)</f>
        <v>3</v>
      </c>
      <c r="O281" s="9">
        <f>IFERROR(자료실기준[[#This Row],[어린이여자]]+자료실기준[[#This Row],[청소년여자]]+자료실기준[[#This Row],[성인여자]],0)</f>
        <v>13</v>
      </c>
      <c r="P281" s="9">
        <f>IFERROR(자료실기준[[#This Row],[남자]]+자료실기준[[#This Row],[여자]],0)</f>
        <v>16</v>
      </c>
      <c r="Q281" s="9">
        <f t="array" ref="Q281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81" s="9">
        <f t="array" ref="R281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81" s="9">
        <f t="array" ref="S281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81" s="9">
        <f t="array" ref="T281">IFERROR(INDEX(대출권수[],MATCH(1,(자료실기준[[#This Row],[소장처명]]=대출권수[소장처명])*(대출권수[대출반납]="대출")*(자료실기준[[#This Row],[년월]]=대출권수[년월]),0),MATCH(T$1,대출권수[#Headers],0)),0)</f>
        <v>0</v>
      </c>
      <c r="U281" s="9">
        <f t="array" ref="U281">IFERROR(INDEX(대출권수[],MATCH(1,(자료실기준[[#This Row],[소장처명]]=대출권수[소장처명])*(대출권수[대출반납]="대출")*(자료실기준[[#This Row],[년월]]=대출권수[년월]),0),MATCH(U$1,대출권수[#Headers],0)),0)</f>
        <v>0</v>
      </c>
      <c r="V281" s="9">
        <f t="array" ref="V281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81" s="9">
        <f t="array" ref="W281">IFERROR(INDEX(대출권수[],MATCH(1,(자료실기준[[#This Row],[소장처명]]=대출권수[소장처명])*(대출권수[대출반납]="대출")*(자료실기준[[#This Row],[년월]]=대출권수[년월]),0),MATCH(W$1,대출권수[#Headers],0)),0)</f>
        <v>0</v>
      </c>
      <c r="X281" s="9">
        <f t="array" ref="X281">IFERROR(INDEX(대출권수[],MATCH(1,(자료실기준[[#This Row],[소장처명]]=대출권수[소장처명])*(대출권수[대출반납]="대출")*(자료실기준[[#This Row],[년월]]=대출권수[년월]),0),MATCH(X$1,대출권수[#Headers],0)),0)</f>
        <v>0</v>
      </c>
      <c r="Y281" s="9">
        <f t="array" ref="Y281">IFERROR(INDEX(대출권수[],MATCH(1,(자료실기준[[#This Row],[소장처명]]=대출권수[소장처명])*(대출권수[대출반납]="대출")*(자료실기준[[#This Row],[년월]]=대출권수[년월]),0),MATCH(Y$1,대출권수[#Headers],0)),0)</f>
        <v>0</v>
      </c>
      <c r="Z281" s="9">
        <f t="array" ref="Z281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81" s="9">
        <f>SUM(자료실기준[[#This Row],[총류]:[역사]])</f>
        <v>0</v>
      </c>
    </row>
    <row r="282" spans="1:27" x14ac:dyDescent="0.3">
      <c r="A282" s="5">
        <v>45597</v>
      </c>
      <c r="C282" s="5" t="str">
        <f>TEXT(자료실기준[[#This Row],[년월]],"yy년m월")&amp;자료실기준[[#This Row],[소장처명]]</f>
        <v>24년11월</v>
      </c>
      <c r="D282" t="str">
        <f>IFERROR(INDEX(자료실범례[],MATCH($B282,자료실범례[소장처명],0),2),"종합자료실")</f>
        <v>종합자료실</v>
      </c>
      <c r="E282" s="9">
        <f t="array" ref="E282">IFERROR(INDEX(대출자[],MATCH(1,(자료실기준[[#This Row],[소장처명]]=대출자[소장처명])*(자료실기준[[#This Row],[년월]]=대출자[년월]),0),MATCH(E$1,대출자[#Headers],0)),0)</f>
        <v>0</v>
      </c>
      <c r="F282" s="9">
        <f t="array" ref="F282">IFERROR(INDEX(대출자[],MATCH(1,(자료실기준[[#This Row],[소장처명]]=대출자[소장처명])*(자료실기준[[#This Row],[년월]]=대출자[년월]),0),MATCH(F$1,대출자[#Headers],0)),0)</f>
        <v>0</v>
      </c>
      <c r="G282" s="9">
        <f t="array" ref="G282">IFERROR(INDEX(대출자[],MATCH(1,(자료실기준[[#This Row],[소장처명]]=대출자[소장처명])*(자료실기준[[#This Row],[년월]]=대출자[년월]),0),MATCH(G$1,대출자[#Headers],0)),0)</f>
        <v>0</v>
      </c>
      <c r="H282" s="9">
        <f t="array" ref="H282">IFERROR(INDEX(대출자[],MATCH(1,(자료실기준[[#This Row],[소장처명]]=대출자[소장처명])*(자료실기준[[#This Row],[년월]]=대출자[년월]),0),MATCH(H$1,대출자[#Headers],0)),0)</f>
        <v>0</v>
      </c>
      <c r="I282" s="9">
        <f t="array" ref="I282">IFERROR(INDEX(대출자[],MATCH(1,(자료실기준[[#This Row],[소장처명]]=대출자[소장처명])*(자료실기준[[#This Row],[년월]]=대출자[년월]),0),MATCH(I$1,대출자[#Headers],0)),0)</f>
        <v>0</v>
      </c>
      <c r="J282" s="9">
        <f t="array" ref="J282">IFERROR(INDEX(대출자[],MATCH(1,(자료실기준[[#This Row],[소장처명]]=대출자[소장처명])*(자료실기준[[#This Row],[년월]]=대출자[년월]),0),MATCH(J$1,대출자[#Headers],0)),0)</f>
        <v>0</v>
      </c>
      <c r="K282" s="9">
        <f t="array" ref="K282">IFERROR(INDEX(대출자[],MATCH(1,(자료실기준[[#This Row],[소장처명]]=대출자[소장처명])*(자료실기준[[#This Row],[년월]]=대출자[년월]),0),MATCH(K$1,대출자[#Headers],0)),0)</f>
        <v>0</v>
      </c>
      <c r="L282" s="9">
        <f t="array" ref="L282">IFERROR(INDEX(대출자[],MATCH(1,(자료실기준[[#This Row],[소장처명]]=대출자[소장처명])*(자료실기준[[#This Row],[년월]]=대출자[년월]),0),MATCH(L$1,대출자[#Headers],0)),0)</f>
        <v>0</v>
      </c>
      <c r="M282" s="9">
        <f t="array" ref="M282">IFERROR(INDEX(대출자[],MATCH(1,(자료실기준[[#This Row],[소장처명]]=대출자[소장처명])*(자료실기준[[#This Row],[년월]]=대출자[년월]),0),MATCH(M$1,대출자[#Headers],0)),0)</f>
        <v>0</v>
      </c>
      <c r="N282" s="9">
        <f>IFERROR(자료실기준[[#This Row],[어린이남자]]+자료실기준[[#This Row],[청소년남자]]+자료실기준[[#This Row],[성인남자]],0)</f>
        <v>0</v>
      </c>
      <c r="O282" s="9">
        <f>IFERROR(자료실기준[[#This Row],[어린이여자]]+자료실기준[[#This Row],[청소년여자]]+자료실기준[[#This Row],[성인여자]],0)</f>
        <v>0</v>
      </c>
      <c r="P282" s="9">
        <f>IFERROR(자료실기준[[#This Row],[남자]]+자료실기준[[#This Row],[여자]],0)</f>
        <v>0</v>
      </c>
      <c r="Q282" s="9">
        <f t="array" ref="Q282">IFERROR(INDEX(대출권수[],MATCH(1,(자료실기준[[#This Row],[소장처명]]=대출권수[소장처명])*(대출권수[대출반납]="대출")*(자료실기준[[#This Row],[년월]]=대출권수[년월]),0),MATCH(Q$1,대출권수[#Headers],0)),0)</f>
        <v>0</v>
      </c>
      <c r="R282" s="9">
        <f t="array" ref="R282">IFERROR(INDEX(대출권수[],MATCH(1,(자료실기준[[#This Row],[소장처명]]=대출권수[소장처명])*(대출권수[대출반납]="대출")*(자료실기준[[#This Row],[년월]]=대출권수[년월]),0),MATCH(R$1,대출권수[#Headers],0)),0)</f>
        <v>0</v>
      </c>
      <c r="S282" s="9">
        <f t="array" ref="S282">IFERROR(INDEX(대출권수[],MATCH(1,(자료실기준[[#This Row],[소장처명]]=대출권수[소장처명])*(대출권수[대출반납]="대출")*(자료실기준[[#This Row],[년월]]=대출권수[년월]),0),MATCH(S$1,대출권수[#Headers],0)),0)</f>
        <v>0</v>
      </c>
      <c r="T282" s="9">
        <f t="array" ref="T282">IFERROR(INDEX(대출권수[],MATCH(1,(자료실기준[[#This Row],[소장처명]]=대출권수[소장처명])*(대출권수[대출반납]="대출")*(자료실기준[[#This Row],[년월]]=대출권수[년월]),0),MATCH(T$1,대출권수[#Headers],0)),0)</f>
        <v>3</v>
      </c>
      <c r="U282" s="9">
        <f t="array" ref="U282">IFERROR(INDEX(대출권수[],MATCH(1,(자료실기준[[#This Row],[소장처명]]=대출권수[소장처명])*(대출권수[대출반납]="대출")*(자료실기준[[#This Row],[년월]]=대출권수[년월]),0),MATCH(U$1,대출권수[#Headers],0)),0)</f>
        <v>3</v>
      </c>
      <c r="V282" s="9">
        <f t="array" ref="V282">IFERROR(INDEX(대출권수[],MATCH(1,(자료실기준[[#This Row],[소장처명]]=대출권수[소장처명])*(대출권수[대출반납]="대출")*(자료실기준[[#This Row],[년월]]=대출권수[년월]),0),MATCH(V$1,대출권수[#Headers],0)),0)</f>
        <v>0</v>
      </c>
      <c r="W282" s="9">
        <f t="array" ref="W282">IFERROR(INDEX(대출권수[],MATCH(1,(자료실기준[[#This Row],[소장처명]]=대출권수[소장처명])*(대출권수[대출반납]="대출")*(자료실기준[[#This Row],[년월]]=대출권수[년월]),0),MATCH(W$1,대출권수[#Headers],0)),0)</f>
        <v>2</v>
      </c>
      <c r="X282" s="9">
        <f t="array" ref="X282">IFERROR(INDEX(대출권수[],MATCH(1,(자료실기준[[#This Row],[소장처명]]=대출권수[소장처명])*(대출권수[대출반납]="대출")*(자료실기준[[#This Row],[년월]]=대출권수[년월]),0),MATCH(X$1,대출권수[#Headers],0)),0)</f>
        <v>2</v>
      </c>
      <c r="Y282" s="9">
        <f t="array" ref="Y282">IFERROR(INDEX(대출권수[],MATCH(1,(자료실기준[[#This Row],[소장처명]]=대출권수[소장처명])*(대출권수[대출반납]="대출")*(자료실기준[[#This Row],[년월]]=대출권수[년월]),0),MATCH(Y$1,대출권수[#Headers],0)),0)</f>
        <v>15</v>
      </c>
      <c r="Z282" s="9">
        <f t="array" ref="Z282">IFERROR(INDEX(대출권수[],MATCH(1,(자료실기준[[#This Row],[소장처명]]=대출권수[소장처명])*(대출권수[대출반납]="대출")*(자료실기준[[#This Row],[년월]]=대출권수[년월]),0),MATCH(Z$1,대출권수[#Headers],0)),0)</f>
        <v>0</v>
      </c>
      <c r="AA282" s="9">
        <f>SUM(자료실기준[[#This Row],[총류]:[역사]])</f>
        <v>25</v>
      </c>
    </row>
    <row r="283" spans="1:27" x14ac:dyDescent="0.3">
      <c r="A283" s="5"/>
      <c r="C283" s="5"/>
      <c r="E283" s="9"/>
      <c r="F283" s="9"/>
      <c r="G283" s="9"/>
      <c r="H283" s="9"/>
      <c r="I283" s="9"/>
      <c r="J283" s="9"/>
      <c r="K283" s="9">
        <f>SUM(자료실기준[어린이])</f>
        <v>3178</v>
      </c>
      <c r="L283" s="9">
        <f>SUM(자료실기준[청소년])</f>
        <v>812</v>
      </c>
      <c r="M283" s="9">
        <f>SUM(자료실기준[성인])</f>
        <v>9182</v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</sheetData>
  <phoneticPr fontId="18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O408"/>
  <sheetViews>
    <sheetView topLeftCell="A217" zoomScale="85" zoomScaleNormal="85" workbookViewId="0">
      <selection activeCell="G285" sqref="G285"/>
    </sheetView>
  </sheetViews>
  <sheetFormatPr defaultRowHeight="16.5" x14ac:dyDescent="0.3"/>
  <cols>
    <col min="1" max="1" width="9.375" bestFit="1" customWidth="1"/>
    <col min="2" max="2" width="11.375" customWidth="1"/>
    <col min="3" max="3" width="15.875" bestFit="1" customWidth="1"/>
    <col min="4" max="4" width="34.625" customWidth="1"/>
    <col min="6" max="6" width="17.625" bestFit="1" customWidth="1"/>
    <col min="7" max="7" width="36.25" bestFit="1" customWidth="1"/>
    <col min="8" max="8" width="18.75" customWidth="1"/>
    <col min="9" max="12" width="9" customWidth="1"/>
    <col min="15" max="15" width="9" customWidth="1"/>
  </cols>
  <sheetData>
    <row r="1" spans="1:15" x14ac:dyDescent="0.3">
      <c r="A1" t="s">
        <v>52</v>
      </c>
      <c r="B1" t="s">
        <v>131</v>
      </c>
      <c r="C1" t="s">
        <v>110</v>
      </c>
      <c r="D1" t="s">
        <v>97</v>
      </c>
      <c r="E1" t="s">
        <v>190</v>
      </c>
      <c r="F1" t="s">
        <v>191</v>
      </c>
      <c r="G1" t="s">
        <v>192</v>
      </c>
      <c r="H1" t="s">
        <v>113</v>
      </c>
      <c r="I1" t="s">
        <v>78</v>
      </c>
      <c r="J1" t="s">
        <v>80</v>
      </c>
      <c r="K1" t="s">
        <v>98</v>
      </c>
      <c r="L1" t="s">
        <v>168</v>
      </c>
      <c r="M1" t="s">
        <v>135</v>
      </c>
      <c r="N1" t="s">
        <v>136</v>
      </c>
      <c r="O1" t="s">
        <v>153</v>
      </c>
    </row>
    <row r="2" spans="1:15" x14ac:dyDescent="0.3">
      <c r="A2" s="5">
        <v>45292</v>
      </c>
      <c r="B2" t="s">
        <v>100</v>
      </c>
      <c r="C2" t="s">
        <v>111</v>
      </c>
      <c r="D2" t="s">
        <v>83</v>
      </c>
      <c r="E2" t="s">
        <v>79</v>
      </c>
      <c r="H2">
        <v>4</v>
      </c>
      <c r="I2">
        <v>27</v>
      </c>
      <c r="J2">
        <v>21</v>
      </c>
      <c r="K2">
        <f>I2+J2</f>
        <v>48</v>
      </c>
      <c r="L2" t="s">
        <v>169</v>
      </c>
      <c r="M2" t="s">
        <v>125</v>
      </c>
      <c r="O2" t="str">
        <f>TEXT(행사기준[[#This Row],[년월]],"yy년m월")&amp;행사기준[[#This Row],[행사명]]</f>
        <v>24년1월창의융합독서미술</v>
      </c>
    </row>
    <row r="3" spans="1:15" x14ac:dyDescent="0.3">
      <c r="A3" s="5">
        <v>45292</v>
      </c>
      <c r="B3" t="s">
        <v>100</v>
      </c>
      <c r="C3" t="s">
        <v>111</v>
      </c>
      <c r="D3" t="s">
        <v>85</v>
      </c>
      <c r="E3" t="s">
        <v>79</v>
      </c>
      <c r="H3">
        <v>4</v>
      </c>
      <c r="I3">
        <v>20</v>
      </c>
      <c r="J3">
        <v>27</v>
      </c>
      <c r="K3">
        <f t="shared" ref="K3:K18" si="0">I3+J3</f>
        <v>47</v>
      </c>
      <c r="L3" t="s">
        <v>170</v>
      </c>
      <c r="M3" t="s">
        <v>125</v>
      </c>
      <c r="O3" t="str">
        <f>TEXT(행사기준[[#This Row],[년월]],"yy년m월")&amp;행사기준[[#This Row],[행사명]]</f>
        <v>24년1월예비초등영어</v>
      </c>
    </row>
    <row r="4" spans="1:15" x14ac:dyDescent="0.3">
      <c r="A4" s="5">
        <v>45292</v>
      </c>
      <c r="B4" t="s">
        <v>102</v>
      </c>
      <c r="C4" t="s">
        <v>112</v>
      </c>
      <c r="D4" t="s">
        <v>84</v>
      </c>
      <c r="E4" t="s">
        <v>79</v>
      </c>
      <c r="H4">
        <v>3</v>
      </c>
      <c r="I4">
        <v>14</v>
      </c>
      <c r="J4">
        <v>25</v>
      </c>
      <c r="K4">
        <f t="shared" si="0"/>
        <v>39</v>
      </c>
      <c r="M4" t="s">
        <v>126</v>
      </c>
      <c r="O4" t="str">
        <f>TEXT(행사기준[[#This Row],[년월]],"yy년m월")&amp;행사기준[[#This Row],[행사명]]</f>
        <v>24년1월2024. 겨울 독서교실</v>
      </c>
    </row>
    <row r="5" spans="1:15" x14ac:dyDescent="0.3">
      <c r="A5" s="5">
        <v>45292</v>
      </c>
      <c r="B5" t="s">
        <v>102</v>
      </c>
      <c r="D5" t="s">
        <v>179</v>
      </c>
      <c r="E5" t="s">
        <v>79</v>
      </c>
      <c r="H5">
        <v>1</v>
      </c>
      <c r="I5">
        <v>36</v>
      </c>
      <c r="J5">
        <v>34</v>
      </c>
      <c r="K5">
        <f t="shared" si="0"/>
        <v>70</v>
      </c>
      <c r="M5" t="s">
        <v>126</v>
      </c>
      <c r="O5" t="str">
        <f>TEXT(행사기준[[#This Row],[년월]],"yy년m월")&amp;행사기준[[#This Row],[행사명]]</f>
        <v>24년1월생각키움 독서퀴즈</v>
      </c>
    </row>
    <row r="6" spans="1:15" x14ac:dyDescent="0.3">
      <c r="A6" s="5">
        <v>45292</v>
      </c>
      <c r="B6" t="s">
        <v>102</v>
      </c>
      <c r="D6" t="s">
        <v>86</v>
      </c>
      <c r="E6" t="s">
        <v>79</v>
      </c>
      <c r="H6">
        <v>1</v>
      </c>
      <c r="I6">
        <v>9</v>
      </c>
      <c r="J6">
        <v>11</v>
      </c>
      <c r="K6">
        <f t="shared" si="0"/>
        <v>20</v>
      </c>
      <c r="M6" t="s">
        <v>126</v>
      </c>
      <c r="O6" t="str">
        <f>TEXT(행사기준[[#This Row],[년월]],"yy년m월")&amp;행사기준[[#This Row],[행사명]]</f>
        <v>24년1월내가 좋아하는 책 속 한 구절</v>
      </c>
    </row>
    <row r="7" spans="1:15" x14ac:dyDescent="0.3">
      <c r="A7" s="5">
        <v>45292</v>
      </c>
      <c r="B7" t="s">
        <v>104</v>
      </c>
      <c r="D7" t="s">
        <v>87</v>
      </c>
      <c r="E7" t="s">
        <v>81</v>
      </c>
      <c r="H7">
        <v>1</v>
      </c>
      <c r="I7">
        <v>0</v>
      </c>
      <c r="J7">
        <v>4</v>
      </c>
      <c r="K7">
        <f t="shared" si="0"/>
        <v>4</v>
      </c>
      <c r="M7" t="s">
        <v>126</v>
      </c>
      <c r="O7" t="str">
        <f>TEXT(행사기준[[#This Row],[년월]],"yy년m월")&amp;행사기준[[#This Row],[행사명]]</f>
        <v>24년1월도토리 그림책 동아리</v>
      </c>
    </row>
    <row r="8" spans="1:15" x14ac:dyDescent="0.3">
      <c r="A8" s="5">
        <v>45292</v>
      </c>
      <c r="B8" t="s">
        <v>106</v>
      </c>
      <c r="D8" t="s">
        <v>88</v>
      </c>
      <c r="E8" t="s">
        <v>89</v>
      </c>
      <c r="H8">
        <v>1</v>
      </c>
      <c r="I8">
        <v>488</v>
      </c>
      <c r="J8">
        <v>432</v>
      </c>
      <c r="K8">
        <f t="shared" si="0"/>
        <v>920</v>
      </c>
      <c r="M8" t="s">
        <v>126</v>
      </c>
      <c r="O8" t="str">
        <f>TEXT(행사기준[[#This Row],[년월]],"yy년m월")&amp;행사기준[[#This Row],[행사명]]</f>
        <v>24년1월이야기가 있는 그림책 원화 전시</v>
      </c>
    </row>
    <row r="9" spans="1:15" x14ac:dyDescent="0.3">
      <c r="A9" s="5">
        <v>45292</v>
      </c>
      <c r="B9" t="s">
        <v>106</v>
      </c>
      <c r="D9" t="s">
        <v>90</v>
      </c>
      <c r="E9" t="s">
        <v>89</v>
      </c>
      <c r="H9">
        <v>1</v>
      </c>
      <c r="I9">
        <v>95</v>
      </c>
      <c r="J9">
        <v>85</v>
      </c>
      <c r="K9">
        <f t="shared" si="0"/>
        <v>180</v>
      </c>
      <c r="M9" t="s">
        <v>126</v>
      </c>
      <c r="O9" t="str">
        <f>TEXT(행사기준[[#This Row],[년월]],"yy년m월")&amp;행사기준[[#This Row],[행사명]]</f>
        <v>24년1월도서관에서 만나는 특별한 책 이야기</v>
      </c>
    </row>
    <row r="10" spans="1:15" x14ac:dyDescent="0.3">
      <c r="A10" s="5">
        <v>45292</v>
      </c>
      <c r="B10" t="s">
        <v>106</v>
      </c>
      <c r="D10" t="s">
        <v>91</v>
      </c>
      <c r="E10" t="s">
        <v>89</v>
      </c>
      <c r="H10">
        <v>1</v>
      </c>
      <c r="I10">
        <v>188</v>
      </c>
      <c r="J10">
        <v>297</v>
      </c>
      <c r="K10">
        <f t="shared" si="0"/>
        <v>485</v>
      </c>
      <c r="M10" t="s">
        <v>126</v>
      </c>
      <c r="O10" t="str">
        <f>TEXT(행사기준[[#This Row],[년월]],"yy년m월")&amp;행사기준[[#This Row],[행사명]]</f>
        <v>24년1월사서 추천 도서 서평 전시</v>
      </c>
    </row>
    <row r="11" spans="1:15" x14ac:dyDescent="0.3">
      <c r="A11" s="5">
        <v>45292</v>
      </c>
      <c r="B11" t="s">
        <v>108</v>
      </c>
      <c r="D11" t="s">
        <v>92</v>
      </c>
      <c r="E11" t="s">
        <v>79</v>
      </c>
      <c r="H11">
        <v>1</v>
      </c>
      <c r="I11">
        <v>33</v>
      </c>
      <c r="J11">
        <v>40</v>
      </c>
      <c r="K11">
        <f t="shared" si="0"/>
        <v>73</v>
      </c>
      <c r="M11" t="s">
        <v>126</v>
      </c>
      <c r="O11" t="str">
        <f>TEXT(행사기준[[#This Row],[년월]],"yy년m월")&amp;행사기준[[#This Row],[행사명]]</f>
        <v>24년1월어린이자료실 현장학습</v>
      </c>
    </row>
    <row r="12" spans="1:15" x14ac:dyDescent="0.3">
      <c r="A12" s="5">
        <v>45292</v>
      </c>
      <c r="B12" t="s">
        <v>102</v>
      </c>
      <c r="D12" t="s">
        <v>363</v>
      </c>
      <c r="E12" t="s">
        <v>133</v>
      </c>
      <c r="H12">
        <v>4</v>
      </c>
      <c r="I12">
        <v>18</v>
      </c>
      <c r="J12">
        <v>27</v>
      </c>
      <c r="K12">
        <f t="shared" si="0"/>
        <v>45</v>
      </c>
      <c r="M12" t="s">
        <v>126</v>
      </c>
      <c r="O12" t="str">
        <f>TEXT(행사기준[[#This Row],[년월]],"yy년m월")&amp;행사기준[[#This Row],[행사명]]</f>
        <v>24년1월도서관에서 만나는 창녕 시네마</v>
      </c>
    </row>
    <row r="13" spans="1:15" x14ac:dyDescent="0.3">
      <c r="A13" s="5">
        <v>45292</v>
      </c>
      <c r="B13" t="s">
        <v>102</v>
      </c>
      <c r="D13" t="s">
        <v>93</v>
      </c>
      <c r="E13" t="s">
        <v>89</v>
      </c>
      <c r="H13">
        <v>1</v>
      </c>
      <c r="I13">
        <v>35</v>
      </c>
      <c r="J13">
        <v>65</v>
      </c>
      <c r="K13">
        <f t="shared" si="0"/>
        <v>100</v>
      </c>
      <c r="M13" t="s">
        <v>127</v>
      </c>
      <c r="O13" t="str">
        <f>TEXT(행사기준[[#This Row],[년월]],"yy년m월")&amp;행사기준[[#This Row],[행사명]]</f>
        <v>24년1월개관기념일 떡 나눔 이벤트</v>
      </c>
    </row>
    <row r="14" spans="1:15" x14ac:dyDescent="0.3">
      <c r="A14" s="5">
        <v>45292</v>
      </c>
      <c r="B14" t="s">
        <v>102</v>
      </c>
      <c r="D14" t="s">
        <v>94</v>
      </c>
      <c r="E14" t="s">
        <v>89</v>
      </c>
      <c r="H14">
        <v>1</v>
      </c>
      <c r="I14">
        <v>27</v>
      </c>
      <c r="J14">
        <v>38</v>
      </c>
      <c r="K14">
        <f t="shared" si="0"/>
        <v>65</v>
      </c>
      <c r="M14" t="s">
        <v>127</v>
      </c>
      <c r="N14" t="s">
        <v>137</v>
      </c>
      <c r="O14" t="str">
        <f>TEXT(행사기준[[#This Row],[년월]],"yy년m월")&amp;행사기준[[#This Row],[행사명]]</f>
        <v>24년1월신규 회원가입 이벤트</v>
      </c>
    </row>
    <row r="15" spans="1:15" x14ac:dyDescent="0.3">
      <c r="A15" s="5">
        <v>45292</v>
      </c>
      <c r="B15" t="s">
        <v>104</v>
      </c>
      <c r="D15" t="s">
        <v>95</v>
      </c>
      <c r="E15" t="s">
        <v>81</v>
      </c>
      <c r="H15">
        <v>1</v>
      </c>
      <c r="I15">
        <v>1</v>
      </c>
      <c r="J15">
        <v>4</v>
      </c>
      <c r="K15">
        <f t="shared" si="0"/>
        <v>5</v>
      </c>
      <c r="M15" t="s">
        <v>127</v>
      </c>
      <c r="O15" t="str">
        <f>TEXT(행사기준[[#This Row],[년월]],"yy년m월")&amp;행사기준[[#This Row],[행사명]]</f>
        <v>24년1월성인(화왕) 독서동아리</v>
      </c>
    </row>
    <row r="16" spans="1:15" x14ac:dyDescent="0.3">
      <c r="A16" s="5">
        <v>45292</v>
      </c>
      <c r="B16" t="s">
        <v>102</v>
      </c>
      <c r="C16" t="s">
        <v>180</v>
      </c>
      <c r="D16" t="s">
        <v>182</v>
      </c>
      <c r="E16" t="s">
        <v>89</v>
      </c>
      <c r="H16">
        <v>1</v>
      </c>
      <c r="I16">
        <v>12</v>
      </c>
      <c r="J16">
        <v>22</v>
      </c>
      <c r="K16">
        <f t="shared" si="0"/>
        <v>34</v>
      </c>
      <c r="M16" t="s">
        <v>127</v>
      </c>
      <c r="N16" t="s">
        <v>137</v>
      </c>
      <c r="O16" t="str">
        <f>TEXT(행사기준[[#This Row],[년월]],"yy년m월")&amp;행사기준[[#This Row],[행사명]]</f>
        <v>24년1월두 배로 데이</v>
      </c>
    </row>
    <row r="17" spans="1:15" x14ac:dyDescent="0.3">
      <c r="A17" s="5">
        <v>45292</v>
      </c>
      <c r="B17" t="s">
        <v>102</v>
      </c>
      <c r="C17" t="s">
        <v>180</v>
      </c>
      <c r="D17" t="s">
        <v>184</v>
      </c>
      <c r="E17" t="s">
        <v>89</v>
      </c>
      <c r="H17">
        <v>1</v>
      </c>
      <c r="I17">
        <v>5</v>
      </c>
      <c r="J17">
        <v>10</v>
      </c>
      <c r="K17">
        <f t="shared" si="0"/>
        <v>15</v>
      </c>
      <c r="M17" t="s">
        <v>127</v>
      </c>
      <c r="N17" t="s">
        <v>137</v>
      </c>
      <c r="O17" t="str">
        <f>TEXT(행사기준[[#This Row],[년월]],"yy년m월")&amp;행사기준[[#This Row],[행사명]]</f>
        <v>24년1월연체자 클린 데이</v>
      </c>
    </row>
    <row r="18" spans="1:15" x14ac:dyDescent="0.3">
      <c r="A18" s="5">
        <v>45292</v>
      </c>
      <c r="B18" t="s">
        <v>106</v>
      </c>
      <c r="D18" t="s">
        <v>96</v>
      </c>
      <c r="E18" t="s">
        <v>89</v>
      </c>
      <c r="H18">
        <v>1</v>
      </c>
      <c r="I18">
        <v>50</v>
      </c>
      <c r="J18">
        <v>175</v>
      </c>
      <c r="K18">
        <f t="shared" si="0"/>
        <v>225</v>
      </c>
      <c r="M18" t="s">
        <v>127</v>
      </c>
      <c r="O18" t="str">
        <f>TEXT(행사기준[[#This Row],[년월]],"yy년m월")&amp;행사기준[[#This Row],[행사명]]</f>
        <v>24년1월사서가 들려주는 북 스토리</v>
      </c>
    </row>
    <row r="19" spans="1:15" x14ac:dyDescent="0.3">
      <c r="A19" s="5">
        <v>45323</v>
      </c>
      <c r="B19" t="s">
        <v>171</v>
      </c>
      <c r="D19" t="s">
        <v>175</v>
      </c>
      <c r="E19" t="s">
        <v>172</v>
      </c>
      <c r="G19" t="s">
        <v>193</v>
      </c>
      <c r="H19">
        <v>1</v>
      </c>
      <c r="I19">
        <v>24</v>
      </c>
      <c r="J19">
        <v>30</v>
      </c>
      <c r="K19">
        <f>I19+J19</f>
        <v>54</v>
      </c>
      <c r="M19" t="s">
        <v>173</v>
      </c>
      <c r="O19" t="str">
        <f>TEXT(행사기준[[#This Row],[년월]],"yy년m월")&amp;행사기준[[#This Row],[행사명]]</f>
        <v>24년2월정월대보름을 찾아라</v>
      </c>
    </row>
    <row r="20" spans="1:15" x14ac:dyDescent="0.3">
      <c r="A20" s="5">
        <v>45323</v>
      </c>
      <c r="B20" t="s">
        <v>171</v>
      </c>
      <c r="D20" t="s">
        <v>174</v>
      </c>
      <c r="E20" t="s">
        <v>176</v>
      </c>
      <c r="H20">
        <v>1</v>
      </c>
      <c r="I20">
        <v>40</v>
      </c>
      <c r="J20">
        <v>60</v>
      </c>
      <c r="K20">
        <f t="shared" ref="K20:K85" si="1">I20+J20</f>
        <v>100</v>
      </c>
      <c r="M20" t="s">
        <v>177</v>
      </c>
      <c r="N20" t="s">
        <v>173</v>
      </c>
      <c r="O20" t="str">
        <f>TEXT(행사기준[[#This Row],[년월]],"yy년m월")&amp;행사기준[[#This Row],[행사명]]</f>
        <v>24년2월정월대보름 맞이 부럼 증정 이벤트</v>
      </c>
    </row>
    <row r="21" spans="1:15" x14ac:dyDescent="0.3">
      <c r="A21" s="5">
        <v>45323</v>
      </c>
      <c r="B21" t="s">
        <v>171</v>
      </c>
      <c r="D21" t="s">
        <v>179</v>
      </c>
      <c r="E21" t="s">
        <v>172</v>
      </c>
      <c r="G21" t="s">
        <v>193</v>
      </c>
      <c r="H21">
        <v>1</v>
      </c>
      <c r="I21">
        <v>19</v>
      </c>
      <c r="J21">
        <v>18</v>
      </c>
      <c r="K21">
        <f t="shared" si="1"/>
        <v>37</v>
      </c>
      <c r="M21" t="s">
        <v>173</v>
      </c>
      <c r="O21" t="str">
        <f>TEXT(행사기준[[#This Row],[년월]],"yy년m월")&amp;행사기준[[#This Row],[행사명]]</f>
        <v>24년2월생각키움 독서퀴즈</v>
      </c>
    </row>
    <row r="22" spans="1:15" x14ac:dyDescent="0.3">
      <c r="A22" s="5">
        <v>45323</v>
      </c>
      <c r="B22" t="s">
        <v>171</v>
      </c>
      <c r="D22" t="s">
        <v>86</v>
      </c>
      <c r="E22" t="s">
        <v>172</v>
      </c>
      <c r="G22" t="s">
        <v>193</v>
      </c>
      <c r="H22">
        <v>1</v>
      </c>
      <c r="I22">
        <v>6</v>
      </c>
      <c r="J22">
        <v>14</v>
      </c>
      <c r="K22">
        <f t="shared" si="1"/>
        <v>20</v>
      </c>
      <c r="M22" t="s">
        <v>173</v>
      </c>
      <c r="O22" t="str">
        <f>TEXT(행사기준[[#This Row],[년월]],"yy년m월")&amp;행사기준[[#This Row],[행사명]]</f>
        <v>24년2월내가 좋아하는 책 속 한 구절</v>
      </c>
    </row>
    <row r="23" spans="1:15" x14ac:dyDescent="0.3">
      <c r="A23" s="5">
        <v>45323</v>
      </c>
      <c r="B23" t="s">
        <v>171</v>
      </c>
      <c r="D23" t="s">
        <v>94</v>
      </c>
      <c r="E23" t="s">
        <v>176</v>
      </c>
      <c r="H23">
        <v>1</v>
      </c>
      <c r="I23">
        <v>13</v>
      </c>
      <c r="J23">
        <v>22</v>
      </c>
      <c r="K23">
        <f t="shared" si="1"/>
        <v>35</v>
      </c>
      <c r="M23" t="s">
        <v>177</v>
      </c>
      <c r="N23" t="s">
        <v>173</v>
      </c>
      <c r="O23" t="str">
        <f>TEXT(행사기준[[#This Row],[년월]],"yy년m월")&amp;행사기준[[#This Row],[행사명]]</f>
        <v>24년2월신규 회원가입 이벤트</v>
      </c>
    </row>
    <row r="24" spans="1:15" x14ac:dyDescent="0.3">
      <c r="A24" s="5">
        <v>45323</v>
      </c>
      <c r="B24" t="s">
        <v>171</v>
      </c>
      <c r="C24" t="s">
        <v>180</v>
      </c>
      <c r="D24" t="s">
        <v>182</v>
      </c>
      <c r="E24" t="s">
        <v>176</v>
      </c>
      <c r="H24">
        <v>1</v>
      </c>
      <c r="I24">
        <v>12</v>
      </c>
      <c r="J24">
        <v>21</v>
      </c>
      <c r="K24">
        <f t="shared" si="1"/>
        <v>33</v>
      </c>
      <c r="M24" t="s">
        <v>177</v>
      </c>
      <c r="N24" t="s">
        <v>173</v>
      </c>
      <c r="O24" t="str">
        <f>TEXT(행사기준[[#This Row],[년월]],"yy년m월")&amp;행사기준[[#This Row],[행사명]]</f>
        <v>24년2월두 배로 데이</v>
      </c>
    </row>
    <row r="25" spans="1:15" x14ac:dyDescent="0.3">
      <c r="A25" s="5">
        <v>45323</v>
      </c>
      <c r="B25" t="s">
        <v>171</v>
      </c>
      <c r="C25" t="s">
        <v>180</v>
      </c>
      <c r="D25" t="s">
        <v>184</v>
      </c>
      <c r="E25" t="s">
        <v>176</v>
      </c>
      <c r="H25">
        <v>1</v>
      </c>
      <c r="I25">
        <v>5</v>
      </c>
      <c r="J25">
        <v>9</v>
      </c>
      <c r="K25">
        <f t="shared" si="1"/>
        <v>14</v>
      </c>
      <c r="M25" t="s">
        <v>177</v>
      </c>
      <c r="N25" t="s">
        <v>173</v>
      </c>
      <c r="O25" t="str">
        <f>TEXT(행사기준[[#This Row],[년월]],"yy년m월")&amp;행사기준[[#This Row],[행사명]]</f>
        <v>24년2월연체자 클린 데이</v>
      </c>
    </row>
    <row r="26" spans="1:15" x14ac:dyDescent="0.3">
      <c r="A26" s="5">
        <v>45323</v>
      </c>
      <c r="B26" t="s">
        <v>185</v>
      </c>
      <c r="D26" t="s">
        <v>186</v>
      </c>
      <c r="E26" t="s">
        <v>187</v>
      </c>
      <c r="H26">
        <v>1</v>
      </c>
      <c r="I26">
        <v>120</v>
      </c>
      <c r="J26">
        <v>190</v>
      </c>
      <c r="K26">
        <f t="shared" si="1"/>
        <v>310</v>
      </c>
      <c r="M26" t="s">
        <v>177</v>
      </c>
      <c r="O26" t="str">
        <f>TEXT(행사기준[[#This Row],[년월]],"yy년m월")&amp;행사기준[[#This Row],[행사명]]</f>
        <v>24년2월우리가 사랑한 책들</v>
      </c>
    </row>
    <row r="27" spans="1:15" x14ac:dyDescent="0.3">
      <c r="A27" s="5">
        <v>45323</v>
      </c>
      <c r="B27" t="s">
        <v>185</v>
      </c>
      <c r="D27" t="s">
        <v>88</v>
      </c>
      <c r="E27" t="s">
        <v>176</v>
      </c>
      <c r="H27">
        <v>1</v>
      </c>
      <c r="I27">
        <v>372</v>
      </c>
      <c r="J27">
        <v>321</v>
      </c>
      <c r="K27">
        <f t="shared" si="1"/>
        <v>693</v>
      </c>
      <c r="M27" t="s">
        <v>173</v>
      </c>
      <c r="O27" t="str">
        <f>TEXT(행사기준[[#This Row],[년월]],"yy년m월")&amp;행사기준[[#This Row],[행사명]]</f>
        <v>24년2월이야기가 있는 그림책 원화 전시</v>
      </c>
    </row>
    <row r="28" spans="1:15" x14ac:dyDescent="0.3">
      <c r="A28" s="5">
        <v>45323</v>
      </c>
      <c r="B28" t="s">
        <v>185</v>
      </c>
      <c r="D28" t="s">
        <v>96</v>
      </c>
      <c r="E28" t="s">
        <v>187</v>
      </c>
      <c r="H28">
        <v>1</v>
      </c>
      <c r="I28">
        <v>130</v>
      </c>
      <c r="J28">
        <v>190</v>
      </c>
      <c r="K28">
        <f t="shared" si="1"/>
        <v>320</v>
      </c>
      <c r="M28" t="s">
        <v>177</v>
      </c>
      <c r="O28" t="str">
        <f>TEXT(행사기준[[#This Row],[년월]],"yy년m월")&amp;행사기준[[#This Row],[행사명]]</f>
        <v>24년2월사서가 들려주는 북 스토리</v>
      </c>
    </row>
    <row r="29" spans="1:15" x14ac:dyDescent="0.3">
      <c r="A29" s="5">
        <v>45323</v>
      </c>
      <c r="B29" t="s">
        <v>185</v>
      </c>
      <c r="D29" t="s">
        <v>91</v>
      </c>
      <c r="E29" t="s">
        <v>176</v>
      </c>
      <c r="H29">
        <v>1</v>
      </c>
      <c r="I29">
        <v>168</v>
      </c>
      <c r="J29">
        <v>265</v>
      </c>
      <c r="K29">
        <f t="shared" si="1"/>
        <v>433</v>
      </c>
      <c r="M29" t="s">
        <v>177</v>
      </c>
      <c r="N29" t="s">
        <v>173</v>
      </c>
      <c r="O29" t="str">
        <f>TEXT(행사기준[[#This Row],[년월]],"yy년m월")&amp;행사기준[[#This Row],[행사명]]</f>
        <v>24년2월사서 추천 도서 서평 전시</v>
      </c>
    </row>
    <row r="30" spans="1:15" x14ac:dyDescent="0.3">
      <c r="A30" s="5">
        <v>45323</v>
      </c>
      <c r="B30" t="s">
        <v>185</v>
      </c>
      <c r="D30" t="s">
        <v>90</v>
      </c>
      <c r="E30" t="s">
        <v>172</v>
      </c>
      <c r="G30" t="s">
        <v>193</v>
      </c>
      <c r="H30">
        <v>1</v>
      </c>
      <c r="I30">
        <v>85</v>
      </c>
      <c r="J30">
        <v>80</v>
      </c>
      <c r="K30">
        <f t="shared" si="1"/>
        <v>165</v>
      </c>
      <c r="M30" t="s">
        <v>173</v>
      </c>
      <c r="O30" t="str">
        <f>TEXT(행사기준[[#This Row],[년월]],"yy년m월")&amp;행사기준[[#This Row],[행사명]]</f>
        <v>24년2월도서관에서 만나는 특별한 책 이야기</v>
      </c>
    </row>
    <row r="31" spans="1:15" x14ac:dyDescent="0.3">
      <c r="A31" s="5">
        <v>45323</v>
      </c>
      <c r="B31" t="s">
        <v>171</v>
      </c>
      <c r="D31" t="s">
        <v>188</v>
      </c>
      <c r="E31" t="s">
        <v>172</v>
      </c>
      <c r="H31">
        <v>3</v>
      </c>
      <c r="I31">
        <v>17</v>
      </c>
      <c r="J31">
        <v>21</v>
      </c>
      <c r="K31">
        <f t="shared" si="1"/>
        <v>38</v>
      </c>
      <c r="M31" t="s">
        <v>173</v>
      </c>
      <c r="O31" t="str">
        <f>TEXT(행사기준[[#This Row],[년월]],"yy년m월")&amp;행사기준[[#This Row],[행사명]]</f>
        <v>24년2월도서관에서 만나는 창녕 시네마</v>
      </c>
    </row>
    <row r="32" spans="1:15" x14ac:dyDescent="0.3">
      <c r="A32" s="5">
        <v>45323</v>
      </c>
      <c r="B32" t="s">
        <v>196</v>
      </c>
      <c r="D32" t="s">
        <v>92</v>
      </c>
      <c r="E32" t="s">
        <v>172</v>
      </c>
      <c r="G32" t="s">
        <v>194</v>
      </c>
      <c r="H32">
        <v>1</v>
      </c>
      <c r="I32">
        <v>12</v>
      </c>
      <c r="J32">
        <v>11</v>
      </c>
      <c r="K32">
        <f t="shared" si="1"/>
        <v>23</v>
      </c>
      <c r="M32" t="s">
        <v>173</v>
      </c>
      <c r="O32" t="str">
        <f>TEXT(행사기준[[#This Row],[년월]],"yy년m월")&amp;행사기준[[#This Row],[행사명]]</f>
        <v>24년2월어린이자료실 현장학습</v>
      </c>
    </row>
    <row r="33" spans="1:15" x14ac:dyDescent="0.3">
      <c r="A33" s="5">
        <v>45323</v>
      </c>
      <c r="B33" t="s">
        <v>189</v>
      </c>
      <c r="D33" t="s">
        <v>87</v>
      </c>
      <c r="E33" t="s">
        <v>187</v>
      </c>
      <c r="H33">
        <v>1</v>
      </c>
      <c r="I33">
        <v>0</v>
      </c>
      <c r="J33">
        <v>2</v>
      </c>
      <c r="K33">
        <f t="shared" si="1"/>
        <v>2</v>
      </c>
      <c r="M33" t="s">
        <v>173</v>
      </c>
      <c r="O33" t="str">
        <f>TEXT(행사기준[[#This Row],[년월]],"yy년m월")&amp;행사기준[[#This Row],[행사명]]</f>
        <v>24년2월도토리 그림책 동아리</v>
      </c>
    </row>
    <row r="34" spans="1:15" s="14" customFormat="1" x14ac:dyDescent="0.3">
      <c r="A34" s="5">
        <v>45323</v>
      </c>
      <c r="B34" s="14" t="s">
        <v>189</v>
      </c>
      <c r="D34" s="14" t="s">
        <v>95</v>
      </c>
      <c r="E34" s="14" t="s">
        <v>450</v>
      </c>
      <c r="H34" s="14">
        <v>1</v>
      </c>
      <c r="I34" s="14">
        <v>1</v>
      </c>
      <c r="J34" s="14">
        <v>8</v>
      </c>
      <c r="K34" s="14">
        <f>I34+J34</f>
        <v>9</v>
      </c>
      <c r="O34" s="14" t="str">
        <f>TEXT(행사기준[[#This Row],[년월]],"yy년m월")&amp;행사기준[[#This Row],[행사명]]</f>
        <v>24년2월성인(화왕) 독서동아리</v>
      </c>
    </row>
    <row r="35" spans="1:15" x14ac:dyDescent="0.3">
      <c r="A35" s="5">
        <v>45352</v>
      </c>
      <c r="B35" t="s">
        <v>101</v>
      </c>
      <c r="D35" t="s">
        <v>199</v>
      </c>
      <c r="E35" t="s">
        <v>133</v>
      </c>
      <c r="H35">
        <v>1</v>
      </c>
      <c r="I35">
        <v>21</v>
      </c>
      <c r="J35">
        <v>29</v>
      </c>
      <c r="K35">
        <f t="shared" si="1"/>
        <v>50</v>
      </c>
      <c r="M35" t="s">
        <v>206</v>
      </c>
      <c r="O35" t="str">
        <f>TEXT(행사기준[[#This Row],[년월]],"yy년m월")&amp;행사기준[[#This Row],[행사명]]</f>
        <v>24년3월도서관에 심는 꽃 시</v>
      </c>
    </row>
    <row r="36" spans="1:15" x14ac:dyDescent="0.3">
      <c r="A36" s="5">
        <v>45352</v>
      </c>
      <c r="B36" t="s">
        <v>101</v>
      </c>
      <c r="D36" t="s">
        <v>200</v>
      </c>
      <c r="E36" t="s">
        <v>133</v>
      </c>
      <c r="H36">
        <v>1</v>
      </c>
      <c r="I36">
        <v>9</v>
      </c>
      <c r="J36">
        <v>12</v>
      </c>
      <c r="K36">
        <f t="shared" si="1"/>
        <v>21</v>
      </c>
      <c r="M36" t="s">
        <v>206</v>
      </c>
      <c r="O36" t="str">
        <f>TEXT(행사기준[[#This Row],[년월]],"yy년m월")&amp;행사기준[[#This Row],[행사명]]</f>
        <v>24년3월책 따라 걸어보는 3·1 만세 운동</v>
      </c>
    </row>
    <row r="37" spans="1:15" x14ac:dyDescent="0.3">
      <c r="A37" s="5">
        <v>45352</v>
      </c>
      <c r="B37" t="s">
        <v>101</v>
      </c>
      <c r="D37" t="s">
        <v>201</v>
      </c>
      <c r="E37" t="s">
        <v>134</v>
      </c>
      <c r="H37">
        <v>1</v>
      </c>
      <c r="I37">
        <v>10</v>
      </c>
      <c r="J37">
        <v>28</v>
      </c>
      <c r="K37">
        <f t="shared" si="1"/>
        <v>38</v>
      </c>
      <c r="M37" t="s">
        <v>206</v>
      </c>
      <c r="O37" t="str">
        <f>TEXT(행사기준[[#This Row],[년월]],"yy년m월")&amp;행사기준[[#This Row],[행사명]]</f>
        <v>24년3월선물 팡팡! 스마트도서관 365</v>
      </c>
    </row>
    <row r="38" spans="1:15" x14ac:dyDescent="0.3">
      <c r="A38" s="5">
        <v>45352</v>
      </c>
      <c r="B38" t="s">
        <v>101</v>
      </c>
      <c r="D38" t="s">
        <v>117</v>
      </c>
      <c r="E38" t="s">
        <v>133</v>
      </c>
      <c r="H38">
        <v>1</v>
      </c>
      <c r="I38">
        <v>10</v>
      </c>
      <c r="J38">
        <v>10</v>
      </c>
      <c r="K38">
        <f t="shared" si="1"/>
        <v>20</v>
      </c>
      <c r="M38" t="s">
        <v>206</v>
      </c>
      <c r="O38" t="str">
        <f>TEXT(행사기준[[#This Row],[년월]],"yy년m월")&amp;행사기준[[#This Row],[행사명]]</f>
        <v>24년3월내가 좋아하는 책 속 한 구절</v>
      </c>
    </row>
    <row r="39" spans="1:15" x14ac:dyDescent="0.3">
      <c r="A39" s="5">
        <v>45352</v>
      </c>
      <c r="B39" t="s">
        <v>101</v>
      </c>
      <c r="D39" t="s">
        <v>178</v>
      </c>
      <c r="E39" t="s">
        <v>133</v>
      </c>
      <c r="H39">
        <v>1</v>
      </c>
      <c r="I39">
        <v>17</v>
      </c>
      <c r="J39">
        <v>18</v>
      </c>
      <c r="K39">
        <f t="shared" si="1"/>
        <v>35</v>
      </c>
      <c r="M39" t="s">
        <v>206</v>
      </c>
      <c r="O39" t="str">
        <f>TEXT(행사기준[[#This Row],[년월]],"yy년m월")&amp;행사기준[[#This Row],[행사명]]</f>
        <v>24년3월생각키움 독서퀴즈</v>
      </c>
    </row>
    <row r="40" spans="1:15" x14ac:dyDescent="0.3">
      <c r="A40" s="5">
        <v>45352</v>
      </c>
      <c r="B40" t="s">
        <v>101</v>
      </c>
      <c r="D40" t="s">
        <v>122</v>
      </c>
      <c r="E40" t="s">
        <v>134</v>
      </c>
      <c r="H40">
        <v>1</v>
      </c>
      <c r="I40">
        <v>23</v>
      </c>
      <c r="J40">
        <v>39</v>
      </c>
      <c r="K40">
        <f t="shared" si="1"/>
        <v>62</v>
      </c>
      <c r="M40" t="s">
        <v>207</v>
      </c>
      <c r="N40" t="s">
        <v>206</v>
      </c>
      <c r="O40" t="str">
        <f>TEXT(행사기준[[#This Row],[년월]],"yy년m월")&amp;행사기준[[#This Row],[행사명]]</f>
        <v>24년3월신규 회원가입 이벤트</v>
      </c>
    </row>
    <row r="41" spans="1:15" x14ac:dyDescent="0.3">
      <c r="A41" s="5">
        <v>45352</v>
      </c>
      <c r="B41" t="s">
        <v>101</v>
      </c>
      <c r="C41" t="s">
        <v>202</v>
      </c>
      <c r="D41" t="s">
        <v>181</v>
      </c>
      <c r="E41" t="s">
        <v>134</v>
      </c>
      <c r="H41">
        <v>1</v>
      </c>
      <c r="I41">
        <v>26</v>
      </c>
      <c r="J41">
        <v>18</v>
      </c>
      <c r="K41">
        <f t="shared" si="1"/>
        <v>44</v>
      </c>
      <c r="M41" t="s">
        <v>207</v>
      </c>
      <c r="N41" t="s">
        <v>206</v>
      </c>
      <c r="O41" t="str">
        <f>TEXT(행사기준[[#This Row],[년월]],"yy년m월")&amp;행사기준[[#This Row],[행사명]]</f>
        <v>24년3월두 배로 데이</v>
      </c>
    </row>
    <row r="42" spans="1:15" x14ac:dyDescent="0.3">
      <c r="A42" s="5">
        <v>45352</v>
      </c>
      <c r="B42" t="s">
        <v>101</v>
      </c>
      <c r="C42" t="s">
        <v>202</v>
      </c>
      <c r="D42" t="s">
        <v>183</v>
      </c>
      <c r="E42" t="s">
        <v>134</v>
      </c>
      <c r="H42">
        <v>1</v>
      </c>
      <c r="I42">
        <v>8</v>
      </c>
      <c r="J42">
        <v>6</v>
      </c>
      <c r="K42">
        <f t="shared" si="1"/>
        <v>14</v>
      </c>
      <c r="M42" t="s">
        <v>207</v>
      </c>
      <c r="N42" t="s">
        <v>206</v>
      </c>
      <c r="O42" t="str">
        <f>TEXT(행사기준[[#This Row],[년월]],"yy년m월")&amp;행사기준[[#This Row],[행사명]]</f>
        <v>24년3월연체자 클린 데이</v>
      </c>
    </row>
    <row r="43" spans="1:15" x14ac:dyDescent="0.3">
      <c r="A43" s="5">
        <v>45352</v>
      </c>
      <c r="B43" t="s">
        <v>101</v>
      </c>
      <c r="C43" t="s">
        <v>203</v>
      </c>
      <c r="D43" t="s">
        <v>204</v>
      </c>
      <c r="E43" t="s">
        <v>132</v>
      </c>
      <c r="H43">
        <v>1</v>
      </c>
      <c r="I43">
        <v>1</v>
      </c>
      <c r="J43">
        <v>14</v>
      </c>
      <c r="K43">
        <f t="shared" si="1"/>
        <v>15</v>
      </c>
      <c r="M43" t="s">
        <v>207</v>
      </c>
      <c r="O43" t="str">
        <f>TEXT(행사기준[[#This Row],[년월]],"yy년m월")&amp;행사기준[[#This Row],[행사명]]</f>
        <v>24년3월라탄 트레이 만들기</v>
      </c>
    </row>
    <row r="44" spans="1:15" x14ac:dyDescent="0.3">
      <c r="A44" s="5">
        <v>45352</v>
      </c>
      <c r="B44" t="s">
        <v>105</v>
      </c>
      <c r="C44" t="s">
        <v>203</v>
      </c>
      <c r="D44" t="s">
        <v>205</v>
      </c>
      <c r="E44" t="s">
        <v>134</v>
      </c>
      <c r="H44">
        <v>1</v>
      </c>
      <c r="I44">
        <v>325</v>
      </c>
      <c r="J44">
        <v>375</v>
      </c>
      <c r="K44">
        <f t="shared" si="1"/>
        <v>700</v>
      </c>
      <c r="M44" t="s">
        <v>207</v>
      </c>
      <c r="O44" t="str">
        <f>TEXT(행사기준[[#This Row],[년월]],"yy년m월")&amp;행사기준[[#This Row],[행사명]]</f>
        <v>24년3월라탄 공예 전시</v>
      </c>
    </row>
    <row r="45" spans="1:15" x14ac:dyDescent="0.3">
      <c r="A45" s="5">
        <v>45352</v>
      </c>
      <c r="B45" t="s">
        <v>105</v>
      </c>
      <c r="D45" t="s">
        <v>123</v>
      </c>
      <c r="E45" t="s">
        <v>134</v>
      </c>
      <c r="H45">
        <v>1</v>
      </c>
      <c r="I45">
        <v>389</v>
      </c>
      <c r="J45">
        <v>357</v>
      </c>
      <c r="K45">
        <f t="shared" si="1"/>
        <v>746</v>
      </c>
      <c r="M45" t="s">
        <v>206</v>
      </c>
      <c r="O45" t="str">
        <f>TEXT(행사기준[[#This Row],[년월]],"yy년m월")&amp;행사기준[[#This Row],[행사명]]</f>
        <v>24년3월이야기가 있는 그림책 원화 전시</v>
      </c>
    </row>
    <row r="46" spans="1:15" x14ac:dyDescent="0.3">
      <c r="A46" s="5">
        <v>45352</v>
      </c>
      <c r="B46" t="s">
        <v>105</v>
      </c>
      <c r="D46" t="s">
        <v>121</v>
      </c>
      <c r="E46" t="s">
        <v>132</v>
      </c>
      <c r="H46">
        <v>1</v>
      </c>
      <c r="I46">
        <v>140</v>
      </c>
      <c r="J46">
        <v>200</v>
      </c>
      <c r="K46">
        <f t="shared" si="1"/>
        <v>340</v>
      </c>
      <c r="M46" t="s">
        <v>207</v>
      </c>
      <c r="O46" t="str">
        <f>TEXT(행사기준[[#This Row],[년월]],"yy년m월")&amp;행사기준[[#This Row],[행사명]]</f>
        <v>24년3월사서가 들려주는 북 스토리</v>
      </c>
    </row>
    <row r="47" spans="1:15" x14ac:dyDescent="0.3">
      <c r="A47" s="5">
        <v>45352</v>
      </c>
      <c r="B47" t="s">
        <v>105</v>
      </c>
      <c r="D47" t="s">
        <v>120</v>
      </c>
      <c r="E47" t="s">
        <v>134</v>
      </c>
      <c r="H47">
        <v>1</v>
      </c>
      <c r="I47">
        <v>196</v>
      </c>
      <c r="J47">
        <v>343</v>
      </c>
      <c r="K47">
        <f t="shared" si="1"/>
        <v>539</v>
      </c>
      <c r="M47" t="s">
        <v>207</v>
      </c>
      <c r="N47" t="s">
        <v>206</v>
      </c>
      <c r="O47" t="str">
        <f>TEXT(행사기준[[#This Row],[년월]],"yy년m월")&amp;행사기준[[#This Row],[행사명]]</f>
        <v>24년3월사서 추천 도서 서평 전시</v>
      </c>
    </row>
    <row r="48" spans="1:15" x14ac:dyDescent="0.3">
      <c r="A48" s="5">
        <v>45352</v>
      </c>
      <c r="B48" t="s">
        <v>105</v>
      </c>
      <c r="D48" t="s">
        <v>118</v>
      </c>
      <c r="E48" t="s">
        <v>133</v>
      </c>
      <c r="H48">
        <v>1</v>
      </c>
      <c r="I48">
        <v>86</v>
      </c>
      <c r="J48">
        <v>97</v>
      </c>
      <c r="K48">
        <f t="shared" si="1"/>
        <v>183</v>
      </c>
      <c r="M48" t="s">
        <v>206</v>
      </c>
      <c r="O48" t="str">
        <f>TEXT(행사기준[[#This Row],[년월]],"yy년m월")&amp;행사기준[[#This Row],[행사명]]</f>
        <v>24년3월도서관에서 만나는 특별한 책 이야기</v>
      </c>
    </row>
    <row r="49" spans="1:15" x14ac:dyDescent="0.3">
      <c r="A49" s="5">
        <v>45352</v>
      </c>
      <c r="B49" t="s">
        <v>101</v>
      </c>
      <c r="D49" t="s">
        <v>195</v>
      </c>
      <c r="E49" t="s">
        <v>133</v>
      </c>
      <c r="H49">
        <v>5</v>
      </c>
      <c r="I49">
        <v>22</v>
      </c>
      <c r="J49">
        <v>29</v>
      </c>
      <c r="K49">
        <f t="shared" si="1"/>
        <v>51</v>
      </c>
      <c r="M49" t="s">
        <v>206</v>
      </c>
      <c r="O49" t="str">
        <f>TEXT(행사기준[[#This Row],[년월]],"yy년m월")&amp;행사기준[[#This Row],[행사명]]</f>
        <v>24년3월도서관에서 만나는 창녕 시네마</v>
      </c>
    </row>
    <row r="50" spans="1:15" x14ac:dyDescent="0.3">
      <c r="A50" s="5">
        <v>45352</v>
      </c>
      <c r="B50" t="s">
        <v>107</v>
      </c>
      <c r="D50" t="s">
        <v>92</v>
      </c>
      <c r="E50" t="s">
        <v>133</v>
      </c>
      <c r="H50">
        <v>2</v>
      </c>
      <c r="I50">
        <v>16</v>
      </c>
      <c r="J50">
        <v>13</v>
      </c>
      <c r="K50">
        <f t="shared" si="1"/>
        <v>29</v>
      </c>
      <c r="M50" t="s">
        <v>206</v>
      </c>
      <c r="O50" t="str">
        <f>TEXT(행사기준[[#This Row],[년월]],"yy년m월")&amp;행사기준[[#This Row],[행사명]]</f>
        <v>24년3월어린이자료실 현장학습</v>
      </c>
    </row>
    <row r="51" spans="1:15" x14ac:dyDescent="0.3">
      <c r="A51" s="5">
        <v>45352</v>
      </c>
      <c r="B51" t="s">
        <v>103</v>
      </c>
      <c r="D51" t="s">
        <v>119</v>
      </c>
      <c r="E51" t="s">
        <v>132</v>
      </c>
      <c r="H51">
        <v>1</v>
      </c>
      <c r="I51">
        <v>0</v>
      </c>
      <c r="J51">
        <v>2</v>
      </c>
      <c r="K51">
        <f t="shared" si="1"/>
        <v>2</v>
      </c>
      <c r="M51" t="s">
        <v>206</v>
      </c>
      <c r="O51" t="str">
        <f>TEXT(행사기준[[#This Row],[년월]],"yy년m월")&amp;행사기준[[#This Row],[행사명]]</f>
        <v>24년3월도토리 그림책 동아리</v>
      </c>
    </row>
    <row r="52" spans="1:15" x14ac:dyDescent="0.3">
      <c r="A52" s="5">
        <v>45352</v>
      </c>
      <c r="B52" t="s">
        <v>103</v>
      </c>
      <c r="D52" t="s">
        <v>224</v>
      </c>
      <c r="E52" t="s">
        <v>132</v>
      </c>
      <c r="H52">
        <v>1</v>
      </c>
      <c r="I52">
        <v>1</v>
      </c>
      <c r="J52">
        <v>6</v>
      </c>
      <c r="K52">
        <f>I52+J52</f>
        <v>7</v>
      </c>
      <c r="M52" t="s">
        <v>127</v>
      </c>
      <c r="O52" t="str">
        <f>TEXT(행사기준[[#This Row],[년월]],"yy년m월")&amp;행사기준[[#This Row],[행사명]]</f>
        <v>24년3월성인(화왕) 독서동아리</v>
      </c>
    </row>
    <row r="53" spans="1:15" x14ac:dyDescent="0.3">
      <c r="A53" s="5">
        <v>45352</v>
      </c>
      <c r="B53" t="s">
        <v>99</v>
      </c>
      <c r="C53" t="s">
        <v>208</v>
      </c>
      <c r="D53" t="s">
        <v>209</v>
      </c>
      <c r="E53" t="s">
        <v>132</v>
      </c>
      <c r="H53">
        <v>3</v>
      </c>
      <c r="I53">
        <v>15</v>
      </c>
      <c r="J53">
        <v>32</v>
      </c>
      <c r="K53">
        <f t="shared" si="1"/>
        <v>47</v>
      </c>
      <c r="L53" t="s">
        <v>210</v>
      </c>
      <c r="M53" t="s">
        <v>211</v>
      </c>
      <c r="O53" t="str">
        <f>TEXT(행사기준[[#This Row],[년월]],"yy년m월")&amp;행사기준[[#This Row],[행사명]]</f>
        <v>24년3월내 손안의 스마트 미디어</v>
      </c>
    </row>
    <row r="54" spans="1:15" x14ac:dyDescent="0.3">
      <c r="A54" s="5">
        <v>45352</v>
      </c>
      <c r="B54" t="s">
        <v>99</v>
      </c>
      <c r="C54" t="s">
        <v>208</v>
      </c>
      <c r="D54" t="s">
        <v>212</v>
      </c>
      <c r="E54" t="s">
        <v>132</v>
      </c>
      <c r="H54">
        <v>3</v>
      </c>
      <c r="J54">
        <v>22</v>
      </c>
      <c r="K54">
        <f t="shared" si="1"/>
        <v>22</v>
      </c>
      <c r="L54" t="s">
        <v>213</v>
      </c>
      <c r="M54" t="s">
        <v>211</v>
      </c>
      <c r="O54" t="str">
        <f>TEXT(행사기준[[#This Row],[년월]],"yy년m월")&amp;행사기준[[#This Row],[행사명]]</f>
        <v>24년3월바이올린 초급반</v>
      </c>
    </row>
    <row r="55" spans="1:15" x14ac:dyDescent="0.3">
      <c r="A55" s="5">
        <v>45352</v>
      </c>
      <c r="B55" t="s">
        <v>99</v>
      </c>
      <c r="C55" t="s">
        <v>208</v>
      </c>
      <c r="D55" t="s">
        <v>214</v>
      </c>
      <c r="E55" t="s">
        <v>132</v>
      </c>
      <c r="H55">
        <v>3</v>
      </c>
      <c r="J55">
        <v>10</v>
      </c>
      <c r="K55">
        <f t="shared" si="1"/>
        <v>10</v>
      </c>
      <c r="L55" t="s">
        <v>215</v>
      </c>
      <c r="M55" t="s">
        <v>211</v>
      </c>
      <c r="O55" t="str">
        <f>TEXT(행사기준[[#This Row],[년월]],"yy년m월")&amp;행사기준[[#This Row],[행사명]]</f>
        <v>24년3월정리수납의 달인</v>
      </c>
    </row>
    <row r="56" spans="1:15" x14ac:dyDescent="0.3">
      <c r="A56" s="5">
        <v>45352</v>
      </c>
      <c r="B56" t="s">
        <v>99</v>
      </c>
      <c r="C56" t="s">
        <v>216</v>
      </c>
      <c r="D56" t="s">
        <v>217</v>
      </c>
      <c r="E56" t="s">
        <v>133</v>
      </c>
      <c r="G56" t="s">
        <v>218</v>
      </c>
      <c r="H56">
        <v>3</v>
      </c>
      <c r="I56">
        <v>7</v>
      </c>
      <c r="J56">
        <v>15</v>
      </c>
      <c r="K56">
        <f t="shared" si="1"/>
        <v>22</v>
      </c>
      <c r="L56" t="s">
        <v>219</v>
      </c>
      <c r="M56" t="s">
        <v>211</v>
      </c>
      <c r="O56" t="str">
        <f>TEXT(행사기준[[#This Row],[년월]],"yy년m월")&amp;행사기준[[#This Row],[행사명]]</f>
        <v>24년3월재미있는 그림책 놀이</v>
      </c>
    </row>
    <row r="57" spans="1:15" x14ac:dyDescent="0.3">
      <c r="A57" s="5">
        <v>45352</v>
      </c>
      <c r="B57" t="s">
        <v>99</v>
      </c>
      <c r="C57" t="s">
        <v>216</v>
      </c>
      <c r="D57" t="s">
        <v>220</v>
      </c>
      <c r="E57" t="s">
        <v>176</v>
      </c>
      <c r="G57" t="s">
        <v>221</v>
      </c>
      <c r="H57">
        <v>3</v>
      </c>
      <c r="I57">
        <v>30</v>
      </c>
      <c r="J57">
        <v>10</v>
      </c>
      <c r="K57">
        <f t="shared" si="1"/>
        <v>40</v>
      </c>
      <c r="L57" t="s">
        <v>222</v>
      </c>
      <c r="M57" t="s">
        <v>211</v>
      </c>
      <c r="O57" t="str">
        <f>TEXT(행사기준[[#This Row],[년월]],"yy년m월")&amp;행사기준[[#This Row],[행사명]]</f>
        <v>24년3월아빠와 요리 교실</v>
      </c>
    </row>
    <row r="58" spans="1:15" x14ac:dyDescent="0.3">
      <c r="A58" s="5">
        <v>45383</v>
      </c>
      <c r="B58" t="s">
        <v>227</v>
      </c>
      <c r="C58" t="s">
        <v>229</v>
      </c>
      <c r="D58" t="s">
        <v>230</v>
      </c>
      <c r="E58" t="s">
        <v>133</v>
      </c>
      <c r="G58" t="s">
        <v>301</v>
      </c>
      <c r="H58">
        <v>3</v>
      </c>
      <c r="I58">
        <v>21</v>
      </c>
      <c r="J58">
        <v>28</v>
      </c>
      <c r="K58">
        <f t="shared" si="1"/>
        <v>49</v>
      </c>
      <c r="L58" t="s">
        <v>306</v>
      </c>
      <c r="M58" t="s">
        <v>231</v>
      </c>
      <c r="O58" t="str">
        <f>TEXT(행사기준[[#This Row],[년월]],"yy년m월")&amp;행사기준[[#This Row],[행사명]]</f>
        <v>24년4월나는야 지구 환경 지킴이</v>
      </c>
    </row>
    <row r="59" spans="1:15" x14ac:dyDescent="0.3">
      <c r="A59" s="5">
        <v>45383</v>
      </c>
      <c r="B59" t="s">
        <v>227</v>
      </c>
      <c r="C59" t="s">
        <v>229</v>
      </c>
      <c r="D59" t="s">
        <v>232</v>
      </c>
      <c r="E59" t="s">
        <v>133</v>
      </c>
      <c r="G59" t="s">
        <v>302</v>
      </c>
      <c r="H59">
        <v>2</v>
      </c>
      <c r="I59">
        <v>12</v>
      </c>
      <c r="J59">
        <v>10</v>
      </c>
      <c r="K59">
        <f t="shared" si="1"/>
        <v>22</v>
      </c>
      <c r="L59" t="s">
        <v>307</v>
      </c>
      <c r="M59" t="s">
        <v>231</v>
      </c>
      <c r="O59" t="str">
        <f>TEXT(행사기준[[#This Row],[년월]],"yy년m월")&amp;행사기준[[#This Row],[행사명]]</f>
        <v>24년4월인성 쑥쑥 놀이터</v>
      </c>
    </row>
    <row r="60" spans="1:15" x14ac:dyDescent="0.3">
      <c r="A60" s="5">
        <v>45383</v>
      </c>
      <c r="B60" t="s">
        <v>227</v>
      </c>
      <c r="C60" t="s">
        <v>229</v>
      </c>
      <c r="D60" t="s">
        <v>233</v>
      </c>
      <c r="E60" t="s">
        <v>133</v>
      </c>
      <c r="G60" t="s">
        <v>303</v>
      </c>
      <c r="H60">
        <v>2</v>
      </c>
      <c r="I60">
        <v>22</v>
      </c>
      <c r="J60">
        <v>23</v>
      </c>
      <c r="K60">
        <f t="shared" si="1"/>
        <v>45</v>
      </c>
      <c r="L60" t="s">
        <v>308</v>
      </c>
      <c r="M60" t="s">
        <v>231</v>
      </c>
      <c r="O60" t="str">
        <f>TEXT(행사기준[[#This Row],[년월]],"yy년m월")&amp;행사기준[[#This Row],[행사명]]</f>
        <v>24년4월나의 언어, 나의 동시</v>
      </c>
    </row>
    <row r="61" spans="1:15" x14ac:dyDescent="0.3">
      <c r="A61" s="5">
        <v>45383</v>
      </c>
      <c r="B61" t="s">
        <v>227</v>
      </c>
      <c r="C61" t="s">
        <v>229</v>
      </c>
      <c r="D61" t="s">
        <v>234</v>
      </c>
      <c r="E61" t="s">
        <v>133</v>
      </c>
      <c r="G61" t="s">
        <v>301</v>
      </c>
      <c r="H61">
        <v>2</v>
      </c>
      <c r="I61">
        <v>16</v>
      </c>
      <c r="J61">
        <v>17</v>
      </c>
      <c r="K61">
        <f t="shared" si="1"/>
        <v>33</v>
      </c>
      <c r="L61" t="s">
        <v>309</v>
      </c>
      <c r="M61" t="s">
        <v>231</v>
      </c>
      <c r="O61" t="str">
        <f>TEXT(행사기준[[#This Row],[년월]],"yy년m월")&amp;행사기준[[#This Row],[행사명]]</f>
        <v>24년4월책으로 떠나는 수학 탐험대</v>
      </c>
    </row>
    <row r="62" spans="1:15" x14ac:dyDescent="0.3">
      <c r="A62" s="5">
        <v>45383</v>
      </c>
      <c r="B62" t="s">
        <v>227</v>
      </c>
      <c r="C62" t="s">
        <v>235</v>
      </c>
      <c r="D62" t="s">
        <v>236</v>
      </c>
      <c r="E62" t="s">
        <v>133</v>
      </c>
      <c r="G62" t="s">
        <v>304</v>
      </c>
      <c r="H62">
        <v>5</v>
      </c>
      <c r="I62">
        <v>232</v>
      </c>
      <c r="J62">
        <v>229</v>
      </c>
      <c r="K62">
        <f t="shared" si="1"/>
        <v>461</v>
      </c>
      <c r="M62" t="s">
        <v>231</v>
      </c>
      <c r="O62" t="str">
        <f>TEXT(행사기준[[#This Row],[년월]],"yy년m월")&amp;행사기준[[#This Row],[행사명]]</f>
        <v>24년4월꽃이 필거야</v>
      </c>
    </row>
    <row r="63" spans="1:15" x14ac:dyDescent="0.3">
      <c r="A63" s="5">
        <v>45383</v>
      </c>
      <c r="B63" t="s">
        <v>227</v>
      </c>
      <c r="C63" t="s">
        <v>235</v>
      </c>
      <c r="D63" t="s">
        <v>237</v>
      </c>
      <c r="E63" t="s">
        <v>133</v>
      </c>
      <c r="G63" t="s">
        <v>304</v>
      </c>
      <c r="H63">
        <v>3</v>
      </c>
      <c r="I63">
        <v>284</v>
      </c>
      <c r="J63">
        <v>275</v>
      </c>
      <c r="K63">
        <f t="shared" si="1"/>
        <v>559</v>
      </c>
      <c r="M63" t="s">
        <v>231</v>
      </c>
      <c r="O63" t="str">
        <f>TEXT(행사기준[[#This Row],[년월]],"yy년m월")&amp;행사기준[[#This Row],[행사명]]</f>
        <v>24년4월강아지 걸음으로</v>
      </c>
    </row>
    <row r="64" spans="1:15" x14ac:dyDescent="0.3">
      <c r="A64" s="5">
        <v>45383</v>
      </c>
      <c r="B64" t="s">
        <v>227</v>
      </c>
      <c r="C64" t="s">
        <v>235</v>
      </c>
      <c r="D64" t="s">
        <v>238</v>
      </c>
      <c r="E64" t="s">
        <v>133</v>
      </c>
      <c r="G64" t="s">
        <v>305</v>
      </c>
      <c r="H64">
        <v>1</v>
      </c>
      <c r="I64">
        <v>17</v>
      </c>
      <c r="J64">
        <v>18</v>
      </c>
      <c r="K64">
        <f t="shared" si="1"/>
        <v>35</v>
      </c>
      <c r="M64" t="s">
        <v>231</v>
      </c>
      <c r="O64" t="str">
        <f>TEXT(행사기준[[#This Row],[년월]],"yy년m월")&amp;행사기준[[#This Row],[행사명]]</f>
        <v>24년4월기억을 넘어 너에게 갈게</v>
      </c>
    </row>
    <row r="65" spans="1:15" x14ac:dyDescent="0.3">
      <c r="A65" s="5">
        <v>45383</v>
      </c>
      <c r="B65" t="s">
        <v>227</v>
      </c>
      <c r="C65" t="s">
        <v>239</v>
      </c>
      <c r="D65" t="s">
        <v>240</v>
      </c>
      <c r="E65" t="s">
        <v>133</v>
      </c>
      <c r="G65" t="s">
        <v>304</v>
      </c>
      <c r="H65">
        <v>2</v>
      </c>
      <c r="I65">
        <v>51</v>
      </c>
      <c r="J65">
        <v>30</v>
      </c>
      <c r="K65">
        <f t="shared" si="1"/>
        <v>81</v>
      </c>
      <c r="M65" t="s">
        <v>231</v>
      </c>
      <c r="O65" t="str">
        <f>TEXT(행사기준[[#This Row],[년월]],"yy년m월")&amp;행사기준[[#This Row],[행사명]]</f>
        <v>24년4월그림책이 살아있다</v>
      </c>
    </row>
    <row r="66" spans="1:15" x14ac:dyDescent="0.3">
      <c r="A66" s="5">
        <v>45383</v>
      </c>
      <c r="B66" t="s">
        <v>227</v>
      </c>
      <c r="C66" t="s">
        <v>239</v>
      </c>
      <c r="D66" t="s">
        <v>241</v>
      </c>
      <c r="E66" t="s">
        <v>133</v>
      </c>
      <c r="G66" t="s">
        <v>304</v>
      </c>
      <c r="H66">
        <v>2</v>
      </c>
      <c r="I66">
        <v>166</v>
      </c>
      <c r="J66">
        <v>169</v>
      </c>
      <c r="K66">
        <f t="shared" si="1"/>
        <v>335</v>
      </c>
      <c r="M66" t="s">
        <v>231</v>
      </c>
      <c r="O66" t="str">
        <f>TEXT(행사기준[[#This Row],[년월]],"yy년m월")&amp;행사기준[[#This Row],[행사명]]</f>
        <v>24년4월그림책이 커졌다</v>
      </c>
    </row>
    <row r="67" spans="1:15" x14ac:dyDescent="0.3">
      <c r="A67" s="5">
        <v>45383</v>
      </c>
      <c r="B67" t="s">
        <v>227</v>
      </c>
      <c r="C67" t="s">
        <v>239</v>
      </c>
      <c r="D67" t="s">
        <v>242</v>
      </c>
      <c r="E67" t="s">
        <v>133</v>
      </c>
      <c r="G67" t="s">
        <v>304</v>
      </c>
      <c r="H67">
        <v>2</v>
      </c>
      <c r="I67">
        <v>40</v>
      </c>
      <c r="J67">
        <v>47</v>
      </c>
      <c r="K67">
        <f t="shared" si="1"/>
        <v>87</v>
      </c>
      <c r="M67" t="s">
        <v>231</v>
      </c>
      <c r="O67" t="str">
        <f>TEXT(행사기준[[#This Row],[년월]],"yy년m월")&amp;행사기준[[#This Row],[행사명]]</f>
        <v>24년4월이지은 작가의 책</v>
      </c>
    </row>
    <row r="68" spans="1:15" x14ac:dyDescent="0.3">
      <c r="A68" s="5">
        <v>45383</v>
      </c>
      <c r="B68" t="s">
        <v>227</v>
      </c>
      <c r="C68" t="s">
        <v>239</v>
      </c>
      <c r="D68" t="s">
        <v>243</v>
      </c>
      <c r="E68" t="s">
        <v>133</v>
      </c>
      <c r="G68" t="s">
        <v>304</v>
      </c>
      <c r="H68">
        <v>2</v>
      </c>
      <c r="I68">
        <v>40</v>
      </c>
      <c r="J68">
        <v>47</v>
      </c>
      <c r="K68">
        <f t="shared" si="1"/>
        <v>87</v>
      </c>
      <c r="M68" t="s">
        <v>231</v>
      </c>
      <c r="O68" t="str">
        <f>TEXT(행사기준[[#This Row],[년월]],"yy년m월")&amp;행사기준[[#This Row],[행사명]]</f>
        <v>24년4월경혜원 작가의 책</v>
      </c>
    </row>
    <row r="69" spans="1:15" x14ac:dyDescent="0.3">
      <c r="A69" s="5">
        <v>45383</v>
      </c>
      <c r="B69" t="s">
        <v>227</v>
      </c>
      <c r="C69" t="s">
        <v>239</v>
      </c>
      <c r="D69" t="s">
        <v>244</v>
      </c>
      <c r="E69" t="s">
        <v>133</v>
      </c>
      <c r="G69" t="s">
        <v>304</v>
      </c>
      <c r="H69">
        <v>1</v>
      </c>
      <c r="I69">
        <v>32</v>
      </c>
      <c r="J69">
        <v>22</v>
      </c>
      <c r="K69">
        <f t="shared" si="1"/>
        <v>54</v>
      </c>
      <c r="M69" t="s">
        <v>231</v>
      </c>
      <c r="O69" t="str">
        <f>TEXT(행사기준[[#This Row],[년월]],"yy년m월")&amp;행사기준[[#This Row],[행사명]]</f>
        <v>24년4월정진호 작가의 책</v>
      </c>
    </row>
    <row r="70" spans="1:15" x14ac:dyDescent="0.3">
      <c r="A70" s="5">
        <v>45383</v>
      </c>
      <c r="B70" t="s">
        <v>101</v>
      </c>
      <c r="C70" t="s">
        <v>245</v>
      </c>
      <c r="D70" t="s">
        <v>246</v>
      </c>
      <c r="E70" t="s">
        <v>134</v>
      </c>
      <c r="H70">
        <v>1</v>
      </c>
      <c r="I70">
        <v>2290</v>
      </c>
      <c r="J70">
        <v>2710</v>
      </c>
      <c r="K70">
        <f t="shared" si="1"/>
        <v>5000</v>
      </c>
      <c r="M70" t="s">
        <v>207</v>
      </c>
      <c r="O70" t="str">
        <f>TEXT(행사기준[[#This Row],[년월]],"yy년m월")&amp;행사기준[[#This Row],[행사명]]</f>
        <v>24년4월유채축제 속 도서관 홍보 및 체험 부스 운영</v>
      </c>
    </row>
    <row r="71" spans="1:15" x14ac:dyDescent="0.3">
      <c r="A71" s="5">
        <v>45383</v>
      </c>
      <c r="B71" t="s">
        <v>101</v>
      </c>
      <c r="C71" t="s">
        <v>245</v>
      </c>
      <c r="D71" t="s">
        <v>247</v>
      </c>
      <c r="E71" t="s">
        <v>134</v>
      </c>
      <c r="H71">
        <v>1</v>
      </c>
      <c r="I71">
        <v>80</v>
      </c>
      <c r="J71">
        <v>120</v>
      </c>
      <c r="K71">
        <f t="shared" si="1"/>
        <v>200</v>
      </c>
      <c r="M71" t="s">
        <v>207</v>
      </c>
      <c r="N71" t="s">
        <v>206</v>
      </c>
      <c r="O71" t="str">
        <f>TEXT(행사기준[[#This Row],[년월]],"yy년m월")&amp;행사기준[[#This Row],[행사명]]</f>
        <v>24년4월책갈피에 전하는 마음</v>
      </c>
    </row>
    <row r="72" spans="1:15" x14ac:dyDescent="0.3">
      <c r="A72" s="5">
        <v>45383</v>
      </c>
      <c r="B72" t="s">
        <v>101</v>
      </c>
      <c r="C72" t="s">
        <v>245</v>
      </c>
      <c r="D72" t="s">
        <v>248</v>
      </c>
      <c r="E72" t="s">
        <v>134</v>
      </c>
      <c r="H72">
        <v>1</v>
      </c>
      <c r="I72">
        <v>94</v>
      </c>
      <c r="J72">
        <v>121</v>
      </c>
      <c r="K72">
        <f t="shared" si="1"/>
        <v>215</v>
      </c>
      <c r="M72" t="s">
        <v>207</v>
      </c>
      <c r="N72" t="s">
        <v>206</v>
      </c>
      <c r="O72" t="str">
        <f>TEXT(행사기준[[#This Row],[년월]],"yy년m월")&amp;행사기준[[#This Row],[행사명]]</f>
        <v>24년4월행복 두 배 책 읽기</v>
      </c>
    </row>
    <row r="73" spans="1:15" x14ac:dyDescent="0.3">
      <c r="A73" s="5">
        <v>45383</v>
      </c>
      <c r="B73" t="s">
        <v>101</v>
      </c>
      <c r="C73" t="s">
        <v>245</v>
      </c>
      <c r="D73" t="s">
        <v>249</v>
      </c>
      <c r="E73" t="s">
        <v>134</v>
      </c>
      <c r="H73">
        <v>1</v>
      </c>
      <c r="I73">
        <v>50</v>
      </c>
      <c r="J73">
        <v>67</v>
      </c>
      <c r="K73">
        <f t="shared" si="1"/>
        <v>117</v>
      </c>
      <c r="M73" t="s">
        <v>207</v>
      </c>
      <c r="N73" t="s">
        <v>206</v>
      </c>
      <c r="O73" t="str">
        <f>TEXT(행사기준[[#This Row],[년월]],"yy년m월")&amp;행사기준[[#This Row],[행사명]]</f>
        <v>24년4월과년도 잡지&amp;도서 무료 나눔</v>
      </c>
    </row>
    <row r="74" spans="1:15" x14ac:dyDescent="0.3">
      <c r="A74" s="5">
        <v>45383</v>
      </c>
      <c r="B74" t="s">
        <v>101</v>
      </c>
      <c r="C74" t="s">
        <v>245</v>
      </c>
      <c r="D74" t="s">
        <v>250</v>
      </c>
      <c r="E74" t="s">
        <v>134</v>
      </c>
      <c r="H74">
        <v>1</v>
      </c>
      <c r="I74">
        <v>23</v>
      </c>
      <c r="J74">
        <v>37</v>
      </c>
      <c r="K74">
        <f t="shared" si="1"/>
        <v>60</v>
      </c>
      <c r="M74" t="s">
        <v>207</v>
      </c>
      <c r="N74" t="s">
        <v>206</v>
      </c>
      <c r="O74" t="str">
        <f>TEXT(행사기준[[#This Row],[년월]],"yy년m월")&amp;행사기준[[#This Row],[행사명]]</f>
        <v>24년4월당신의 과거를 지워드립니다</v>
      </c>
    </row>
    <row r="75" spans="1:15" x14ac:dyDescent="0.3">
      <c r="A75" s="5">
        <v>45383</v>
      </c>
      <c r="B75" t="s">
        <v>225</v>
      </c>
      <c r="C75" t="s">
        <v>245</v>
      </c>
      <c r="D75" t="s">
        <v>251</v>
      </c>
      <c r="E75" t="s">
        <v>134</v>
      </c>
      <c r="H75">
        <v>1</v>
      </c>
      <c r="I75">
        <v>4</v>
      </c>
      <c r="J75">
        <v>51</v>
      </c>
      <c r="K75">
        <f t="shared" si="1"/>
        <v>55</v>
      </c>
      <c r="M75" t="s">
        <v>231</v>
      </c>
      <c r="O75" t="str">
        <f>TEXT(행사기준[[#This Row],[년월]],"yy년m월")&amp;행사기준[[#This Row],[행사명]]</f>
        <v>24년4월내 동료가 돼라!</v>
      </c>
    </row>
    <row r="76" spans="1:15" x14ac:dyDescent="0.3">
      <c r="A76" s="5">
        <v>45383</v>
      </c>
      <c r="B76" t="s">
        <v>101</v>
      </c>
      <c r="D76" t="s">
        <v>252</v>
      </c>
      <c r="E76" t="s">
        <v>134</v>
      </c>
      <c r="H76">
        <v>1</v>
      </c>
      <c r="I76">
        <v>40</v>
      </c>
      <c r="J76">
        <v>60</v>
      </c>
      <c r="K76">
        <f t="shared" si="1"/>
        <v>100</v>
      </c>
      <c r="M76" t="s">
        <v>207</v>
      </c>
      <c r="N76" t="s">
        <v>206</v>
      </c>
      <c r="O76" t="str">
        <f>TEXT(행사기준[[#This Row],[년월]],"yy년m월")&amp;행사기준[[#This Row],[행사명]]</f>
        <v>24년4월책에 향기를 더하다</v>
      </c>
    </row>
    <row r="77" spans="1:15" x14ac:dyDescent="0.3">
      <c r="A77" s="5">
        <v>45383</v>
      </c>
      <c r="B77" t="s">
        <v>101</v>
      </c>
      <c r="D77" t="s">
        <v>253</v>
      </c>
      <c r="E77" t="s">
        <v>133</v>
      </c>
      <c r="H77">
        <v>1</v>
      </c>
      <c r="I77">
        <v>10</v>
      </c>
      <c r="J77">
        <v>20</v>
      </c>
      <c r="K77">
        <f t="shared" si="1"/>
        <v>30</v>
      </c>
      <c r="M77" t="s">
        <v>206</v>
      </c>
      <c r="O77" t="str">
        <f>TEXT(행사기준[[#This Row],[년월]],"yy년m월")&amp;행사기준[[#This Row],[행사명]]</f>
        <v>24년4월빙글 빙글 도서관 빙고</v>
      </c>
    </row>
    <row r="78" spans="1:15" x14ac:dyDescent="0.3">
      <c r="A78" s="5">
        <v>45383</v>
      </c>
      <c r="B78" t="s">
        <v>101</v>
      </c>
      <c r="D78" t="s">
        <v>254</v>
      </c>
      <c r="E78" t="s">
        <v>133</v>
      </c>
      <c r="H78">
        <v>1</v>
      </c>
      <c r="I78">
        <v>50</v>
      </c>
      <c r="J78">
        <v>71</v>
      </c>
      <c r="K78">
        <f t="shared" si="1"/>
        <v>121</v>
      </c>
      <c r="M78" t="s">
        <v>206</v>
      </c>
      <c r="O78" t="str">
        <f>TEXT(행사기준[[#This Row],[년월]],"yy년m월")&amp;행사기준[[#This Row],[행사명]]</f>
        <v>24년4월맞춰봐요 도서관 퀴즈!</v>
      </c>
    </row>
    <row r="79" spans="1:15" x14ac:dyDescent="0.3">
      <c r="A79" s="5">
        <v>45383</v>
      </c>
      <c r="B79" t="s">
        <v>101</v>
      </c>
      <c r="D79" t="s">
        <v>201</v>
      </c>
      <c r="E79" t="s">
        <v>134</v>
      </c>
      <c r="H79">
        <v>1</v>
      </c>
      <c r="I79">
        <v>10</v>
      </c>
      <c r="J79">
        <v>22</v>
      </c>
      <c r="K79">
        <f t="shared" si="1"/>
        <v>32</v>
      </c>
      <c r="M79" t="s">
        <v>207</v>
      </c>
      <c r="N79" t="s">
        <v>206</v>
      </c>
      <c r="O79" t="str">
        <f>TEXT(행사기준[[#This Row],[년월]],"yy년m월")&amp;행사기준[[#This Row],[행사명]]</f>
        <v>24년4월선물 팡팡! 스마트도서관 365</v>
      </c>
    </row>
    <row r="80" spans="1:15" x14ac:dyDescent="0.3">
      <c r="A80" s="5">
        <v>45383</v>
      </c>
      <c r="B80" t="s">
        <v>101</v>
      </c>
      <c r="D80" t="s">
        <v>178</v>
      </c>
      <c r="E80" t="s">
        <v>133</v>
      </c>
      <c r="H80">
        <v>1</v>
      </c>
      <c r="I80">
        <v>27</v>
      </c>
      <c r="J80">
        <v>36</v>
      </c>
      <c r="K80">
        <f t="shared" si="1"/>
        <v>63</v>
      </c>
      <c r="M80" t="s">
        <v>206</v>
      </c>
      <c r="O80" t="str">
        <f>TEXT(행사기준[[#This Row],[년월]],"yy년m월")&amp;행사기준[[#This Row],[행사명]]</f>
        <v>24년4월생각키움 독서퀴즈</v>
      </c>
    </row>
    <row r="81" spans="1:15" x14ac:dyDescent="0.3">
      <c r="A81" s="5">
        <v>45383</v>
      </c>
      <c r="B81" t="s">
        <v>101</v>
      </c>
      <c r="D81" t="s">
        <v>117</v>
      </c>
      <c r="E81" t="s">
        <v>133</v>
      </c>
      <c r="H81">
        <v>1</v>
      </c>
      <c r="I81">
        <v>5</v>
      </c>
      <c r="J81">
        <v>15</v>
      </c>
      <c r="K81">
        <f t="shared" si="1"/>
        <v>20</v>
      </c>
      <c r="M81" t="s">
        <v>206</v>
      </c>
      <c r="O81" t="str">
        <f>TEXT(행사기준[[#This Row],[년월]],"yy년m월")&amp;행사기준[[#This Row],[행사명]]</f>
        <v>24년4월내가 좋아하는 책 속 한 구절</v>
      </c>
    </row>
    <row r="82" spans="1:15" x14ac:dyDescent="0.3">
      <c r="A82" s="5">
        <v>45383</v>
      </c>
      <c r="B82" t="s">
        <v>101</v>
      </c>
      <c r="D82" t="s">
        <v>122</v>
      </c>
      <c r="E82" t="s">
        <v>134</v>
      </c>
      <c r="H82">
        <v>1</v>
      </c>
      <c r="I82">
        <v>17</v>
      </c>
      <c r="J82">
        <v>26</v>
      </c>
      <c r="K82">
        <f t="shared" si="1"/>
        <v>43</v>
      </c>
      <c r="M82" t="s">
        <v>207</v>
      </c>
      <c r="N82" t="s">
        <v>206</v>
      </c>
      <c r="O82" t="str">
        <f>TEXT(행사기준[[#This Row],[년월]],"yy년m월")&amp;행사기준[[#This Row],[행사명]]</f>
        <v>24년4월신규 회원가입 이벤트</v>
      </c>
    </row>
    <row r="83" spans="1:15" x14ac:dyDescent="0.3">
      <c r="A83" s="5">
        <v>45383</v>
      </c>
      <c r="B83" t="s">
        <v>101</v>
      </c>
      <c r="C83" s="17" t="s">
        <v>202</v>
      </c>
      <c r="D83" t="s">
        <v>181</v>
      </c>
      <c r="E83" t="s">
        <v>134</v>
      </c>
      <c r="H83">
        <v>1</v>
      </c>
      <c r="I83">
        <v>20</v>
      </c>
      <c r="J83">
        <v>36</v>
      </c>
      <c r="K83">
        <f t="shared" si="1"/>
        <v>56</v>
      </c>
      <c r="M83" t="s">
        <v>207</v>
      </c>
      <c r="N83" t="s">
        <v>206</v>
      </c>
      <c r="O83" t="str">
        <f>TEXT(행사기준[[#This Row],[년월]],"yy년m월")&amp;행사기준[[#This Row],[행사명]]</f>
        <v>24년4월두 배로 데이</v>
      </c>
    </row>
    <row r="84" spans="1:15" x14ac:dyDescent="0.3">
      <c r="A84" s="5">
        <v>45383</v>
      </c>
      <c r="B84" t="s">
        <v>101</v>
      </c>
      <c r="C84" s="17" t="s">
        <v>202</v>
      </c>
      <c r="D84" t="s">
        <v>362</v>
      </c>
      <c r="E84" t="s">
        <v>134</v>
      </c>
      <c r="H84">
        <v>1</v>
      </c>
      <c r="I84">
        <v>10</v>
      </c>
      <c r="J84">
        <v>18</v>
      </c>
      <c r="K84">
        <f t="shared" si="1"/>
        <v>28</v>
      </c>
      <c r="M84" t="s">
        <v>207</v>
      </c>
      <c r="N84" t="s">
        <v>206</v>
      </c>
      <c r="O84" t="str">
        <f>TEXT(행사기준[[#This Row],[년월]],"yy년m월")&amp;행사기준[[#This Row],[행사명]]</f>
        <v>24년4월연체자 클린 데이</v>
      </c>
    </row>
    <row r="85" spans="1:15" x14ac:dyDescent="0.3">
      <c r="A85" s="5">
        <v>45383</v>
      </c>
      <c r="B85" t="s">
        <v>105</v>
      </c>
      <c r="D85" t="s">
        <v>255</v>
      </c>
      <c r="E85" t="s">
        <v>134</v>
      </c>
      <c r="H85">
        <v>1</v>
      </c>
      <c r="I85">
        <v>40</v>
      </c>
      <c r="J85">
        <v>60</v>
      </c>
      <c r="K85">
        <f t="shared" si="1"/>
        <v>100</v>
      </c>
      <c r="M85" t="s">
        <v>207</v>
      </c>
      <c r="N85" t="s">
        <v>206</v>
      </c>
      <c r="O85" t="str">
        <f>TEXT(행사기준[[#This Row],[년월]],"yy년m월")&amp;행사기준[[#This Row],[행사명]]</f>
        <v>24년4월내 마음대로 북큐레이션</v>
      </c>
    </row>
    <row r="86" spans="1:15" x14ac:dyDescent="0.3">
      <c r="A86" s="5">
        <v>45383</v>
      </c>
      <c r="B86" t="s">
        <v>105</v>
      </c>
      <c r="D86" t="s">
        <v>256</v>
      </c>
      <c r="E86" t="s">
        <v>134</v>
      </c>
      <c r="H86">
        <v>1</v>
      </c>
      <c r="I86">
        <v>136</v>
      </c>
      <c r="J86">
        <v>186</v>
      </c>
      <c r="K86">
        <f t="shared" ref="K86:K134" si="2">I86+J86</f>
        <v>322</v>
      </c>
      <c r="M86" t="s">
        <v>207</v>
      </c>
      <c r="O86" t="str">
        <f>TEXT(행사기준[[#This Row],[년월]],"yy년m월")&amp;행사기준[[#This Row],[행사명]]</f>
        <v>24년4월내 손안의 도서관</v>
      </c>
    </row>
    <row r="87" spans="1:15" x14ac:dyDescent="0.3">
      <c r="A87" s="5">
        <v>45383</v>
      </c>
      <c r="B87" t="s">
        <v>105</v>
      </c>
      <c r="D87" t="s">
        <v>123</v>
      </c>
      <c r="E87" t="s">
        <v>134</v>
      </c>
      <c r="H87">
        <v>1</v>
      </c>
      <c r="I87">
        <v>426</v>
      </c>
      <c r="J87">
        <v>404</v>
      </c>
      <c r="K87">
        <f t="shared" si="2"/>
        <v>830</v>
      </c>
      <c r="M87" t="s">
        <v>206</v>
      </c>
      <c r="O87" t="str">
        <f>TEXT(행사기준[[#This Row],[년월]],"yy년m월")&amp;행사기준[[#This Row],[행사명]]</f>
        <v>24년4월이야기가 있는 그림책 원화 전시</v>
      </c>
    </row>
    <row r="88" spans="1:15" x14ac:dyDescent="0.3">
      <c r="A88" s="5">
        <v>45383</v>
      </c>
      <c r="B88" t="s">
        <v>105</v>
      </c>
      <c r="D88" t="s">
        <v>121</v>
      </c>
      <c r="E88" t="s">
        <v>132</v>
      </c>
      <c r="H88">
        <v>1</v>
      </c>
      <c r="I88">
        <v>144</v>
      </c>
      <c r="J88">
        <v>206</v>
      </c>
      <c r="K88">
        <f t="shared" si="2"/>
        <v>350</v>
      </c>
      <c r="M88" t="s">
        <v>207</v>
      </c>
      <c r="O88" t="str">
        <f>TEXT(행사기준[[#This Row],[년월]],"yy년m월")&amp;행사기준[[#This Row],[행사명]]</f>
        <v>24년4월사서가 들려주는 북 스토리</v>
      </c>
    </row>
    <row r="89" spans="1:15" x14ac:dyDescent="0.3">
      <c r="A89" s="5">
        <v>45383</v>
      </c>
      <c r="B89" t="s">
        <v>105</v>
      </c>
      <c r="D89" t="s">
        <v>120</v>
      </c>
      <c r="E89" t="s">
        <v>134</v>
      </c>
      <c r="H89">
        <v>1</v>
      </c>
      <c r="I89">
        <v>220</v>
      </c>
      <c r="J89">
        <v>370</v>
      </c>
      <c r="K89">
        <f t="shared" si="2"/>
        <v>590</v>
      </c>
      <c r="M89" t="s">
        <v>127</v>
      </c>
      <c r="N89" t="s">
        <v>126</v>
      </c>
      <c r="O89" t="str">
        <f>TEXT(행사기준[[#This Row],[년월]],"yy년m월")&amp;행사기준[[#This Row],[행사명]]</f>
        <v>24년4월사서 추천 도서 서평 전시</v>
      </c>
    </row>
    <row r="90" spans="1:15" x14ac:dyDescent="0.3">
      <c r="A90" s="5">
        <v>45383</v>
      </c>
      <c r="B90" t="s">
        <v>105</v>
      </c>
      <c r="D90" t="s">
        <v>118</v>
      </c>
      <c r="E90" t="s">
        <v>133</v>
      </c>
      <c r="H90">
        <v>1</v>
      </c>
      <c r="I90">
        <v>95</v>
      </c>
      <c r="J90">
        <v>109</v>
      </c>
      <c r="K90">
        <f t="shared" si="2"/>
        <v>204</v>
      </c>
      <c r="M90" t="s">
        <v>206</v>
      </c>
      <c r="O90" t="str">
        <f>TEXT(행사기준[[#This Row],[년월]],"yy년m월")&amp;행사기준[[#This Row],[행사명]]</f>
        <v>24년4월도서관에서 만나는 특별한 책 이야기</v>
      </c>
    </row>
    <row r="91" spans="1:15" x14ac:dyDescent="0.3">
      <c r="A91" s="5">
        <v>45383</v>
      </c>
      <c r="B91" t="s">
        <v>101</v>
      </c>
      <c r="D91" t="s">
        <v>195</v>
      </c>
      <c r="E91" t="s">
        <v>133</v>
      </c>
      <c r="H91">
        <v>4</v>
      </c>
      <c r="I91">
        <v>19</v>
      </c>
      <c r="J91">
        <v>26</v>
      </c>
      <c r="K91">
        <f t="shared" si="2"/>
        <v>45</v>
      </c>
      <c r="M91" t="s">
        <v>206</v>
      </c>
      <c r="O91" t="str">
        <f>TEXT(행사기준[[#This Row],[년월]],"yy년m월")&amp;행사기준[[#This Row],[행사명]]</f>
        <v>24년4월도서관에서 만나는 창녕 시네마</v>
      </c>
    </row>
    <row r="92" spans="1:15" x14ac:dyDescent="0.3">
      <c r="A92" s="5">
        <v>45383</v>
      </c>
      <c r="B92" t="s">
        <v>107</v>
      </c>
      <c r="D92" t="s">
        <v>383</v>
      </c>
      <c r="E92" t="s">
        <v>133</v>
      </c>
      <c r="H92">
        <v>3</v>
      </c>
      <c r="I92">
        <v>25</v>
      </c>
      <c r="J92">
        <v>24</v>
      </c>
      <c r="K92">
        <f t="shared" si="2"/>
        <v>49</v>
      </c>
      <c r="M92" t="s">
        <v>206</v>
      </c>
      <c r="O92" t="str">
        <f>TEXT(행사기준[[#This Row],[년월]],"yy년m월")&amp;행사기준[[#This Row],[행사명]]</f>
        <v>24년4월어린이자료실 현장학습</v>
      </c>
    </row>
    <row r="93" spans="1:15" x14ac:dyDescent="0.3">
      <c r="A93" s="5">
        <v>45383</v>
      </c>
      <c r="B93" t="s">
        <v>103</v>
      </c>
      <c r="D93" t="s">
        <v>224</v>
      </c>
      <c r="E93" t="s">
        <v>132</v>
      </c>
      <c r="H93">
        <v>1</v>
      </c>
      <c r="I93">
        <v>1</v>
      </c>
      <c r="J93">
        <v>6</v>
      </c>
      <c r="K93">
        <f t="shared" si="2"/>
        <v>7</v>
      </c>
      <c r="M93" t="s">
        <v>207</v>
      </c>
      <c r="O93" t="str">
        <f>TEXT(행사기준[[#This Row],[년월]],"yy년m월")&amp;행사기준[[#This Row],[행사명]]</f>
        <v>24년4월성인(화왕) 독서동아리</v>
      </c>
    </row>
    <row r="94" spans="1:15" x14ac:dyDescent="0.3">
      <c r="A94" s="5">
        <v>45383</v>
      </c>
      <c r="B94" t="s">
        <v>103</v>
      </c>
      <c r="D94" t="s">
        <v>257</v>
      </c>
      <c r="E94" t="s">
        <v>163</v>
      </c>
      <c r="H94">
        <v>1</v>
      </c>
      <c r="I94">
        <v>5</v>
      </c>
      <c r="J94">
        <v>1</v>
      </c>
      <c r="K94">
        <f t="shared" si="2"/>
        <v>6</v>
      </c>
      <c r="L94" t="s">
        <v>282</v>
      </c>
      <c r="M94" t="s">
        <v>231</v>
      </c>
      <c r="O94" t="str">
        <f>TEXT(행사기준[[#This Row],[년월]],"yy년m월")&amp;행사기준[[#This Row],[행사명]]</f>
        <v>24년4월꿈동(청소년) 독서동아리</v>
      </c>
    </row>
    <row r="95" spans="1:15" x14ac:dyDescent="0.3">
      <c r="A95" s="5">
        <v>45383</v>
      </c>
      <c r="B95" t="s">
        <v>103</v>
      </c>
      <c r="D95" t="s">
        <v>258</v>
      </c>
      <c r="E95" t="s">
        <v>133</v>
      </c>
      <c r="H95">
        <v>1</v>
      </c>
      <c r="I95">
        <v>2</v>
      </c>
      <c r="J95">
        <v>4</v>
      </c>
      <c r="K95">
        <f t="shared" si="2"/>
        <v>6</v>
      </c>
      <c r="M95" t="s">
        <v>206</v>
      </c>
      <c r="O95" t="str">
        <f>TEXT(행사기준[[#This Row],[년월]],"yy년m월")&amp;행사기준[[#This Row],[행사명]]</f>
        <v>24년4월푸르미(어린이) 독서동아리</v>
      </c>
    </row>
    <row r="96" spans="1:15" x14ac:dyDescent="0.3">
      <c r="A96" s="5">
        <v>45383</v>
      </c>
      <c r="B96" t="s">
        <v>259</v>
      </c>
      <c r="C96" t="s">
        <v>260</v>
      </c>
      <c r="D96" t="s">
        <v>261</v>
      </c>
      <c r="E96" t="s">
        <v>116</v>
      </c>
      <c r="H96">
        <v>3</v>
      </c>
      <c r="I96">
        <v>15</v>
      </c>
      <c r="J96">
        <v>36</v>
      </c>
      <c r="K96">
        <f t="shared" si="2"/>
        <v>51</v>
      </c>
      <c r="L96" t="s">
        <v>262</v>
      </c>
      <c r="M96" t="s">
        <v>125</v>
      </c>
      <c r="O96" t="str">
        <f>TEXT(행사기준[[#This Row],[년월]],"yy년m월")&amp;행사기준[[#This Row],[행사명]]</f>
        <v>24년4월내 손안의 스마트 미디어</v>
      </c>
    </row>
    <row r="97" spans="1:15" x14ac:dyDescent="0.3">
      <c r="A97" s="5">
        <v>45383</v>
      </c>
      <c r="B97" t="s">
        <v>259</v>
      </c>
      <c r="C97" t="s">
        <v>260</v>
      </c>
      <c r="D97" t="s">
        <v>263</v>
      </c>
      <c r="E97" t="s">
        <v>132</v>
      </c>
      <c r="H97">
        <v>5</v>
      </c>
      <c r="J97">
        <v>37</v>
      </c>
      <c r="K97">
        <f t="shared" si="2"/>
        <v>37</v>
      </c>
      <c r="L97" t="s">
        <v>264</v>
      </c>
      <c r="M97" t="s">
        <v>125</v>
      </c>
      <c r="O97" t="str">
        <f>TEXT(행사기준[[#This Row],[년월]],"yy년m월")&amp;행사기준[[#This Row],[행사명]]</f>
        <v>24년4월바이올린 초급반</v>
      </c>
    </row>
    <row r="98" spans="1:15" x14ac:dyDescent="0.3">
      <c r="A98" s="5">
        <v>45383</v>
      </c>
      <c r="B98" t="s">
        <v>259</v>
      </c>
      <c r="C98" t="s">
        <v>260</v>
      </c>
      <c r="D98" t="s">
        <v>265</v>
      </c>
      <c r="E98" t="s">
        <v>132</v>
      </c>
      <c r="H98">
        <v>4</v>
      </c>
      <c r="J98">
        <v>16</v>
      </c>
      <c r="K98">
        <f t="shared" si="2"/>
        <v>16</v>
      </c>
      <c r="L98" t="s">
        <v>266</v>
      </c>
      <c r="M98" t="s">
        <v>125</v>
      </c>
      <c r="O98" t="str">
        <f>TEXT(행사기준[[#This Row],[년월]],"yy년m월")&amp;행사기준[[#This Row],[행사명]]</f>
        <v>24년4월정리수납의 달인</v>
      </c>
    </row>
    <row r="99" spans="1:15" x14ac:dyDescent="0.3">
      <c r="A99" s="5">
        <v>45383</v>
      </c>
      <c r="B99" t="s">
        <v>259</v>
      </c>
      <c r="C99" t="s">
        <v>267</v>
      </c>
      <c r="D99" t="s">
        <v>268</v>
      </c>
      <c r="E99" t="s">
        <v>114</v>
      </c>
      <c r="G99" t="s">
        <v>269</v>
      </c>
      <c r="H99">
        <v>4</v>
      </c>
      <c r="I99">
        <v>18</v>
      </c>
      <c r="J99">
        <v>26</v>
      </c>
      <c r="K99">
        <f t="shared" si="2"/>
        <v>44</v>
      </c>
      <c r="L99" t="s">
        <v>270</v>
      </c>
      <c r="M99" t="s">
        <v>125</v>
      </c>
      <c r="O99" t="str">
        <f>TEXT(행사기준[[#This Row],[년월]],"yy년m월")&amp;행사기준[[#This Row],[행사명]]</f>
        <v>24년4월재미있는 그림책 놀이</v>
      </c>
    </row>
    <row r="100" spans="1:15" x14ac:dyDescent="0.3">
      <c r="A100" s="5">
        <v>45383</v>
      </c>
      <c r="B100" t="s">
        <v>259</v>
      </c>
      <c r="C100" t="s">
        <v>267</v>
      </c>
      <c r="D100" t="s">
        <v>271</v>
      </c>
      <c r="E100" t="s">
        <v>176</v>
      </c>
      <c r="G100" t="s">
        <v>272</v>
      </c>
      <c r="H100">
        <v>4</v>
      </c>
      <c r="I100">
        <v>28</v>
      </c>
      <c r="J100">
        <v>10</v>
      </c>
      <c r="K100">
        <f t="shared" si="2"/>
        <v>38</v>
      </c>
      <c r="L100" t="s">
        <v>273</v>
      </c>
      <c r="M100" t="s">
        <v>125</v>
      </c>
      <c r="O100" t="str">
        <f>TEXT(행사기준[[#This Row],[년월]],"yy년m월")&amp;행사기준[[#This Row],[행사명]]</f>
        <v>24년4월아빠와 요리 교실</v>
      </c>
    </row>
    <row r="101" spans="1:15" x14ac:dyDescent="0.3">
      <c r="A101" s="5">
        <v>45383</v>
      </c>
      <c r="B101" t="s">
        <v>259</v>
      </c>
      <c r="C101" t="s">
        <v>274</v>
      </c>
      <c r="D101" t="s">
        <v>275</v>
      </c>
      <c r="E101" t="s">
        <v>114</v>
      </c>
      <c r="G101" t="s">
        <v>276</v>
      </c>
      <c r="H101">
        <v>3</v>
      </c>
      <c r="I101">
        <v>17</v>
      </c>
      <c r="J101">
        <v>12</v>
      </c>
      <c r="K101">
        <f t="shared" si="2"/>
        <v>29</v>
      </c>
      <c r="L101" t="s">
        <v>277</v>
      </c>
      <c r="M101" t="s">
        <v>125</v>
      </c>
      <c r="O101" t="str">
        <f>TEXT(행사기준[[#This Row],[년월]],"yy년m월")&amp;행사기준[[#This Row],[행사명]]</f>
        <v>24년4월오감 책놀이</v>
      </c>
    </row>
    <row r="102" spans="1:15" x14ac:dyDescent="0.3">
      <c r="A102" s="5">
        <v>45383</v>
      </c>
      <c r="B102" t="s">
        <v>259</v>
      </c>
      <c r="C102" t="s">
        <v>274</v>
      </c>
      <c r="D102" t="s">
        <v>278</v>
      </c>
      <c r="E102" t="s">
        <v>114</v>
      </c>
      <c r="G102" t="s">
        <v>279</v>
      </c>
      <c r="H102">
        <v>2</v>
      </c>
      <c r="I102">
        <v>22</v>
      </c>
      <c r="J102">
        <v>16</v>
      </c>
      <c r="K102">
        <f t="shared" si="2"/>
        <v>38</v>
      </c>
      <c r="L102" t="s">
        <v>280</v>
      </c>
      <c r="M102" t="s">
        <v>125</v>
      </c>
      <c r="O102" t="str">
        <f>TEXT(행사기준[[#This Row],[년월]],"yy년m월")&amp;행사기준[[#This Row],[행사명]]</f>
        <v>24년4월즐거운 코딩나라</v>
      </c>
    </row>
    <row r="103" spans="1:15" x14ac:dyDescent="0.3">
      <c r="A103" s="5">
        <v>45383</v>
      </c>
      <c r="B103" t="s">
        <v>259</v>
      </c>
      <c r="C103" t="s">
        <v>274</v>
      </c>
      <c r="D103" t="s">
        <v>281</v>
      </c>
      <c r="E103" t="s">
        <v>115</v>
      </c>
      <c r="H103">
        <v>3</v>
      </c>
      <c r="I103">
        <v>14</v>
      </c>
      <c r="J103">
        <v>3</v>
      </c>
      <c r="K103">
        <f t="shared" si="2"/>
        <v>17</v>
      </c>
      <c r="L103" t="s">
        <v>282</v>
      </c>
      <c r="M103" t="s">
        <v>125</v>
      </c>
      <c r="O103" t="str">
        <f>TEXT(행사기준[[#This Row],[년월]],"yy년m월")&amp;행사기준[[#This Row],[행사명]]</f>
        <v>24년4월모두가 하나되는 세계시민 프로젝트</v>
      </c>
    </row>
    <row r="104" spans="1:15" x14ac:dyDescent="0.3">
      <c r="A104" s="5">
        <v>45383</v>
      </c>
      <c r="B104" t="s">
        <v>259</v>
      </c>
      <c r="C104" t="s">
        <v>274</v>
      </c>
      <c r="D104" t="s">
        <v>283</v>
      </c>
      <c r="E104" t="s">
        <v>116</v>
      </c>
      <c r="G104" t="s">
        <v>299</v>
      </c>
      <c r="H104">
        <v>3</v>
      </c>
      <c r="I104">
        <v>9</v>
      </c>
      <c r="J104">
        <v>68</v>
      </c>
      <c r="K104">
        <f t="shared" si="2"/>
        <v>77</v>
      </c>
      <c r="L104" t="s">
        <v>262</v>
      </c>
      <c r="M104" t="s">
        <v>125</v>
      </c>
      <c r="O104" t="str">
        <f>TEXT(행사기준[[#This Row],[년월]],"yy년m월")&amp;행사기준[[#This Row],[행사명]]</f>
        <v>24년4월활력충전 신바람 노래교실</v>
      </c>
    </row>
    <row r="105" spans="1:15" x14ac:dyDescent="0.3">
      <c r="A105" s="5">
        <v>45383</v>
      </c>
      <c r="B105" t="s">
        <v>259</v>
      </c>
      <c r="C105" t="s">
        <v>284</v>
      </c>
      <c r="D105" t="s">
        <v>285</v>
      </c>
      <c r="E105" t="s">
        <v>114</v>
      </c>
      <c r="G105" t="s">
        <v>300</v>
      </c>
      <c r="H105">
        <v>2</v>
      </c>
      <c r="I105">
        <v>38</v>
      </c>
      <c r="J105">
        <v>24</v>
      </c>
      <c r="K105">
        <f t="shared" si="2"/>
        <v>62</v>
      </c>
      <c r="L105" t="s">
        <v>286</v>
      </c>
      <c r="M105" t="s">
        <v>125</v>
      </c>
      <c r="O105" t="str">
        <f>TEXT(행사기준[[#This Row],[년월]],"yy년m월")&amp;행사기준[[#This Row],[행사명]]</f>
        <v>24년4월찾아가는 생태동화</v>
      </c>
    </row>
    <row r="106" spans="1:15" x14ac:dyDescent="0.3">
      <c r="A106" s="5">
        <v>45383</v>
      </c>
      <c r="B106" t="s">
        <v>259</v>
      </c>
      <c r="C106" t="s">
        <v>287</v>
      </c>
      <c r="D106" t="s">
        <v>288</v>
      </c>
      <c r="E106" t="s">
        <v>176</v>
      </c>
      <c r="G106" t="s">
        <v>289</v>
      </c>
      <c r="H106">
        <v>2</v>
      </c>
      <c r="I106">
        <v>3</v>
      </c>
      <c r="J106">
        <v>10</v>
      </c>
      <c r="K106">
        <f t="shared" si="2"/>
        <v>13</v>
      </c>
      <c r="L106" t="s">
        <v>290</v>
      </c>
      <c r="M106" t="s">
        <v>125</v>
      </c>
      <c r="O106" t="str">
        <f>TEXT(행사기준[[#This Row],[년월]],"yy년m월")&amp;행사기준[[#This Row],[행사명]]</f>
        <v>24년4월우리 가족 놀이 체육</v>
      </c>
    </row>
    <row r="107" spans="1:15" x14ac:dyDescent="0.3">
      <c r="A107" s="5">
        <v>45383</v>
      </c>
      <c r="B107" t="s">
        <v>259</v>
      </c>
      <c r="C107" t="s">
        <v>287</v>
      </c>
      <c r="D107" t="s">
        <v>291</v>
      </c>
      <c r="E107" t="s">
        <v>116</v>
      </c>
      <c r="H107">
        <v>2</v>
      </c>
      <c r="I107">
        <v>2</v>
      </c>
      <c r="J107">
        <v>7</v>
      </c>
      <c r="K107">
        <f t="shared" si="2"/>
        <v>9</v>
      </c>
      <c r="L107" t="s">
        <v>292</v>
      </c>
      <c r="M107" t="s">
        <v>125</v>
      </c>
      <c r="O107" t="str">
        <f>TEXT(행사기준[[#This Row],[년월]],"yy년m월")&amp;행사기준[[#This Row],[행사명]]</f>
        <v>24년4월셀프 마사지로 내 몸 챙기기</v>
      </c>
    </row>
    <row r="108" spans="1:15" x14ac:dyDescent="0.3">
      <c r="A108" s="5">
        <v>45413</v>
      </c>
      <c r="B108" t="s">
        <v>101</v>
      </c>
      <c r="D108" t="s">
        <v>311</v>
      </c>
      <c r="E108" t="s">
        <v>133</v>
      </c>
      <c r="H108">
        <v>1</v>
      </c>
      <c r="I108">
        <v>21</v>
      </c>
      <c r="J108">
        <v>24</v>
      </c>
      <c r="K108">
        <f t="shared" si="2"/>
        <v>45</v>
      </c>
      <c r="M108" t="s">
        <v>206</v>
      </c>
      <c r="O108" t="str">
        <f>TEXT(행사기준[[#This Row],[년월]],"yy년m월")&amp;행사기준[[#This Row],[행사명]]</f>
        <v>24년5월세계인의 날, 같이 가요 세계로!</v>
      </c>
    </row>
    <row r="109" spans="1:15" x14ac:dyDescent="0.3">
      <c r="A109" s="5">
        <v>45413</v>
      </c>
      <c r="B109" t="s">
        <v>101</v>
      </c>
      <c r="D109" t="s">
        <v>312</v>
      </c>
      <c r="E109" t="s">
        <v>133</v>
      </c>
      <c r="H109">
        <v>1</v>
      </c>
      <c r="I109">
        <v>25</v>
      </c>
      <c r="J109">
        <v>35</v>
      </c>
      <c r="K109">
        <f t="shared" si="2"/>
        <v>60</v>
      </c>
      <c r="M109" t="s">
        <v>206</v>
      </c>
      <c r="O109" t="str">
        <f>TEXT(행사기준[[#This Row],[년월]],"yy년m월")&amp;행사기준[[#This Row],[행사명]]</f>
        <v>24년5월도서관에서 찰칵 사진 찍자</v>
      </c>
    </row>
    <row r="110" spans="1:15" x14ac:dyDescent="0.3">
      <c r="A110" s="5">
        <v>45413</v>
      </c>
      <c r="B110" t="s">
        <v>101</v>
      </c>
      <c r="D110" t="s">
        <v>313</v>
      </c>
      <c r="E110" t="s">
        <v>133</v>
      </c>
      <c r="H110">
        <v>1</v>
      </c>
      <c r="I110">
        <v>17</v>
      </c>
      <c r="J110">
        <v>30</v>
      </c>
      <c r="K110">
        <f t="shared" si="2"/>
        <v>47</v>
      </c>
      <c r="M110" t="s">
        <v>206</v>
      </c>
      <c r="O110" t="str">
        <f>TEXT(행사기준[[#This Row],[년월]],"yy년m월")&amp;행사기준[[#This Row],[행사명]]</f>
        <v>24년5월우리 가족 북크닉</v>
      </c>
    </row>
    <row r="111" spans="1:15" x14ac:dyDescent="0.3">
      <c r="A111" s="5">
        <v>45413</v>
      </c>
      <c r="B111" t="s">
        <v>101</v>
      </c>
      <c r="D111" t="s">
        <v>314</v>
      </c>
      <c r="E111" t="s">
        <v>133</v>
      </c>
      <c r="H111">
        <v>1</v>
      </c>
      <c r="I111">
        <v>15</v>
      </c>
      <c r="J111">
        <v>25</v>
      </c>
      <c r="K111">
        <f t="shared" si="2"/>
        <v>40</v>
      </c>
      <c r="M111" t="s">
        <v>206</v>
      </c>
      <c r="O111" t="str">
        <f>TEXT(행사기준[[#This Row],[년월]],"yy년m월")&amp;행사기준[[#This Row],[행사명]]</f>
        <v>24년5월오늘부터 어린이날</v>
      </c>
    </row>
    <row r="112" spans="1:15" x14ac:dyDescent="0.3">
      <c r="A112" s="5">
        <v>45413</v>
      </c>
      <c r="B112" t="s">
        <v>101</v>
      </c>
      <c r="D112" t="s">
        <v>178</v>
      </c>
      <c r="E112" t="s">
        <v>133</v>
      </c>
      <c r="H112">
        <v>1</v>
      </c>
      <c r="I112">
        <v>20</v>
      </c>
      <c r="J112">
        <v>47</v>
      </c>
      <c r="K112">
        <f t="shared" si="2"/>
        <v>67</v>
      </c>
      <c r="M112" t="s">
        <v>206</v>
      </c>
      <c r="O112" t="str">
        <f>TEXT(행사기준[[#This Row],[년월]],"yy년m월")&amp;행사기준[[#This Row],[행사명]]</f>
        <v>24년5월생각키움 독서퀴즈</v>
      </c>
    </row>
    <row r="113" spans="1:15" x14ac:dyDescent="0.3">
      <c r="A113" s="5">
        <v>45413</v>
      </c>
      <c r="B113" t="s">
        <v>101</v>
      </c>
      <c r="D113" t="s">
        <v>117</v>
      </c>
      <c r="E113" t="s">
        <v>133</v>
      </c>
      <c r="H113">
        <v>1</v>
      </c>
      <c r="I113">
        <v>7</v>
      </c>
      <c r="J113">
        <v>13</v>
      </c>
      <c r="K113">
        <f t="shared" si="2"/>
        <v>20</v>
      </c>
      <c r="M113" t="s">
        <v>206</v>
      </c>
      <c r="O113" t="str">
        <f>TEXT(행사기준[[#This Row],[년월]],"yy년m월")&amp;행사기준[[#This Row],[행사명]]</f>
        <v>24년5월내가 좋아하는 책 속 한 구절</v>
      </c>
    </row>
    <row r="114" spans="1:15" x14ac:dyDescent="0.3">
      <c r="A114" s="5">
        <v>45413</v>
      </c>
      <c r="B114" t="s">
        <v>225</v>
      </c>
      <c r="D114" t="s">
        <v>315</v>
      </c>
      <c r="E114" t="s">
        <v>134</v>
      </c>
      <c r="H114">
        <v>1</v>
      </c>
      <c r="I114">
        <v>3</v>
      </c>
      <c r="J114">
        <v>26</v>
      </c>
      <c r="K114" s="11">
        <f t="shared" si="2"/>
        <v>29</v>
      </c>
      <c r="M114" t="s">
        <v>231</v>
      </c>
      <c r="O114" t="str">
        <f>TEXT(행사기준[[#This Row],[년월]],"yy년m월")&amp;행사기준[[#This Row],[행사명]]</f>
        <v>24년5월어쩌다 그림 탐정단</v>
      </c>
    </row>
    <row r="115" spans="1:15" x14ac:dyDescent="0.3">
      <c r="A115" s="5">
        <v>45413</v>
      </c>
      <c r="B115" t="s">
        <v>225</v>
      </c>
      <c r="D115" t="s">
        <v>316</v>
      </c>
      <c r="E115" t="s">
        <v>134</v>
      </c>
      <c r="H115">
        <v>1</v>
      </c>
      <c r="I115">
        <v>2</v>
      </c>
      <c r="J115">
        <v>33</v>
      </c>
      <c r="K115" s="11">
        <f t="shared" si="2"/>
        <v>35</v>
      </c>
      <c r="M115" t="s">
        <v>231</v>
      </c>
      <c r="O115" t="str">
        <f>TEXT(행사기준[[#This Row],[년월]],"yy년m월")&amp;행사기준[[#This Row],[행사명]]</f>
        <v>24년5월우리 가족이에5</v>
      </c>
    </row>
    <row r="116" spans="1:15" x14ac:dyDescent="0.3">
      <c r="A116" s="5">
        <v>45413</v>
      </c>
      <c r="B116" t="s">
        <v>101</v>
      </c>
      <c r="D116" t="s">
        <v>317</v>
      </c>
      <c r="E116" t="s">
        <v>134</v>
      </c>
      <c r="H116">
        <v>1</v>
      </c>
      <c r="I116">
        <v>26</v>
      </c>
      <c r="J116">
        <v>35</v>
      </c>
      <c r="K116">
        <f t="shared" si="2"/>
        <v>61</v>
      </c>
      <c r="M116" t="s">
        <v>207</v>
      </c>
      <c r="N116" t="s">
        <v>206</v>
      </c>
      <c r="O116" t="str">
        <f>TEXT(행사기준[[#This Row],[년월]],"yy년m월")&amp;행사기준[[#This Row],[행사명]]</f>
        <v>24년5월책사랑 자연사랑 줍깅 캠페인</v>
      </c>
    </row>
    <row r="117" spans="1:15" x14ac:dyDescent="0.3">
      <c r="A117" s="5">
        <v>45413</v>
      </c>
      <c r="B117" t="s">
        <v>101</v>
      </c>
      <c r="D117" t="s">
        <v>318</v>
      </c>
      <c r="E117" t="s">
        <v>134</v>
      </c>
      <c r="H117">
        <v>1</v>
      </c>
      <c r="I117">
        <v>87</v>
      </c>
      <c r="J117">
        <v>118</v>
      </c>
      <c r="K117">
        <f t="shared" si="2"/>
        <v>205</v>
      </c>
      <c r="M117" t="s">
        <v>207</v>
      </c>
      <c r="N117" t="s">
        <v>206</v>
      </c>
      <c r="O117" t="str">
        <f>TEXT(행사기준[[#This Row],[년월]],"yy년m월")&amp;행사기준[[#This Row],[행사명]]</f>
        <v>24년5월내 손안의 책갈피</v>
      </c>
    </row>
    <row r="118" spans="1:15" x14ac:dyDescent="0.3">
      <c r="A118" s="5">
        <v>45413</v>
      </c>
      <c r="B118" t="s">
        <v>101</v>
      </c>
      <c r="D118" t="s">
        <v>249</v>
      </c>
      <c r="E118" t="s">
        <v>134</v>
      </c>
      <c r="H118">
        <v>1</v>
      </c>
      <c r="I118">
        <v>38</v>
      </c>
      <c r="J118">
        <v>57</v>
      </c>
      <c r="K118">
        <f t="shared" si="2"/>
        <v>95</v>
      </c>
      <c r="M118" t="s">
        <v>207</v>
      </c>
      <c r="N118" t="s">
        <v>206</v>
      </c>
      <c r="O118" t="str">
        <f>TEXT(행사기준[[#This Row],[년월]],"yy년m월")&amp;행사기준[[#This Row],[행사명]]</f>
        <v>24년5월과년도 잡지&amp;도서 무료 나눔</v>
      </c>
    </row>
    <row r="119" spans="1:15" x14ac:dyDescent="0.3">
      <c r="A119" s="5">
        <v>45413</v>
      </c>
      <c r="B119" t="s">
        <v>101</v>
      </c>
      <c r="D119" t="s">
        <v>252</v>
      </c>
      <c r="E119" t="s">
        <v>134</v>
      </c>
      <c r="H119">
        <v>1</v>
      </c>
      <c r="I119">
        <v>30</v>
      </c>
      <c r="J119">
        <v>56</v>
      </c>
      <c r="K119">
        <f t="shared" si="2"/>
        <v>86</v>
      </c>
      <c r="M119" t="s">
        <v>207</v>
      </c>
      <c r="N119" t="s">
        <v>206</v>
      </c>
      <c r="O119" t="str">
        <f>TEXT(행사기준[[#This Row],[년월]],"yy년m월")&amp;행사기준[[#This Row],[행사명]]</f>
        <v>24년5월책에 향기를 더하다</v>
      </c>
    </row>
    <row r="120" spans="1:15" x14ac:dyDescent="0.3">
      <c r="A120" s="5">
        <v>45413</v>
      </c>
      <c r="B120" t="s">
        <v>101</v>
      </c>
      <c r="D120" t="s">
        <v>201</v>
      </c>
      <c r="E120" t="s">
        <v>134</v>
      </c>
      <c r="H120">
        <v>1</v>
      </c>
      <c r="I120">
        <v>11</v>
      </c>
      <c r="J120">
        <v>21</v>
      </c>
      <c r="K120">
        <f t="shared" si="2"/>
        <v>32</v>
      </c>
      <c r="M120" t="s">
        <v>207</v>
      </c>
      <c r="N120" t="s">
        <v>206</v>
      </c>
      <c r="O120" t="str">
        <f>TEXT(행사기준[[#This Row],[년월]],"yy년m월")&amp;행사기준[[#This Row],[행사명]]</f>
        <v>24년5월선물 팡팡! 스마트도서관 365</v>
      </c>
    </row>
    <row r="121" spans="1:15" x14ac:dyDescent="0.3">
      <c r="A121" s="5">
        <v>45413</v>
      </c>
      <c r="B121" t="s">
        <v>101</v>
      </c>
      <c r="C121" s="17" t="s">
        <v>202</v>
      </c>
      <c r="D121" t="s">
        <v>181</v>
      </c>
      <c r="E121" t="s">
        <v>134</v>
      </c>
      <c r="H121">
        <v>1</v>
      </c>
      <c r="I121">
        <v>22</v>
      </c>
      <c r="J121">
        <v>31</v>
      </c>
      <c r="K121">
        <f t="shared" si="2"/>
        <v>53</v>
      </c>
      <c r="M121" t="s">
        <v>207</v>
      </c>
      <c r="N121" t="s">
        <v>206</v>
      </c>
      <c r="O121" t="str">
        <f>TEXT(행사기준[[#This Row],[년월]],"yy년m월")&amp;행사기준[[#This Row],[행사명]]</f>
        <v>24년5월두 배로 데이</v>
      </c>
    </row>
    <row r="122" spans="1:15" x14ac:dyDescent="0.3">
      <c r="A122" s="5">
        <v>45413</v>
      </c>
      <c r="B122" t="s">
        <v>101</v>
      </c>
      <c r="C122" s="17" t="s">
        <v>202</v>
      </c>
      <c r="D122" t="s">
        <v>362</v>
      </c>
      <c r="E122" t="s">
        <v>134</v>
      </c>
      <c r="H122">
        <v>1</v>
      </c>
      <c r="I122">
        <v>7</v>
      </c>
      <c r="J122">
        <v>9</v>
      </c>
      <c r="K122">
        <f t="shared" si="2"/>
        <v>16</v>
      </c>
      <c r="M122" t="s">
        <v>207</v>
      </c>
      <c r="N122" t="s">
        <v>206</v>
      </c>
      <c r="O122" t="str">
        <f>TEXT(행사기준[[#This Row],[년월]],"yy년m월")&amp;행사기준[[#This Row],[행사명]]</f>
        <v>24년5월연체자 클린 데이</v>
      </c>
    </row>
    <row r="123" spans="1:15" x14ac:dyDescent="0.3">
      <c r="A123" s="5">
        <v>45413</v>
      </c>
      <c r="B123" t="s">
        <v>105</v>
      </c>
      <c r="D123" t="s">
        <v>255</v>
      </c>
      <c r="E123" t="s">
        <v>134</v>
      </c>
      <c r="H123">
        <v>1</v>
      </c>
      <c r="I123">
        <v>210</v>
      </c>
      <c r="J123">
        <v>295</v>
      </c>
      <c r="K123">
        <f t="shared" si="2"/>
        <v>505</v>
      </c>
      <c r="M123" t="s">
        <v>207</v>
      </c>
      <c r="N123" t="s">
        <v>206</v>
      </c>
      <c r="O123" t="str">
        <f>TEXT(행사기준[[#This Row],[년월]],"yy년m월")&amp;행사기준[[#This Row],[행사명]]</f>
        <v>24년5월내 마음대로 북큐레이션</v>
      </c>
    </row>
    <row r="124" spans="1:15" x14ac:dyDescent="0.3">
      <c r="A124" s="5">
        <v>45413</v>
      </c>
      <c r="B124" t="s">
        <v>105</v>
      </c>
      <c r="D124" t="s">
        <v>256</v>
      </c>
      <c r="E124" t="s">
        <v>134</v>
      </c>
      <c r="H124">
        <v>1</v>
      </c>
      <c r="I124">
        <v>145</v>
      </c>
      <c r="J124">
        <v>205</v>
      </c>
      <c r="K124">
        <f t="shared" si="2"/>
        <v>350</v>
      </c>
      <c r="M124" t="s">
        <v>207</v>
      </c>
      <c r="O124" t="str">
        <f>TEXT(행사기준[[#This Row],[년월]],"yy년m월")&amp;행사기준[[#This Row],[행사명]]</f>
        <v>24년5월내 손안의 도서관</v>
      </c>
    </row>
    <row r="125" spans="1:15" x14ac:dyDescent="0.3">
      <c r="A125" s="5">
        <v>45413</v>
      </c>
      <c r="B125" t="s">
        <v>105</v>
      </c>
      <c r="D125" t="s">
        <v>123</v>
      </c>
      <c r="E125" t="s">
        <v>134</v>
      </c>
      <c r="H125">
        <v>1</v>
      </c>
      <c r="I125">
        <v>432</v>
      </c>
      <c r="J125">
        <v>431</v>
      </c>
      <c r="K125">
        <f t="shared" si="2"/>
        <v>863</v>
      </c>
      <c r="M125" t="s">
        <v>206</v>
      </c>
      <c r="O125" t="str">
        <f>TEXT(행사기준[[#This Row],[년월]],"yy년m월")&amp;행사기준[[#This Row],[행사명]]</f>
        <v>24년5월이야기가 있는 그림책 원화 전시</v>
      </c>
    </row>
    <row r="126" spans="1:15" x14ac:dyDescent="0.3">
      <c r="A126" s="5">
        <v>45413</v>
      </c>
      <c r="B126" t="s">
        <v>105</v>
      </c>
      <c r="D126" t="s">
        <v>121</v>
      </c>
      <c r="E126" t="s">
        <v>132</v>
      </c>
      <c r="H126">
        <v>1</v>
      </c>
      <c r="I126">
        <v>167</v>
      </c>
      <c r="J126">
        <v>235</v>
      </c>
      <c r="K126">
        <f t="shared" si="2"/>
        <v>402</v>
      </c>
      <c r="M126" t="s">
        <v>207</v>
      </c>
      <c r="O126" t="str">
        <f>TEXT(행사기준[[#This Row],[년월]],"yy년m월")&amp;행사기준[[#This Row],[행사명]]</f>
        <v>24년5월사서가 들려주는 북 스토리</v>
      </c>
    </row>
    <row r="127" spans="1:15" x14ac:dyDescent="0.3">
      <c r="A127" s="5">
        <v>45413</v>
      </c>
      <c r="B127" t="s">
        <v>105</v>
      </c>
      <c r="D127" t="s">
        <v>120</v>
      </c>
      <c r="E127" t="s">
        <v>134</v>
      </c>
      <c r="H127">
        <v>1</v>
      </c>
      <c r="I127">
        <v>218</v>
      </c>
      <c r="J127">
        <v>361</v>
      </c>
      <c r="K127">
        <f t="shared" si="2"/>
        <v>579</v>
      </c>
      <c r="M127" t="s">
        <v>207</v>
      </c>
      <c r="N127" t="s">
        <v>206</v>
      </c>
      <c r="O127" t="str">
        <f>TEXT(행사기준[[#This Row],[년월]],"yy년m월")&amp;행사기준[[#This Row],[행사명]]</f>
        <v>24년5월사서 추천 도서 서평 전시</v>
      </c>
    </row>
    <row r="128" spans="1:15" x14ac:dyDescent="0.3">
      <c r="A128" s="5">
        <v>45413</v>
      </c>
      <c r="B128" t="s">
        <v>105</v>
      </c>
      <c r="D128" t="s">
        <v>118</v>
      </c>
      <c r="E128" t="s">
        <v>133</v>
      </c>
      <c r="H128">
        <v>1</v>
      </c>
      <c r="I128">
        <v>89</v>
      </c>
      <c r="J128">
        <v>99</v>
      </c>
      <c r="K128">
        <f t="shared" si="2"/>
        <v>188</v>
      </c>
      <c r="M128" t="s">
        <v>206</v>
      </c>
      <c r="O128" t="str">
        <f>TEXT(행사기준[[#This Row],[년월]],"yy년m월")&amp;행사기준[[#This Row],[행사명]]</f>
        <v>24년5월도서관에서 만나는 특별한 책 이야기</v>
      </c>
    </row>
    <row r="129" spans="1:15" x14ac:dyDescent="0.3">
      <c r="A129" s="5">
        <v>45413</v>
      </c>
      <c r="B129" t="s">
        <v>101</v>
      </c>
      <c r="D129" t="s">
        <v>195</v>
      </c>
      <c r="E129" t="s">
        <v>133</v>
      </c>
      <c r="H129">
        <v>1</v>
      </c>
      <c r="I129">
        <v>15</v>
      </c>
      <c r="J129">
        <v>18</v>
      </c>
      <c r="K129">
        <f t="shared" si="2"/>
        <v>33</v>
      </c>
      <c r="M129" t="s">
        <v>206</v>
      </c>
      <c r="O129" t="str">
        <f>TEXT(행사기준[[#This Row],[년월]],"yy년m월")&amp;행사기준[[#This Row],[행사명]]</f>
        <v>24년5월도서관에서 만나는 창녕 시네마</v>
      </c>
    </row>
    <row r="130" spans="1:15" x14ac:dyDescent="0.3">
      <c r="A130" s="5">
        <v>45413</v>
      </c>
      <c r="B130" t="s">
        <v>107</v>
      </c>
      <c r="D130" t="s">
        <v>383</v>
      </c>
      <c r="E130" t="s">
        <v>133</v>
      </c>
      <c r="H130">
        <v>1</v>
      </c>
      <c r="I130">
        <v>15</v>
      </c>
      <c r="J130">
        <v>12</v>
      </c>
      <c r="K130">
        <f t="shared" si="2"/>
        <v>27</v>
      </c>
      <c r="M130" t="s">
        <v>206</v>
      </c>
      <c r="O130" t="str">
        <f>TEXT(행사기준[[#This Row],[년월]],"yy년m월")&amp;행사기준[[#This Row],[행사명]]</f>
        <v>24년5월어린이자료실 현장학습</v>
      </c>
    </row>
    <row r="131" spans="1:15" x14ac:dyDescent="0.3">
      <c r="A131" s="5">
        <v>45413</v>
      </c>
      <c r="B131" t="s">
        <v>101</v>
      </c>
      <c r="C131" t="s">
        <v>493</v>
      </c>
      <c r="D131" t="s">
        <v>319</v>
      </c>
      <c r="E131" t="s">
        <v>176</v>
      </c>
      <c r="G131" t="s">
        <v>359</v>
      </c>
      <c r="H131">
        <v>1</v>
      </c>
      <c r="I131">
        <v>19</v>
      </c>
      <c r="J131">
        <v>47</v>
      </c>
      <c r="K131">
        <f t="shared" si="2"/>
        <v>66</v>
      </c>
      <c r="M131" t="s">
        <v>206</v>
      </c>
      <c r="O131" t="str">
        <f>TEXT(행사기준[[#This Row],[년월]],"yy년m월")&amp;행사기준[[#This Row],[행사명]]</f>
        <v>24년5월코믹 매직 벌룬쇼</v>
      </c>
    </row>
    <row r="132" spans="1:15" x14ac:dyDescent="0.3">
      <c r="A132" s="5">
        <v>45413</v>
      </c>
      <c r="B132" t="s">
        <v>103</v>
      </c>
      <c r="D132" t="s">
        <v>224</v>
      </c>
      <c r="E132" t="s">
        <v>132</v>
      </c>
      <c r="H132">
        <v>1</v>
      </c>
      <c r="I132">
        <v>1</v>
      </c>
      <c r="J132">
        <v>3</v>
      </c>
      <c r="K132">
        <f t="shared" si="2"/>
        <v>4</v>
      </c>
      <c r="M132" t="s">
        <v>207</v>
      </c>
      <c r="O132" t="str">
        <f>TEXT(행사기준[[#This Row],[년월]],"yy년m월")&amp;행사기준[[#This Row],[행사명]]</f>
        <v>24년5월성인(화왕) 독서동아리</v>
      </c>
    </row>
    <row r="133" spans="1:15" x14ac:dyDescent="0.3">
      <c r="A133" s="5">
        <v>45413</v>
      </c>
      <c r="B133" t="s">
        <v>103</v>
      </c>
      <c r="D133" t="s">
        <v>257</v>
      </c>
      <c r="E133" t="s">
        <v>163</v>
      </c>
      <c r="H133">
        <v>1</v>
      </c>
      <c r="I133">
        <v>2</v>
      </c>
      <c r="J133">
        <v>1</v>
      </c>
      <c r="K133">
        <f t="shared" si="2"/>
        <v>3</v>
      </c>
      <c r="L133" t="s">
        <v>320</v>
      </c>
      <c r="M133" t="s">
        <v>231</v>
      </c>
      <c r="O133" t="str">
        <f>TEXT(행사기준[[#This Row],[년월]],"yy년m월")&amp;행사기준[[#This Row],[행사명]]</f>
        <v>24년5월꿈동(청소년) 독서동아리</v>
      </c>
    </row>
    <row r="134" spans="1:15" x14ac:dyDescent="0.3">
      <c r="A134" s="5">
        <v>45413</v>
      </c>
      <c r="B134" t="s">
        <v>103</v>
      </c>
      <c r="D134" t="s">
        <v>258</v>
      </c>
      <c r="E134" t="s">
        <v>133</v>
      </c>
      <c r="H134">
        <v>1</v>
      </c>
      <c r="I134">
        <v>1</v>
      </c>
      <c r="J134">
        <v>5</v>
      </c>
      <c r="K134">
        <f t="shared" si="2"/>
        <v>6</v>
      </c>
      <c r="L134" t="s">
        <v>321</v>
      </c>
      <c r="M134" t="s">
        <v>206</v>
      </c>
      <c r="O134" t="str">
        <f>TEXT(행사기준[[#This Row],[년월]],"yy년m월")&amp;행사기준[[#This Row],[행사명]]</f>
        <v>24년5월푸르미(어린이) 독서동아리</v>
      </c>
    </row>
    <row r="135" spans="1:15" x14ac:dyDescent="0.3">
      <c r="A135" s="5">
        <v>45413</v>
      </c>
      <c r="B135" t="s">
        <v>99</v>
      </c>
      <c r="C135" t="s">
        <v>208</v>
      </c>
      <c r="D135" t="s">
        <v>209</v>
      </c>
      <c r="E135" t="s">
        <v>132</v>
      </c>
      <c r="G135" t="s">
        <v>322</v>
      </c>
      <c r="H135">
        <v>4</v>
      </c>
      <c r="I135">
        <f>5+6+5+5</f>
        <v>21</v>
      </c>
      <c r="J135">
        <f>13+13+14+13</f>
        <v>53</v>
      </c>
      <c r="K135">
        <f t="shared" ref="K135:K159" si="3">I135+J135</f>
        <v>74</v>
      </c>
      <c r="L135" t="s">
        <v>210</v>
      </c>
      <c r="M135" t="s">
        <v>211</v>
      </c>
      <c r="O135" t="str">
        <f>TEXT(행사기준[[#This Row],[년월]],"yy년m월")&amp;행사기준[[#This Row],[행사명]]</f>
        <v>24년5월내 손안의 스마트 미디어</v>
      </c>
    </row>
    <row r="136" spans="1:15" x14ac:dyDescent="0.3">
      <c r="A136" s="5">
        <v>45413</v>
      </c>
      <c r="B136" t="s">
        <v>99</v>
      </c>
      <c r="C136" t="s">
        <v>208</v>
      </c>
      <c r="D136" t="s">
        <v>212</v>
      </c>
      <c r="E136" t="s">
        <v>132</v>
      </c>
      <c r="H136">
        <v>2</v>
      </c>
      <c r="J136">
        <f>4+3+4+2</f>
        <v>13</v>
      </c>
      <c r="K136">
        <f t="shared" si="3"/>
        <v>13</v>
      </c>
      <c r="L136" t="s">
        <v>213</v>
      </c>
      <c r="M136" t="s">
        <v>211</v>
      </c>
      <c r="O136" t="str">
        <f>TEXT(행사기준[[#This Row],[년월]],"yy년m월")&amp;행사기준[[#This Row],[행사명]]</f>
        <v>24년5월바이올린 초급반</v>
      </c>
    </row>
    <row r="137" spans="1:15" x14ac:dyDescent="0.3">
      <c r="A137" s="5">
        <v>45413</v>
      </c>
      <c r="B137" t="s">
        <v>99</v>
      </c>
      <c r="C137" t="s">
        <v>208</v>
      </c>
      <c r="D137" t="s">
        <v>214</v>
      </c>
      <c r="E137" t="s">
        <v>132</v>
      </c>
      <c r="H137">
        <v>3</v>
      </c>
      <c r="J137">
        <f>4+4+4</f>
        <v>12</v>
      </c>
      <c r="K137">
        <f t="shared" si="3"/>
        <v>12</v>
      </c>
      <c r="L137" t="s">
        <v>215</v>
      </c>
      <c r="M137" t="s">
        <v>211</v>
      </c>
      <c r="O137" t="str">
        <f>TEXT(행사기준[[#This Row],[년월]],"yy년m월")&amp;행사기준[[#This Row],[행사명]]</f>
        <v>24년5월정리수납의 달인</v>
      </c>
    </row>
    <row r="138" spans="1:15" x14ac:dyDescent="0.3">
      <c r="A138" s="5">
        <v>45413</v>
      </c>
      <c r="B138" t="s">
        <v>99</v>
      </c>
      <c r="C138" t="s">
        <v>216</v>
      </c>
      <c r="D138" t="s">
        <v>217</v>
      </c>
      <c r="E138" t="s">
        <v>133</v>
      </c>
      <c r="G138" t="s">
        <v>218</v>
      </c>
      <c r="H138">
        <v>1</v>
      </c>
      <c r="I138">
        <v>7</v>
      </c>
      <c r="J138">
        <v>3</v>
      </c>
      <c r="K138">
        <f t="shared" si="3"/>
        <v>10</v>
      </c>
      <c r="L138" t="s">
        <v>219</v>
      </c>
      <c r="M138" t="s">
        <v>211</v>
      </c>
      <c r="O138" t="str">
        <f>TEXT(행사기준[[#This Row],[년월]],"yy년m월")&amp;행사기준[[#This Row],[행사명]]</f>
        <v>24년5월재미있는 그림책 놀이</v>
      </c>
    </row>
    <row r="139" spans="1:15" x14ac:dyDescent="0.3">
      <c r="A139" s="5">
        <v>45413</v>
      </c>
      <c r="B139" t="s">
        <v>99</v>
      </c>
      <c r="C139" t="s">
        <v>216</v>
      </c>
      <c r="D139" t="s">
        <v>220</v>
      </c>
      <c r="E139" t="s">
        <v>176</v>
      </c>
      <c r="G139" t="s">
        <v>221</v>
      </c>
      <c r="H139">
        <v>1</v>
      </c>
      <c r="I139">
        <v>5</v>
      </c>
      <c r="J139">
        <v>6</v>
      </c>
      <c r="K139">
        <f t="shared" si="3"/>
        <v>11</v>
      </c>
      <c r="L139" t="s">
        <v>222</v>
      </c>
      <c r="M139" t="s">
        <v>211</v>
      </c>
      <c r="O139" t="str">
        <f>TEXT(행사기준[[#This Row],[년월]],"yy년m월")&amp;행사기준[[#This Row],[행사명]]</f>
        <v>24년5월아빠와 요리 교실</v>
      </c>
    </row>
    <row r="140" spans="1:15" x14ac:dyDescent="0.3">
      <c r="A140" s="5">
        <v>45413</v>
      </c>
      <c r="B140" t="s">
        <v>99</v>
      </c>
      <c r="C140" t="s">
        <v>323</v>
      </c>
      <c r="D140" t="s">
        <v>296</v>
      </c>
      <c r="E140" t="s">
        <v>133</v>
      </c>
      <c r="G140" t="s">
        <v>324</v>
      </c>
      <c r="H140">
        <v>4</v>
      </c>
      <c r="I140">
        <f>6+6+6+6</f>
        <v>24</v>
      </c>
      <c r="J140">
        <f>4+4+4+3</f>
        <v>15</v>
      </c>
      <c r="K140">
        <f t="shared" si="3"/>
        <v>39</v>
      </c>
      <c r="L140" t="s">
        <v>321</v>
      </c>
      <c r="M140" t="s">
        <v>211</v>
      </c>
      <c r="O140" t="str">
        <f>TEXT(행사기준[[#This Row],[년월]],"yy년m월")&amp;행사기준[[#This Row],[행사명]]</f>
        <v>24년5월오감 책놀이</v>
      </c>
    </row>
    <row r="141" spans="1:15" x14ac:dyDescent="0.3">
      <c r="A141" s="5">
        <v>45413</v>
      </c>
      <c r="B141" t="s">
        <v>99</v>
      </c>
      <c r="C141" t="s">
        <v>323</v>
      </c>
      <c r="D141" t="s">
        <v>295</v>
      </c>
      <c r="E141" t="s">
        <v>133</v>
      </c>
      <c r="G141" t="s">
        <v>325</v>
      </c>
      <c r="H141">
        <v>5</v>
      </c>
      <c r="I141">
        <f>10+10+10+10+1</f>
        <v>41</v>
      </c>
      <c r="J141">
        <f>9+9+9+9+7</f>
        <v>43</v>
      </c>
      <c r="K141">
        <f t="shared" si="3"/>
        <v>84</v>
      </c>
      <c r="L141" t="s">
        <v>326</v>
      </c>
      <c r="M141" t="s">
        <v>211</v>
      </c>
      <c r="O141" t="str">
        <f>TEXT(행사기준[[#This Row],[년월]],"yy년m월")&amp;행사기준[[#This Row],[행사명]]</f>
        <v>24년5월즐거운 코딩나라</v>
      </c>
    </row>
    <row r="142" spans="1:15" x14ac:dyDescent="0.3">
      <c r="A142" s="5">
        <v>45413</v>
      </c>
      <c r="B142" t="s">
        <v>99</v>
      </c>
      <c r="C142" t="s">
        <v>323</v>
      </c>
      <c r="D142" t="s">
        <v>297</v>
      </c>
      <c r="E142" t="s">
        <v>163</v>
      </c>
      <c r="H142">
        <v>3</v>
      </c>
      <c r="I142">
        <f>3+4+1</f>
        <v>8</v>
      </c>
      <c r="J142">
        <f>1+1+1</f>
        <v>3</v>
      </c>
      <c r="K142">
        <f t="shared" si="3"/>
        <v>11</v>
      </c>
      <c r="L142" t="s">
        <v>320</v>
      </c>
      <c r="M142" t="s">
        <v>211</v>
      </c>
      <c r="O142" t="str">
        <f>TEXT(행사기준[[#This Row],[년월]],"yy년m월")&amp;행사기준[[#This Row],[행사명]]</f>
        <v>24년5월모두가 하나되는 세계시민 프로젝트</v>
      </c>
    </row>
    <row r="143" spans="1:15" x14ac:dyDescent="0.3">
      <c r="A143" s="5">
        <v>45413</v>
      </c>
      <c r="B143" t="s">
        <v>99</v>
      </c>
      <c r="C143" t="s">
        <v>323</v>
      </c>
      <c r="D143" t="s">
        <v>293</v>
      </c>
      <c r="E143" t="s">
        <v>116</v>
      </c>
      <c r="H143">
        <v>3</v>
      </c>
      <c r="I143">
        <v>6</v>
      </c>
      <c r="J143">
        <f>24*3</f>
        <v>72</v>
      </c>
      <c r="K143">
        <f t="shared" si="3"/>
        <v>78</v>
      </c>
      <c r="L143" t="s">
        <v>210</v>
      </c>
      <c r="M143" t="s">
        <v>211</v>
      </c>
      <c r="O143" t="str">
        <f>TEXT(행사기준[[#This Row],[년월]],"yy년m월")&amp;행사기준[[#This Row],[행사명]]</f>
        <v>24년5월활력충전 신바람 노래교실</v>
      </c>
    </row>
    <row r="144" spans="1:15" x14ac:dyDescent="0.3">
      <c r="A144" s="5">
        <v>45413</v>
      </c>
      <c r="B144" t="s">
        <v>99</v>
      </c>
      <c r="C144" t="s">
        <v>327</v>
      </c>
      <c r="D144" t="s">
        <v>294</v>
      </c>
      <c r="E144" t="s">
        <v>176</v>
      </c>
      <c r="G144" t="s">
        <v>328</v>
      </c>
      <c r="H144">
        <v>4</v>
      </c>
      <c r="I144">
        <f>1+1+3+2</f>
        <v>7</v>
      </c>
      <c r="J144">
        <f>11+9+13+10</f>
        <v>43</v>
      </c>
      <c r="K144">
        <f t="shared" si="3"/>
        <v>50</v>
      </c>
      <c r="L144" t="s">
        <v>329</v>
      </c>
      <c r="M144" t="s">
        <v>211</v>
      </c>
      <c r="O144" t="str">
        <f>TEXT(행사기준[[#This Row],[년월]],"yy년m월")&amp;행사기준[[#This Row],[행사명]]</f>
        <v>24년5월우리 가족 놀이 체육</v>
      </c>
    </row>
    <row r="145" spans="1:15" x14ac:dyDescent="0.3">
      <c r="A145" s="5">
        <v>45413</v>
      </c>
      <c r="B145" t="s">
        <v>99</v>
      </c>
      <c r="C145" t="s">
        <v>327</v>
      </c>
      <c r="D145" t="s">
        <v>298</v>
      </c>
      <c r="E145" t="s">
        <v>132</v>
      </c>
      <c r="H145">
        <v>4</v>
      </c>
      <c r="I145">
        <f>1+1+1+1</f>
        <v>4</v>
      </c>
      <c r="J145">
        <f>4+2+3+3</f>
        <v>12</v>
      </c>
      <c r="K145">
        <f t="shared" si="3"/>
        <v>16</v>
      </c>
      <c r="L145" t="s">
        <v>330</v>
      </c>
      <c r="M145" t="s">
        <v>211</v>
      </c>
      <c r="O145" t="str">
        <f>TEXT(행사기준[[#This Row],[년월]],"yy년m월")&amp;행사기준[[#This Row],[행사명]]</f>
        <v>24년5월셀프 마사지로 내 몸 챙기기</v>
      </c>
    </row>
    <row r="146" spans="1:15" x14ac:dyDescent="0.3">
      <c r="A146" s="5">
        <v>45413</v>
      </c>
      <c r="B146" t="s">
        <v>99</v>
      </c>
      <c r="C146" t="s">
        <v>331</v>
      </c>
      <c r="D146" t="s">
        <v>332</v>
      </c>
      <c r="E146" t="s">
        <v>163</v>
      </c>
      <c r="G146" t="s">
        <v>336</v>
      </c>
      <c r="H146">
        <v>2</v>
      </c>
      <c r="I146">
        <v>28</v>
      </c>
      <c r="J146">
        <v>44</v>
      </c>
      <c r="K146">
        <f t="shared" si="3"/>
        <v>72</v>
      </c>
      <c r="L146" t="s">
        <v>333</v>
      </c>
      <c r="M146" t="s">
        <v>211</v>
      </c>
      <c r="O146" t="str">
        <f>TEXT(행사기준[[#This Row],[년월]],"yy년m월")&amp;행사기준[[#This Row],[행사명]]</f>
        <v>24년5월나의 실천은 지구를 지킬 수 있을까?</v>
      </c>
    </row>
    <row r="147" spans="1:15" x14ac:dyDescent="0.3">
      <c r="A147" s="5">
        <v>45413</v>
      </c>
      <c r="B147" t="s">
        <v>99</v>
      </c>
      <c r="C147" t="s">
        <v>331</v>
      </c>
      <c r="D147" t="s">
        <v>334</v>
      </c>
      <c r="E147" t="s">
        <v>132</v>
      </c>
      <c r="H147">
        <v>1</v>
      </c>
      <c r="I147">
        <v>6</v>
      </c>
      <c r="J147">
        <v>22</v>
      </c>
      <c r="K147">
        <f t="shared" si="3"/>
        <v>28</v>
      </c>
      <c r="L147" t="s">
        <v>335</v>
      </c>
      <c r="M147" t="s">
        <v>211</v>
      </c>
      <c r="O147" t="str">
        <f>TEXT(행사기준[[#This Row],[년월]],"yy년m월")&amp;행사기준[[#This Row],[행사명]]</f>
        <v>24년5월심리학과 함께하는 행복찾기</v>
      </c>
    </row>
    <row r="148" spans="1:15" x14ac:dyDescent="0.3">
      <c r="A148" s="5">
        <v>45413</v>
      </c>
      <c r="B148" t="s">
        <v>227</v>
      </c>
      <c r="C148" t="s">
        <v>229</v>
      </c>
      <c r="D148" t="s">
        <v>230</v>
      </c>
      <c r="E148" t="s">
        <v>133</v>
      </c>
      <c r="F148" t="s">
        <v>337</v>
      </c>
      <c r="G148" t="s">
        <v>338</v>
      </c>
      <c r="H148">
        <v>1</v>
      </c>
      <c r="I148">
        <v>6</v>
      </c>
      <c r="J148">
        <v>7</v>
      </c>
      <c r="K148">
        <f t="shared" si="3"/>
        <v>13</v>
      </c>
      <c r="L148" t="s">
        <v>339</v>
      </c>
      <c r="M148" t="s">
        <v>231</v>
      </c>
      <c r="O148" t="str">
        <f>TEXT(행사기준[[#This Row],[년월]],"yy년m월")&amp;행사기준[[#This Row],[행사명]]</f>
        <v>24년5월나는야 지구 환경 지킴이</v>
      </c>
    </row>
    <row r="149" spans="1:15" x14ac:dyDescent="0.3">
      <c r="A149" s="5">
        <v>45413</v>
      </c>
      <c r="B149" t="s">
        <v>227</v>
      </c>
      <c r="C149" t="s">
        <v>229</v>
      </c>
      <c r="D149" t="s">
        <v>232</v>
      </c>
      <c r="E149" t="s">
        <v>133</v>
      </c>
      <c r="F149" t="s">
        <v>340</v>
      </c>
      <c r="G149" t="s">
        <v>341</v>
      </c>
      <c r="H149">
        <v>2</v>
      </c>
      <c r="I149">
        <v>17</v>
      </c>
      <c r="J149">
        <v>7</v>
      </c>
      <c r="K149">
        <f t="shared" si="3"/>
        <v>24</v>
      </c>
      <c r="L149" t="s">
        <v>342</v>
      </c>
      <c r="M149" t="s">
        <v>231</v>
      </c>
      <c r="O149" t="str">
        <f>TEXT(행사기준[[#This Row],[년월]],"yy년m월")&amp;행사기준[[#This Row],[행사명]]</f>
        <v>24년5월인성 쑥쑥 놀이터</v>
      </c>
    </row>
    <row r="150" spans="1:15" x14ac:dyDescent="0.3">
      <c r="A150" s="5">
        <v>45413</v>
      </c>
      <c r="B150" t="s">
        <v>227</v>
      </c>
      <c r="C150" t="s">
        <v>229</v>
      </c>
      <c r="D150" t="s">
        <v>233</v>
      </c>
      <c r="E150" t="s">
        <v>133</v>
      </c>
      <c r="F150" t="s">
        <v>343</v>
      </c>
      <c r="G150" t="s">
        <v>344</v>
      </c>
      <c r="H150">
        <v>2</v>
      </c>
      <c r="I150">
        <v>8</v>
      </c>
      <c r="J150">
        <v>4</v>
      </c>
      <c r="K150">
        <f t="shared" si="3"/>
        <v>12</v>
      </c>
      <c r="L150" t="s">
        <v>345</v>
      </c>
      <c r="M150" t="s">
        <v>231</v>
      </c>
      <c r="O150" t="str">
        <f>TEXT(행사기준[[#This Row],[년월]],"yy년m월")&amp;행사기준[[#This Row],[행사명]]</f>
        <v>24년5월나의 언어, 나의 동시</v>
      </c>
    </row>
    <row r="151" spans="1:15" x14ac:dyDescent="0.3">
      <c r="A151" s="5">
        <v>45413</v>
      </c>
      <c r="B151" t="s">
        <v>227</v>
      </c>
      <c r="C151" t="s">
        <v>229</v>
      </c>
      <c r="D151" t="s">
        <v>485</v>
      </c>
      <c r="E151" t="s">
        <v>133</v>
      </c>
      <c r="F151" t="s">
        <v>346</v>
      </c>
      <c r="G151" t="s">
        <v>338</v>
      </c>
      <c r="H151">
        <v>1</v>
      </c>
      <c r="I151">
        <v>11</v>
      </c>
      <c r="J151">
        <v>13</v>
      </c>
      <c r="K151">
        <f t="shared" si="3"/>
        <v>24</v>
      </c>
      <c r="L151" t="s">
        <v>347</v>
      </c>
      <c r="M151" t="s">
        <v>231</v>
      </c>
      <c r="O151" t="str">
        <f>TEXT(행사기준[[#This Row],[년월]],"yy년m월")&amp;행사기준[[#This Row],[행사명]]</f>
        <v>24년5월책으로 떠나는 수학탐험대</v>
      </c>
    </row>
    <row r="152" spans="1:15" x14ac:dyDescent="0.3">
      <c r="A152" s="5">
        <v>45413</v>
      </c>
      <c r="B152" t="s">
        <v>227</v>
      </c>
      <c r="C152" t="s">
        <v>235</v>
      </c>
      <c r="D152" t="s">
        <v>348</v>
      </c>
      <c r="E152" t="s">
        <v>133</v>
      </c>
      <c r="G152" t="s">
        <v>349</v>
      </c>
      <c r="H152">
        <v>5</v>
      </c>
      <c r="I152">
        <v>312</v>
      </c>
      <c r="J152">
        <v>302</v>
      </c>
      <c r="K152">
        <f t="shared" si="3"/>
        <v>614</v>
      </c>
      <c r="M152" t="s">
        <v>231</v>
      </c>
      <c r="O152" t="str">
        <f>TEXT(행사기준[[#This Row],[년월]],"yy년m월")&amp;행사기준[[#This Row],[행사명]]</f>
        <v>24년5월공 좀 주워 주세요</v>
      </c>
    </row>
    <row r="153" spans="1:15" x14ac:dyDescent="0.3">
      <c r="A153" s="5">
        <v>45413</v>
      </c>
      <c r="B153" t="s">
        <v>227</v>
      </c>
      <c r="C153" t="s">
        <v>235</v>
      </c>
      <c r="D153" t="s">
        <v>350</v>
      </c>
      <c r="E153" t="s">
        <v>133</v>
      </c>
      <c r="G153" t="s">
        <v>351</v>
      </c>
      <c r="H153">
        <v>5</v>
      </c>
      <c r="I153">
        <v>232</v>
      </c>
      <c r="J153">
        <v>229</v>
      </c>
      <c r="K153">
        <f t="shared" si="3"/>
        <v>461</v>
      </c>
      <c r="M153" t="s">
        <v>231</v>
      </c>
      <c r="O153" t="str">
        <f>TEXT(행사기준[[#This Row],[년월]],"yy년m월")&amp;행사기준[[#This Row],[행사명]]</f>
        <v>24년5월고양이는 이사 중!</v>
      </c>
    </row>
    <row r="154" spans="1:15" x14ac:dyDescent="0.3">
      <c r="A154" s="5">
        <v>45413</v>
      </c>
      <c r="B154" t="s">
        <v>227</v>
      </c>
      <c r="C154" t="s">
        <v>235</v>
      </c>
      <c r="D154" t="s">
        <v>352</v>
      </c>
      <c r="E154" t="s">
        <v>133</v>
      </c>
      <c r="G154" t="s">
        <v>353</v>
      </c>
      <c r="H154">
        <v>2</v>
      </c>
      <c r="I154">
        <v>30</v>
      </c>
      <c r="J154">
        <v>17</v>
      </c>
      <c r="K154">
        <f t="shared" si="3"/>
        <v>47</v>
      </c>
      <c r="M154" t="s">
        <v>231</v>
      </c>
      <c r="O154" t="str">
        <f>TEXT(행사기준[[#This Row],[년월]],"yy년m월")&amp;행사기준[[#This Row],[행사명]]</f>
        <v>24년5월내 친구 거미</v>
      </c>
    </row>
    <row r="155" spans="1:15" x14ac:dyDescent="0.3">
      <c r="A155" s="5">
        <v>45413</v>
      </c>
      <c r="B155" t="s">
        <v>227</v>
      </c>
      <c r="C155" t="s">
        <v>239</v>
      </c>
      <c r="D155" t="s">
        <v>240</v>
      </c>
      <c r="E155" t="s">
        <v>133</v>
      </c>
      <c r="G155" t="s">
        <v>354</v>
      </c>
      <c r="H155">
        <v>3</v>
      </c>
      <c r="I155">
        <v>158</v>
      </c>
      <c r="J155">
        <v>153</v>
      </c>
      <c r="K155">
        <f t="shared" si="3"/>
        <v>311</v>
      </c>
      <c r="M155" t="s">
        <v>231</v>
      </c>
      <c r="O155" t="str">
        <f>TEXT(행사기준[[#This Row],[년월]],"yy년m월")&amp;행사기준[[#This Row],[행사명]]</f>
        <v>24년5월그림책이 살아있다</v>
      </c>
    </row>
    <row r="156" spans="1:15" x14ac:dyDescent="0.3">
      <c r="A156" s="5">
        <v>45413</v>
      </c>
      <c r="B156" t="s">
        <v>227</v>
      </c>
      <c r="C156" t="s">
        <v>239</v>
      </c>
      <c r="D156" t="s">
        <v>241</v>
      </c>
      <c r="E156" t="s">
        <v>133</v>
      </c>
      <c r="G156" t="s">
        <v>355</v>
      </c>
      <c r="H156">
        <v>3</v>
      </c>
      <c r="I156">
        <v>167</v>
      </c>
      <c r="J156">
        <v>146</v>
      </c>
      <c r="K156">
        <f t="shared" si="3"/>
        <v>313</v>
      </c>
      <c r="M156" t="s">
        <v>231</v>
      </c>
      <c r="O156" t="str">
        <f>TEXT(행사기준[[#This Row],[년월]],"yy년m월")&amp;행사기준[[#This Row],[행사명]]</f>
        <v>24년5월그림책이 커졌다</v>
      </c>
    </row>
    <row r="157" spans="1:15" x14ac:dyDescent="0.3">
      <c r="A157" s="5">
        <v>45413</v>
      </c>
      <c r="B157" t="s">
        <v>227</v>
      </c>
      <c r="C157" t="s">
        <v>239</v>
      </c>
      <c r="D157" t="s">
        <v>242</v>
      </c>
      <c r="E157" t="s">
        <v>133</v>
      </c>
      <c r="G157" t="s">
        <v>356</v>
      </c>
      <c r="H157">
        <v>2</v>
      </c>
      <c r="I157">
        <v>51</v>
      </c>
      <c r="J157">
        <v>30</v>
      </c>
      <c r="K157">
        <f t="shared" si="3"/>
        <v>81</v>
      </c>
      <c r="M157" t="s">
        <v>231</v>
      </c>
      <c r="O157" t="str">
        <f>TEXT(행사기준[[#This Row],[년월]],"yy년m월")&amp;행사기준[[#This Row],[행사명]]</f>
        <v>24년5월이지은 작가의 책</v>
      </c>
    </row>
    <row r="158" spans="1:15" x14ac:dyDescent="0.3">
      <c r="A158" s="5">
        <v>45413</v>
      </c>
      <c r="B158" t="s">
        <v>227</v>
      </c>
      <c r="C158" t="s">
        <v>239</v>
      </c>
      <c r="D158" t="s">
        <v>243</v>
      </c>
      <c r="E158" t="s">
        <v>133</v>
      </c>
      <c r="G158" t="s">
        <v>357</v>
      </c>
      <c r="H158">
        <v>3</v>
      </c>
      <c r="I158">
        <v>158</v>
      </c>
      <c r="J158">
        <v>170</v>
      </c>
      <c r="K158">
        <f t="shared" si="3"/>
        <v>328</v>
      </c>
      <c r="M158" t="s">
        <v>231</v>
      </c>
      <c r="O158" t="str">
        <f>TEXT(행사기준[[#This Row],[년월]],"yy년m월")&amp;행사기준[[#This Row],[행사명]]</f>
        <v>24년5월경혜원 작가의 책</v>
      </c>
    </row>
    <row r="159" spans="1:15" x14ac:dyDescent="0.3">
      <c r="A159" s="5">
        <v>45413</v>
      </c>
      <c r="B159" t="s">
        <v>227</v>
      </c>
      <c r="C159" t="s">
        <v>239</v>
      </c>
      <c r="D159" t="s">
        <v>244</v>
      </c>
      <c r="E159" t="s">
        <v>133</v>
      </c>
      <c r="G159" t="s">
        <v>358</v>
      </c>
      <c r="H159">
        <v>3</v>
      </c>
      <c r="I159">
        <v>51</v>
      </c>
      <c r="J159">
        <v>56</v>
      </c>
      <c r="K159">
        <f t="shared" si="3"/>
        <v>107</v>
      </c>
      <c r="M159" t="s">
        <v>231</v>
      </c>
      <c r="O159" t="str">
        <f>TEXT(행사기준[[#This Row],[년월]],"yy년m월")&amp;행사기준[[#This Row],[행사명]]</f>
        <v>24년5월정진호 작가의 책</v>
      </c>
    </row>
    <row r="160" spans="1:15" x14ac:dyDescent="0.3">
      <c r="A160" s="5">
        <v>45444</v>
      </c>
      <c r="B160" t="s">
        <v>390</v>
      </c>
      <c r="D160" t="s">
        <v>364</v>
      </c>
      <c r="E160" t="s">
        <v>365</v>
      </c>
      <c r="G160" s="11"/>
      <c r="H160" s="11">
        <v>1</v>
      </c>
      <c r="I160" s="11">
        <v>4</v>
      </c>
      <c r="J160" s="11">
        <v>12</v>
      </c>
      <c r="K160">
        <f t="shared" ref="K160:K168" si="4">I160+J160</f>
        <v>16</v>
      </c>
      <c r="M160" t="s">
        <v>366</v>
      </c>
      <c r="O160" t="str">
        <f>TEXT(행사기준[[#This Row],[년월]],"yy년m월")&amp;행사기준[[#This Row],[행사명]]</f>
        <v>24년6월또북 또북 책 읽자!</v>
      </c>
    </row>
    <row r="161" spans="1:15" x14ac:dyDescent="0.3">
      <c r="A161" s="5">
        <v>45444</v>
      </c>
      <c r="B161" s="10" t="s">
        <v>390</v>
      </c>
      <c r="D161" t="s">
        <v>367</v>
      </c>
      <c r="E161" t="s">
        <v>365</v>
      </c>
      <c r="G161" s="11"/>
      <c r="H161" s="11">
        <v>1</v>
      </c>
      <c r="I161" s="11">
        <v>7</v>
      </c>
      <c r="J161" s="11">
        <v>23</v>
      </c>
      <c r="K161">
        <f t="shared" si="4"/>
        <v>30</v>
      </c>
      <c r="M161" t="s">
        <v>366</v>
      </c>
      <c r="O161" t="str">
        <f>TEXT(행사기준[[#This Row],[년월]],"yy년m월")&amp;행사기준[[#This Row],[행사명]]</f>
        <v>24년6월나라사랑 십자말풀이</v>
      </c>
    </row>
    <row r="162" spans="1:15" x14ac:dyDescent="0.3">
      <c r="A162" s="5">
        <v>45444</v>
      </c>
      <c r="B162" s="10" t="s">
        <v>390</v>
      </c>
      <c r="D162" t="s">
        <v>368</v>
      </c>
      <c r="E162" t="s">
        <v>365</v>
      </c>
      <c r="G162" s="11"/>
      <c r="H162" s="11">
        <v>1</v>
      </c>
      <c r="I162" s="11">
        <v>21</v>
      </c>
      <c r="J162" s="11">
        <v>40</v>
      </c>
      <c r="K162">
        <f t="shared" si="4"/>
        <v>61</v>
      </c>
      <c r="M162" t="s">
        <v>366</v>
      </c>
      <c r="O162" t="str">
        <f>TEXT(행사기준[[#This Row],[년월]],"yy년m월")&amp;행사기준[[#This Row],[행사명]]</f>
        <v>24년6월이 책의 이름은 비밀</v>
      </c>
    </row>
    <row r="163" spans="1:15" x14ac:dyDescent="0.3">
      <c r="A163" s="5">
        <v>45444</v>
      </c>
      <c r="B163" s="10" t="s">
        <v>390</v>
      </c>
      <c r="D163" t="s">
        <v>369</v>
      </c>
      <c r="E163" t="s">
        <v>365</v>
      </c>
      <c r="G163" s="11" t="s">
        <v>403</v>
      </c>
      <c r="H163" s="11">
        <v>1</v>
      </c>
      <c r="I163" s="11">
        <v>3</v>
      </c>
      <c r="J163" s="11">
        <v>11</v>
      </c>
      <c r="K163">
        <f t="shared" si="4"/>
        <v>14</v>
      </c>
      <c r="M163" t="s">
        <v>366</v>
      </c>
      <c r="O163" t="str">
        <f>TEXT(행사기준[[#This Row],[년월]],"yy년m월")&amp;행사기준[[#This Row],[행사명]]</f>
        <v>24년6월책꾸러미로 북스타트</v>
      </c>
    </row>
    <row r="164" spans="1:15" x14ac:dyDescent="0.3">
      <c r="A164" s="5">
        <v>45444</v>
      </c>
      <c r="B164" s="10" t="s">
        <v>390</v>
      </c>
      <c r="D164" t="s">
        <v>370</v>
      </c>
      <c r="E164" t="s">
        <v>365</v>
      </c>
      <c r="G164" s="11"/>
      <c r="H164" s="11">
        <v>1</v>
      </c>
      <c r="I164" s="11">
        <v>41</v>
      </c>
      <c r="J164" s="11">
        <v>58</v>
      </c>
      <c r="K164">
        <f t="shared" si="4"/>
        <v>99</v>
      </c>
      <c r="M164" t="s">
        <v>366</v>
      </c>
      <c r="O164" t="str">
        <f>TEXT(행사기준[[#This Row],[년월]],"yy년m월")&amp;행사기준[[#This Row],[행사명]]</f>
        <v>24년6월생각키움 독서퀴즈</v>
      </c>
    </row>
    <row r="165" spans="1:15" x14ac:dyDescent="0.3">
      <c r="A165" s="5">
        <v>45444</v>
      </c>
      <c r="B165" s="10" t="s">
        <v>390</v>
      </c>
      <c r="D165" t="s">
        <v>371</v>
      </c>
      <c r="E165" t="s">
        <v>365</v>
      </c>
      <c r="G165" s="11"/>
      <c r="H165" s="11">
        <v>1</v>
      </c>
      <c r="I165" s="11">
        <v>4</v>
      </c>
      <c r="J165" s="11">
        <v>16</v>
      </c>
      <c r="K165">
        <f t="shared" si="4"/>
        <v>20</v>
      </c>
      <c r="M165" t="s">
        <v>366</v>
      </c>
      <c r="O165" t="str">
        <f>TEXT(행사기준[[#This Row],[년월]],"yy년m월")&amp;행사기준[[#This Row],[행사명]]</f>
        <v>24년6월내가 좋아하는 책 속 한 구절</v>
      </c>
    </row>
    <row r="166" spans="1:15" x14ac:dyDescent="0.3">
      <c r="A166" s="5">
        <v>45444</v>
      </c>
      <c r="B166" s="10" t="s">
        <v>390</v>
      </c>
      <c r="D166" t="s">
        <v>372</v>
      </c>
      <c r="E166" t="s">
        <v>373</v>
      </c>
      <c r="H166">
        <v>1</v>
      </c>
      <c r="I166">
        <v>55</v>
      </c>
      <c r="J166">
        <v>89</v>
      </c>
      <c r="K166" s="11">
        <f t="shared" si="4"/>
        <v>144</v>
      </c>
      <c r="M166" t="s">
        <v>374</v>
      </c>
      <c r="O166" t="str">
        <f>TEXT(행사기준[[#This Row],[년월]],"yy년m월")&amp;행사기준[[#This Row],[행사명]]</f>
        <v>24년6월영수증 주면 선물 JUNE다</v>
      </c>
    </row>
    <row r="167" spans="1:15" x14ac:dyDescent="0.3">
      <c r="A167" s="5">
        <v>45444</v>
      </c>
      <c r="B167" s="10" t="s">
        <v>390</v>
      </c>
      <c r="D167" t="s">
        <v>375</v>
      </c>
      <c r="E167" t="s">
        <v>376</v>
      </c>
      <c r="H167">
        <v>1</v>
      </c>
      <c r="I167">
        <v>18</v>
      </c>
      <c r="J167">
        <v>52</v>
      </c>
      <c r="K167" s="11">
        <f t="shared" si="4"/>
        <v>70</v>
      </c>
      <c r="M167" t="s">
        <v>374</v>
      </c>
      <c r="N167" t="s">
        <v>366</v>
      </c>
      <c r="O167" t="str">
        <f>TEXT(행사기준[[#This Row],[년월]],"yy년m월")&amp;행사기준[[#This Row],[행사명]]</f>
        <v>24년6월스마트도서관에서 빌려봤슴?</v>
      </c>
    </row>
    <row r="168" spans="1:15" x14ac:dyDescent="0.3">
      <c r="A168" s="5">
        <v>45444</v>
      </c>
      <c r="B168" s="10" t="s">
        <v>390</v>
      </c>
      <c r="D168" t="s">
        <v>377</v>
      </c>
      <c r="E168" t="s">
        <v>376</v>
      </c>
      <c r="H168">
        <v>2</v>
      </c>
      <c r="I168" s="11"/>
      <c r="J168" s="11">
        <v>18</v>
      </c>
      <c r="K168" s="11">
        <f t="shared" si="4"/>
        <v>18</v>
      </c>
      <c r="M168" t="s">
        <v>378</v>
      </c>
      <c r="O168" t="str">
        <f>TEXT(행사기준[[#This Row],[년월]],"yy년m월")&amp;행사기준[[#This Row],[행사명]]</f>
        <v>24년6월이책모지?</v>
      </c>
    </row>
    <row r="169" spans="1:15" x14ac:dyDescent="0.3">
      <c r="A169" s="5">
        <v>45444</v>
      </c>
      <c r="B169" s="10" t="s">
        <v>390</v>
      </c>
      <c r="C169" s="17" t="s">
        <v>202</v>
      </c>
      <c r="D169" t="s">
        <v>379</v>
      </c>
      <c r="E169" t="s">
        <v>376</v>
      </c>
      <c r="H169">
        <v>1</v>
      </c>
      <c r="I169">
        <v>8</v>
      </c>
      <c r="J169">
        <v>11</v>
      </c>
      <c r="K169" s="11">
        <f t="shared" ref="K169:K171" si="5">I169+J169</f>
        <v>19</v>
      </c>
      <c r="M169" s="10" t="s">
        <v>207</v>
      </c>
      <c r="N169" s="10" t="s">
        <v>206</v>
      </c>
      <c r="O169" t="str">
        <f>TEXT(행사기준[[#This Row],[년월]],"yy년m월")&amp;행사기준[[#This Row],[행사명]]</f>
        <v>24년6월두 배로 데이</v>
      </c>
    </row>
    <row r="170" spans="1:15" x14ac:dyDescent="0.3">
      <c r="A170" s="5">
        <v>45444</v>
      </c>
      <c r="B170" s="10" t="s">
        <v>390</v>
      </c>
      <c r="C170" s="17" t="s">
        <v>202</v>
      </c>
      <c r="D170" t="s">
        <v>362</v>
      </c>
      <c r="E170" t="s">
        <v>376</v>
      </c>
      <c r="H170">
        <v>1</v>
      </c>
      <c r="I170">
        <v>4</v>
      </c>
      <c r="J170">
        <v>5</v>
      </c>
      <c r="K170" s="11">
        <f t="shared" si="5"/>
        <v>9</v>
      </c>
      <c r="M170" s="10" t="s">
        <v>207</v>
      </c>
      <c r="N170" s="10" t="s">
        <v>206</v>
      </c>
      <c r="O170" t="str">
        <f>TEXT(행사기준[[#This Row],[년월]],"yy년m월")&amp;행사기준[[#This Row],[행사명]]</f>
        <v>24년6월연체자 클린 데이</v>
      </c>
    </row>
    <row r="171" spans="1:15" x14ac:dyDescent="0.3">
      <c r="A171" s="5">
        <v>45444</v>
      </c>
      <c r="B171" s="10" t="s">
        <v>103</v>
      </c>
      <c r="C171" s="10"/>
      <c r="D171" s="10" t="s">
        <v>224</v>
      </c>
      <c r="E171" s="10" t="s">
        <v>132</v>
      </c>
      <c r="F171" s="10"/>
      <c r="G171" s="10"/>
      <c r="H171">
        <v>1</v>
      </c>
      <c r="I171" s="10">
        <v>2</v>
      </c>
      <c r="J171" s="10">
        <v>4</v>
      </c>
      <c r="K171" s="11">
        <f t="shared" si="5"/>
        <v>6</v>
      </c>
      <c r="L171" s="10"/>
      <c r="M171" s="10" t="s">
        <v>207</v>
      </c>
      <c r="N171" s="10"/>
      <c r="O171" t="str">
        <f>TEXT(행사기준[[#This Row],[년월]],"yy년m월")&amp;행사기준[[#This Row],[행사명]]</f>
        <v>24년6월성인(화왕) 독서동아리</v>
      </c>
    </row>
    <row r="172" spans="1:15" x14ac:dyDescent="0.3">
      <c r="A172" s="5">
        <v>45444</v>
      </c>
      <c r="B172" s="10" t="s">
        <v>103</v>
      </c>
      <c r="C172" s="10"/>
      <c r="D172" s="10" t="s">
        <v>257</v>
      </c>
      <c r="E172" s="10" t="s">
        <v>163</v>
      </c>
      <c r="F172" s="10"/>
      <c r="G172" s="10"/>
      <c r="H172" s="11">
        <v>1</v>
      </c>
      <c r="I172" s="11">
        <v>2</v>
      </c>
      <c r="J172" s="11"/>
      <c r="K172" s="10">
        <f t="shared" ref="K172" si="6">I172+J172</f>
        <v>2</v>
      </c>
      <c r="L172" s="10" t="s">
        <v>282</v>
      </c>
      <c r="M172" s="10" t="s">
        <v>231</v>
      </c>
      <c r="N172" s="10"/>
      <c r="O172" t="str">
        <f>TEXT(행사기준[[#This Row],[년월]],"yy년m월")&amp;행사기준[[#This Row],[행사명]]</f>
        <v>24년6월꿈동(청소년) 독서동아리</v>
      </c>
    </row>
    <row r="173" spans="1:15" x14ac:dyDescent="0.3">
      <c r="A173" s="5">
        <v>45444</v>
      </c>
      <c r="B173" s="10" t="s">
        <v>103</v>
      </c>
      <c r="C173" s="10"/>
      <c r="D173" s="10" t="s">
        <v>258</v>
      </c>
      <c r="E173" s="10" t="s">
        <v>133</v>
      </c>
      <c r="F173" s="10"/>
      <c r="G173" s="10"/>
      <c r="H173" s="11">
        <v>1</v>
      </c>
      <c r="I173" s="11">
        <v>1</v>
      </c>
      <c r="J173" s="11">
        <v>4</v>
      </c>
      <c r="K173" s="10">
        <f>I173+J173</f>
        <v>5</v>
      </c>
      <c r="L173" s="10"/>
      <c r="M173" s="10" t="s">
        <v>206</v>
      </c>
      <c r="N173" s="10"/>
      <c r="O173" t="str">
        <f>TEXT(행사기준[[#This Row],[년월]],"yy년m월")&amp;행사기준[[#This Row],[행사명]]</f>
        <v>24년6월푸르미(어린이) 독서동아리</v>
      </c>
    </row>
    <row r="174" spans="1:15" x14ac:dyDescent="0.3">
      <c r="A174" s="5">
        <v>45444</v>
      </c>
      <c r="B174" t="s">
        <v>391</v>
      </c>
      <c r="D174" t="s">
        <v>380</v>
      </c>
      <c r="E174" s="10" t="s">
        <v>450</v>
      </c>
      <c r="F174" s="10"/>
      <c r="G174" s="10"/>
      <c r="H174" s="11">
        <v>1</v>
      </c>
      <c r="I174" s="11">
        <v>170</v>
      </c>
      <c r="J174" s="11">
        <v>239</v>
      </c>
      <c r="K174" s="11">
        <f t="shared" ref="K174:K180" si="7">I174+J174</f>
        <v>409</v>
      </c>
      <c r="L174" s="10"/>
      <c r="M174" s="10" t="s">
        <v>404</v>
      </c>
      <c r="O174" t="str">
        <f>TEXT(행사기준[[#This Row],[년월]],"yy년m월")&amp;행사기준[[#This Row],[행사명]]</f>
        <v>24년6월사서가 들려주는 북 스토리</v>
      </c>
    </row>
    <row r="175" spans="1:15" x14ac:dyDescent="0.3">
      <c r="A175" s="5">
        <v>45444</v>
      </c>
      <c r="B175" s="10" t="s">
        <v>391</v>
      </c>
      <c r="D175" t="s">
        <v>381</v>
      </c>
      <c r="E175" s="10" t="s">
        <v>133</v>
      </c>
      <c r="F175" s="10"/>
      <c r="G175" s="10"/>
      <c r="H175" s="11">
        <v>1</v>
      </c>
      <c r="I175" s="11">
        <v>427</v>
      </c>
      <c r="J175" s="11">
        <v>494</v>
      </c>
      <c r="K175" s="11">
        <f t="shared" si="7"/>
        <v>921</v>
      </c>
      <c r="L175" s="10"/>
      <c r="M175" s="10" t="s">
        <v>206</v>
      </c>
      <c r="O175" t="str">
        <f>TEXT(행사기준[[#This Row],[년월]],"yy년m월")&amp;행사기준[[#This Row],[행사명]]</f>
        <v>24년6월이야기가 있는 그림책 원화 전시</v>
      </c>
    </row>
    <row r="176" spans="1:15" x14ac:dyDescent="0.3">
      <c r="A176" s="5">
        <v>45444</v>
      </c>
      <c r="B176" s="10" t="s">
        <v>391</v>
      </c>
      <c r="D176" s="10" t="s">
        <v>118</v>
      </c>
      <c r="E176" s="10" t="s">
        <v>133</v>
      </c>
      <c r="F176" s="10"/>
      <c r="G176" s="10"/>
      <c r="H176" s="11">
        <v>1</v>
      </c>
      <c r="I176" s="11">
        <v>96</v>
      </c>
      <c r="J176" s="11">
        <v>116</v>
      </c>
      <c r="K176" s="11">
        <f t="shared" si="7"/>
        <v>212</v>
      </c>
      <c r="L176" s="10"/>
      <c r="M176" s="10" t="s">
        <v>206</v>
      </c>
      <c r="O176" t="str">
        <f>TEXT(행사기준[[#This Row],[년월]],"yy년m월")&amp;행사기준[[#This Row],[행사명]]</f>
        <v>24년6월도서관에서 만나는 특별한 책 이야기</v>
      </c>
    </row>
    <row r="177" spans="1:15" x14ac:dyDescent="0.3">
      <c r="A177" s="5">
        <v>45444</v>
      </c>
      <c r="B177" s="10" t="s">
        <v>391</v>
      </c>
      <c r="D177" t="s">
        <v>382</v>
      </c>
      <c r="E177" t="s">
        <v>376</v>
      </c>
      <c r="H177" s="11">
        <v>1</v>
      </c>
      <c r="I177" s="11">
        <v>271</v>
      </c>
      <c r="J177" s="11">
        <v>449</v>
      </c>
      <c r="K177" s="11">
        <f t="shared" si="7"/>
        <v>720</v>
      </c>
      <c r="M177" t="s">
        <v>366</v>
      </c>
      <c r="O177" t="str">
        <f>TEXT(행사기준[[#This Row],[년월]],"yy년m월")&amp;행사기준[[#This Row],[행사명]]</f>
        <v>24년6월사서 추천 도서 서평 전시</v>
      </c>
    </row>
    <row r="178" spans="1:15" x14ac:dyDescent="0.3">
      <c r="A178" s="5">
        <v>45444</v>
      </c>
      <c r="B178" s="10" t="s">
        <v>391</v>
      </c>
      <c r="D178" s="10" t="s">
        <v>363</v>
      </c>
      <c r="E178" s="10" t="s">
        <v>133</v>
      </c>
      <c r="F178" s="10"/>
      <c r="G178" s="10"/>
      <c r="H178" s="11">
        <v>5</v>
      </c>
      <c r="I178" s="11">
        <v>15</v>
      </c>
      <c r="J178" s="11">
        <v>30</v>
      </c>
      <c r="K178" s="11">
        <f t="shared" si="7"/>
        <v>45</v>
      </c>
      <c r="L178" s="10"/>
      <c r="M178" s="10" t="s">
        <v>126</v>
      </c>
      <c r="O178" t="str">
        <f>TEXT(행사기준[[#This Row],[년월]],"yy년m월")&amp;행사기준[[#This Row],[행사명]]</f>
        <v>24년6월도서관에서 만나는 창녕 시네마</v>
      </c>
    </row>
    <row r="179" spans="1:15" x14ac:dyDescent="0.3">
      <c r="A179" s="5">
        <v>45444</v>
      </c>
      <c r="B179" t="s">
        <v>392</v>
      </c>
      <c r="D179" t="s">
        <v>383</v>
      </c>
      <c r="E179" t="s">
        <v>365</v>
      </c>
      <c r="H179" s="11">
        <v>3</v>
      </c>
      <c r="I179" s="11">
        <v>24</v>
      </c>
      <c r="J179" s="11">
        <v>17</v>
      </c>
      <c r="K179" s="11">
        <f t="shared" si="7"/>
        <v>41</v>
      </c>
      <c r="M179" t="s">
        <v>366</v>
      </c>
      <c r="O179" t="str">
        <f>TEXT(행사기준[[#This Row],[년월]],"yy년m월")&amp;행사기준[[#This Row],[행사명]]</f>
        <v>24년6월어린이자료실 현장학습</v>
      </c>
    </row>
    <row r="180" spans="1:15" x14ac:dyDescent="0.3">
      <c r="A180" s="5">
        <v>45444</v>
      </c>
      <c r="B180" t="s">
        <v>101</v>
      </c>
      <c r="C180" t="s">
        <v>495</v>
      </c>
      <c r="D180" t="s">
        <v>384</v>
      </c>
      <c r="E180" t="s">
        <v>365</v>
      </c>
      <c r="G180" s="11" t="s">
        <v>405</v>
      </c>
      <c r="H180" s="11">
        <v>2</v>
      </c>
      <c r="I180" s="11">
        <v>13</v>
      </c>
      <c r="J180" s="11">
        <v>17</v>
      </c>
      <c r="K180" s="11">
        <f t="shared" si="7"/>
        <v>30</v>
      </c>
      <c r="M180" t="s">
        <v>366</v>
      </c>
      <c r="O180" t="str">
        <f>TEXT(행사기준[[#This Row],[년월]],"yy년m월")&amp;행사기준[[#This Row],[행사명]]</f>
        <v>24년6월어린이 경제 보드게임</v>
      </c>
    </row>
    <row r="181" spans="1:15" x14ac:dyDescent="0.3">
      <c r="A181" s="5">
        <v>45444</v>
      </c>
      <c r="B181" s="10" t="s">
        <v>99</v>
      </c>
      <c r="C181" s="10" t="s">
        <v>323</v>
      </c>
      <c r="D181" s="10" t="s">
        <v>296</v>
      </c>
      <c r="E181" s="10" t="s">
        <v>133</v>
      </c>
      <c r="F181" s="10"/>
      <c r="G181" s="10" t="s">
        <v>324</v>
      </c>
      <c r="H181" s="11">
        <v>4</v>
      </c>
      <c r="I181" s="11">
        <v>21</v>
      </c>
      <c r="J181" s="11">
        <v>14</v>
      </c>
      <c r="K181" s="10">
        <f t="shared" ref="K181:K184" si="8">I181+J181</f>
        <v>35</v>
      </c>
      <c r="L181" s="10" t="s">
        <v>321</v>
      </c>
      <c r="M181" s="10" t="s">
        <v>211</v>
      </c>
      <c r="O181" t="str">
        <f>TEXT(행사기준[[#This Row],[년월]],"yy년m월")&amp;행사기준[[#This Row],[행사명]]</f>
        <v>24년6월오감 책놀이</v>
      </c>
    </row>
    <row r="182" spans="1:15" x14ac:dyDescent="0.3">
      <c r="A182" s="5">
        <v>45444</v>
      </c>
      <c r="B182" s="10" t="s">
        <v>99</v>
      </c>
      <c r="C182" s="10" t="s">
        <v>323</v>
      </c>
      <c r="D182" s="10" t="s">
        <v>295</v>
      </c>
      <c r="E182" s="10" t="s">
        <v>133</v>
      </c>
      <c r="F182" s="10"/>
      <c r="G182" s="10" t="s">
        <v>325</v>
      </c>
      <c r="H182" s="11">
        <v>4</v>
      </c>
      <c r="I182" s="11">
        <v>37</v>
      </c>
      <c r="J182" s="11">
        <v>34</v>
      </c>
      <c r="K182" s="10">
        <f t="shared" si="8"/>
        <v>71</v>
      </c>
      <c r="L182" s="10" t="s">
        <v>326</v>
      </c>
      <c r="M182" s="10" t="s">
        <v>211</v>
      </c>
      <c r="O182" t="str">
        <f>TEXT(행사기준[[#This Row],[년월]],"yy년m월")&amp;행사기준[[#This Row],[행사명]]</f>
        <v>24년6월즐거운 코딩나라</v>
      </c>
    </row>
    <row r="183" spans="1:15" x14ac:dyDescent="0.3">
      <c r="A183" s="5">
        <v>45444</v>
      </c>
      <c r="B183" s="10" t="s">
        <v>99</v>
      </c>
      <c r="C183" s="10" t="s">
        <v>323</v>
      </c>
      <c r="D183" s="10" t="s">
        <v>297</v>
      </c>
      <c r="E183" s="10" t="s">
        <v>163</v>
      </c>
      <c r="F183" s="10"/>
      <c r="G183" s="10"/>
      <c r="H183" s="10">
        <v>4</v>
      </c>
      <c r="I183" s="10">
        <v>13</v>
      </c>
      <c r="J183" s="10">
        <v>2</v>
      </c>
      <c r="K183" s="10">
        <f t="shared" si="8"/>
        <v>15</v>
      </c>
      <c r="L183" s="10" t="s">
        <v>320</v>
      </c>
      <c r="M183" s="10" t="s">
        <v>211</v>
      </c>
      <c r="O183" t="str">
        <f>TEXT(행사기준[[#This Row],[년월]],"yy년m월")&amp;행사기준[[#This Row],[행사명]]</f>
        <v>24년6월모두가 하나되는 세계시민 프로젝트</v>
      </c>
    </row>
    <row r="184" spans="1:15" x14ac:dyDescent="0.3">
      <c r="A184" s="5">
        <v>45444</v>
      </c>
      <c r="B184" s="10" t="s">
        <v>99</v>
      </c>
      <c r="C184" s="10" t="s">
        <v>323</v>
      </c>
      <c r="D184" s="10" t="s">
        <v>293</v>
      </c>
      <c r="E184" s="10" t="s">
        <v>116</v>
      </c>
      <c r="F184" s="10"/>
      <c r="G184" s="10"/>
      <c r="H184" s="11">
        <v>4</v>
      </c>
      <c r="I184" s="11">
        <v>8</v>
      </c>
      <c r="J184" s="11">
        <v>92</v>
      </c>
      <c r="K184" s="10">
        <f t="shared" si="8"/>
        <v>100</v>
      </c>
      <c r="L184" s="10" t="s">
        <v>210</v>
      </c>
      <c r="M184" s="10" t="s">
        <v>211</v>
      </c>
      <c r="O184" t="str">
        <f>TEXT(행사기준[[#This Row],[년월]],"yy년m월")&amp;행사기준[[#This Row],[행사명]]</f>
        <v>24년6월활력충전 신바람 노래교실</v>
      </c>
    </row>
    <row r="185" spans="1:15" x14ac:dyDescent="0.3">
      <c r="A185" s="5">
        <v>45444</v>
      </c>
      <c r="B185" t="s">
        <v>385</v>
      </c>
      <c r="C185" t="s">
        <v>386</v>
      </c>
      <c r="D185" t="s">
        <v>387</v>
      </c>
      <c r="E185" t="s">
        <v>373</v>
      </c>
      <c r="H185" s="11">
        <v>1</v>
      </c>
      <c r="I185" s="11">
        <v>4</v>
      </c>
      <c r="J185" s="11">
        <v>14</v>
      </c>
      <c r="K185">
        <f>I185+J185</f>
        <v>18</v>
      </c>
      <c r="L185" t="s">
        <v>401</v>
      </c>
      <c r="M185" t="s">
        <v>388</v>
      </c>
      <c r="O185" t="str">
        <f>TEXT(행사기준[[#This Row],[년월]],"yy년m월")&amp;행사기준[[#This Row],[행사명]]</f>
        <v>24년6월우리아이 미래 경제교육</v>
      </c>
    </row>
    <row r="186" spans="1:15" x14ac:dyDescent="0.3">
      <c r="A186" s="5">
        <v>45444</v>
      </c>
      <c r="B186" t="s">
        <v>385</v>
      </c>
      <c r="C186" t="s">
        <v>386</v>
      </c>
      <c r="D186" t="s">
        <v>389</v>
      </c>
      <c r="E186" t="s">
        <v>373</v>
      </c>
      <c r="H186" s="11">
        <v>1</v>
      </c>
      <c r="I186" s="11">
        <v>14</v>
      </c>
      <c r="J186" s="11">
        <v>14</v>
      </c>
      <c r="K186">
        <f>I186+J186</f>
        <v>28</v>
      </c>
      <c r="L186" t="s">
        <v>402</v>
      </c>
      <c r="M186" t="s">
        <v>388</v>
      </c>
      <c r="O186" t="str">
        <f>TEXT(행사기준[[#This Row],[년월]],"yy년m월")&amp;행사기준[[#This Row],[행사명]]</f>
        <v>24년6월AI혁명시대의 생존전략</v>
      </c>
    </row>
    <row r="187" spans="1:15" x14ac:dyDescent="0.3">
      <c r="A187" s="5">
        <v>45444</v>
      </c>
      <c r="B187" s="11" t="s">
        <v>99</v>
      </c>
      <c r="C187" s="11" t="s">
        <v>327</v>
      </c>
      <c r="D187" s="11" t="s">
        <v>294</v>
      </c>
      <c r="E187" s="11" t="s">
        <v>176</v>
      </c>
      <c r="F187" s="11"/>
      <c r="G187" s="11" t="s">
        <v>328</v>
      </c>
      <c r="H187" s="12">
        <v>4</v>
      </c>
      <c r="I187" s="12">
        <v>4</v>
      </c>
      <c r="J187" s="12">
        <v>14</v>
      </c>
      <c r="K187" s="11">
        <f t="shared" ref="K187:K188" si="9">I187+J187</f>
        <v>18</v>
      </c>
      <c r="L187" s="11" t="s">
        <v>329</v>
      </c>
      <c r="M187" s="11" t="s">
        <v>211</v>
      </c>
      <c r="N187" s="11"/>
      <c r="O187" s="11" t="str">
        <f>TEXT(행사기준[[#This Row],[년월]],"yy년m월")&amp;행사기준[[#This Row],[행사명]]</f>
        <v>24년6월우리 가족 놀이 체육</v>
      </c>
    </row>
    <row r="188" spans="1:15" x14ac:dyDescent="0.3">
      <c r="A188" s="5">
        <v>45444</v>
      </c>
      <c r="B188" s="11" t="s">
        <v>99</v>
      </c>
      <c r="C188" s="11" t="s">
        <v>327</v>
      </c>
      <c r="D188" s="11" t="s">
        <v>298</v>
      </c>
      <c r="E188" s="11" t="s">
        <v>132</v>
      </c>
      <c r="F188" s="11"/>
      <c r="G188" s="11"/>
      <c r="H188" s="12">
        <v>4</v>
      </c>
      <c r="I188" s="12">
        <v>3</v>
      </c>
      <c r="J188" s="12">
        <v>31</v>
      </c>
      <c r="K188" s="11">
        <f t="shared" si="9"/>
        <v>34</v>
      </c>
      <c r="L188" s="11" t="s">
        <v>330</v>
      </c>
      <c r="M188" s="11" t="s">
        <v>211</v>
      </c>
      <c r="N188" s="11"/>
      <c r="O188" s="11" t="str">
        <f>TEXT(행사기준[[#This Row],[년월]],"yy년m월")&amp;행사기준[[#This Row],[행사명]]</f>
        <v>24년6월셀프 마사지로 내 몸 챙기기</v>
      </c>
    </row>
    <row r="189" spans="1:15" x14ac:dyDescent="0.3">
      <c r="A189" s="5">
        <v>45444</v>
      </c>
      <c r="B189" s="12" t="s">
        <v>393</v>
      </c>
      <c r="C189" s="12" t="s">
        <v>394</v>
      </c>
      <c r="D189" s="12" t="s">
        <v>395</v>
      </c>
      <c r="E189" s="12" t="s">
        <v>396</v>
      </c>
      <c r="F189" s="12" t="s">
        <v>397</v>
      </c>
      <c r="G189" s="12"/>
      <c r="H189" s="12">
        <v>3</v>
      </c>
      <c r="I189" s="12">
        <v>14</v>
      </c>
      <c r="J189" s="12">
        <v>28</v>
      </c>
      <c r="K189">
        <f t="shared" ref="K189:K190" si="10">I189+J189</f>
        <v>42</v>
      </c>
      <c r="L189" t="s">
        <v>400</v>
      </c>
      <c r="M189" s="11" t="s">
        <v>211</v>
      </c>
      <c r="O189" t="str">
        <f>TEXT(행사기준[[#This Row],[년월]],"yy년m월")&amp;행사기준[[#This Row],[행사명]]</f>
        <v>24년6월영어동화의숲A</v>
      </c>
    </row>
    <row r="190" spans="1:15" x14ac:dyDescent="0.3">
      <c r="A190" s="5">
        <v>45444</v>
      </c>
      <c r="B190" s="12" t="s">
        <v>393</v>
      </c>
      <c r="C190" s="12" t="s">
        <v>394</v>
      </c>
      <c r="D190" s="12" t="s">
        <v>398</v>
      </c>
      <c r="E190" s="12" t="s">
        <v>396</v>
      </c>
      <c r="F190" s="12" t="s">
        <v>399</v>
      </c>
      <c r="G190" s="12"/>
      <c r="H190" s="12">
        <v>3</v>
      </c>
      <c r="I190" s="12">
        <v>20</v>
      </c>
      <c r="J190" s="12">
        <v>17</v>
      </c>
      <c r="K190">
        <f t="shared" si="10"/>
        <v>37</v>
      </c>
      <c r="L190" t="s">
        <v>400</v>
      </c>
      <c r="M190" s="11" t="s">
        <v>211</v>
      </c>
      <c r="O190" t="str">
        <f>TEXT(행사기준[[#This Row],[년월]],"yy년m월")&amp;행사기준[[#This Row],[행사명]]</f>
        <v>24년6월영어동화의숲B</v>
      </c>
    </row>
    <row r="191" spans="1:15" x14ac:dyDescent="0.3">
      <c r="A191" s="5">
        <v>45444</v>
      </c>
      <c r="B191" t="s">
        <v>406</v>
      </c>
      <c r="D191" t="s">
        <v>407</v>
      </c>
      <c r="E191" t="s">
        <v>409</v>
      </c>
      <c r="F191" t="s">
        <v>408</v>
      </c>
      <c r="H191">
        <v>1</v>
      </c>
      <c r="J191">
        <v>4</v>
      </c>
      <c r="K191">
        <f>I191+J191</f>
        <v>4</v>
      </c>
      <c r="M191" t="s">
        <v>415</v>
      </c>
      <c r="O191" t="str">
        <f>TEXT(행사기준[[#This Row],[년월]],"yy년m월")&amp;행사기준[[#This Row],[행사명]]</f>
        <v>24년6월도토리 그림책 동아리</v>
      </c>
    </row>
    <row r="192" spans="1:15" x14ac:dyDescent="0.3">
      <c r="A192" s="5">
        <v>45444</v>
      </c>
      <c r="B192" s="12" t="s">
        <v>410</v>
      </c>
      <c r="C192" s="12" t="s">
        <v>411</v>
      </c>
      <c r="D192" s="12" t="s">
        <v>488</v>
      </c>
      <c r="E192" s="12" t="s">
        <v>396</v>
      </c>
      <c r="F192" s="12"/>
      <c r="G192" s="12" t="s">
        <v>412</v>
      </c>
      <c r="H192" s="12">
        <v>4</v>
      </c>
      <c r="I192" s="12">
        <v>16</v>
      </c>
      <c r="J192" s="12">
        <v>24</v>
      </c>
      <c r="K192" s="11">
        <f t="shared" ref="K192:K193" si="11">I192+J192</f>
        <v>40</v>
      </c>
      <c r="M192" s="11" t="s">
        <v>415</v>
      </c>
      <c r="O192" t="str">
        <f>TEXT(행사기준[[#This Row],[년월]],"yy년m월")&amp;행사기준[[#This Row],[행사명]]</f>
        <v>24년6월도서관과 함께 책 읽기</v>
      </c>
    </row>
    <row r="193" spans="1:15" x14ac:dyDescent="0.3">
      <c r="A193" s="5">
        <v>45444</v>
      </c>
      <c r="B193" s="12" t="s">
        <v>410</v>
      </c>
      <c r="C193" s="12" t="s">
        <v>494</v>
      </c>
      <c r="D193" s="12" t="s">
        <v>413</v>
      </c>
      <c r="E193" s="12" t="s">
        <v>396</v>
      </c>
      <c r="F193" s="12"/>
      <c r="G193" s="12" t="s">
        <v>414</v>
      </c>
      <c r="H193" s="12">
        <v>1</v>
      </c>
      <c r="I193" s="12">
        <v>47</v>
      </c>
      <c r="J193" s="12">
        <v>56</v>
      </c>
      <c r="K193" s="11">
        <f t="shared" si="11"/>
        <v>103</v>
      </c>
      <c r="M193" s="11" t="s">
        <v>415</v>
      </c>
      <c r="O193" t="str">
        <f>TEXT(행사기준[[#This Row],[년월]],"yy년m월")&amp;행사기준[[#This Row],[행사명]]</f>
        <v>24년6월찾아가는 인형극 : 방귀쟁이 며느리</v>
      </c>
    </row>
    <row r="194" spans="1:15" x14ac:dyDescent="0.3">
      <c r="A194" s="5">
        <v>45444</v>
      </c>
      <c r="B194" s="11" t="s">
        <v>419</v>
      </c>
      <c r="C194" s="11" t="s">
        <v>420</v>
      </c>
      <c r="D194" s="11" t="s">
        <v>421</v>
      </c>
      <c r="E194" s="11" t="s">
        <v>114</v>
      </c>
      <c r="F194" s="11" t="s">
        <v>422</v>
      </c>
      <c r="G194" s="11" t="s">
        <v>303</v>
      </c>
      <c r="H194" s="11">
        <v>1</v>
      </c>
      <c r="I194" s="11">
        <v>8</v>
      </c>
      <c r="J194" s="11">
        <v>5</v>
      </c>
      <c r="K194">
        <f t="shared" ref="K194:K206" si="12">I194+J194</f>
        <v>13</v>
      </c>
      <c r="L194" s="11" t="s">
        <v>449</v>
      </c>
      <c r="M194" s="11" t="s">
        <v>378</v>
      </c>
      <c r="O194" t="str">
        <f>TEXT(행사기준[[#This Row],[년월]],"yy년m월")&amp;행사기준[[#This Row],[행사명]]</f>
        <v>24년6월신문보니(NIE)</v>
      </c>
    </row>
    <row r="195" spans="1:15" x14ac:dyDescent="0.3">
      <c r="A195" s="5">
        <v>45444</v>
      </c>
      <c r="B195" s="11" t="s">
        <v>419</v>
      </c>
      <c r="C195" s="11" t="s">
        <v>420</v>
      </c>
      <c r="D195" s="11" t="s">
        <v>423</v>
      </c>
      <c r="E195" s="11" t="s">
        <v>114</v>
      </c>
      <c r="F195" s="11" t="s">
        <v>424</v>
      </c>
      <c r="G195" s="11" t="s">
        <v>302</v>
      </c>
      <c r="H195" s="11">
        <v>3</v>
      </c>
      <c r="I195" s="11">
        <v>25</v>
      </c>
      <c r="J195" s="11">
        <v>14</v>
      </c>
      <c r="K195">
        <f t="shared" si="12"/>
        <v>39</v>
      </c>
      <c r="L195" s="11" t="s">
        <v>307</v>
      </c>
      <c r="M195" s="11" t="s">
        <v>378</v>
      </c>
      <c r="O195" t="str">
        <f>TEXT(행사기준[[#This Row],[년월]],"yy년m월")&amp;행사기준[[#This Row],[행사명]]</f>
        <v>24년6월인성 쑥쑥 놀이터</v>
      </c>
    </row>
    <row r="196" spans="1:15" x14ac:dyDescent="0.3">
      <c r="A196" s="5">
        <v>45444</v>
      </c>
      <c r="B196" s="11" t="s">
        <v>419</v>
      </c>
      <c r="C196" s="11" t="s">
        <v>425</v>
      </c>
      <c r="D196" s="11" t="s">
        <v>426</v>
      </c>
      <c r="E196" s="11" t="s">
        <v>114</v>
      </c>
      <c r="F196" s="11"/>
      <c r="G196" s="11" t="s">
        <v>427</v>
      </c>
      <c r="H196" s="11">
        <v>1</v>
      </c>
      <c r="I196" s="11">
        <v>118</v>
      </c>
      <c r="J196" s="11">
        <v>106</v>
      </c>
      <c r="K196">
        <f t="shared" si="12"/>
        <v>224</v>
      </c>
      <c r="L196" s="11"/>
      <c r="M196" s="11" t="s">
        <v>378</v>
      </c>
      <c r="O196" t="str">
        <f>TEXT(행사기준[[#This Row],[년월]],"yy년m월")&amp;행사기준[[#This Row],[행사명]]</f>
        <v>24년6월공 좀 주워 주세요</v>
      </c>
    </row>
    <row r="197" spans="1:15" x14ac:dyDescent="0.3">
      <c r="A197" s="5">
        <v>45444</v>
      </c>
      <c r="B197" s="11" t="s">
        <v>419</v>
      </c>
      <c r="C197" s="11" t="s">
        <v>425</v>
      </c>
      <c r="D197" s="11" t="s">
        <v>428</v>
      </c>
      <c r="E197" s="11" t="s">
        <v>114</v>
      </c>
      <c r="F197" s="11"/>
      <c r="G197" s="11" t="s">
        <v>429</v>
      </c>
      <c r="H197" s="11">
        <v>1</v>
      </c>
      <c r="I197" s="11">
        <v>147</v>
      </c>
      <c r="J197" s="11">
        <v>161</v>
      </c>
      <c r="K197">
        <f t="shared" si="12"/>
        <v>308</v>
      </c>
      <c r="L197" s="11"/>
      <c r="M197" s="11" t="s">
        <v>378</v>
      </c>
      <c r="O197" t="str">
        <f>TEXT(행사기준[[#This Row],[년월]],"yy년m월")&amp;행사기준[[#This Row],[행사명]]</f>
        <v>24년6월고양이는 이사 중!</v>
      </c>
    </row>
    <row r="198" spans="1:15" x14ac:dyDescent="0.3">
      <c r="A198" s="5">
        <v>45444</v>
      </c>
      <c r="B198" s="11" t="s">
        <v>419</v>
      </c>
      <c r="C198" s="11" t="s">
        <v>425</v>
      </c>
      <c r="D198" s="11" t="s">
        <v>430</v>
      </c>
      <c r="E198" s="11" t="s">
        <v>114</v>
      </c>
      <c r="F198" s="11"/>
      <c r="G198" s="11" t="s">
        <v>431</v>
      </c>
      <c r="H198" s="11">
        <v>2</v>
      </c>
      <c r="I198" s="11">
        <f>19+11</f>
        <v>30</v>
      </c>
      <c r="J198" s="11">
        <f>8+9</f>
        <v>17</v>
      </c>
      <c r="K198">
        <f t="shared" si="12"/>
        <v>47</v>
      </c>
      <c r="L198" s="11"/>
      <c r="M198" s="11" t="s">
        <v>378</v>
      </c>
      <c r="O198" t="str">
        <f>TEXT(행사기준[[#This Row],[년월]],"yy년m월")&amp;행사기준[[#This Row],[행사명]]</f>
        <v>24년6월내 친구 거미</v>
      </c>
    </row>
    <row r="199" spans="1:15" x14ac:dyDescent="0.3">
      <c r="A199" s="5">
        <v>45444</v>
      </c>
      <c r="B199" s="11" t="s">
        <v>419</v>
      </c>
      <c r="C199" s="11" t="s">
        <v>425</v>
      </c>
      <c r="D199" s="11" t="s">
        <v>432</v>
      </c>
      <c r="E199" s="11" t="s">
        <v>114</v>
      </c>
      <c r="F199" s="11"/>
      <c r="G199" s="11" t="s">
        <v>433</v>
      </c>
      <c r="H199" s="11">
        <v>5</v>
      </c>
      <c r="I199" s="11">
        <f>19+11+147+17+32</f>
        <v>226</v>
      </c>
      <c r="J199" s="11">
        <f>8+9+106+18+22</f>
        <v>163</v>
      </c>
      <c r="K199">
        <f t="shared" si="12"/>
        <v>389</v>
      </c>
      <c r="L199" s="11"/>
      <c r="M199" s="11" t="s">
        <v>378</v>
      </c>
      <c r="O199" t="str">
        <f>TEXT(행사기준[[#This Row],[년월]],"yy년m월")&amp;행사기준[[#This Row],[행사명]]</f>
        <v>24년6월호랭면</v>
      </c>
    </row>
    <row r="200" spans="1:15" x14ac:dyDescent="0.3">
      <c r="A200" s="5">
        <v>45444</v>
      </c>
      <c r="B200" s="11" t="s">
        <v>419</v>
      </c>
      <c r="C200" s="11" t="s">
        <v>425</v>
      </c>
      <c r="D200" s="11" t="s">
        <v>434</v>
      </c>
      <c r="E200" s="11" t="s">
        <v>114</v>
      </c>
      <c r="F200" s="11"/>
      <c r="G200" s="11" t="s">
        <v>435</v>
      </c>
      <c r="H200" s="11">
        <v>5</v>
      </c>
      <c r="I200" s="11">
        <f>19+11+118+214+23</f>
        <v>385</v>
      </c>
      <c r="J200" s="11">
        <f>8+9+106+235+29</f>
        <v>387</v>
      </c>
      <c r="K200">
        <f t="shared" si="12"/>
        <v>772</v>
      </c>
      <c r="L200" s="11"/>
      <c r="M200" s="11" t="s">
        <v>378</v>
      </c>
      <c r="O200" t="str">
        <f>TEXT(행사기준[[#This Row],[년월]],"yy년m월")&amp;행사기준[[#This Row],[행사명]]</f>
        <v>24년6월파도가 차르르</v>
      </c>
    </row>
    <row r="201" spans="1:15" x14ac:dyDescent="0.3">
      <c r="A201" s="5">
        <v>45444</v>
      </c>
      <c r="B201" s="11" t="s">
        <v>419</v>
      </c>
      <c r="C201" s="11" t="s">
        <v>425</v>
      </c>
      <c r="D201" s="11" t="s">
        <v>436</v>
      </c>
      <c r="E201" s="11" t="s">
        <v>114</v>
      </c>
      <c r="F201" s="11"/>
      <c r="G201" s="11" t="s">
        <v>437</v>
      </c>
      <c r="H201" s="11">
        <v>2</v>
      </c>
      <c r="I201" s="11">
        <f>92+291</f>
        <v>383</v>
      </c>
      <c r="J201" s="11">
        <f>71</f>
        <v>71</v>
      </c>
      <c r="K201">
        <f t="shared" si="12"/>
        <v>454</v>
      </c>
      <c r="L201" s="11"/>
      <c r="M201" s="11" t="s">
        <v>378</v>
      </c>
      <c r="O201" t="str">
        <f>TEXT(행사기준[[#This Row],[년월]],"yy년m월")&amp;행사기준[[#This Row],[행사명]]</f>
        <v>24년6월우리 지금, 썸머</v>
      </c>
    </row>
    <row r="202" spans="1:15" x14ac:dyDescent="0.3">
      <c r="A202" s="5">
        <v>45444</v>
      </c>
      <c r="B202" s="11" t="s">
        <v>419</v>
      </c>
      <c r="C202" s="11" t="s">
        <v>425</v>
      </c>
      <c r="D202" s="11" t="s">
        <v>438</v>
      </c>
      <c r="E202" s="11" t="s">
        <v>114</v>
      </c>
      <c r="F202" s="11"/>
      <c r="G202" s="11" t="s">
        <v>439</v>
      </c>
      <c r="H202" s="11">
        <v>1</v>
      </c>
      <c r="I202" s="11">
        <v>11</v>
      </c>
      <c r="J202" s="11">
        <v>9</v>
      </c>
      <c r="K202">
        <f t="shared" si="12"/>
        <v>20</v>
      </c>
      <c r="L202" s="11"/>
      <c r="M202" s="11" t="s">
        <v>378</v>
      </c>
      <c r="O202" t="str">
        <f>TEXT(행사기준[[#This Row],[년월]],"yy년m월")&amp;행사기준[[#This Row],[행사명]]</f>
        <v>24년6월지구 레스토랑</v>
      </c>
    </row>
    <row r="203" spans="1:15" x14ac:dyDescent="0.3">
      <c r="A203" s="5">
        <v>45444</v>
      </c>
      <c r="B203" s="11" t="s">
        <v>419</v>
      </c>
      <c r="C203" s="11" t="s">
        <v>440</v>
      </c>
      <c r="D203" s="11" t="s">
        <v>441</v>
      </c>
      <c r="E203" s="11" t="s">
        <v>114</v>
      </c>
      <c r="F203" s="11"/>
      <c r="G203" s="11" t="s">
        <v>427</v>
      </c>
      <c r="H203" s="11">
        <v>1</v>
      </c>
      <c r="I203" s="11">
        <v>118</v>
      </c>
      <c r="J203" s="11">
        <v>106</v>
      </c>
      <c r="K203">
        <f t="shared" si="12"/>
        <v>224</v>
      </c>
      <c r="L203" s="11"/>
      <c r="M203" s="11" t="s">
        <v>378</v>
      </c>
      <c r="O203" t="str">
        <f>TEXT(행사기준[[#This Row],[년월]],"yy년m월")&amp;행사기준[[#This Row],[행사명]]</f>
        <v>24년6월그림책이 살아있다</v>
      </c>
    </row>
    <row r="204" spans="1:15" x14ac:dyDescent="0.3">
      <c r="A204" s="5">
        <v>45444</v>
      </c>
      <c r="B204" s="11" t="s">
        <v>419</v>
      </c>
      <c r="C204" s="11" t="s">
        <v>440</v>
      </c>
      <c r="D204" s="11" t="s">
        <v>442</v>
      </c>
      <c r="E204" s="11" t="s">
        <v>114</v>
      </c>
      <c r="F204" s="11"/>
      <c r="G204" s="11" t="s">
        <v>443</v>
      </c>
      <c r="H204" s="11">
        <v>3</v>
      </c>
      <c r="I204" s="11">
        <f>118+23+11</f>
        <v>152</v>
      </c>
      <c r="J204" s="11">
        <f>106+29+9</f>
        <v>144</v>
      </c>
      <c r="K204">
        <f t="shared" si="12"/>
        <v>296</v>
      </c>
      <c r="L204" s="11"/>
      <c r="M204" s="11" t="s">
        <v>378</v>
      </c>
      <c r="O204" t="str">
        <f>TEXT(행사기준[[#This Row],[년월]],"yy년m월")&amp;행사기준[[#This Row],[행사명]]</f>
        <v>24년6월그림책이 커졌다</v>
      </c>
    </row>
    <row r="205" spans="1:15" x14ac:dyDescent="0.3">
      <c r="A205" s="5">
        <v>45444</v>
      </c>
      <c r="B205" s="11" t="s">
        <v>419</v>
      </c>
      <c r="C205" s="11" t="s">
        <v>440</v>
      </c>
      <c r="D205" s="11" t="s">
        <v>444</v>
      </c>
      <c r="E205" s="11" t="s">
        <v>114</v>
      </c>
      <c r="F205" s="11"/>
      <c r="G205" s="11" t="s">
        <v>439</v>
      </c>
      <c r="H205" s="11">
        <v>1</v>
      </c>
      <c r="I205" s="11">
        <v>11</v>
      </c>
      <c r="J205" s="11">
        <v>9</v>
      </c>
      <c r="K205">
        <f t="shared" si="12"/>
        <v>20</v>
      </c>
      <c r="L205" s="11"/>
      <c r="M205" s="11" t="s">
        <v>378</v>
      </c>
      <c r="O205" t="str">
        <f>TEXT(행사기준[[#This Row],[년월]],"yy년m월")&amp;행사기준[[#This Row],[행사명]]</f>
        <v>24년6월이지은 작가의 책</v>
      </c>
    </row>
    <row r="206" spans="1:15" x14ac:dyDescent="0.3">
      <c r="A206" s="5">
        <v>45444</v>
      </c>
      <c r="B206" s="11" t="s">
        <v>419</v>
      </c>
      <c r="C206" s="11" t="s">
        <v>440</v>
      </c>
      <c r="D206" s="11" t="s">
        <v>445</v>
      </c>
      <c r="E206" s="11" t="s">
        <v>114</v>
      </c>
      <c r="F206" s="11"/>
      <c r="G206" s="11" t="s">
        <v>446</v>
      </c>
      <c r="H206" s="11">
        <v>2</v>
      </c>
      <c r="I206" s="11">
        <f>19+32</f>
        <v>51</v>
      </c>
      <c r="J206" s="11">
        <f>8+22</f>
        <v>30</v>
      </c>
      <c r="K206">
        <f t="shared" si="12"/>
        <v>81</v>
      </c>
      <c r="L206" s="11"/>
      <c r="M206" s="11" t="s">
        <v>378</v>
      </c>
      <c r="O206" t="str">
        <f>TEXT(행사기준[[#This Row],[년월]],"yy년m월")&amp;행사기준[[#This Row],[행사명]]</f>
        <v>24년6월경혜원 작가의 책</v>
      </c>
    </row>
    <row r="207" spans="1:15" x14ac:dyDescent="0.3">
      <c r="A207" s="5">
        <v>45444</v>
      </c>
      <c r="B207" s="11" t="s">
        <v>419</v>
      </c>
      <c r="C207" s="11" t="s">
        <v>440</v>
      </c>
      <c r="D207" s="11" t="s">
        <v>447</v>
      </c>
      <c r="E207" s="11" t="s">
        <v>114</v>
      </c>
      <c r="F207" s="11"/>
      <c r="G207" s="11" t="s">
        <v>448</v>
      </c>
      <c r="H207" s="11">
        <v>2</v>
      </c>
      <c r="I207" s="11">
        <f>147+17</f>
        <v>164</v>
      </c>
      <c r="J207" s="11">
        <f>18+161</f>
        <v>179</v>
      </c>
      <c r="K207">
        <f>I207+J207</f>
        <v>343</v>
      </c>
      <c r="L207" s="11"/>
      <c r="M207" s="11" t="s">
        <v>378</v>
      </c>
      <c r="O207" t="str">
        <f>TEXT(행사기준[[#This Row],[년월]],"yy년m월")&amp;행사기준[[#This Row],[행사명]]</f>
        <v>24년6월정진호 작가의 책</v>
      </c>
    </row>
    <row r="208" spans="1:15" x14ac:dyDescent="0.3">
      <c r="A208" s="5">
        <v>45474</v>
      </c>
      <c r="B208" t="s">
        <v>105</v>
      </c>
      <c r="C208" t="s">
        <v>455</v>
      </c>
      <c r="D208" t="s">
        <v>456</v>
      </c>
      <c r="E208" t="s">
        <v>134</v>
      </c>
      <c r="H208">
        <v>1</v>
      </c>
      <c r="I208">
        <v>165</v>
      </c>
      <c r="J208">
        <v>240</v>
      </c>
      <c r="K208" s="15">
        <f t="shared" ref="K208:K247" si="13">I208+J208</f>
        <v>405</v>
      </c>
      <c r="M208" t="s">
        <v>211</v>
      </c>
      <c r="N208" t="s">
        <v>206</v>
      </c>
      <c r="O208" t="str">
        <f>TEXT(행사기준[[#This Row],[년월]],"yy년m월")&amp;행사기준[[#This Row],[행사명]]</f>
        <v>24년7월올해의 책 집중 탐구</v>
      </c>
    </row>
    <row r="209" spans="1:15" x14ac:dyDescent="0.3">
      <c r="A209" s="5">
        <v>45474</v>
      </c>
      <c r="B209" t="s">
        <v>101</v>
      </c>
      <c r="C209" t="s">
        <v>455</v>
      </c>
      <c r="D209" t="s">
        <v>457</v>
      </c>
      <c r="E209" t="s">
        <v>134</v>
      </c>
      <c r="H209">
        <v>1</v>
      </c>
      <c r="I209">
        <v>32</v>
      </c>
      <c r="J209">
        <v>68</v>
      </c>
      <c r="K209" s="15">
        <f t="shared" si="13"/>
        <v>100</v>
      </c>
      <c r="M209" t="s">
        <v>211</v>
      </c>
      <c r="N209" t="s">
        <v>206</v>
      </c>
      <c r="O209" t="str">
        <f>TEXT(행사기준[[#This Row],[년월]],"yy년m월")&amp;행사기준[[#This Row],[행사명]]</f>
        <v>24년7월나만의 필사로 만나는 올해의 책</v>
      </c>
    </row>
    <row r="210" spans="1:15" x14ac:dyDescent="0.3">
      <c r="A210" s="5">
        <v>45474</v>
      </c>
      <c r="B210" t="s">
        <v>101</v>
      </c>
      <c r="C210" t="s">
        <v>455</v>
      </c>
      <c r="D210" t="s">
        <v>458</v>
      </c>
      <c r="E210" t="s">
        <v>134</v>
      </c>
      <c r="H210">
        <v>1</v>
      </c>
      <c r="J210">
        <v>1</v>
      </c>
      <c r="K210" s="15">
        <f t="shared" si="13"/>
        <v>1</v>
      </c>
      <c r="M210" t="s">
        <v>211</v>
      </c>
      <c r="N210" t="s">
        <v>206</v>
      </c>
      <c r="O210" t="str">
        <f>TEXT(행사기준[[#This Row],[년월]],"yy년m월")&amp;행사기준[[#This Row],[행사명]]</f>
        <v>24년7월올해의 책, 연체 탈출</v>
      </c>
    </row>
    <row r="211" spans="1:15" x14ac:dyDescent="0.3">
      <c r="A211" s="5">
        <v>45474</v>
      </c>
      <c r="B211" t="s">
        <v>101</v>
      </c>
      <c r="C211" t="s">
        <v>455</v>
      </c>
      <c r="D211" t="s">
        <v>459</v>
      </c>
      <c r="E211" t="s">
        <v>134</v>
      </c>
      <c r="H211">
        <v>1</v>
      </c>
      <c r="I211">
        <v>5</v>
      </c>
      <c r="J211">
        <v>8</v>
      </c>
      <c r="K211" s="15">
        <f t="shared" si="13"/>
        <v>13</v>
      </c>
      <c r="M211" t="s">
        <v>211</v>
      </c>
      <c r="N211" t="s">
        <v>206</v>
      </c>
      <c r="O211" t="str">
        <f>TEXT(행사기준[[#This Row],[년월]],"yy년m월")&amp;행사기준[[#This Row],[행사명]]</f>
        <v>24년7월독서동아리, 책을 잇다</v>
      </c>
    </row>
    <row r="212" spans="1:15" x14ac:dyDescent="0.3">
      <c r="A212" s="5">
        <v>45474</v>
      </c>
      <c r="B212" t="s">
        <v>225</v>
      </c>
      <c r="C212" t="s">
        <v>455</v>
      </c>
      <c r="D212" t="s">
        <v>460</v>
      </c>
      <c r="E212" t="s">
        <v>134</v>
      </c>
      <c r="H212">
        <v>2</v>
      </c>
      <c r="I212">
        <v>1</v>
      </c>
      <c r="J212">
        <v>9</v>
      </c>
      <c r="K212" s="15">
        <f t="shared" si="13"/>
        <v>10</v>
      </c>
      <c r="M212" t="s">
        <v>231</v>
      </c>
      <c r="O212" t="str">
        <f>TEXT(행사기준[[#This Row],[년월]],"yy년m월")&amp;행사기준[[#This Row],[행사명]]</f>
        <v>24년7월#너_이름이_뭐니?</v>
      </c>
    </row>
    <row r="213" spans="1:15" x14ac:dyDescent="0.3">
      <c r="A213" s="5">
        <v>45474</v>
      </c>
      <c r="B213" t="s">
        <v>225</v>
      </c>
      <c r="D213" t="s">
        <v>461</v>
      </c>
      <c r="E213" t="s">
        <v>134</v>
      </c>
      <c r="H213">
        <v>2</v>
      </c>
      <c r="J213">
        <v>19</v>
      </c>
      <c r="K213" s="15">
        <f t="shared" si="13"/>
        <v>19</v>
      </c>
      <c r="M213" t="s">
        <v>231</v>
      </c>
      <c r="O213" t="str">
        <f>TEXT(행사기준[[#This Row],[년월]],"yy년m월")&amp;행사기준[[#This Row],[행사명]]</f>
        <v>24년7월책으로 말해요</v>
      </c>
    </row>
    <row r="214" spans="1:15" x14ac:dyDescent="0.3">
      <c r="A214" s="5">
        <v>45474</v>
      </c>
      <c r="B214" t="s">
        <v>101</v>
      </c>
      <c r="D214" t="s">
        <v>462</v>
      </c>
      <c r="E214" t="s">
        <v>133</v>
      </c>
      <c r="H214">
        <v>1</v>
      </c>
      <c r="I214">
        <v>10</v>
      </c>
      <c r="J214">
        <v>20</v>
      </c>
      <c r="K214" s="15">
        <f t="shared" si="13"/>
        <v>30</v>
      </c>
      <c r="M214" t="s">
        <v>206</v>
      </c>
      <c r="O214" t="str">
        <f>TEXT(행사기준[[#This Row],[년월]],"yy년m월")&amp;행사기준[[#This Row],[행사명]]</f>
        <v>24년7월비 오는 날엔 책을 읽자</v>
      </c>
    </row>
    <row r="215" spans="1:15" x14ac:dyDescent="0.3">
      <c r="A215" s="5">
        <v>45474</v>
      </c>
      <c r="B215" t="s">
        <v>101</v>
      </c>
      <c r="D215" t="s">
        <v>178</v>
      </c>
      <c r="E215" t="s">
        <v>133</v>
      </c>
      <c r="H215">
        <v>1</v>
      </c>
      <c r="I215">
        <v>53</v>
      </c>
      <c r="J215">
        <v>71</v>
      </c>
      <c r="K215" s="15">
        <f t="shared" si="13"/>
        <v>124</v>
      </c>
      <c r="M215" t="s">
        <v>206</v>
      </c>
      <c r="O215" t="str">
        <f>TEXT(행사기준[[#This Row],[년월]],"yy년m월")&amp;행사기준[[#This Row],[행사명]]</f>
        <v>24년7월생각키움 독서퀴즈</v>
      </c>
    </row>
    <row r="216" spans="1:15" x14ac:dyDescent="0.3">
      <c r="A216" s="5">
        <v>45474</v>
      </c>
      <c r="B216" t="s">
        <v>101</v>
      </c>
      <c r="D216" t="s">
        <v>117</v>
      </c>
      <c r="E216" t="s">
        <v>133</v>
      </c>
      <c r="H216">
        <v>1</v>
      </c>
      <c r="I216">
        <v>12</v>
      </c>
      <c r="J216">
        <v>8</v>
      </c>
      <c r="K216" s="15">
        <f t="shared" si="13"/>
        <v>20</v>
      </c>
      <c r="M216" t="s">
        <v>206</v>
      </c>
      <c r="O216" t="str">
        <f>TEXT(행사기준[[#This Row],[년월]],"yy년m월")&amp;행사기준[[#This Row],[행사명]]</f>
        <v>24년7월내가 좋아하는 책 속 한 구절</v>
      </c>
    </row>
    <row r="217" spans="1:15" x14ac:dyDescent="0.3">
      <c r="A217" s="5">
        <v>45474</v>
      </c>
      <c r="B217" t="s">
        <v>101</v>
      </c>
      <c r="C217" s="17" t="s">
        <v>202</v>
      </c>
      <c r="D217" t="s">
        <v>181</v>
      </c>
      <c r="E217" t="s">
        <v>134</v>
      </c>
      <c r="H217">
        <v>1</v>
      </c>
      <c r="I217">
        <v>1</v>
      </c>
      <c r="J217">
        <v>7</v>
      </c>
      <c r="K217" s="15">
        <f t="shared" si="13"/>
        <v>8</v>
      </c>
      <c r="M217" t="s">
        <v>211</v>
      </c>
      <c r="N217" t="s">
        <v>206</v>
      </c>
      <c r="O217" t="str">
        <f>TEXT(행사기준[[#This Row],[년월]],"yy년m월")&amp;행사기준[[#This Row],[행사명]]</f>
        <v>24년7월두 배로 데이</v>
      </c>
    </row>
    <row r="218" spans="1:15" x14ac:dyDescent="0.3">
      <c r="A218" s="5">
        <v>45474</v>
      </c>
      <c r="B218" t="s">
        <v>101</v>
      </c>
      <c r="C218" s="17" t="s">
        <v>202</v>
      </c>
      <c r="D218" t="s">
        <v>183</v>
      </c>
      <c r="E218" t="s">
        <v>134</v>
      </c>
      <c r="H218">
        <v>1</v>
      </c>
      <c r="I218">
        <v>3</v>
      </c>
      <c r="J218">
        <v>7</v>
      </c>
      <c r="K218" s="15">
        <f t="shared" si="13"/>
        <v>10</v>
      </c>
      <c r="M218" t="s">
        <v>211</v>
      </c>
      <c r="N218" t="s">
        <v>206</v>
      </c>
      <c r="O218" t="str">
        <f>TEXT(행사기준[[#This Row],[년월]],"yy년m월")&amp;행사기준[[#This Row],[행사명]]</f>
        <v>24년7월연체자 클린 데이</v>
      </c>
    </row>
    <row r="219" spans="1:15" x14ac:dyDescent="0.3">
      <c r="A219" s="5">
        <v>45474</v>
      </c>
      <c r="B219" t="s">
        <v>103</v>
      </c>
      <c r="D219" t="s">
        <v>224</v>
      </c>
      <c r="E219" t="s">
        <v>132</v>
      </c>
      <c r="H219">
        <v>1</v>
      </c>
      <c r="I219">
        <v>2</v>
      </c>
      <c r="J219">
        <v>2</v>
      </c>
      <c r="K219" s="15">
        <f t="shared" si="13"/>
        <v>4</v>
      </c>
      <c r="M219" t="s">
        <v>211</v>
      </c>
      <c r="O219" t="str">
        <f>TEXT(행사기준[[#This Row],[년월]],"yy년m월")&amp;행사기준[[#This Row],[행사명]]</f>
        <v>24년7월성인(화왕) 독서동아리</v>
      </c>
    </row>
    <row r="220" spans="1:15" x14ac:dyDescent="0.3">
      <c r="A220" s="5">
        <v>45474</v>
      </c>
      <c r="B220" t="s">
        <v>103</v>
      </c>
      <c r="D220" t="s">
        <v>257</v>
      </c>
      <c r="E220" t="s">
        <v>163</v>
      </c>
      <c r="H220">
        <v>1</v>
      </c>
      <c r="I220">
        <v>6</v>
      </c>
      <c r="J220">
        <v>1</v>
      </c>
      <c r="K220" s="15">
        <f t="shared" si="13"/>
        <v>7</v>
      </c>
      <c r="L220" t="s">
        <v>320</v>
      </c>
      <c r="M220" t="s">
        <v>211</v>
      </c>
      <c r="O220" t="str">
        <f>TEXT(행사기준[[#This Row],[년월]],"yy년m월")&amp;행사기준[[#This Row],[행사명]]</f>
        <v>24년7월꿈동(청소년) 독서동아리</v>
      </c>
    </row>
    <row r="221" spans="1:15" x14ac:dyDescent="0.3">
      <c r="A221" s="5">
        <v>45474</v>
      </c>
      <c r="B221" t="s">
        <v>103</v>
      </c>
      <c r="D221" t="s">
        <v>258</v>
      </c>
      <c r="E221" t="s">
        <v>133</v>
      </c>
      <c r="H221">
        <v>1</v>
      </c>
      <c r="I221">
        <v>3</v>
      </c>
      <c r="J221">
        <v>2</v>
      </c>
      <c r="K221" s="15">
        <f t="shared" si="13"/>
        <v>5</v>
      </c>
      <c r="L221" t="s">
        <v>321</v>
      </c>
      <c r="M221" t="s">
        <v>206</v>
      </c>
      <c r="O221" t="str">
        <f>TEXT(행사기준[[#This Row],[년월]],"yy년m월")&amp;행사기준[[#This Row],[행사명]]</f>
        <v>24년7월푸르미(어린이) 독서동아리</v>
      </c>
    </row>
    <row r="222" spans="1:15" x14ac:dyDescent="0.3">
      <c r="A222" s="5">
        <v>45474</v>
      </c>
      <c r="B222" t="s">
        <v>103</v>
      </c>
      <c r="D222" t="s">
        <v>486</v>
      </c>
      <c r="E222" t="s">
        <v>132</v>
      </c>
      <c r="H222">
        <v>2</v>
      </c>
      <c r="J222">
        <v>8</v>
      </c>
      <c r="K222" s="15">
        <f t="shared" si="13"/>
        <v>8</v>
      </c>
      <c r="M222" t="s">
        <v>206</v>
      </c>
      <c r="O222" t="str">
        <f>TEXT(행사기준[[#This Row],[년월]],"yy년m월")&amp;행사기준[[#This Row],[행사명]]</f>
        <v>24년7월도토리 그림책 동아리</v>
      </c>
    </row>
    <row r="223" spans="1:15" x14ac:dyDescent="0.3">
      <c r="A223" s="5">
        <v>45474</v>
      </c>
      <c r="B223" t="s">
        <v>105</v>
      </c>
      <c r="D223" t="s">
        <v>121</v>
      </c>
      <c r="E223" t="s">
        <v>132</v>
      </c>
      <c r="H223">
        <v>1</v>
      </c>
      <c r="I223">
        <v>182</v>
      </c>
      <c r="J223">
        <v>266</v>
      </c>
      <c r="K223" s="15">
        <f t="shared" si="13"/>
        <v>448</v>
      </c>
      <c r="M223" t="s">
        <v>211</v>
      </c>
      <c r="O223" t="str">
        <f>TEXT(행사기준[[#This Row],[년월]],"yy년m월")&amp;행사기준[[#This Row],[행사명]]</f>
        <v>24년7월사서가 들려주는 북 스토리</v>
      </c>
    </row>
    <row r="224" spans="1:15" x14ac:dyDescent="0.3">
      <c r="A224" s="5">
        <v>45474</v>
      </c>
      <c r="B224" t="s">
        <v>105</v>
      </c>
      <c r="D224" t="s">
        <v>123</v>
      </c>
      <c r="E224" t="s">
        <v>133</v>
      </c>
      <c r="H224">
        <v>1</v>
      </c>
      <c r="I224">
        <v>437</v>
      </c>
      <c r="J224">
        <v>493</v>
      </c>
      <c r="K224" s="15">
        <f t="shared" si="13"/>
        <v>930</v>
      </c>
      <c r="M224" t="s">
        <v>206</v>
      </c>
      <c r="O224" t="str">
        <f>TEXT(행사기준[[#This Row],[년월]],"yy년m월")&amp;행사기준[[#This Row],[행사명]]</f>
        <v>24년7월이야기가 있는 그림책 원화 전시</v>
      </c>
    </row>
    <row r="225" spans="1:15" x14ac:dyDescent="0.3">
      <c r="A225" s="5">
        <v>45474</v>
      </c>
      <c r="B225" t="s">
        <v>105</v>
      </c>
      <c r="D225" t="s">
        <v>118</v>
      </c>
      <c r="E225" t="s">
        <v>133</v>
      </c>
      <c r="H225">
        <v>1</v>
      </c>
      <c r="I225">
        <v>106</v>
      </c>
      <c r="J225">
        <v>128</v>
      </c>
      <c r="K225" s="15">
        <f t="shared" si="13"/>
        <v>234</v>
      </c>
      <c r="M225" t="s">
        <v>206</v>
      </c>
      <c r="O225" t="str">
        <f>TEXT(행사기준[[#This Row],[년월]],"yy년m월")&amp;행사기준[[#This Row],[행사명]]</f>
        <v>24년7월도서관에서 만나는 특별한 책 이야기</v>
      </c>
    </row>
    <row r="226" spans="1:15" x14ac:dyDescent="0.3">
      <c r="A226" s="5">
        <v>45474</v>
      </c>
      <c r="B226" t="s">
        <v>105</v>
      </c>
      <c r="D226" t="s">
        <v>120</v>
      </c>
      <c r="E226" t="s">
        <v>134</v>
      </c>
      <c r="H226">
        <v>1</v>
      </c>
      <c r="I226">
        <v>294</v>
      </c>
      <c r="J226">
        <v>479</v>
      </c>
      <c r="K226" s="15">
        <f t="shared" si="13"/>
        <v>773</v>
      </c>
      <c r="M226" t="s">
        <v>206</v>
      </c>
      <c r="O226" t="str">
        <f>TEXT(행사기준[[#This Row],[년월]],"yy년m월")&amp;행사기준[[#This Row],[행사명]]</f>
        <v>24년7월사서 추천 도서 서평 전시</v>
      </c>
    </row>
    <row r="227" spans="1:15" x14ac:dyDescent="0.3">
      <c r="A227" s="5">
        <v>45474</v>
      </c>
      <c r="B227" t="s">
        <v>105</v>
      </c>
      <c r="D227" t="s">
        <v>195</v>
      </c>
      <c r="E227" t="s">
        <v>133</v>
      </c>
      <c r="H227">
        <v>4</v>
      </c>
      <c r="I227">
        <v>14</v>
      </c>
      <c r="J227">
        <v>24</v>
      </c>
      <c r="K227" s="15">
        <f t="shared" si="13"/>
        <v>38</v>
      </c>
      <c r="M227" t="s">
        <v>206</v>
      </c>
      <c r="O227" t="str">
        <f>TEXT(행사기준[[#This Row],[년월]],"yy년m월")&amp;행사기준[[#This Row],[행사명]]</f>
        <v>24년7월도서관에서 만나는 창녕 시네마</v>
      </c>
    </row>
    <row r="228" spans="1:15" x14ac:dyDescent="0.3">
      <c r="A228" s="5">
        <v>45474</v>
      </c>
      <c r="B228" t="s">
        <v>107</v>
      </c>
      <c r="D228" t="s">
        <v>463</v>
      </c>
      <c r="E228" t="s">
        <v>133</v>
      </c>
      <c r="H228">
        <v>3</v>
      </c>
      <c r="I228">
        <v>31</v>
      </c>
      <c r="J228">
        <v>27</v>
      </c>
      <c r="K228" s="15">
        <f t="shared" si="13"/>
        <v>58</v>
      </c>
      <c r="M228" t="s">
        <v>206</v>
      </c>
      <c r="O228" t="str">
        <f>TEXT(행사기준[[#This Row],[년월]],"yy년m월")&amp;행사기준[[#This Row],[행사명]]</f>
        <v>24년7월어린이자료실 현장학습</v>
      </c>
    </row>
    <row r="229" spans="1:15" x14ac:dyDescent="0.3">
      <c r="A229" s="5">
        <v>45474</v>
      </c>
      <c r="B229" t="s">
        <v>101</v>
      </c>
      <c r="C229" t="s">
        <v>464</v>
      </c>
      <c r="D229" t="s">
        <v>465</v>
      </c>
      <c r="E229" t="s">
        <v>490</v>
      </c>
      <c r="G229" t="s">
        <v>491</v>
      </c>
      <c r="H229">
        <v>1</v>
      </c>
      <c r="I229">
        <v>32</v>
      </c>
      <c r="J229">
        <v>44</v>
      </c>
      <c r="K229" s="15">
        <f t="shared" si="13"/>
        <v>76</v>
      </c>
      <c r="M229" t="s">
        <v>206</v>
      </c>
      <c r="O229" t="str">
        <f>TEXT(행사기준[[#This Row],[년월]],"yy년m월")&amp;행사기준[[#This Row],[행사명]]</f>
        <v>24년7월사윗감을 찾아 나선 두더지</v>
      </c>
    </row>
    <row r="230" spans="1:15" x14ac:dyDescent="0.3">
      <c r="A230" s="5">
        <v>45474</v>
      </c>
      <c r="B230" t="s">
        <v>101</v>
      </c>
      <c r="C230" t="s">
        <v>466</v>
      </c>
      <c r="D230" t="s">
        <v>467</v>
      </c>
      <c r="E230" t="s">
        <v>490</v>
      </c>
      <c r="G230" t="s">
        <v>491</v>
      </c>
      <c r="H230">
        <v>1</v>
      </c>
      <c r="I230">
        <v>10</v>
      </c>
      <c r="J230">
        <v>16</v>
      </c>
      <c r="K230" s="15">
        <f t="shared" si="13"/>
        <v>26</v>
      </c>
      <c r="M230" t="s">
        <v>206</v>
      </c>
      <c r="O230" t="str">
        <f>TEXT(행사기준[[#This Row],[년월]],"yy년m월")&amp;행사기준[[#This Row],[행사명]]</f>
        <v>24년7월가족과 함께 설거지바 만들었DAY</v>
      </c>
    </row>
    <row r="231" spans="1:15" x14ac:dyDescent="0.3">
      <c r="A231" s="5">
        <v>45474</v>
      </c>
      <c r="B231" t="s">
        <v>101</v>
      </c>
      <c r="D231" t="s">
        <v>468</v>
      </c>
      <c r="E231" t="s">
        <v>133</v>
      </c>
      <c r="H231">
        <v>5</v>
      </c>
      <c r="I231">
        <v>19</v>
      </c>
      <c r="J231">
        <v>28</v>
      </c>
      <c r="K231" s="15">
        <f t="shared" si="13"/>
        <v>47</v>
      </c>
      <c r="L231" t="s">
        <v>469</v>
      </c>
      <c r="M231" t="s">
        <v>206</v>
      </c>
      <c r="O231" t="str">
        <f>TEXT(행사기준[[#This Row],[년월]],"yy년m월")&amp;행사기준[[#This Row],[행사명]]</f>
        <v>24년7월도서관과 함께 책 읽기</v>
      </c>
    </row>
    <row r="232" spans="1:15" x14ac:dyDescent="0.3">
      <c r="A232" s="5">
        <v>45474</v>
      </c>
      <c r="B232" t="s">
        <v>99</v>
      </c>
      <c r="C232" t="s">
        <v>323</v>
      </c>
      <c r="D232" t="s">
        <v>296</v>
      </c>
      <c r="E232" t="s">
        <v>133</v>
      </c>
      <c r="G232" t="s">
        <v>324</v>
      </c>
      <c r="H232">
        <v>4</v>
      </c>
      <c r="I232">
        <v>20</v>
      </c>
      <c r="J232">
        <v>16</v>
      </c>
      <c r="K232" s="15">
        <f t="shared" si="13"/>
        <v>36</v>
      </c>
      <c r="L232" t="s">
        <v>321</v>
      </c>
      <c r="M232" t="s">
        <v>231</v>
      </c>
      <c r="O232" t="str">
        <f>TEXT(행사기준[[#This Row],[년월]],"yy년m월")&amp;행사기준[[#This Row],[행사명]]</f>
        <v>24년7월오감 책놀이</v>
      </c>
    </row>
    <row r="233" spans="1:15" x14ac:dyDescent="0.3">
      <c r="A233" s="5">
        <v>45474</v>
      </c>
      <c r="B233" t="s">
        <v>99</v>
      </c>
      <c r="C233" t="s">
        <v>323</v>
      </c>
      <c r="D233" t="s">
        <v>295</v>
      </c>
      <c r="E233" t="s">
        <v>133</v>
      </c>
      <c r="G233" t="s">
        <v>325</v>
      </c>
      <c r="H233">
        <v>4</v>
      </c>
      <c r="I233">
        <v>38</v>
      </c>
      <c r="J233">
        <v>34</v>
      </c>
      <c r="K233" s="15">
        <f t="shared" si="13"/>
        <v>72</v>
      </c>
      <c r="L233" t="s">
        <v>326</v>
      </c>
      <c r="M233" t="s">
        <v>231</v>
      </c>
      <c r="O233" t="str">
        <f>TEXT(행사기준[[#This Row],[년월]],"yy년m월")&amp;행사기준[[#This Row],[행사명]]</f>
        <v>24년7월즐거운 코딩나라</v>
      </c>
    </row>
    <row r="234" spans="1:15" x14ac:dyDescent="0.3">
      <c r="A234" s="5">
        <v>45474</v>
      </c>
      <c r="B234" t="s">
        <v>99</v>
      </c>
      <c r="C234" t="s">
        <v>323</v>
      </c>
      <c r="D234" t="s">
        <v>297</v>
      </c>
      <c r="E234" t="s">
        <v>163</v>
      </c>
      <c r="H234">
        <v>2</v>
      </c>
      <c r="I234">
        <v>8</v>
      </c>
      <c r="J234">
        <v>1</v>
      </c>
      <c r="K234" s="15">
        <f t="shared" si="13"/>
        <v>9</v>
      </c>
      <c r="L234" t="s">
        <v>320</v>
      </c>
      <c r="M234" t="s">
        <v>231</v>
      </c>
      <c r="O234" t="str">
        <f>TEXT(행사기준[[#This Row],[년월]],"yy년m월")&amp;행사기준[[#This Row],[행사명]]</f>
        <v>24년7월모두가 하나되는 세계시민 프로젝트</v>
      </c>
    </row>
    <row r="235" spans="1:15" x14ac:dyDescent="0.3">
      <c r="A235" s="5">
        <v>45474</v>
      </c>
      <c r="B235" t="s">
        <v>99</v>
      </c>
      <c r="C235" t="s">
        <v>323</v>
      </c>
      <c r="D235" t="s">
        <v>293</v>
      </c>
      <c r="E235" t="s">
        <v>132</v>
      </c>
      <c r="H235">
        <v>5</v>
      </c>
      <c r="I235">
        <v>15</v>
      </c>
      <c r="J235">
        <v>110</v>
      </c>
      <c r="K235" s="15">
        <f t="shared" si="13"/>
        <v>125</v>
      </c>
      <c r="L235" t="s">
        <v>210</v>
      </c>
      <c r="M235" t="s">
        <v>231</v>
      </c>
      <c r="O235" t="str">
        <f>TEXT(행사기준[[#This Row],[년월]],"yy년m월")&amp;행사기준[[#This Row],[행사명]]</f>
        <v>24년7월활력충전 신바람 노래교실</v>
      </c>
    </row>
    <row r="236" spans="1:15" x14ac:dyDescent="0.3">
      <c r="A236" s="5">
        <v>45474</v>
      </c>
      <c r="B236" t="s">
        <v>99</v>
      </c>
      <c r="C236" t="s">
        <v>416</v>
      </c>
      <c r="D236" t="s">
        <v>417</v>
      </c>
      <c r="E236" t="s">
        <v>133</v>
      </c>
      <c r="F236" t="s">
        <v>470</v>
      </c>
      <c r="H236">
        <v>4</v>
      </c>
      <c r="I236">
        <v>23</v>
      </c>
      <c r="J236">
        <v>32</v>
      </c>
      <c r="K236" s="15">
        <f t="shared" si="13"/>
        <v>55</v>
      </c>
      <c r="L236" t="s">
        <v>471</v>
      </c>
      <c r="M236" t="s">
        <v>231</v>
      </c>
      <c r="O236" t="str">
        <f>TEXT(행사기준[[#This Row],[년월]],"yy년m월")&amp;행사기준[[#This Row],[행사명]]</f>
        <v>24년7월영어동화의숲A</v>
      </c>
    </row>
    <row r="237" spans="1:15" x14ac:dyDescent="0.3">
      <c r="A237" s="5">
        <v>45474</v>
      </c>
      <c r="B237" t="s">
        <v>99</v>
      </c>
      <c r="C237" t="s">
        <v>416</v>
      </c>
      <c r="D237" t="s">
        <v>418</v>
      </c>
      <c r="E237" t="s">
        <v>133</v>
      </c>
      <c r="F237" t="s">
        <v>472</v>
      </c>
      <c r="H237">
        <v>4</v>
      </c>
      <c r="I237">
        <v>21</v>
      </c>
      <c r="J237">
        <v>23</v>
      </c>
      <c r="K237" s="15">
        <f t="shared" si="13"/>
        <v>44</v>
      </c>
      <c r="L237" t="s">
        <v>471</v>
      </c>
      <c r="M237" t="s">
        <v>231</v>
      </c>
      <c r="O237" t="str">
        <f>TEXT(행사기준[[#This Row],[년월]],"yy년m월")&amp;행사기준[[#This Row],[행사명]]</f>
        <v>24년7월영어동화의숲B</v>
      </c>
    </row>
    <row r="238" spans="1:15" x14ac:dyDescent="0.3">
      <c r="A238" s="5">
        <v>45474</v>
      </c>
      <c r="B238" t="s">
        <v>99</v>
      </c>
      <c r="C238" t="s">
        <v>327</v>
      </c>
      <c r="D238" t="s">
        <v>484</v>
      </c>
      <c r="E238" t="s">
        <v>132</v>
      </c>
      <c r="H238">
        <v>2</v>
      </c>
      <c r="I238">
        <v>2</v>
      </c>
      <c r="J238">
        <v>7</v>
      </c>
      <c r="K238" s="15">
        <f t="shared" si="13"/>
        <v>9</v>
      </c>
      <c r="L238" t="s">
        <v>330</v>
      </c>
      <c r="M238" t="s">
        <v>231</v>
      </c>
      <c r="O238" t="str">
        <f>TEXT(행사기준[[#This Row],[년월]],"yy년m월")&amp;행사기준[[#This Row],[행사명]]</f>
        <v>24년7월셀프 마사지로 내 몸 챙기기</v>
      </c>
    </row>
    <row r="239" spans="1:15" x14ac:dyDescent="0.3">
      <c r="A239" s="5">
        <v>45474</v>
      </c>
      <c r="B239" t="s">
        <v>99</v>
      </c>
      <c r="C239" t="s">
        <v>327</v>
      </c>
      <c r="D239" t="s">
        <v>473</v>
      </c>
      <c r="E239" t="s">
        <v>490</v>
      </c>
      <c r="G239" t="s">
        <v>492</v>
      </c>
      <c r="H239">
        <v>4</v>
      </c>
      <c r="I239">
        <v>4</v>
      </c>
      <c r="J239">
        <v>35</v>
      </c>
      <c r="K239" s="15">
        <f t="shared" si="13"/>
        <v>39</v>
      </c>
      <c r="L239" t="s">
        <v>329</v>
      </c>
      <c r="M239" t="s">
        <v>231</v>
      </c>
      <c r="O239" t="str">
        <f>TEXT(행사기준[[#This Row],[년월]],"yy년m월")&amp;행사기준[[#This Row],[행사명]]</f>
        <v>24년7월우리가족놀이체육</v>
      </c>
    </row>
    <row r="240" spans="1:15" x14ac:dyDescent="0.3">
      <c r="A240" s="5">
        <v>45474</v>
      </c>
      <c r="B240" t="s">
        <v>227</v>
      </c>
      <c r="C240" t="s">
        <v>229</v>
      </c>
      <c r="D240" t="s">
        <v>474</v>
      </c>
      <c r="E240" t="s">
        <v>133</v>
      </c>
      <c r="G240" t="s">
        <v>475</v>
      </c>
      <c r="H240">
        <v>3</v>
      </c>
      <c r="I240">
        <v>30</v>
      </c>
      <c r="J240">
        <v>27</v>
      </c>
      <c r="K240" s="15">
        <f t="shared" si="13"/>
        <v>57</v>
      </c>
      <c r="M240" t="s">
        <v>476</v>
      </c>
      <c r="O240" t="str">
        <f>TEXT(행사기준[[#This Row],[년월]],"yy년m월")&amp;행사기준[[#This Row],[행사명]]</f>
        <v>24년7월신문보니(NIE)</v>
      </c>
    </row>
    <row r="241" spans="1:15" x14ac:dyDescent="0.3">
      <c r="A241" s="5">
        <v>45474</v>
      </c>
      <c r="B241" t="s">
        <v>227</v>
      </c>
      <c r="C241" t="s">
        <v>229</v>
      </c>
      <c r="D241" t="s">
        <v>232</v>
      </c>
      <c r="E241" t="s">
        <v>133</v>
      </c>
      <c r="G241" t="s">
        <v>477</v>
      </c>
      <c r="H241">
        <v>3</v>
      </c>
      <c r="I241">
        <v>24</v>
      </c>
      <c r="J241">
        <v>24</v>
      </c>
      <c r="K241" s="15">
        <f t="shared" si="13"/>
        <v>48</v>
      </c>
      <c r="M241" t="s">
        <v>476</v>
      </c>
      <c r="O241" t="str">
        <f>TEXT(행사기준[[#This Row],[년월]],"yy년m월")&amp;행사기준[[#This Row],[행사명]]</f>
        <v>24년7월인성 쑥쑥 놀이터</v>
      </c>
    </row>
    <row r="242" spans="1:15" x14ac:dyDescent="0.3">
      <c r="A242" s="5">
        <v>45474</v>
      </c>
      <c r="B242" t="s">
        <v>227</v>
      </c>
      <c r="C242" t="s">
        <v>229</v>
      </c>
      <c r="D242" t="s">
        <v>487</v>
      </c>
      <c r="E242" t="s">
        <v>133</v>
      </c>
      <c r="G242" t="s">
        <v>478</v>
      </c>
      <c r="H242">
        <v>1</v>
      </c>
      <c r="I242">
        <v>3</v>
      </c>
      <c r="J242">
        <v>4</v>
      </c>
      <c r="K242" s="15">
        <f t="shared" si="13"/>
        <v>7</v>
      </c>
      <c r="M242" t="s">
        <v>476</v>
      </c>
      <c r="O242" t="str">
        <f>TEXT(행사기준[[#This Row],[년월]],"yy년m월")&amp;행사기준[[#This Row],[행사명]]</f>
        <v>24년7월나는야 지구 환경 지킴이</v>
      </c>
    </row>
    <row r="243" spans="1:15" x14ac:dyDescent="0.3">
      <c r="A243" s="5">
        <v>45474</v>
      </c>
      <c r="B243" t="s">
        <v>227</v>
      </c>
      <c r="C243" t="s">
        <v>229</v>
      </c>
      <c r="D243" t="s">
        <v>479</v>
      </c>
      <c r="E243" t="s">
        <v>133</v>
      </c>
      <c r="G243" t="s">
        <v>478</v>
      </c>
      <c r="H243">
        <v>1</v>
      </c>
      <c r="I243">
        <v>3</v>
      </c>
      <c r="J243">
        <v>3</v>
      </c>
      <c r="K243" s="15">
        <f t="shared" si="13"/>
        <v>6</v>
      </c>
      <c r="M243" t="s">
        <v>476</v>
      </c>
      <c r="O243" t="str">
        <f>TEXT(행사기준[[#This Row],[년월]],"yy년m월")&amp;행사기준[[#This Row],[행사명]]</f>
        <v>24년7월책으로 떠나는 수학탐험대</v>
      </c>
    </row>
    <row r="244" spans="1:15" x14ac:dyDescent="0.3">
      <c r="A244" s="5">
        <v>45474</v>
      </c>
      <c r="B244" t="s">
        <v>227</v>
      </c>
      <c r="C244" t="s">
        <v>235</v>
      </c>
      <c r="D244" t="s">
        <v>480</v>
      </c>
      <c r="E244" t="s">
        <v>133</v>
      </c>
      <c r="G244" t="s">
        <v>346</v>
      </c>
      <c r="H244">
        <v>1</v>
      </c>
      <c r="I244">
        <v>127</v>
      </c>
      <c r="J244">
        <v>138</v>
      </c>
      <c r="K244" s="15">
        <f t="shared" si="13"/>
        <v>265</v>
      </c>
      <c r="M244" t="s">
        <v>476</v>
      </c>
      <c r="O244" t="str">
        <f>TEXT(행사기준[[#This Row],[년월]],"yy년m월")&amp;행사기준[[#This Row],[행사명]]</f>
        <v>24년7월여름방학 제주</v>
      </c>
    </row>
    <row r="245" spans="1:15" x14ac:dyDescent="0.3">
      <c r="A245" s="5">
        <v>45474</v>
      </c>
      <c r="B245" t="s">
        <v>227</v>
      </c>
      <c r="C245" t="s">
        <v>235</v>
      </c>
      <c r="D245" t="s">
        <v>481</v>
      </c>
      <c r="E245" t="s">
        <v>133</v>
      </c>
      <c r="G245" t="s">
        <v>482</v>
      </c>
      <c r="H245">
        <v>6</v>
      </c>
      <c r="I245">
        <v>504</v>
      </c>
      <c r="J245">
        <v>517</v>
      </c>
      <c r="K245" s="15">
        <f t="shared" si="13"/>
        <v>1021</v>
      </c>
      <c r="M245" t="s">
        <v>476</v>
      </c>
      <c r="O245" t="str">
        <f>TEXT(행사기준[[#This Row],[년월]],"yy년m월")&amp;행사기준[[#This Row],[행사명]]</f>
        <v>24년7월지구 레스토랑</v>
      </c>
    </row>
    <row r="246" spans="1:15" x14ac:dyDescent="0.3">
      <c r="A246" s="5">
        <v>45474</v>
      </c>
      <c r="B246" t="s">
        <v>227</v>
      </c>
      <c r="C246" t="s">
        <v>239</v>
      </c>
      <c r="D246" t="s">
        <v>242</v>
      </c>
      <c r="E246" t="s">
        <v>133</v>
      </c>
      <c r="G246" t="s">
        <v>346</v>
      </c>
      <c r="H246">
        <v>1</v>
      </c>
      <c r="I246">
        <v>127</v>
      </c>
      <c r="J246">
        <v>138</v>
      </c>
      <c r="K246" s="15">
        <f t="shared" si="13"/>
        <v>265</v>
      </c>
      <c r="M246" t="s">
        <v>476</v>
      </c>
      <c r="O246" t="str">
        <f>TEXT(행사기준[[#This Row],[년월]],"yy년m월")&amp;행사기준[[#This Row],[행사명]]</f>
        <v>24년7월이지은 작가의 책</v>
      </c>
    </row>
    <row r="247" spans="1:15" x14ac:dyDescent="0.3">
      <c r="A247" s="5">
        <v>45474</v>
      </c>
      <c r="B247" t="s">
        <v>227</v>
      </c>
      <c r="C247" t="s">
        <v>239</v>
      </c>
      <c r="D247" t="s">
        <v>244</v>
      </c>
      <c r="E247" t="s">
        <v>133</v>
      </c>
      <c r="G247" t="s">
        <v>478</v>
      </c>
      <c r="H247">
        <v>1</v>
      </c>
      <c r="I247">
        <v>14</v>
      </c>
      <c r="J247">
        <v>13</v>
      </c>
      <c r="K247" s="15">
        <f t="shared" si="13"/>
        <v>27</v>
      </c>
      <c r="M247" t="s">
        <v>476</v>
      </c>
      <c r="O247" t="str">
        <f>TEXT(행사기준[[#This Row],[년월]],"yy년m월")&amp;행사기준[[#This Row],[행사명]]</f>
        <v>24년7월정진호 작가의 책</v>
      </c>
    </row>
    <row r="248" spans="1:15" x14ac:dyDescent="0.3">
      <c r="A248" s="5">
        <v>45474</v>
      </c>
      <c r="B248" t="s">
        <v>105</v>
      </c>
      <c r="D248" t="s">
        <v>483</v>
      </c>
      <c r="E248" t="s">
        <v>134</v>
      </c>
      <c r="H248">
        <v>1</v>
      </c>
      <c r="I248">
        <v>55</v>
      </c>
      <c r="J248">
        <v>65</v>
      </c>
      <c r="K248" s="15">
        <f>I248+J248</f>
        <v>120</v>
      </c>
      <c r="M248" t="s">
        <v>206</v>
      </c>
      <c r="O248" t="str">
        <f>TEXT(행사기준[[#This Row],[년월]],"yy년m월")&amp;행사기준[[#This Row],[행사명]]</f>
        <v>24년7월2023년 경남독서한마당 수상작품 전시</v>
      </c>
    </row>
    <row r="249" spans="1:15" x14ac:dyDescent="0.3">
      <c r="A249" s="5">
        <v>45505</v>
      </c>
      <c r="B249" t="s">
        <v>101</v>
      </c>
      <c r="D249" t="s">
        <v>496</v>
      </c>
      <c r="E249" t="s">
        <v>134</v>
      </c>
      <c r="H249">
        <v>1</v>
      </c>
      <c r="I249">
        <v>17</v>
      </c>
      <c r="J249">
        <v>33</v>
      </c>
      <c r="K249" s="17">
        <f t="shared" ref="K249:K274" si="14">I249+J249</f>
        <v>50</v>
      </c>
      <c r="M249" t="s">
        <v>211</v>
      </c>
      <c r="O249" t="str">
        <f>TEXT(행사기준[[#This Row],[년월]],"yy년m월")&amp;행사기준[[#This Row],[행사명]]</f>
        <v>24년8월어제도 내일도 또서관</v>
      </c>
    </row>
    <row r="250" spans="1:15" x14ac:dyDescent="0.3">
      <c r="A250" s="5">
        <v>45505</v>
      </c>
      <c r="B250" t="s">
        <v>101</v>
      </c>
      <c r="D250" t="s">
        <v>497</v>
      </c>
      <c r="E250" t="s">
        <v>133</v>
      </c>
      <c r="H250">
        <v>1</v>
      </c>
      <c r="I250">
        <v>17</v>
      </c>
      <c r="J250">
        <v>35</v>
      </c>
      <c r="K250" s="17">
        <f t="shared" si="14"/>
        <v>52</v>
      </c>
      <c r="M250" t="s">
        <v>206</v>
      </c>
      <c r="O250" t="str">
        <f>TEXT(행사기준[[#This Row],[년월]],"yy년m월")&amp;행사기준[[#This Row],[행사명]]</f>
        <v>24년8월초등독서꾸러미</v>
      </c>
    </row>
    <row r="251" spans="1:15" x14ac:dyDescent="0.3">
      <c r="A251" s="5">
        <v>45505</v>
      </c>
      <c r="B251" t="s">
        <v>101</v>
      </c>
      <c r="D251" t="s">
        <v>498</v>
      </c>
      <c r="E251" t="s">
        <v>133</v>
      </c>
      <c r="G251" t="s">
        <v>499</v>
      </c>
      <c r="H251">
        <v>1</v>
      </c>
      <c r="I251">
        <v>7</v>
      </c>
      <c r="J251">
        <v>6</v>
      </c>
      <c r="K251" s="17">
        <f t="shared" si="14"/>
        <v>13</v>
      </c>
      <c r="M251" t="s">
        <v>206</v>
      </c>
      <c r="O251" t="str">
        <f>TEXT(행사기준[[#This Row],[년월]],"yy년m월")&amp;행사기준[[#This Row],[행사명]]</f>
        <v>24년8월아기도 도서관 회원!</v>
      </c>
    </row>
    <row r="252" spans="1:15" x14ac:dyDescent="0.3">
      <c r="A252" s="5">
        <v>45505</v>
      </c>
      <c r="B252" t="s">
        <v>101</v>
      </c>
      <c r="D252" t="s">
        <v>500</v>
      </c>
      <c r="E252" t="s">
        <v>133</v>
      </c>
      <c r="H252">
        <v>1</v>
      </c>
      <c r="I252">
        <v>6</v>
      </c>
      <c r="J252">
        <v>35</v>
      </c>
      <c r="K252" s="17">
        <f t="shared" si="14"/>
        <v>41</v>
      </c>
      <c r="M252" t="s">
        <v>206</v>
      </c>
      <c r="O252" t="str">
        <f>TEXT(행사기준[[#This Row],[년월]],"yy년m월")&amp;행사기준[[#This Row],[행사명]]</f>
        <v>24년8월여름 독서 교실</v>
      </c>
    </row>
    <row r="253" spans="1:15" x14ac:dyDescent="0.3">
      <c r="A253" s="5">
        <v>45505</v>
      </c>
      <c r="B253" t="s">
        <v>225</v>
      </c>
      <c r="D253" t="s">
        <v>501</v>
      </c>
      <c r="E253" t="s">
        <v>134</v>
      </c>
      <c r="H253">
        <v>1</v>
      </c>
      <c r="I253">
        <v>2</v>
      </c>
      <c r="J253">
        <v>20</v>
      </c>
      <c r="K253" s="17">
        <f t="shared" si="14"/>
        <v>22</v>
      </c>
      <c r="M253" t="s">
        <v>231</v>
      </c>
      <c r="O253" t="str">
        <f>TEXT(행사기준[[#This Row],[년월]],"yy년m월")&amp;행사기준[[#This Row],[행사명]]</f>
        <v>24년8월잃어버린 조각을 찾아서</v>
      </c>
    </row>
    <row r="254" spans="1:15" x14ac:dyDescent="0.3">
      <c r="A254" s="5">
        <v>45505</v>
      </c>
      <c r="B254" s="17" t="s">
        <v>225</v>
      </c>
      <c r="C254" t="s">
        <v>455</v>
      </c>
      <c r="D254" t="s">
        <v>502</v>
      </c>
      <c r="E254" t="s">
        <v>134</v>
      </c>
      <c r="H254">
        <v>1</v>
      </c>
      <c r="I254">
        <v>1</v>
      </c>
      <c r="J254">
        <v>2</v>
      </c>
      <c r="K254" s="17">
        <f t="shared" si="14"/>
        <v>3</v>
      </c>
      <c r="M254" t="s">
        <v>231</v>
      </c>
      <c r="O254" t="str">
        <f>TEXT(행사기준[[#This Row],[년월]],"yy년m월")&amp;행사기준[[#This Row],[행사명]]</f>
        <v>24년8월올해의 책#지금_읽음</v>
      </c>
    </row>
    <row r="255" spans="1:15" x14ac:dyDescent="0.3">
      <c r="A255" s="5">
        <v>45505</v>
      </c>
      <c r="B255" t="s">
        <v>101</v>
      </c>
      <c r="D255" t="s">
        <v>178</v>
      </c>
      <c r="E255" t="s">
        <v>133</v>
      </c>
      <c r="H255">
        <v>1</v>
      </c>
      <c r="I255">
        <v>30</v>
      </c>
      <c r="J255">
        <v>54</v>
      </c>
      <c r="K255" s="17">
        <f t="shared" si="14"/>
        <v>84</v>
      </c>
      <c r="L255" t="s">
        <v>503</v>
      </c>
      <c r="M255" t="s">
        <v>206</v>
      </c>
      <c r="O255" t="str">
        <f>TEXT(행사기준[[#This Row],[년월]],"yy년m월")&amp;행사기준[[#This Row],[행사명]]</f>
        <v>24년8월생각키움 독서퀴즈</v>
      </c>
    </row>
    <row r="256" spans="1:15" x14ac:dyDescent="0.3">
      <c r="A256" s="5">
        <v>45505</v>
      </c>
      <c r="B256" t="s">
        <v>101</v>
      </c>
      <c r="D256" t="s">
        <v>117</v>
      </c>
      <c r="E256" t="s">
        <v>133</v>
      </c>
      <c r="H256">
        <v>1</v>
      </c>
      <c r="I256">
        <v>6</v>
      </c>
      <c r="J256">
        <v>14</v>
      </c>
      <c r="K256" s="17">
        <f t="shared" si="14"/>
        <v>20</v>
      </c>
      <c r="M256" t="s">
        <v>206</v>
      </c>
      <c r="O256" t="str">
        <f>TEXT(행사기준[[#This Row],[년월]],"yy년m월")&amp;행사기준[[#This Row],[행사명]]</f>
        <v>24년8월내가 좋아하는 책 속 한 구절</v>
      </c>
    </row>
    <row r="257" spans="1:15" x14ac:dyDescent="0.3">
      <c r="A257" s="5">
        <v>45505</v>
      </c>
      <c r="B257" t="s">
        <v>514</v>
      </c>
      <c r="C257" t="s">
        <v>455</v>
      </c>
      <c r="D257" t="s">
        <v>456</v>
      </c>
      <c r="E257" t="s">
        <v>134</v>
      </c>
      <c r="H257">
        <v>1</v>
      </c>
      <c r="I257">
        <v>182</v>
      </c>
      <c r="J257">
        <v>288</v>
      </c>
      <c r="K257" s="17">
        <f t="shared" si="14"/>
        <v>470</v>
      </c>
      <c r="M257" t="s">
        <v>211</v>
      </c>
      <c r="N257" t="s">
        <v>206</v>
      </c>
      <c r="O257" t="str">
        <f>TEXT(행사기준[[#This Row],[년월]],"yy년m월")&amp;행사기준[[#This Row],[행사명]]</f>
        <v>24년8월올해의 책 집중 탐구</v>
      </c>
    </row>
    <row r="258" spans="1:15" x14ac:dyDescent="0.3">
      <c r="A258" s="5">
        <v>45505</v>
      </c>
      <c r="B258" t="s">
        <v>101</v>
      </c>
      <c r="C258" t="s">
        <v>455</v>
      </c>
      <c r="D258" t="s">
        <v>457</v>
      </c>
      <c r="E258" t="s">
        <v>134</v>
      </c>
      <c r="H258">
        <v>1</v>
      </c>
      <c r="I258">
        <v>15</v>
      </c>
      <c r="J258">
        <v>25</v>
      </c>
      <c r="K258" s="17">
        <f t="shared" si="14"/>
        <v>40</v>
      </c>
      <c r="M258" t="s">
        <v>211</v>
      </c>
      <c r="N258" t="s">
        <v>206</v>
      </c>
      <c r="O258" t="str">
        <f>TEXT(행사기준[[#This Row],[년월]],"yy년m월")&amp;행사기준[[#This Row],[행사명]]</f>
        <v>24년8월나만의 필사로 만나는 올해의 책</v>
      </c>
    </row>
    <row r="259" spans="1:15" x14ac:dyDescent="0.3">
      <c r="A259" s="5">
        <v>45505</v>
      </c>
      <c r="B259" t="s">
        <v>101</v>
      </c>
      <c r="C259" s="17" t="s">
        <v>202</v>
      </c>
      <c r="D259" t="s">
        <v>181</v>
      </c>
      <c r="E259" t="s">
        <v>134</v>
      </c>
      <c r="H259">
        <v>1</v>
      </c>
      <c r="I259">
        <v>2</v>
      </c>
      <c r="J259">
        <v>1</v>
      </c>
      <c r="K259" s="17">
        <f t="shared" si="14"/>
        <v>3</v>
      </c>
      <c r="M259" t="s">
        <v>211</v>
      </c>
      <c r="N259" t="s">
        <v>206</v>
      </c>
      <c r="O259" t="str">
        <f>TEXT(행사기준[[#This Row],[년월]],"yy년m월")&amp;행사기준[[#This Row],[행사명]]</f>
        <v>24년8월두 배로 데이</v>
      </c>
    </row>
    <row r="260" spans="1:15" x14ac:dyDescent="0.3">
      <c r="A260" s="5">
        <v>45505</v>
      </c>
      <c r="B260" t="s">
        <v>101</v>
      </c>
      <c r="C260" s="17" t="s">
        <v>202</v>
      </c>
      <c r="D260" t="s">
        <v>183</v>
      </c>
      <c r="E260" t="s">
        <v>134</v>
      </c>
      <c r="H260">
        <v>1</v>
      </c>
      <c r="I260">
        <v>8</v>
      </c>
      <c r="J260">
        <v>13</v>
      </c>
      <c r="K260" s="17">
        <f t="shared" si="14"/>
        <v>21</v>
      </c>
      <c r="M260" t="s">
        <v>211</v>
      </c>
      <c r="N260" t="s">
        <v>206</v>
      </c>
      <c r="O260" t="str">
        <f>TEXT(행사기준[[#This Row],[년월]],"yy년m월")&amp;행사기준[[#This Row],[행사명]]</f>
        <v>24년8월연체자 클린 데이</v>
      </c>
    </row>
    <row r="261" spans="1:15" x14ac:dyDescent="0.3">
      <c r="A261" s="5">
        <v>45505</v>
      </c>
      <c r="B261" t="s">
        <v>103</v>
      </c>
      <c r="D261" t="s">
        <v>224</v>
      </c>
      <c r="E261" t="s">
        <v>132</v>
      </c>
      <c r="H261">
        <v>1</v>
      </c>
      <c r="I261">
        <v>1</v>
      </c>
      <c r="J261">
        <v>4</v>
      </c>
      <c r="K261" s="17">
        <f t="shared" si="14"/>
        <v>5</v>
      </c>
      <c r="M261" t="s">
        <v>211</v>
      </c>
      <c r="O261" t="str">
        <f>TEXT(행사기준[[#This Row],[년월]],"yy년m월")&amp;행사기준[[#This Row],[행사명]]</f>
        <v>24년8월성인(화왕) 독서동아리</v>
      </c>
    </row>
    <row r="262" spans="1:15" x14ac:dyDescent="0.3">
      <c r="A262" s="5">
        <v>45505</v>
      </c>
      <c r="B262" t="s">
        <v>103</v>
      </c>
      <c r="D262" t="s">
        <v>257</v>
      </c>
      <c r="E262" t="s">
        <v>163</v>
      </c>
      <c r="H262">
        <v>1</v>
      </c>
      <c r="I262">
        <v>3</v>
      </c>
      <c r="K262" s="17">
        <f t="shared" si="14"/>
        <v>3</v>
      </c>
      <c r="L262" t="s">
        <v>320</v>
      </c>
      <c r="M262" t="s">
        <v>211</v>
      </c>
      <c r="O262" t="str">
        <f>TEXT(행사기준[[#This Row],[년월]],"yy년m월")&amp;행사기준[[#This Row],[행사명]]</f>
        <v>24년8월꿈동(청소년) 독서동아리</v>
      </c>
    </row>
    <row r="263" spans="1:15" x14ac:dyDescent="0.3">
      <c r="A263" s="5">
        <v>45505</v>
      </c>
      <c r="B263" t="s">
        <v>103</v>
      </c>
      <c r="D263" t="s">
        <v>258</v>
      </c>
      <c r="E263" t="s">
        <v>133</v>
      </c>
      <c r="H263">
        <v>1</v>
      </c>
      <c r="I263">
        <v>1</v>
      </c>
      <c r="J263">
        <v>3</v>
      </c>
      <c r="K263" s="17">
        <f t="shared" si="14"/>
        <v>4</v>
      </c>
      <c r="L263" t="s">
        <v>321</v>
      </c>
      <c r="M263" t="s">
        <v>206</v>
      </c>
      <c r="O263" t="str">
        <f>TEXT(행사기준[[#This Row],[년월]],"yy년m월")&amp;행사기준[[#This Row],[행사명]]</f>
        <v>24년8월푸르미(어린이) 독서동아리</v>
      </c>
    </row>
    <row r="264" spans="1:15" x14ac:dyDescent="0.3">
      <c r="A264" s="5">
        <v>45505</v>
      </c>
      <c r="B264" t="s">
        <v>103</v>
      </c>
      <c r="D264" t="s">
        <v>504</v>
      </c>
      <c r="E264" t="s">
        <v>132</v>
      </c>
      <c r="H264">
        <v>1</v>
      </c>
      <c r="J264">
        <v>4</v>
      </c>
      <c r="K264" s="17">
        <f t="shared" si="14"/>
        <v>4</v>
      </c>
      <c r="M264" t="s">
        <v>206</v>
      </c>
      <c r="O264" t="str">
        <f>TEXT(행사기준[[#This Row],[년월]],"yy년m월")&amp;행사기준[[#This Row],[행사명]]</f>
        <v>24년8월도토리 그림책 독서동아리</v>
      </c>
    </row>
    <row r="265" spans="1:15" x14ac:dyDescent="0.3">
      <c r="A265" s="5">
        <v>45505</v>
      </c>
      <c r="B265" t="s">
        <v>105</v>
      </c>
      <c r="D265" t="s">
        <v>121</v>
      </c>
      <c r="E265" t="s">
        <v>132</v>
      </c>
      <c r="H265">
        <v>1</v>
      </c>
      <c r="I265">
        <v>221</v>
      </c>
      <c r="J265">
        <v>315</v>
      </c>
      <c r="K265" s="17">
        <f t="shared" si="14"/>
        <v>536</v>
      </c>
      <c r="M265" t="s">
        <v>211</v>
      </c>
      <c r="O265" t="str">
        <f>TEXT(행사기준[[#This Row],[년월]],"yy년m월")&amp;행사기준[[#This Row],[행사명]]</f>
        <v>24년8월사서가 들려주는 북 스토리</v>
      </c>
    </row>
    <row r="266" spans="1:15" x14ac:dyDescent="0.3">
      <c r="A266" s="5">
        <v>45505</v>
      </c>
      <c r="B266" t="s">
        <v>105</v>
      </c>
      <c r="D266" t="s">
        <v>123</v>
      </c>
      <c r="E266" t="s">
        <v>133</v>
      </c>
      <c r="H266">
        <v>1</v>
      </c>
      <c r="I266">
        <v>399</v>
      </c>
      <c r="J266">
        <v>474</v>
      </c>
      <c r="K266" s="17">
        <f t="shared" si="14"/>
        <v>873</v>
      </c>
      <c r="M266" t="s">
        <v>206</v>
      </c>
      <c r="O266" t="str">
        <f>TEXT(행사기준[[#This Row],[년월]],"yy년m월")&amp;행사기준[[#This Row],[행사명]]</f>
        <v>24년8월이야기가 있는 그림책 원화 전시</v>
      </c>
    </row>
    <row r="267" spans="1:15" x14ac:dyDescent="0.3">
      <c r="A267" s="5">
        <v>45505</v>
      </c>
      <c r="B267" t="s">
        <v>105</v>
      </c>
      <c r="D267" t="s">
        <v>118</v>
      </c>
      <c r="E267" t="s">
        <v>133</v>
      </c>
      <c r="H267">
        <v>1</v>
      </c>
      <c r="I267">
        <v>111</v>
      </c>
      <c r="J267">
        <v>133</v>
      </c>
      <c r="K267" s="17">
        <f t="shared" si="14"/>
        <v>244</v>
      </c>
      <c r="M267" t="s">
        <v>206</v>
      </c>
      <c r="O267" t="str">
        <f>TEXT(행사기준[[#This Row],[년월]],"yy년m월")&amp;행사기준[[#This Row],[행사명]]</f>
        <v>24년8월도서관에서 만나는 특별한 책 이야기</v>
      </c>
    </row>
    <row r="268" spans="1:15" x14ac:dyDescent="0.3">
      <c r="A268" s="5">
        <v>45505</v>
      </c>
      <c r="B268" t="s">
        <v>105</v>
      </c>
      <c r="D268" t="s">
        <v>120</v>
      </c>
      <c r="E268" t="s">
        <v>134</v>
      </c>
      <c r="H268">
        <v>1</v>
      </c>
      <c r="I268">
        <v>321</v>
      </c>
      <c r="J268">
        <v>504</v>
      </c>
      <c r="K268" s="17">
        <f t="shared" si="14"/>
        <v>825</v>
      </c>
      <c r="M268" t="s">
        <v>206</v>
      </c>
      <c r="O268" t="str">
        <f>TEXT(행사기준[[#This Row],[년월]],"yy년m월")&amp;행사기준[[#This Row],[행사명]]</f>
        <v>24년8월사서 추천 도서 서평 전시</v>
      </c>
    </row>
    <row r="269" spans="1:15" x14ac:dyDescent="0.3">
      <c r="A269" s="5">
        <v>45505</v>
      </c>
      <c r="B269" t="s">
        <v>513</v>
      </c>
      <c r="D269" t="s">
        <v>195</v>
      </c>
      <c r="E269" t="s">
        <v>133</v>
      </c>
      <c r="H269">
        <v>4</v>
      </c>
      <c r="I269">
        <v>14</v>
      </c>
      <c r="J269">
        <v>26</v>
      </c>
      <c r="K269" s="17">
        <f t="shared" si="14"/>
        <v>40</v>
      </c>
      <c r="M269" t="s">
        <v>206</v>
      </c>
      <c r="O269" t="str">
        <f>TEXT(행사기준[[#This Row],[년월]],"yy년m월")&amp;행사기준[[#This Row],[행사명]]</f>
        <v>24년8월도서관에서 만나는 창녕 시네마</v>
      </c>
    </row>
    <row r="270" spans="1:15" x14ac:dyDescent="0.3">
      <c r="A270" s="5">
        <v>45505</v>
      </c>
      <c r="B270" t="s">
        <v>107</v>
      </c>
      <c r="D270" t="s">
        <v>463</v>
      </c>
      <c r="E270" t="s">
        <v>133</v>
      </c>
      <c r="H270">
        <v>1</v>
      </c>
      <c r="I270">
        <v>15</v>
      </c>
      <c r="J270">
        <v>23</v>
      </c>
      <c r="K270" s="17">
        <f t="shared" si="14"/>
        <v>38</v>
      </c>
      <c r="L270" t="s">
        <v>469</v>
      </c>
      <c r="M270" t="s">
        <v>206</v>
      </c>
      <c r="O270" t="str">
        <f>TEXT(행사기준[[#This Row],[년월]],"yy년m월")&amp;행사기준[[#This Row],[행사명]]</f>
        <v>24년8월어린이자료실 현장학습</v>
      </c>
    </row>
    <row r="271" spans="1:15" x14ac:dyDescent="0.3">
      <c r="A271" s="5">
        <v>45505</v>
      </c>
      <c r="B271" t="s">
        <v>101</v>
      </c>
      <c r="D271" t="s">
        <v>468</v>
      </c>
      <c r="E271" t="s">
        <v>133</v>
      </c>
      <c r="H271">
        <v>3</v>
      </c>
      <c r="I271">
        <v>12</v>
      </c>
      <c r="J271">
        <v>18</v>
      </c>
      <c r="K271" s="17">
        <f t="shared" si="14"/>
        <v>30</v>
      </c>
      <c r="L271" t="s">
        <v>505</v>
      </c>
      <c r="M271" t="s">
        <v>206</v>
      </c>
      <c r="O271" t="str">
        <f>TEXT(행사기준[[#This Row],[년월]],"yy년m월")&amp;행사기준[[#This Row],[행사명]]</f>
        <v>24년8월도서관과 함께 책 읽기</v>
      </c>
    </row>
    <row r="272" spans="1:15" x14ac:dyDescent="0.3">
      <c r="A272" s="5">
        <v>45505</v>
      </c>
      <c r="B272" t="s">
        <v>99</v>
      </c>
      <c r="C272" t="s">
        <v>508</v>
      </c>
      <c r="D272" t="s">
        <v>509</v>
      </c>
      <c r="E272" t="s">
        <v>133</v>
      </c>
      <c r="G272" t="s">
        <v>472</v>
      </c>
      <c r="H272">
        <v>6</v>
      </c>
      <c r="I272">
        <v>19</v>
      </c>
      <c r="J272">
        <v>14</v>
      </c>
      <c r="K272" s="17">
        <f t="shared" si="14"/>
        <v>33</v>
      </c>
      <c r="L272" t="s">
        <v>345</v>
      </c>
      <c r="O272" t="str">
        <f>TEXT(행사기준[[#This Row],[년월]],"yy년m월")&amp;행사기준[[#This Row],[행사명]]</f>
        <v>24년8월동시야 놀자</v>
      </c>
    </row>
    <row r="273" spans="1:15" x14ac:dyDescent="0.3">
      <c r="A273" s="5">
        <v>45505</v>
      </c>
      <c r="B273" t="s">
        <v>99</v>
      </c>
      <c r="C273" t="s">
        <v>508</v>
      </c>
      <c r="D273" t="s">
        <v>510</v>
      </c>
      <c r="E273" t="s">
        <v>133</v>
      </c>
      <c r="G273" t="s">
        <v>511</v>
      </c>
      <c r="H273">
        <v>4</v>
      </c>
      <c r="I273">
        <v>12</v>
      </c>
      <c r="J273">
        <v>7</v>
      </c>
      <c r="K273" s="17">
        <f t="shared" si="14"/>
        <v>19</v>
      </c>
      <c r="L273" t="s">
        <v>512</v>
      </c>
      <c r="O273" t="str">
        <f>TEXT(행사기준[[#This Row],[년월]],"yy년m월")&amp;행사기준[[#This Row],[행사명]]</f>
        <v>24년8월창의력 쑥쑥! 재미있는 큐브</v>
      </c>
    </row>
    <row r="274" spans="1:15" x14ac:dyDescent="0.3">
      <c r="A274" s="5">
        <v>45505</v>
      </c>
      <c r="B274" t="s">
        <v>99</v>
      </c>
      <c r="C274" t="s">
        <v>416</v>
      </c>
      <c r="D274" t="s">
        <v>417</v>
      </c>
      <c r="E274" t="s">
        <v>133</v>
      </c>
      <c r="G274" t="s">
        <v>470</v>
      </c>
      <c r="H274">
        <v>3</v>
      </c>
      <c r="I274">
        <v>14</v>
      </c>
      <c r="J274">
        <v>25</v>
      </c>
      <c r="K274" s="17">
        <f t="shared" si="14"/>
        <v>39</v>
      </c>
      <c r="L274" t="s">
        <v>471</v>
      </c>
      <c r="O274" t="str">
        <f>TEXT(행사기준[[#This Row],[년월]],"yy년m월")&amp;행사기준[[#This Row],[행사명]]</f>
        <v>24년8월영어동화의숲A</v>
      </c>
    </row>
    <row r="275" spans="1:15" x14ac:dyDescent="0.3">
      <c r="A275" s="5">
        <v>45505</v>
      </c>
      <c r="B275" t="s">
        <v>99</v>
      </c>
      <c r="C275" t="s">
        <v>416</v>
      </c>
      <c r="D275" t="s">
        <v>418</v>
      </c>
      <c r="E275" t="s">
        <v>133</v>
      </c>
      <c r="G275" t="s">
        <v>472</v>
      </c>
      <c r="H275">
        <v>3</v>
      </c>
      <c r="I275">
        <v>8</v>
      </c>
      <c r="J275">
        <v>12</v>
      </c>
      <c r="K275" s="17">
        <f>I275+J275</f>
        <v>20</v>
      </c>
      <c r="L275" t="s">
        <v>471</v>
      </c>
      <c r="O275" t="str">
        <f>TEXT(행사기준[[#This Row],[년월]],"yy년m월")&amp;행사기준[[#This Row],[행사명]]</f>
        <v>24년8월영어동화의숲B</v>
      </c>
    </row>
    <row r="276" spans="1:15" x14ac:dyDescent="0.3">
      <c r="A276" s="5">
        <v>45536</v>
      </c>
      <c r="B276" t="s">
        <v>101</v>
      </c>
      <c r="D276" t="s">
        <v>515</v>
      </c>
      <c r="E276" t="s">
        <v>133</v>
      </c>
      <c r="H276">
        <v>1</v>
      </c>
      <c r="I276">
        <v>22</v>
      </c>
      <c r="J276">
        <v>28</v>
      </c>
      <c r="K276" s="17">
        <f t="shared" ref="K276:K339" si="15">I276+J276</f>
        <v>50</v>
      </c>
      <c r="M276" t="s">
        <v>206</v>
      </c>
      <c r="O276" t="str">
        <f>TEXT(행사기준[[#This Row],[년월]],"yy년m월")&amp;행사기준[[#This Row],[행사명]]</f>
        <v xml:space="preserve">24년9월독서마블: 신나는 도서관 여행 </v>
      </c>
    </row>
    <row r="277" spans="1:15" x14ac:dyDescent="0.3">
      <c r="A277" s="5">
        <v>45536</v>
      </c>
      <c r="B277" t="s">
        <v>101</v>
      </c>
      <c r="D277" t="s">
        <v>516</v>
      </c>
      <c r="E277" t="s">
        <v>133</v>
      </c>
      <c r="H277">
        <v>1</v>
      </c>
      <c r="I277">
        <v>25</v>
      </c>
      <c r="J277">
        <v>46</v>
      </c>
      <c r="K277" s="17">
        <f t="shared" si="15"/>
        <v>71</v>
      </c>
      <c r="M277" t="s">
        <v>206</v>
      </c>
      <c r="O277" t="str">
        <f>TEXT(행사기준[[#This Row],[년월]],"yy년m월")&amp;행사기준[[#This Row],[행사명]]</f>
        <v xml:space="preserve">24년9월Yes! 어린이 독서왕 </v>
      </c>
    </row>
    <row r="278" spans="1:15" x14ac:dyDescent="0.3">
      <c r="A278" s="5">
        <v>45536</v>
      </c>
      <c r="B278" t="s">
        <v>101</v>
      </c>
      <c r="D278" t="s">
        <v>517</v>
      </c>
      <c r="E278" t="s">
        <v>134</v>
      </c>
      <c r="H278">
        <v>1</v>
      </c>
      <c r="I278">
        <v>10</v>
      </c>
      <c r="J278">
        <v>20</v>
      </c>
      <c r="K278" s="17">
        <f t="shared" si="15"/>
        <v>30</v>
      </c>
      <c r="M278" t="s">
        <v>211</v>
      </c>
      <c r="O278" t="str">
        <f>TEXT(행사기준[[#This Row],[년월]],"yy년m월")&amp;행사기준[[#This Row],[행사명]]</f>
        <v xml:space="preserve">24년9월우리가 사랑한 책들 </v>
      </c>
    </row>
    <row r="279" spans="1:15" x14ac:dyDescent="0.3">
      <c r="A279" s="5">
        <v>45536</v>
      </c>
      <c r="B279" t="s">
        <v>101</v>
      </c>
      <c r="C279" t="s">
        <v>455</v>
      </c>
      <c r="D279" t="s">
        <v>518</v>
      </c>
      <c r="E279" t="s">
        <v>134</v>
      </c>
      <c r="H279">
        <v>1</v>
      </c>
      <c r="I279">
        <v>11</v>
      </c>
      <c r="J279">
        <v>19</v>
      </c>
      <c r="K279" s="17">
        <f t="shared" si="15"/>
        <v>30</v>
      </c>
      <c r="M279" t="s">
        <v>211</v>
      </c>
      <c r="O279" t="str">
        <f>TEXT(행사기준[[#This Row],[년월]],"yy년m월")&amp;행사기준[[#This Row],[행사명]]</f>
        <v xml:space="preserve">24년9월올해의 책 My Pick! 문장 조립 </v>
      </c>
    </row>
    <row r="280" spans="1:15" x14ac:dyDescent="0.3">
      <c r="A280" s="5">
        <v>45536</v>
      </c>
      <c r="B280" t="s">
        <v>225</v>
      </c>
      <c r="D280" t="s">
        <v>549</v>
      </c>
      <c r="E280" t="s">
        <v>134</v>
      </c>
      <c r="H280">
        <v>1</v>
      </c>
      <c r="J280">
        <v>9</v>
      </c>
      <c r="K280" s="17">
        <f t="shared" si="15"/>
        <v>9</v>
      </c>
      <c r="M280" t="s">
        <v>231</v>
      </c>
      <c r="O280" t="str">
        <f>TEXT(행사기준[[#This Row],[년월]],"yy년m월")&amp;행사기준[[#This Row],[행사명]]</f>
        <v>24년9월하이파이북(book)</v>
      </c>
    </row>
    <row r="281" spans="1:15" x14ac:dyDescent="0.3">
      <c r="A281" s="5">
        <v>45536</v>
      </c>
      <c r="B281" t="s">
        <v>101</v>
      </c>
      <c r="D281" t="s">
        <v>519</v>
      </c>
      <c r="E281" t="s">
        <v>133</v>
      </c>
      <c r="H281">
        <v>1</v>
      </c>
      <c r="I281">
        <v>19</v>
      </c>
      <c r="J281">
        <v>34</v>
      </c>
      <c r="K281" s="17">
        <f t="shared" si="15"/>
        <v>53</v>
      </c>
      <c r="M281" t="s">
        <v>206</v>
      </c>
      <c r="O281" t="str">
        <f>TEXT(행사기준[[#This Row],[년월]],"yy년m월")&amp;행사기준[[#This Row],[행사명]]</f>
        <v xml:space="preserve">24년9월생각키움 독서퀴즈 </v>
      </c>
    </row>
    <row r="282" spans="1:15" x14ac:dyDescent="0.3">
      <c r="A282" s="5">
        <v>45536</v>
      </c>
      <c r="B282" t="s">
        <v>101</v>
      </c>
      <c r="D282" t="s">
        <v>520</v>
      </c>
      <c r="E282" t="s">
        <v>133</v>
      </c>
      <c r="H282">
        <v>1</v>
      </c>
      <c r="I282">
        <v>3</v>
      </c>
      <c r="J282">
        <v>17</v>
      </c>
      <c r="K282" s="17">
        <f t="shared" si="15"/>
        <v>20</v>
      </c>
      <c r="M282" t="s">
        <v>206</v>
      </c>
      <c r="O282" t="str">
        <f>TEXT(행사기준[[#This Row],[년월]],"yy년m월")&amp;행사기준[[#This Row],[행사명]]</f>
        <v xml:space="preserve">24년9월내가 좋아하는 책 속 한 구절 </v>
      </c>
    </row>
    <row r="283" spans="1:15" x14ac:dyDescent="0.3">
      <c r="A283" s="5">
        <v>45536</v>
      </c>
      <c r="B283" t="s">
        <v>105</v>
      </c>
      <c r="C283" t="s">
        <v>455</v>
      </c>
      <c r="D283" t="s">
        <v>521</v>
      </c>
      <c r="E283" t="s">
        <v>134</v>
      </c>
      <c r="H283">
        <v>1</v>
      </c>
      <c r="I283">
        <v>193</v>
      </c>
      <c r="J283">
        <v>291</v>
      </c>
      <c r="K283" s="17">
        <f t="shared" si="15"/>
        <v>484</v>
      </c>
      <c r="M283" t="s">
        <v>211</v>
      </c>
      <c r="N283" t="s">
        <v>206</v>
      </c>
      <c r="O283" t="str">
        <f>TEXT(행사기준[[#This Row],[년월]],"yy년m월")&amp;행사기준[[#This Row],[행사명]]</f>
        <v xml:space="preserve">24년9월올해의 책, 집중 탐구 </v>
      </c>
    </row>
    <row r="284" spans="1:15" x14ac:dyDescent="0.3">
      <c r="A284" s="5">
        <v>45536</v>
      </c>
      <c r="B284" t="s">
        <v>101</v>
      </c>
      <c r="C284" s="17" t="s">
        <v>202</v>
      </c>
      <c r="D284" t="s">
        <v>522</v>
      </c>
      <c r="E284" t="s">
        <v>134</v>
      </c>
      <c r="H284">
        <v>1</v>
      </c>
      <c r="J284">
        <v>1</v>
      </c>
      <c r="K284" s="17">
        <f t="shared" si="15"/>
        <v>1</v>
      </c>
      <c r="M284" t="s">
        <v>211</v>
      </c>
      <c r="N284" t="s">
        <v>206</v>
      </c>
      <c r="O284" t="str">
        <f>TEXT(행사기준[[#This Row],[년월]],"yy년m월")&amp;행사기준[[#This Row],[행사명]]</f>
        <v xml:space="preserve">24년9월두 배로 데이 </v>
      </c>
    </row>
    <row r="285" spans="1:15" x14ac:dyDescent="0.3">
      <c r="A285" s="5">
        <v>45536</v>
      </c>
      <c r="B285" t="s">
        <v>101</v>
      </c>
      <c r="C285" s="17" t="s">
        <v>202</v>
      </c>
      <c r="D285" t="s">
        <v>523</v>
      </c>
      <c r="E285" t="s">
        <v>134</v>
      </c>
      <c r="H285">
        <v>1</v>
      </c>
      <c r="I285">
        <v>5</v>
      </c>
      <c r="J285">
        <v>9</v>
      </c>
      <c r="K285" s="17">
        <f t="shared" si="15"/>
        <v>14</v>
      </c>
      <c r="M285" t="s">
        <v>211</v>
      </c>
      <c r="N285" t="s">
        <v>206</v>
      </c>
      <c r="O285" t="str">
        <f>TEXT(행사기준[[#This Row],[년월]],"yy년m월")&amp;행사기준[[#This Row],[행사명]]</f>
        <v xml:space="preserve">24년9월연체 클린 데이 </v>
      </c>
    </row>
    <row r="286" spans="1:15" x14ac:dyDescent="0.3">
      <c r="A286" s="5">
        <v>45536</v>
      </c>
      <c r="B286" t="s">
        <v>103</v>
      </c>
      <c r="D286" t="s">
        <v>524</v>
      </c>
      <c r="E286" t="s">
        <v>133</v>
      </c>
      <c r="H286">
        <v>1</v>
      </c>
      <c r="I286">
        <v>2</v>
      </c>
      <c r="J286">
        <v>4</v>
      </c>
      <c r="K286" s="17">
        <f t="shared" si="15"/>
        <v>6</v>
      </c>
      <c r="M286" t="s">
        <v>206</v>
      </c>
      <c r="O286" t="str">
        <f>TEXT(행사기준[[#This Row],[년월]],"yy년m월")&amp;행사기준[[#This Row],[행사명]]</f>
        <v xml:space="preserve">24년9월푸르미(어린이) 독서 동아리 </v>
      </c>
    </row>
    <row r="287" spans="1:15" x14ac:dyDescent="0.3">
      <c r="A287" s="5">
        <v>45536</v>
      </c>
      <c r="B287" t="s">
        <v>103</v>
      </c>
      <c r="D287" t="s">
        <v>525</v>
      </c>
      <c r="E287" t="s">
        <v>163</v>
      </c>
      <c r="H287">
        <v>1</v>
      </c>
      <c r="I287">
        <v>2</v>
      </c>
      <c r="K287" s="17">
        <f t="shared" si="15"/>
        <v>2</v>
      </c>
      <c r="M287" t="s">
        <v>211</v>
      </c>
      <c r="O287" t="str">
        <f>TEXT(행사기준[[#This Row],[년월]],"yy년m월")&amp;행사기준[[#This Row],[행사명]]</f>
        <v xml:space="preserve">24년9월꿈동(청소년) 독서동아리 </v>
      </c>
    </row>
    <row r="288" spans="1:15" x14ac:dyDescent="0.3">
      <c r="A288" s="5">
        <v>45536</v>
      </c>
      <c r="B288" t="s">
        <v>103</v>
      </c>
      <c r="D288" t="s">
        <v>526</v>
      </c>
      <c r="E288" t="s">
        <v>134</v>
      </c>
      <c r="H288">
        <v>1</v>
      </c>
      <c r="I288">
        <v>1</v>
      </c>
      <c r="J288">
        <v>3</v>
      </c>
      <c r="K288" s="17">
        <f t="shared" si="15"/>
        <v>4</v>
      </c>
      <c r="M288" t="s">
        <v>211</v>
      </c>
      <c r="O288" t="str">
        <f>TEXT(행사기준[[#This Row],[년월]],"yy년m월")&amp;행사기준[[#This Row],[행사명]]</f>
        <v xml:space="preserve">24년9월화왕(성인) 독서동아리 </v>
      </c>
    </row>
    <row r="289" spans="1:15" x14ac:dyDescent="0.3">
      <c r="A289" s="5">
        <v>45536</v>
      </c>
      <c r="B289" t="s">
        <v>105</v>
      </c>
      <c r="D289" t="s">
        <v>527</v>
      </c>
      <c r="E289" t="s">
        <v>134</v>
      </c>
      <c r="H289">
        <v>1</v>
      </c>
      <c r="I289">
        <v>242</v>
      </c>
      <c r="J289">
        <v>337</v>
      </c>
      <c r="K289" s="17">
        <f t="shared" si="15"/>
        <v>579</v>
      </c>
      <c r="M289" t="s">
        <v>211</v>
      </c>
      <c r="O289" t="str">
        <f>TEXT(행사기준[[#This Row],[년월]],"yy년m월")&amp;행사기준[[#This Row],[행사명]]</f>
        <v xml:space="preserve">24년9월사서가 들려주는 북 스토리 </v>
      </c>
    </row>
    <row r="290" spans="1:15" x14ac:dyDescent="0.3">
      <c r="A290" s="5">
        <v>45536</v>
      </c>
      <c r="B290" t="s">
        <v>105</v>
      </c>
      <c r="D290" t="s">
        <v>528</v>
      </c>
      <c r="E290" t="s">
        <v>134</v>
      </c>
      <c r="H290">
        <v>1</v>
      </c>
      <c r="I290">
        <v>440</v>
      </c>
      <c r="J290">
        <v>524</v>
      </c>
      <c r="K290" s="17">
        <f t="shared" si="15"/>
        <v>964</v>
      </c>
      <c r="M290" t="s">
        <v>206</v>
      </c>
      <c r="O290" t="str">
        <f>TEXT(행사기준[[#This Row],[년월]],"yy년m월")&amp;행사기준[[#This Row],[행사명]]</f>
        <v xml:space="preserve">24년9월이야기가 있는 그림책 원화 전시 </v>
      </c>
    </row>
    <row r="291" spans="1:15" x14ac:dyDescent="0.3">
      <c r="A291" s="5">
        <v>45536</v>
      </c>
      <c r="B291" t="s">
        <v>105</v>
      </c>
      <c r="D291" t="s">
        <v>529</v>
      </c>
      <c r="E291" t="s">
        <v>134</v>
      </c>
      <c r="H291">
        <v>1</v>
      </c>
      <c r="I291">
        <v>129</v>
      </c>
      <c r="J291">
        <v>141</v>
      </c>
      <c r="K291" s="17">
        <f t="shared" si="15"/>
        <v>270</v>
      </c>
      <c r="M291" t="s">
        <v>206</v>
      </c>
      <c r="O291" t="str">
        <f>TEXT(행사기준[[#This Row],[년월]],"yy년m월")&amp;행사기준[[#This Row],[행사명]]</f>
        <v xml:space="preserve">24년9월도서관에서 만나는 특별한 책 이야기 </v>
      </c>
    </row>
    <row r="292" spans="1:15" x14ac:dyDescent="0.3">
      <c r="A292" s="5">
        <v>45536</v>
      </c>
      <c r="B292" t="s">
        <v>105</v>
      </c>
      <c r="D292" t="s">
        <v>530</v>
      </c>
      <c r="E292" t="s">
        <v>134</v>
      </c>
      <c r="H292">
        <v>1</v>
      </c>
      <c r="I292">
        <v>380</v>
      </c>
      <c r="J292">
        <v>555</v>
      </c>
      <c r="K292" s="17">
        <f t="shared" si="15"/>
        <v>935</v>
      </c>
      <c r="M292" t="s">
        <v>206</v>
      </c>
      <c r="O292" t="str">
        <f>TEXT(행사기준[[#This Row],[년월]],"yy년m월")&amp;행사기준[[#This Row],[행사명]]</f>
        <v xml:space="preserve">24년9월사서 추천 도서 서평 전시 </v>
      </c>
    </row>
    <row r="293" spans="1:15" x14ac:dyDescent="0.3">
      <c r="A293" s="5">
        <v>45536</v>
      </c>
      <c r="B293" t="s">
        <v>101</v>
      </c>
      <c r="D293" t="s">
        <v>531</v>
      </c>
      <c r="E293" t="s">
        <v>133</v>
      </c>
      <c r="G293" t="s">
        <v>550</v>
      </c>
      <c r="H293">
        <v>1</v>
      </c>
      <c r="I293">
        <v>6</v>
      </c>
      <c r="J293">
        <v>4</v>
      </c>
      <c r="K293" s="17">
        <f t="shared" si="15"/>
        <v>10</v>
      </c>
      <c r="L293" t="s">
        <v>469</v>
      </c>
      <c r="M293" t="s">
        <v>206</v>
      </c>
      <c r="O293" t="str">
        <f>TEXT(행사기준[[#This Row],[년월]],"yy년m월")&amp;행사기준[[#This Row],[행사명]]</f>
        <v xml:space="preserve">24년9월원데이 클래스 "책으로 놀자" </v>
      </c>
    </row>
    <row r="294" spans="1:15" x14ac:dyDescent="0.3">
      <c r="A294" s="5">
        <v>45536</v>
      </c>
      <c r="B294" t="s">
        <v>101</v>
      </c>
      <c r="D294" t="s">
        <v>532</v>
      </c>
      <c r="E294" t="s">
        <v>587</v>
      </c>
      <c r="G294" t="s">
        <v>545</v>
      </c>
      <c r="H294">
        <v>1</v>
      </c>
      <c r="I294">
        <v>27</v>
      </c>
      <c r="J294">
        <v>41</v>
      </c>
      <c r="K294" s="17">
        <f t="shared" si="15"/>
        <v>68</v>
      </c>
      <c r="M294" t="s">
        <v>206</v>
      </c>
      <c r="O294" t="str">
        <f>TEXT(행사기준[[#This Row],[년월]],"yy년m월")&amp;행사기준[[#This Row],[행사명]]</f>
        <v xml:space="preserve">24년9월토요인형극 "호랑이 형님" </v>
      </c>
    </row>
    <row r="295" spans="1:15" x14ac:dyDescent="0.3">
      <c r="A295" s="5">
        <v>45536</v>
      </c>
      <c r="B295" t="s">
        <v>101</v>
      </c>
      <c r="D295" t="s">
        <v>533</v>
      </c>
      <c r="E295" t="s">
        <v>134</v>
      </c>
      <c r="H295">
        <v>5</v>
      </c>
      <c r="I295">
        <v>18</v>
      </c>
      <c r="J295">
        <v>32</v>
      </c>
      <c r="K295" s="17">
        <f t="shared" si="15"/>
        <v>50</v>
      </c>
      <c r="M295" t="s">
        <v>206</v>
      </c>
      <c r="O295" t="str">
        <f>TEXT(행사기준[[#This Row],[년월]],"yy년m월")&amp;행사기준[[#This Row],[행사명]]</f>
        <v xml:space="preserve">24년9월도서관에서 만나는 창녕시네마 </v>
      </c>
    </row>
    <row r="296" spans="1:15" x14ac:dyDescent="0.3">
      <c r="A296" s="5">
        <v>45536</v>
      </c>
      <c r="B296" t="s">
        <v>107</v>
      </c>
      <c r="D296" t="s">
        <v>534</v>
      </c>
      <c r="E296" t="s">
        <v>133</v>
      </c>
      <c r="G296" t="s">
        <v>551</v>
      </c>
      <c r="H296">
        <v>1</v>
      </c>
      <c r="I296">
        <v>44</v>
      </c>
      <c r="J296">
        <v>44</v>
      </c>
      <c r="K296" s="17">
        <f t="shared" si="15"/>
        <v>88</v>
      </c>
      <c r="M296" t="s">
        <v>206</v>
      </c>
      <c r="O296" t="str">
        <f>TEXT(행사기준[[#This Row],[년월]],"yy년m월")&amp;행사기준[[#This Row],[행사명]]</f>
        <v xml:space="preserve">24년9월어린이 현장학습 </v>
      </c>
    </row>
    <row r="297" spans="1:15" x14ac:dyDescent="0.3">
      <c r="A297" s="5">
        <v>45536</v>
      </c>
      <c r="B297" t="s">
        <v>99</v>
      </c>
      <c r="D297" t="s">
        <v>212</v>
      </c>
      <c r="E297" t="s">
        <v>132</v>
      </c>
      <c r="H297">
        <v>3</v>
      </c>
      <c r="J297">
        <v>27</v>
      </c>
      <c r="K297" s="17">
        <f t="shared" si="15"/>
        <v>27</v>
      </c>
      <c r="L297" t="s">
        <v>213</v>
      </c>
      <c r="M297" t="s">
        <v>231</v>
      </c>
      <c r="O297" t="str">
        <f>TEXT(행사기준[[#This Row],[년월]],"yy년m월")&amp;행사기준[[#This Row],[행사명]]</f>
        <v>24년9월바이올린 초급반</v>
      </c>
    </row>
    <row r="298" spans="1:15" x14ac:dyDescent="0.3">
      <c r="A298" s="5">
        <v>45536</v>
      </c>
      <c r="B298" t="s">
        <v>99</v>
      </c>
      <c r="D298" t="s">
        <v>209</v>
      </c>
      <c r="E298" t="s">
        <v>547</v>
      </c>
      <c r="G298" t="s">
        <v>586</v>
      </c>
      <c r="H298">
        <v>3</v>
      </c>
      <c r="I298">
        <v>28</v>
      </c>
      <c r="J298">
        <v>21</v>
      </c>
      <c r="K298" s="17">
        <f t="shared" si="15"/>
        <v>49</v>
      </c>
      <c r="L298" t="s">
        <v>210</v>
      </c>
      <c r="M298" t="s">
        <v>231</v>
      </c>
      <c r="O298" t="str">
        <f>TEXT(행사기준[[#This Row],[년월]],"yy년m월")&amp;행사기준[[#This Row],[행사명]]</f>
        <v>24년9월내 손안의 스마트 미디어</v>
      </c>
    </row>
    <row r="299" spans="1:15" x14ac:dyDescent="0.3">
      <c r="A299" s="5">
        <v>45536</v>
      </c>
      <c r="B299" t="s">
        <v>99</v>
      </c>
      <c r="D299" t="s">
        <v>552</v>
      </c>
      <c r="E299" t="s">
        <v>547</v>
      </c>
      <c r="G299" t="s">
        <v>586</v>
      </c>
      <c r="H299">
        <v>4</v>
      </c>
      <c r="I299">
        <v>10</v>
      </c>
      <c r="J299">
        <v>20</v>
      </c>
      <c r="K299" s="17">
        <f t="shared" si="15"/>
        <v>30</v>
      </c>
      <c r="L299" t="s">
        <v>553</v>
      </c>
      <c r="M299" t="s">
        <v>231</v>
      </c>
      <c r="O299" t="str">
        <f>TEXT(행사기준[[#This Row],[년월]],"yy년m월")&amp;행사기준[[#This Row],[행사명]]</f>
        <v>24년9월왕초보를 위한 기초 생활 영어</v>
      </c>
    </row>
    <row r="300" spans="1:15" x14ac:dyDescent="0.3">
      <c r="A300" s="5">
        <v>45536</v>
      </c>
      <c r="B300" t="s">
        <v>99</v>
      </c>
      <c r="D300" t="s">
        <v>554</v>
      </c>
      <c r="E300" t="s">
        <v>133</v>
      </c>
      <c r="G300" t="s">
        <v>555</v>
      </c>
      <c r="H300">
        <v>4</v>
      </c>
      <c r="I300">
        <v>7</v>
      </c>
      <c r="J300">
        <v>18</v>
      </c>
      <c r="K300" s="17">
        <f t="shared" si="15"/>
        <v>25</v>
      </c>
      <c r="L300" t="s">
        <v>556</v>
      </c>
      <c r="M300" t="s">
        <v>231</v>
      </c>
      <c r="O300" t="str">
        <f>TEXT(행사기준[[#This Row],[년월]],"yy년m월")&amp;행사기준[[#This Row],[행사명]]</f>
        <v>24년9월초등 영어 마스터</v>
      </c>
    </row>
    <row r="301" spans="1:15" x14ac:dyDescent="0.3">
      <c r="A301" s="5">
        <v>45536</v>
      </c>
      <c r="B301" t="s">
        <v>99</v>
      </c>
      <c r="D301" t="s">
        <v>557</v>
      </c>
      <c r="E301" t="s">
        <v>133</v>
      </c>
      <c r="G301" t="s">
        <v>558</v>
      </c>
      <c r="H301">
        <v>4</v>
      </c>
      <c r="I301">
        <v>33</v>
      </c>
      <c r="J301">
        <v>10</v>
      </c>
      <c r="K301" s="17">
        <f t="shared" si="15"/>
        <v>43</v>
      </c>
      <c r="L301" t="s">
        <v>559</v>
      </c>
      <c r="M301" t="s">
        <v>231</v>
      </c>
      <c r="O301" t="str">
        <f>TEXT(행사기준[[#This Row],[년월]],"yy년m월")&amp;행사기준[[#This Row],[행사명]]</f>
        <v>24년9월신난다 보드게임</v>
      </c>
    </row>
    <row r="302" spans="1:15" x14ac:dyDescent="0.3">
      <c r="A302" s="5">
        <v>45536</v>
      </c>
      <c r="B302" t="s">
        <v>99</v>
      </c>
      <c r="C302" t="s">
        <v>416</v>
      </c>
      <c r="D302" t="s">
        <v>560</v>
      </c>
      <c r="E302" t="s">
        <v>585</v>
      </c>
      <c r="G302" t="s">
        <v>588</v>
      </c>
      <c r="H302">
        <v>4</v>
      </c>
      <c r="I302">
        <v>30</v>
      </c>
      <c r="J302">
        <v>26</v>
      </c>
      <c r="K302" s="17">
        <f t="shared" si="15"/>
        <v>56</v>
      </c>
      <c r="L302" t="s">
        <v>556</v>
      </c>
      <c r="M302" t="s">
        <v>231</v>
      </c>
      <c r="O302" t="str">
        <f>TEXT(행사기준[[#This Row],[년월]],"yy년m월")&amp;행사기준[[#This Row],[행사명]]</f>
        <v>24년9월영어 파닉스랑 놀자!A</v>
      </c>
    </row>
    <row r="303" spans="1:15" x14ac:dyDescent="0.3">
      <c r="A303" s="5">
        <v>45536</v>
      </c>
      <c r="B303" t="s">
        <v>99</v>
      </c>
      <c r="C303" t="s">
        <v>416</v>
      </c>
      <c r="D303" t="s">
        <v>561</v>
      </c>
      <c r="E303" t="s">
        <v>133</v>
      </c>
      <c r="G303" t="s">
        <v>562</v>
      </c>
      <c r="H303">
        <v>4</v>
      </c>
      <c r="I303">
        <v>29</v>
      </c>
      <c r="J303">
        <v>20</v>
      </c>
      <c r="K303" s="17">
        <f t="shared" si="15"/>
        <v>49</v>
      </c>
      <c r="L303" t="s">
        <v>556</v>
      </c>
      <c r="M303" t="s">
        <v>231</v>
      </c>
      <c r="O303" t="str">
        <f>TEXT(행사기준[[#This Row],[년월]],"yy년m월")&amp;행사기준[[#This Row],[행사명]]</f>
        <v>24년9월영어 파닉스랑 놀자!B</v>
      </c>
    </row>
    <row r="304" spans="1:15" x14ac:dyDescent="0.3">
      <c r="A304" s="5">
        <v>45536</v>
      </c>
      <c r="B304" t="s">
        <v>227</v>
      </c>
      <c r="C304" t="s">
        <v>229</v>
      </c>
      <c r="D304" t="s">
        <v>563</v>
      </c>
      <c r="E304" t="s">
        <v>133</v>
      </c>
      <c r="G304" t="s">
        <v>535</v>
      </c>
      <c r="H304">
        <v>1</v>
      </c>
      <c r="I304">
        <v>3</v>
      </c>
      <c r="J304">
        <v>2</v>
      </c>
      <c r="K304" s="17">
        <f t="shared" si="15"/>
        <v>5</v>
      </c>
      <c r="L304" t="s">
        <v>219</v>
      </c>
      <c r="M304" t="s">
        <v>476</v>
      </c>
      <c r="O304" t="str">
        <f>TEXT(행사기준[[#This Row],[년월]],"yy년m월")&amp;행사기준[[#This Row],[행사명]]</f>
        <v>24년9월생태야 같이 놀자!</v>
      </c>
    </row>
    <row r="305" spans="1:15" x14ac:dyDescent="0.3">
      <c r="A305" s="5">
        <v>45536</v>
      </c>
      <c r="B305" t="s">
        <v>227</v>
      </c>
      <c r="C305" t="s">
        <v>229</v>
      </c>
      <c r="D305" t="s">
        <v>564</v>
      </c>
      <c r="E305" t="s">
        <v>133</v>
      </c>
      <c r="G305" t="s">
        <v>536</v>
      </c>
      <c r="H305">
        <v>1</v>
      </c>
      <c r="I305">
        <v>5</v>
      </c>
      <c r="J305">
        <v>6</v>
      </c>
      <c r="K305" s="17">
        <f t="shared" si="15"/>
        <v>11</v>
      </c>
      <c r="L305" t="s">
        <v>329</v>
      </c>
      <c r="M305" t="s">
        <v>476</v>
      </c>
      <c r="O305" t="str">
        <f>TEXT(행사기준[[#This Row],[년월]],"yy년m월")&amp;행사기준[[#This Row],[행사명]]</f>
        <v>24년9월책이랑 놀이랑</v>
      </c>
    </row>
    <row r="306" spans="1:15" x14ac:dyDescent="0.3">
      <c r="A306" s="5">
        <v>45536</v>
      </c>
      <c r="B306" t="s">
        <v>227</v>
      </c>
      <c r="C306" t="s">
        <v>229</v>
      </c>
      <c r="D306" t="s">
        <v>565</v>
      </c>
      <c r="E306" t="s">
        <v>133</v>
      </c>
      <c r="G306" t="s">
        <v>537</v>
      </c>
      <c r="H306">
        <v>1</v>
      </c>
      <c r="I306">
        <v>3</v>
      </c>
      <c r="J306">
        <v>1</v>
      </c>
      <c r="K306" s="17">
        <f t="shared" si="15"/>
        <v>4</v>
      </c>
      <c r="L306" t="s">
        <v>538</v>
      </c>
      <c r="M306" t="s">
        <v>476</v>
      </c>
      <c r="O306" t="str">
        <f>TEXT(행사기준[[#This Row],[년월]],"yy년m월")&amp;행사기준[[#This Row],[행사명]]</f>
        <v>24년9월어린이 역사 인문학</v>
      </c>
    </row>
    <row r="307" spans="1:15" x14ac:dyDescent="0.3">
      <c r="A307" s="5">
        <v>45536</v>
      </c>
      <c r="B307" t="s">
        <v>227</v>
      </c>
      <c r="C307" t="s">
        <v>229</v>
      </c>
      <c r="D307" t="s">
        <v>566</v>
      </c>
      <c r="E307" t="s">
        <v>133</v>
      </c>
      <c r="G307" t="s">
        <v>535</v>
      </c>
      <c r="H307">
        <v>1</v>
      </c>
      <c r="I307">
        <v>2</v>
      </c>
      <c r="J307">
        <v>6</v>
      </c>
      <c r="K307" s="17">
        <f t="shared" si="15"/>
        <v>8</v>
      </c>
      <c r="L307" t="s">
        <v>539</v>
      </c>
      <c r="M307" t="s">
        <v>476</v>
      </c>
      <c r="O307" t="str">
        <f>TEXT(행사기준[[#This Row],[년월]],"yy년m월")&amp;행사기준[[#This Row],[행사명]]</f>
        <v>24년9월조물조물 손끝 책빵</v>
      </c>
    </row>
    <row r="308" spans="1:15" x14ac:dyDescent="0.3">
      <c r="A308" s="5">
        <v>45536</v>
      </c>
      <c r="B308" t="s">
        <v>227</v>
      </c>
      <c r="C308" t="s">
        <v>235</v>
      </c>
      <c r="D308" t="s">
        <v>567</v>
      </c>
      <c r="E308" t="s">
        <v>133</v>
      </c>
      <c r="G308" t="s">
        <v>540</v>
      </c>
      <c r="H308">
        <v>5</v>
      </c>
      <c r="I308">
        <v>276</v>
      </c>
      <c r="J308">
        <v>285</v>
      </c>
      <c r="K308" s="17">
        <f t="shared" si="15"/>
        <v>561</v>
      </c>
      <c r="M308" t="s">
        <v>476</v>
      </c>
      <c r="O308" t="str">
        <f>TEXT(행사기준[[#This Row],[년월]],"yy년m월")&amp;행사기준[[#This Row],[행사명]]</f>
        <v>24년9월으르렁 이발소</v>
      </c>
    </row>
    <row r="309" spans="1:15" x14ac:dyDescent="0.3">
      <c r="A309" s="5">
        <v>45536</v>
      </c>
      <c r="B309" t="s">
        <v>227</v>
      </c>
      <c r="C309" t="s">
        <v>235</v>
      </c>
      <c r="D309" t="s">
        <v>568</v>
      </c>
      <c r="E309" t="s">
        <v>133</v>
      </c>
      <c r="G309" t="s">
        <v>478</v>
      </c>
      <c r="H309">
        <v>1</v>
      </c>
      <c r="I309">
        <v>16</v>
      </c>
      <c r="J309">
        <v>13</v>
      </c>
      <c r="K309" s="17">
        <f t="shared" si="15"/>
        <v>29</v>
      </c>
      <c r="M309" t="s">
        <v>476</v>
      </c>
      <c r="O309" t="str">
        <f>TEXT(행사기준[[#This Row],[년월]],"yy년m월")&amp;행사기준[[#This Row],[행사명]]</f>
        <v>24년9월입 무거운 사슴이 고민을 들어드려요</v>
      </c>
    </row>
    <row r="310" spans="1:15" x14ac:dyDescent="0.3">
      <c r="A310" s="5">
        <v>45536</v>
      </c>
      <c r="B310" t="s">
        <v>227</v>
      </c>
      <c r="C310" t="s">
        <v>235</v>
      </c>
      <c r="D310" t="s">
        <v>569</v>
      </c>
      <c r="E310" t="s">
        <v>133</v>
      </c>
      <c r="G310" t="s">
        <v>541</v>
      </c>
      <c r="H310">
        <v>3</v>
      </c>
      <c r="I310">
        <v>136</v>
      </c>
      <c r="J310">
        <v>99</v>
      </c>
      <c r="K310" s="17">
        <f t="shared" si="15"/>
        <v>235</v>
      </c>
      <c r="M310" t="s">
        <v>476</v>
      </c>
      <c r="O310" t="str">
        <f>TEXT(행사기준[[#This Row],[년월]],"yy년m월")&amp;행사기준[[#This Row],[행사명]]</f>
        <v>24년9월오늘부터 나는 생태 시민입니다</v>
      </c>
    </row>
    <row r="311" spans="1:15" x14ac:dyDescent="0.3">
      <c r="A311" s="5">
        <v>45536</v>
      </c>
      <c r="B311" t="s">
        <v>227</v>
      </c>
      <c r="C311" t="s">
        <v>235</v>
      </c>
      <c r="D311" t="s">
        <v>570</v>
      </c>
      <c r="E311" t="s">
        <v>133</v>
      </c>
      <c r="G311" t="s">
        <v>542</v>
      </c>
      <c r="H311">
        <v>2</v>
      </c>
      <c r="I311">
        <v>53</v>
      </c>
      <c r="J311">
        <v>42</v>
      </c>
      <c r="K311" s="17">
        <f t="shared" si="15"/>
        <v>95</v>
      </c>
      <c r="M311" t="s">
        <v>476</v>
      </c>
      <c r="O311" t="str">
        <f>TEXT(행사기준[[#This Row],[년월]],"yy년m월")&amp;행사기준[[#This Row],[행사명]]</f>
        <v>24년9월그림책이 살아있다!</v>
      </c>
    </row>
    <row r="312" spans="1:15" x14ac:dyDescent="0.3">
      <c r="A312" s="5">
        <v>45536</v>
      </c>
      <c r="B312" t="s">
        <v>227</v>
      </c>
      <c r="C312" t="s">
        <v>235</v>
      </c>
      <c r="D312" t="s">
        <v>571</v>
      </c>
      <c r="E312" t="s">
        <v>133</v>
      </c>
      <c r="G312" t="s">
        <v>543</v>
      </c>
      <c r="H312">
        <v>2</v>
      </c>
      <c r="I312">
        <v>28</v>
      </c>
      <c r="J312">
        <v>28</v>
      </c>
      <c r="K312" s="17">
        <f t="shared" si="15"/>
        <v>56</v>
      </c>
      <c r="M312" t="s">
        <v>476</v>
      </c>
      <c r="O312" t="str">
        <f>TEXT(행사기준[[#This Row],[년월]],"yy년m월")&amp;행사기준[[#This Row],[행사명]]</f>
        <v>24년9월그림책이 커졌다!</v>
      </c>
    </row>
    <row r="313" spans="1:15" x14ac:dyDescent="0.3">
      <c r="A313" s="5">
        <v>45536</v>
      </c>
      <c r="B313" t="s">
        <v>227</v>
      </c>
      <c r="C313" t="s">
        <v>235</v>
      </c>
      <c r="D313" t="s">
        <v>572</v>
      </c>
      <c r="E313" t="s">
        <v>133</v>
      </c>
      <c r="G313" t="s">
        <v>544</v>
      </c>
      <c r="H313">
        <v>1</v>
      </c>
      <c r="I313">
        <v>15</v>
      </c>
      <c r="J313">
        <v>18</v>
      </c>
      <c r="K313" s="17">
        <f t="shared" si="15"/>
        <v>33</v>
      </c>
      <c r="M313" t="s">
        <v>476</v>
      </c>
      <c r="O313" t="str">
        <f>TEXT(행사기준[[#This Row],[년월]],"yy년m월")&amp;행사기준[[#This Row],[행사명]]</f>
        <v>24년9월존 버닝햄 작가의 책</v>
      </c>
    </row>
    <row r="314" spans="1:15" x14ac:dyDescent="0.3">
      <c r="A314" s="5">
        <v>45536</v>
      </c>
      <c r="B314" t="s">
        <v>227</v>
      </c>
      <c r="C314" t="s">
        <v>235</v>
      </c>
      <c r="D314" t="s">
        <v>573</v>
      </c>
      <c r="E314" t="s">
        <v>133</v>
      </c>
      <c r="G314" t="s">
        <v>357</v>
      </c>
      <c r="H314">
        <v>2</v>
      </c>
      <c r="I314">
        <v>138</v>
      </c>
      <c r="J314">
        <v>146</v>
      </c>
      <c r="K314" s="17">
        <f t="shared" si="15"/>
        <v>284</v>
      </c>
      <c r="M314" t="s">
        <v>476</v>
      </c>
      <c r="O314" t="str">
        <f>TEXT(행사기준[[#This Row],[년월]],"yy년m월")&amp;행사기준[[#This Row],[행사명]]</f>
        <v>24년9월브리타 테큰트럽 작가의 책</v>
      </c>
    </row>
    <row r="315" spans="1:15" x14ac:dyDescent="0.3">
      <c r="A315" s="5">
        <v>45536</v>
      </c>
      <c r="B315" t="s">
        <v>101</v>
      </c>
      <c r="D315" t="s">
        <v>574</v>
      </c>
      <c r="E315" t="s">
        <v>585</v>
      </c>
      <c r="G315" t="s">
        <v>575</v>
      </c>
      <c r="H315">
        <v>4</v>
      </c>
      <c r="I315">
        <v>12</v>
      </c>
      <c r="J315">
        <v>48</v>
      </c>
      <c r="K315" s="17">
        <f t="shared" si="15"/>
        <v>60</v>
      </c>
      <c r="L315" t="s">
        <v>576</v>
      </c>
      <c r="M315" t="s">
        <v>206</v>
      </c>
      <c r="O315" t="str">
        <f>TEXT(행사기준[[#This Row],[년월]],"yy년m월")&amp;행사기준[[#This Row],[행사명]]</f>
        <v>24년9월조물조물 책놀이A</v>
      </c>
    </row>
    <row r="316" spans="1:15" x14ac:dyDescent="0.3">
      <c r="A316" s="5">
        <v>45536</v>
      </c>
      <c r="B316" t="s">
        <v>101</v>
      </c>
      <c r="D316" t="s">
        <v>577</v>
      </c>
      <c r="E316" t="s">
        <v>585</v>
      </c>
      <c r="G316" t="s">
        <v>578</v>
      </c>
      <c r="H316">
        <v>4</v>
      </c>
      <c r="I316">
        <v>16</v>
      </c>
      <c r="J316">
        <v>55</v>
      </c>
      <c r="K316" s="17">
        <f t="shared" si="15"/>
        <v>71</v>
      </c>
      <c r="L316" t="s">
        <v>576</v>
      </c>
      <c r="M316" t="s">
        <v>206</v>
      </c>
      <c r="O316" t="str">
        <f>TEXT(행사기준[[#This Row],[년월]],"yy년m월")&amp;행사기준[[#This Row],[행사명]]</f>
        <v>24년9월조물조물 책놀이B</v>
      </c>
    </row>
    <row r="317" spans="1:15" x14ac:dyDescent="0.3">
      <c r="A317" s="5">
        <v>45536</v>
      </c>
      <c r="B317" t="s">
        <v>101</v>
      </c>
      <c r="D317" t="s">
        <v>579</v>
      </c>
      <c r="E317" t="s">
        <v>587</v>
      </c>
      <c r="G317" t="s">
        <v>580</v>
      </c>
      <c r="H317">
        <v>2</v>
      </c>
      <c r="I317">
        <v>15</v>
      </c>
      <c r="J317">
        <v>41</v>
      </c>
      <c r="K317" s="17">
        <f t="shared" si="15"/>
        <v>56</v>
      </c>
      <c r="L317" t="s">
        <v>329</v>
      </c>
      <c r="M317" t="s">
        <v>206</v>
      </c>
      <c r="O317" t="str">
        <f>TEXT(행사기준[[#This Row],[년월]],"yy년m월")&amp;행사기준[[#This Row],[행사명]]</f>
        <v>24년9월책이랑 무럭무럭</v>
      </c>
    </row>
    <row r="318" spans="1:15" x14ac:dyDescent="0.3">
      <c r="A318" s="5">
        <v>45536</v>
      </c>
      <c r="B318" t="s">
        <v>548</v>
      </c>
      <c r="C318" t="s">
        <v>546</v>
      </c>
      <c r="D318" t="s">
        <v>581</v>
      </c>
      <c r="E318" t="s">
        <v>132</v>
      </c>
      <c r="F318" t="s">
        <v>163</v>
      </c>
      <c r="H318">
        <v>1</v>
      </c>
      <c r="J318">
        <v>22</v>
      </c>
      <c r="K318" s="17">
        <f t="shared" si="15"/>
        <v>22</v>
      </c>
      <c r="L318" t="s">
        <v>582</v>
      </c>
      <c r="M318" t="s">
        <v>476</v>
      </c>
      <c r="O318" t="str">
        <f>TEXT(행사기준[[#This Row],[년월]],"yy년m월")&amp;행사기준[[#This Row],[행사명]]</f>
        <v>24년9월배지영작가 강연</v>
      </c>
    </row>
    <row r="319" spans="1:15" x14ac:dyDescent="0.3">
      <c r="A319" s="5">
        <v>45536</v>
      </c>
      <c r="B319" t="s">
        <v>99</v>
      </c>
      <c r="C319" t="s">
        <v>327</v>
      </c>
      <c r="D319" t="s">
        <v>583</v>
      </c>
      <c r="E319" t="s">
        <v>134</v>
      </c>
      <c r="H319">
        <v>3</v>
      </c>
      <c r="I319">
        <v>14</v>
      </c>
      <c r="J319">
        <v>29</v>
      </c>
      <c r="K319" s="17">
        <f t="shared" si="15"/>
        <v>43</v>
      </c>
      <c r="L319" t="s">
        <v>584</v>
      </c>
      <c r="M319" t="s">
        <v>231</v>
      </c>
      <c r="O319" t="str">
        <f>TEXT(행사기준[[#This Row],[년월]],"yy년m월")&amp;행사기준[[#This Row],[행사명]]</f>
        <v>24년9월향기로운 공예</v>
      </c>
    </row>
    <row r="320" spans="1:15" x14ac:dyDescent="0.3">
      <c r="A320" s="5">
        <v>45566</v>
      </c>
      <c r="B320" t="s">
        <v>101</v>
      </c>
      <c r="D320" t="s">
        <v>594</v>
      </c>
      <c r="E320" t="s">
        <v>133</v>
      </c>
      <c r="G320" t="s">
        <v>193</v>
      </c>
      <c r="H320">
        <v>1</v>
      </c>
      <c r="I320">
        <v>37</v>
      </c>
      <c r="J320">
        <v>48</v>
      </c>
      <c r="K320" s="17">
        <f t="shared" si="15"/>
        <v>85</v>
      </c>
      <c r="M320" t="s">
        <v>206</v>
      </c>
      <c r="O320" t="str">
        <f>TEXT(행사기준[[#This Row],[년월]],"yy년m월")&amp;행사기준[[#This Row],[행사명]]</f>
        <v>24년10월알쏭달쏭 순우리말 퍼즐</v>
      </c>
    </row>
    <row r="321" spans="1:15" x14ac:dyDescent="0.3">
      <c r="A321" s="5">
        <v>45566</v>
      </c>
      <c r="B321" t="s">
        <v>101</v>
      </c>
      <c r="D321" t="s">
        <v>595</v>
      </c>
      <c r="E321" t="s">
        <v>133</v>
      </c>
      <c r="G321" t="s">
        <v>193</v>
      </c>
      <c r="H321">
        <v>4</v>
      </c>
      <c r="I321">
        <v>22</v>
      </c>
      <c r="J321">
        <v>48</v>
      </c>
      <c r="K321" s="17">
        <f t="shared" si="15"/>
        <v>70</v>
      </c>
      <c r="M321" t="s">
        <v>206</v>
      </c>
      <c r="O321" t="str">
        <f>TEXT(행사기준[[#This Row],[년월]],"yy년m월")&amp;행사기준[[#This Row],[행사명]]</f>
        <v>24년10월숨은 한글을 찾아라!</v>
      </c>
    </row>
    <row r="322" spans="1:15" x14ac:dyDescent="0.3">
      <c r="A322" s="5">
        <v>45566</v>
      </c>
      <c r="B322" t="s">
        <v>101</v>
      </c>
      <c r="D322" t="s">
        <v>596</v>
      </c>
      <c r="E322" t="s">
        <v>133</v>
      </c>
      <c r="G322" t="s">
        <v>193</v>
      </c>
      <c r="H322">
        <v>4</v>
      </c>
      <c r="I322">
        <v>25</v>
      </c>
      <c r="J322">
        <v>30</v>
      </c>
      <c r="K322" s="17">
        <f t="shared" si="15"/>
        <v>55</v>
      </c>
      <c r="M322" t="s">
        <v>206</v>
      </c>
      <c r="O322" t="str">
        <f>TEXT(행사기준[[#This Row],[년월]],"yy년m월")&amp;행사기준[[#This Row],[행사명]]</f>
        <v>24년10월아무튼 할로윈</v>
      </c>
    </row>
    <row r="323" spans="1:15" x14ac:dyDescent="0.3">
      <c r="A323" s="5">
        <v>45566</v>
      </c>
      <c r="B323" t="s">
        <v>101</v>
      </c>
      <c r="D323" t="s">
        <v>597</v>
      </c>
      <c r="E323" t="s">
        <v>134</v>
      </c>
      <c r="H323">
        <v>1</v>
      </c>
      <c r="I323">
        <v>20</v>
      </c>
      <c r="J323">
        <v>22</v>
      </c>
      <c r="K323" s="17">
        <f t="shared" si="15"/>
        <v>42</v>
      </c>
      <c r="M323" t="s">
        <v>211</v>
      </c>
      <c r="N323" t="s">
        <v>206</v>
      </c>
      <c r="O323" t="str">
        <f>TEXT(행사기준[[#This Row],[년월]],"yy년m월")&amp;행사기준[[#This Row],[행사명]]</f>
        <v>24년10월정회원이 돼주라</v>
      </c>
    </row>
    <row r="324" spans="1:15" x14ac:dyDescent="0.3">
      <c r="A324" s="5">
        <v>45566</v>
      </c>
      <c r="B324" t="s">
        <v>101</v>
      </c>
      <c r="D324" t="s">
        <v>598</v>
      </c>
      <c r="E324" t="s">
        <v>134</v>
      </c>
      <c r="H324">
        <v>1</v>
      </c>
      <c r="I324">
        <v>18</v>
      </c>
      <c r="J324">
        <v>32</v>
      </c>
      <c r="K324" s="17">
        <f t="shared" si="15"/>
        <v>50</v>
      </c>
      <c r="M324" t="s">
        <v>211</v>
      </c>
      <c r="O324" t="str">
        <f>TEXT(행사기준[[#This Row],[년월]],"yy년m월")&amp;행사기준[[#This Row],[행사명]]</f>
        <v>24년10월우리말 보물 찾기</v>
      </c>
    </row>
    <row r="325" spans="1:15" x14ac:dyDescent="0.3">
      <c r="A325" s="5">
        <v>45566</v>
      </c>
      <c r="B325" t="s">
        <v>101</v>
      </c>
      <c r="D325" t="s">
        <v>599</v>
      </c>
      <c r="E325" t="s">
        <v>134</v>
      </c>
      <c r="H325">
        <v>1</v>
      </c>
      <c r="I325">
        <v>4</v>
      </c>
      <c r="J325">
        <v>16</v>
      </c>
      <c r="K325" s="17">
        <f t="shared" si="15"/>
        <v>20</v>
      </c>
      <c r="M325" t="s">
        <v>207</v>
      </c>
      <c r="O325" t="str">
        <f>TEXT(행사기준[[#This Row],[년월]],"yy년m월")&amp;행사기준[[#This Row],[행사명]]</f>
        <v>24년10월스마트한 독서생활</v>
      </c>
    </row>
    <row r="326" spans="1:15" x14ac:dyDescent="0.3">
      <c r="A326" s="5">
        <v>45566</v>
      </c>
      <c r="B326" t="s">
        <v>225</v>
      </c>
      <c r="D326" t="s">
        <v>600</v>
      </c>
      <c r="E326" t="s">
        <v>134</v>
      </c>
      <c r="H326">
        <v>1</v>
      </c>
      <c r="J326">
        <v>8</v>
      </c>
      <c r="K326" s="17">
        <f t="shared" si="15"/>
        <v>8</v>
      </c>
      <c r="M326" t="s">
        <v>231</v>
      </c>
      <c r="O326" t="str">
        <f>TEXT(행사기준[[#This Row],[년월]],"yy년m월")&amp;행사기준[[#This Row],[행사명]]</f>
        <v>24년10월우리 한글 산책</v>
      </c>
    </row>
    <row r="327" spans="1:15" x14ac:dyDescent="0.3">
      <c r="A327" s="5">
        <v>45566</v>
      </c>
      <c r="B327" t="s">
        <v>101</v>
      </c>
      <c r="D327" t="s">
        <v>519</v>
      </c>
      <c r="E327" t="s">
        <v>133</v>
      </c>
      <c r="H327">
        <v>1</v>
      </c>
      <c r="I327">
        <v>22</v>
      </c>
      <c r="J327">
        <v>37</v>
      </c>
      <c r="K327" s="17">
        <f t="shared" si="15"/>
        <v>59</v>
      </c>
      <c r="M327" t="s">
        <v>206</v>
      </c>
      <c r="O327" t="str">
        <f>TEXT(행사기준[[#This Row],[년월]],"yy년m월")&amp;행사기준[[#This Row],[행사명]]</f>
        <v xml:space="preserve">24년10월생각키움 독서퀴즈 </v>
      </c>
    </row>
    <row r="328" spans="1:15" x14ac:dyDescent="0.3">
      <c r="A328" s="5">
        <v>45566</v>
      </c>
      <c r="B328" t="s">
        <v>101</v>
      </c>
      <c r="D328" t="s">
        <v>520</v>
      </c>
      <c r="E328" t="s">
        <v>133</v>
      </c>
      <c r="H328">
        <v>1</v>
      </c>
      <c r="I328">
        <v>9</v>
      </c>
      <c r="J328">
        <v>11</v>
      </c>
      <c r="K328" s="17">
        <f t="shared" si="15"/>
        <v>20</v>
      </c>
      <c r="M328" t="s">
        <v>206</v>
      </c>
      <c r="O328" t="str">
        <f>TEXT(행사기준[[#This Row],[년월]],"yy년m월")&amp;행사기준[[#This Row],[행사명]]</f>
        <v xml:space="preserve">24년10월내가 좋아하는 책 속 한 구절 </v>
      </c>
    </row>
    <row r="329" spans="1:15" x14ac:dyDescent="0.3">
      <c r="A329" s="5">
        <v>45566</v>
      </c>
      <c r="B329" t="s">
        <v>101</v>
      </c>
      <c r="C329" t="s">
        <v>455</v>
      </c>
      <c r="D329" t="s">
        <v>601</v>
      </c>
      <c r="E329" t="s">
        <v>134</v>
      </c>
      <c r="H329">
        <v>1</v>
      </c>
      <c r="J329">
        <v>1</v>
      </c>
      <c r="K329" s="17">
        <f t="shared" si="15"/>
        <v>1</v>
      </c>
      <c r="M329" t="s">
        <v>211</v>
      </c>
      <c r="N329" t="s">
        <v>206</v>
      </c>
      <c r="O329" t="str">
        <f>TEXT(행사기준[[#This Row],[년월]],"yy년m월")&amp;행사기준[[#This Row],[행사명]]</f>
        <v xml:space="preserve">24년10월올해의 책, 연체 탈출 </v>
      </c>
    </row>
    <row r="330" spans="1:15" x14ac:dyDescent="0.3">
      <c r="A330" s="5">
        <v>45566</v>
      </c>
      <c r="B330" t="s">
        <v>101</v>
      </c>
      <c r="C330" s="17" t="s">
        <v>202</v>
      </c>
      <c r="D330" t="s">
        <v>522</v>
      </c>
      <c r="E330" t="s">
        <v>134</v>
      </c>
      <c r="H330">
        <v>1</v>
      </c>
      <c r="I330">
        <v>1</v>
      </c>
      <c r="K330" s="17">
        <f t="shared" si="15"/>
        <v>1</v>
      </c>
      <c r="M330" t="s">
        <v>211</v>
      </c>
      <c r="N330" t="s">
        <v>206</v>
      </c>
      <c r="O330" t="str">
        <f>TEXT(행사기준[[#This Row],[년월]],"yy년m월")&amp;행사기준[[#This Row],[행사명]]</f>
        <v xml:space="preserve">24년10월두 배로 데이 </v>
      </c>
    </row>
    <row r="331" spans="1:15" x14ac:dyDescent="0.3">
      <c r="A331" s="5">
        <v>45566</v>
      </c>
      <c r="B331" t="s">
        <v>101</v>
      </c>
      <c r="C331" s="17" t="s">
        <v>202</v>
      </c>
      <c r="D331" t="s">
        <v>523</v>
      </c>
      <c r="E331" t="s">
        <v>134</v>
      </c>
      <c r="H331">
        <v>1</v>
      </c>
      <c r="I331">
        <v>3</v>
      </c>
      <c r="J331">
        <v>9</v>
      </c>
      <c r="K331" s="17">
        <f t="shared" si="15"/>
        <v>12</v>
      </c>
      <c r="M331" t="s">
        <v>211</v>
      </c>
      <c r="N331" t="s">
        <v>206</v>
      </c>
      <c r="O331" t="str">
        <f>TEXT(행사기준[[#This Row],[년월]],"yy년m월")&amp;행사기준[[#This Row],[행사명]]</f>
        <v xml:space="preserve">24년10월연체 클린 데이 </v>
      </c>
    </row>
    <row r="332" spans="1:15" x14ac:dyDescent="0.3">
      <c r="A332" s="5">
        <v>45566</v>
      </c>
      <c r="B332" t="s">
        <v>103</v>
      </c>
      <c r="D332" t="s">
        <v>524</v>
      </c>
      <c r="E332" t="s">
        <v>133</v>
      </c>
      <c r="H332">
        <v>1</v>
      </c>
      <c r="I332">
        <v>1</v>
      </c>
      <c r="J332">
        <v>5</v>
      </c>
      <c r="K332" s="17">
        <f t="shared" si="15"/>
        <v>6</v>
      </c>
      <c r="L332" t="s">
        <v>321</v>
      </c>
      <c r="M332" t="s">
        <v>206</v>
      </c>
      <c r="O332" t="str">
        <f>TEXT(행사기준[[#This Row],[년월]],"yy년m월")&amp;행사기준[[#This Row],[행사명]]</f>
        <v xml:space="preserve">24년10월푸르미(어린이) 독서 동아리 </v>
      </c>
    </row>
    <row r="333" spans="1:15" x14ac:dyDescent="0.3">
      <c r="A333" s="5">
        <v>45566</v>
      </c>
      <c r="B333" t="s">
        <v>103</v>
      </c>
      <c r="D333" t="s">
        <v>525</v>
      </c>
      <c r="E333" t="s">
        <v>163</v>
      </c>
      <c r="H333">
        <v>1</v>
      </c>
      <c r="I333">
        <v>2</v>
      </c>
      <c r="K333" s="17">
        <f t="shared" si="15"/>
        <v>2</v>
      </c>
      <c r="M333" t="s">
        <v>211</v>
      </c>
      <c r="O333" t="str">
        <f>TEXT(행사기준[[#This Row],[년월]],"yy년m월")&amp;행사기준[[#This Row],[행사명]]</f>
        <v xml:space="preserve">24년10월꿈동(청소년) 독서동아리 </v>
      </c>
    </row>
    <row r="334" spans="1:15" x14ac:dyDescent="0.3">
      <c r="A334" s="5">
        <v>45566</v>
      </c>
      <c r="B334" t="s">
        <v>103</v>
      </c>
      <c r="D334" t="s">
        <v>526</v>
      </c>
      <c r="E334" t="s">
        <v>134</v>
      </c>
      <c r="H334">
        <v>1</v>
      </c>
      <c r="I334">
        <v>1</v>
      </c>
      <c r="J334">
        <v>4</v>
      </c>
      <c r="K334" s="17">
        <f t="shared" si="15"/>
        <v>5</v>
      </c>
      <c r="M334" t="s">
        <v>211</v>
      </c>
      <c r="O334" t="str">
        <f>TEXT(행사기준[[#This Row],[년월]],"yy년m월")&amp;행사기준[[#This Row],[행사명]]</f>
        <v xml:space="preserve">24년10월화왕(성인) 독서동아리 </v>
      </c>
    </row>
    <row r="335" spans="1:15" x14ac:dyDescent="0.3">
      <c r="A335" s="5">
        <v>45566</v>
      </c>
      <c r="B335" t="s">
        <v>105</v>
      </c>
      <c r="D335" t="s">
        <v>527</v>
      </c>
      <c r="E335" t="s">
        <v>134</v>
      </c>
      <c r="H335">
        <v>1</v>
      </c>
      <c r="I335">
        <v>250</v>
      </c>
      <c r="J335">
        <v>388</v>
      </c>
      <c r="K335" s="17">
        <f t="shared" si="15"/>
        <v>638</v>
      </c>
      <c r="M335" t="s">
        <v>211</v>
      </c>
      <c r="O335" t="str">
        <f>TEXT(행사기준[[#This Row],[년월]],"yy년m월")&amp;행사기준[[#This Row],[행사명]]</f>
        <v xml:space="preserve">24년10월사서가 들려주는 북 스토리 </v>
      </c>
    </row>
    <row r="336" spans="1:15" x14ac:dyDescent="0.3">
      <c r="A336" s="5">
        <v>45566</v>
      </c>
      <c r="B336" t="s">
        <v>105</v>
      </c>
      <c r="D336" t="s">
        <v>528</v>
      </c>
      <c r="E336" t="s">
        <v>134</v>
      </c>
      <c r="H336">
        <v>1</v>
      </c>
      <c r="I336">
        <v>445</v>
      </c>
      <c r="J336">
        <v>518</v>
      </c>
      <c r="K336" s="17">
        <f t="shared" si="15"/>
        <v>963</v>
      </c>
      <c r="M336" t="s">
        <v>206</v>
      </c>
      <c r="O336" t="str">
        <f>TEXT(행사기준[[#This Row],[년월]],"yy년m월")&amp;행사기준[[#This Row],[행사명]]</f>
        <v xml:space="preserve">24년10월이야기가 있는 그림책 원화 전시 </v>
      </c>
    </row>
    <row r="337" spans="1:15" x14ac:dyDescent="0.3">
      <c r="A337" s="5">
        <v>45566</v>
      </c>
      <c r="B337" t="s">
        <v>105</v>
      </c>
      <c r="D337" t="s">
        <v>529</v>
      </c>
      <c r="E337" t="s">
        <v>134</v>
      </c>
      <c r="H337">
        <v>1</v>
      </c>
      <c r="I337">
        <v>138</v>
      </c>
      <c r="J337">
        <v>150</v>
      </c>
      <c r="K337" s="17">
        <f t="shared" si="15"/>
        <v>288</v>
      </c>
      <c r="M337" t="s">
        <v>206</v>
      </c>
      <c r="O337" t="str">
        <f>TEXT(행사기준[[#This Row],[년월]],"yy년m월")&amp;행사기준[[#This Row],[행사명]]</f>
        <v xml:space="preserve">24년10월도서관에서 만나는 특별한 책 이야기 </v>
      </c>
    </row>
    <row r="338" spans="1:15" x14ac:dyDescent="0.3">
      <c r="A338" s="5">
        <v>45566</v>
      </c>
      <c r="B338" t="s">
        <v>105</v>
      </c>
      <c r="D338" t="s">
        <v>530</v>
      </c>
      <c r="E338" t="s">
        <v>134</v>
      </c>
      <c r="H338">
        <v>1</v>
      </c>
      <c r="I338">
        <v>393</v>
      </c>
      <c r="J338">
        <v>563</v>
      </c>
      <c r="K338" s="17">
        <f t="shared" si="15"/>
        <v>956</v>
      </c>
      <c r="M338" t="s">
        <v>206</v>
      </c>
      <c r="O338" t="str">
        <f>TEXT(행사기준[[#This Row],[년월]],"yy년m월")&amp;행사기준[[#This Row],[행사명]]</f>
        <v xml:space="preserve">24년10월사서 추천 도서 서평 전시 </v>
      </c>
    </row>
    <row r="339" spans="1:15" x14ac:dyDescent="0.3">
      <c r="A339" s="5">
        <v>45566</v>
      </c>
      <c r="B339" t="s">
        <v>101</v>
      </c>
      <c r="C339" t="s">
        <v>455</v>
      </c>
      <c r="D339" t="s">
        <v>602</v>
      </c>
      <c r="E339" t="s">
        <v>628</v>
      </c>
      <c r="G339" t="s">
        <v>603</v>
      </c>
      <c r="H339">
        <v>1</v>
      </c>
      <c r="I339">
        <v>9</v>
      </c>
      <c r="J339">
        <v>14</v>
      </c>
      <c r="K339" s="17">
        <f t="shared" si="15"/>
        <v>23</v>
      </c>
      <c r="M339" t="s">
        <v>211</v>
      </c>
      <c r="N339" t="s">
        <v>206</v>
      </c>
      <c r="O339" t="str">
        <f>TEXT(행사기준[[#This Row],[년월]],"yy년m월")&amp;행사기준[[#This Row],[행사명]]</f>
        <v>24년10월올해의 책, 작가와의 만남</v>
      </c>
    </row>
    <row r="340" spans="1:15" x14ac:dyDescent="0.3">
      <c r="A340" s="5">
        <v>45566</v>
      </c>
      <c r="B340" t="s">
        <v>101</v>
      </c>
      <c r="D340" t="s">
        <v>533</v>
      </c>
      <c r="E340" t="s">
        <v>134</v>
      </c>
      <c r="H340">
        <v>4</v>
      </c>
      <c r="I340">
        <v>13</v>
      </c>
      <c r="J340">
        <v>27</v>
      </c>
      <c r="K340" s="17">
        <f t="shared" ref="K340:K365" si="16">I340+J340</f>
        <v>40</v>
      </c>
      <c r="M340" t="s">
        <v>206</v>
      </c>
      <c r="O340" t="str">
        <f>TEXT(행사기준[[#This Row],[년월]],"yy년m월")&amp;행사기준[[#This Row],[행사명]]</f>
        <v xml:space="preserve">24년10월도서관에서 만나는 창녕시네마 </v>
      </c>
    </row>
    <row r="341" spans="1:15" x14ac:dyDescent="0.3">
      <c r="A341" s="5">
        <v>45566</v>
      </c>
      <c r="B341" t="s">
        <v>107</v>
      </c>
      <c r="D341" t="s">
        <v>534</v>
      </c>
      <c r="E341" t="s">
        <v>133</v>
      </c>
      <c r="G341" t="s">
        <v>551</v>
      </c>
      <c r="H341">
        <v>6</v>
      </c>
      <c r="I341">
        <v>53</v>
      </c>
      <c r="J341">
        <v>35</v>
      </c>
      <c r="K341" s="17">
        <f t="shared" si="16"/>
        <v>88</v>
      </c>
      <c r="M341" t="s">
        <v>206</v>
      </c>
      <c r="O341" t="str">
        <f>TEXT(행사기준[[#This Row],[년월]],"yy년m월")&amp;행사기준[[#This Row],[행사명]]</f>
        <v xml:space="preserve">24년10월어린이 현장학습 </v>
      </c>
    </row>
    <row r="342" spans="1:15" x14ac:dyDescent="0.3">
      <c r="A342" s="5">
        <v>45566</v>
      </c>
      <c r="B342" t="s">
        <v>99</v>
      </c>
      <c r="D342" t="s">
        <v>212</v>
      </c>
      <c r="E342" t="s">
        <v>132</v>
      </c>
      <c r="H342">
        <v>10</v>
      </c>
      <c r="J342">
        <v>40</v>
      </c>
      <c r="K342" s="17">
        <f t="shared" si="16"/>
        <v>40</v>
      </c>
      <c r="M342" t="s">
        <v>231</v>
      </c>
      <c r="O342" t="str">
        <f>TEXT(행사기준[[#This Row],[년월]],"yy년m월")&amp;행사기준[[#This Row],[행사명]]</f>
        <v>24년10월바이올린 초급반</v>
      </c>
    </row>
    <row r="343" spans="1:15" x14ac:dyDescent="0.3">
      <c r="A343" s="5">
        <v>45566</v>
      </c>
      <c r="B343" t="s">
        <v>99</v>
      </c>
      <c r="D343" t="s">
        <v>209</v>
      </c>
      <c r="E343" t="s">
        <v>628</v>
      </c>
      <c r="G343" t="s">
        <v>630</v>
      </c>
      <c r="H343">
        <v>3</v>
      </c>
      <c r="I343">
        <v>30</v>
      </c>
      <c r="J343">
        <v>24</v>
      </c>
      <c r="K343" s="17">
        <f t="shared" si="16"/>
        <v>54</v>
      </c>
      <c r="M343" t="s">
        <v>231</v>
      </c>
      <c r="O343" t="str">
        <f>TEXT(행사기준[[#This Row],[년월]],"yy년m월")&amp;행사기준[[#This Row],[행사명]]</f>
        <v>24년10월내 손안의 스마트 미디어</v>
      </c>
    </row>
    <row r="344" spans="1:15" x14ac:dyDescent="0.3">
      <c r="A344" s="5">
        <v>45566</v>
      </c>
      <c r="B344" t="s">
        <v>99</v>
      </c>
      <c r="D344" t="s">
        <v>552</v>
      </c>
      <c r="E344" t="s">
        <v>628</v>
      </c>
      <c r="G344" t="s">
        <v>630</v>
      </c>
      <c r="H344">
        <v>4</v>
      </c>
      <c r="I344">
        <v>9</v>
      </c>
      <c r="J344">
        <v>20</v>
      </c>
      <c r="K344" s="17">
        <f t="shared" si="16"/>
        <v>29</v>
      </c>
      <c r="M344" t="s">
        <v>231</v>
      </c>
      <c r="O344" t="str">
        <f>TEXT(행사기준[[#This Row],[년월]],"yy년m월")&amp;행사기준[[#This Row],[행사명]]</f>
        <v>24년10월왕초보를 위한 기초 생활 영어</v>
      </c>
    </row>
    <row r="345" spans="1:15" x14ac:dyDescent="0.3">
      <c r="A345" s="5">
        <v>45566</v>
      </c>
      <c r="B345" t="s">
        <v>99</v>
      </c>
      <c r="D345" t="s">
        <v>604</v>
      </c>
      <c r="E345" t="s">
        <v>628</v>
      </c>
      <c r="G345" t="s">
        <v>629</v>
      </c>
      <c r="H345">
        <v>4</v>
      </c>
      <c r="I345">
        <v>10</v>
      </c>
      <c r="J345">
        <v>23</v>
      </c>
      <c r="K345" s="17">
        <f t="shared" si="16"/>
        <v>33</v>
      </c>
      <c r="M345" t="s">
        <v>231</v>
      </c>
      <c r="O345" t="str">
        <f>TEXT(행사기준[[#This Row],[년월]],"yy년m월")&amp;행사기준[[#This Row],[행사명]]</f>
        <v>24년10월AI 활용 프로그램</v>
      </c>
    </row>
    <row r="346" spans="1:15" x14ac:dyDescent="0.3">
      <c r="A346" s="5">
        <v>45566</v>
      </c>
      <c r="B346" t="s">
        <v>99</v>
      </c>
      <c r="D346" t="s">
        <v>554</v>
      </c>
      <c r="E346" t="s">
        <v>133</v>
      </c>
      <c r="G346" t="s">
        <v>555</v>
      </c>
      <c r="H346">
        <v>4</v>
      </c>
      <c r="I346">
        <v>3</v>
      </c>
      <c r="J346">
        <v>11</v>
      </c>
      <c r="K346" s="17">
        <f t="shared" si="16"/>
        <v>14</v>
      </c>
      <c r="M346" t="s">
        <v>231</v>
      </c>
      <c r="O346" t="str">
        <f>TEXT(행사기준[[#This Row],[년월]],"yy년m월")&amp;행사기준[[#This Row],[행사명]]</f>
        <v>24년10월초등 영어 마스터</v>
      </c>
    </row>
    <row r="347" spans="1:15" x14ac:dyDescent="0.3">
      <c r="A347" s="5">
        <v>45566</v>
      </c>
      <c r="B347" t="s">
        <v>99</v>
      </c>
      <c r="D347" t="s">
        <v>557</v>
      </c>
      <c r="E347" t="s">
        <v>133</v>
      </c>
      <c r="G347" t="s">
        <v>558</v>
      </c>
      <c r="H347">
        <v>4</v>
      </c>
      <c r="I347">
        <v>21</v>
      </c>
      <c r="J347">
        <v>10</v>
      </c>
      <c r="K347" s="17">
        <f t="shared" si="16"/>
        <v>31</v>
      </c>
      <c r="M347" t="s">
        <v>231</v>
      </c>
      <c r="O347" t="str">
        <f>TEXT(행사기준[[#This Row],[년월]],"yy년m월")&amp;행사기준[[#This Row],[행사명]]</f>
        <v>24년10월신난다 보드게임</v>
      </c>
    </row>
    <row r="348" spans="1:15" x14ac:dyDescent="0.3">
      <c r="A348" s="5">
        <v>45566</v>
      </c>
      <c r="B348" t="s">
        <v>99</v>
      </c>
      <c r="C348" t="s">
        <v>327</v>
      </c>
      <c r="D348" t="s">
        <v>583</v>
      </c>
      <c r="E348" t="s">
        <v>628</v>
      </c>
      <c r="G348" t="s">
        <v>629</v>
      </c>
      <c r="H348">
        <v>2</v>
      </c>
      <c r="I348">
        <v>7</v>
      </c>
      <c r="J348">
        <v>16</v>
      </c>
      <c r="K348" s="17">
        <f t="shared" si="16"/>
        <v>23</v>
      </c>
      <c r="M348" t="s">
        <v>231</v>
      </c>
      <c r="O348" t="str">
        <f>TEXT(행사기준[[#This Row],[년월]],"yy년m월")&amp;행사기준[[#This Row],[행사명]]</f>
        <v>24년10월향기로운 공예</v>
      </c>
    </row>
    <row r="349" spans="1:15" x14ac:dyDescent="0.3">
      <c r="A349" s="5">
        <v>45566</v>
      </c>
      <c r="B349" t="s">
        <v>99</v>
      </c>
      <c r="C349" t="s">
        <v>327</v>
      </c>
      <c r="D349" t="s">
        <v>605</v>
      </c>
      <c r="E349" t="s">
        <v>132</v>
      </c>
      <c r="H349">
        <v>1</v>
      </c>
      <c r="J349">
        <v>13</v>
      </c>
      <c r="K349" s="17">
        <f t="shared" si="16"/>
        <v>13</v>
      </c>
      <c r="M349" t="s">
        <v>231</v>
      </c>
      <c r="O349" t="str">
        <f>TEXT(행사기준[[#This Row],[년월]],"yy년m월")&amp;행사기준[[#This Row],[행사명]]</f>
        <v>24년10월건강 셀프 발마사지</v>
      </c>
    </row>
    <row r="350" spans="1:15" x14ac:dyDescent="0.3">
      <c r="A350" s="5">
        <v>45566</v>
      </c>
      <c r="B350" t="s">
        <v>99</v>
      </c>
      <c r="C350" t="s">
        <v>416</v>
      </c>
      <c r="D350" t="s">
        <v>560</v>
      </c>
      <c r="E350" t="s">
        <v>631</v>
      </c>
      <c r="G350" t="s">
        <v>470</v>
      </c>
      <c r="H350">
        <v>4</v>
      </c>
      <c r="I350">
        <v>25</v>
      </c>
      <c r="J350">
        <v>21</v>
      </c>
      <c r="K350" s="17">
        <f t="shared" si="16"/>
        <v>46</v>
      </c>
      <c r="M350" t="s">
        <v>231</v>
      </c>
      <c r="O350" t="str">
        <f>TEXT(행사기준[[#This Row],[년월]],"yy년m월")&amp;행사기준[[#This Row],[행사명]]</f>
        <v>24년10월영어 파닉스랑 놀자!A</v>
      </c>
    </row>
    <row r="351" spans="1:15" x14ac:dyDescent="0.3">
      <c r="A351" s="5">
        <v>45566</v>
      </c>
      <c r="B351" t="s">
        <v>99</v>
      </c>
      <c r="C351" t="s">
        <v>416</v>
      </c>
      <c r="D351" t="s">
        <v>561</v>
      </c>
      <c r="E351" t="s">
        <v>133</v>
      </c>
      <c r="G351" t="s">
        <v>562</v>
      </c>
      <c r="H351">
        <v>4</v>
      </c>
      <c r="I351">
        <v>22</v>
      </c>
      <c r="J351">
        <v>16</v>
      </c>
      <c r="K351" s="17">
        <f t="shared" si="16"/>
        <v>38</v>
      </c>
      <c r="M351" t="s">
        <v>231</v>
      </c>
      <c r="O351" t="str">
        <f>TEXT(행사기준[[#This Row],[년월]],"yy년m월")&amp;행사기준[[#This Row],[행사명]]</f>
        <v>24년10월영어 파닉스랑 놀자!B</v>
      </c>
    </row>
    <row r="352" spans="1:15" x14ac:dyDescent="0.3">
      <c r="A352" s="5">
        <v>45566</v>
      </c>
      <c r="B352" t="s">
        <v>626</v>
      </c>
      <c r="C352" t="s">
        <v>627</v>
      </c>
      <c r="D352" t="s">
        <v>606</v>
      </c>
      <c r="E352" t="s">
        <v>132</v>
      </c>
      <c r="H352">
        <v>1</v>
      </c>
      <c r="I352">
        <v>5</v>
      </c>
      <c r="J352">
        <v>13</v>
      </c>
      <c r="K352" s="17">
        <f t="shared" si="16"/>
        <v>18</v>
      </c>
      <c r="L352" t="s">
        <v>607</v>
      </c>
      <c r="M352" t="s">
        <v>476</v>
      </c>
      <c r="O352" t="str">
        <f>TEXT(행사기준[[#This Row],[년월]],"yy년m월")&amp;행사기준[[#This Row],[행사명]]</f>
        <v>24년10월장홍 작가 강연</v>
      </c>
    </row>
    <row r="353" spans="1:15" x14ac:dyDescent="0.3">
      <c r="A353" s="5">
        <v>45566</v>
      </c>
      <c r="B353" t="s">
        <v>227</v>
      </c>
      <c r="C353" t="s">
        <v>608</v>
      </c>
      <c r="D353" t="s">
        <v>609</v>
      </c>
      <c r="E353" t="s">
        <v>163</v>
      </c>
      <c r="G353" t="s">
        <v>610</v>
      </c>
      <c r="H353">
        <v>1</v>
      </c>
      <c r="I353">
        <v>12</v>
      </c>
      <c r="J353">
        <v>4</v>
      </c>
      <c r="K353" s="17">
        <f t="shared" si="16"/>
        <v>16</v>
      </c>
      <c r="L353" t="s">
        <v>611</v>
      </c>
      <c r="M353" t="s">
        <v>476</v>
      </c>
      <c r="O353" t="str">
        <f>TEXT(행사기준[[#This Row],[년월]],"yy년m월")&amp;행사기준[[#This Row],[행사명]]</f>
        <v>24년10월가상융합기술 XR 신산업 진로 체험</v>
      </c>
    </row>
    <row r="354" spans="1:15" x14ac:dyDescent="0.3">
      <c r="A354" s="5">
        <v>45566</v>
      </c>
      <c r="B354" t="s">
        <v>227</v>
      </c>
      <c r="C354" t="s">
        <v>229</v>
      </c>
      <c r="D354" t="s">
        <v>563</v>
      </c>
      <c r="E354" t="s">
        <v>133</v>
      </c>
      <c r="G354" t="s">
        <v>612</v>
      </c>
      <c r="H354">
        <v>2</v>
      </c>
      <c r="I354">
        <v>15</v>
      </c>
      <c r="J354">
        <v>14</v>
      </c>
      <c r="K354" s="17">
        <f t="shared" si="16"/>
        <v>29</v>
      </c>
      <c r="L354" t="s">
        <v>219</v>
      </c>
      <c r="M354" t="s">
        <v>476</v>
      </c>
      <c r="O354" t="str">
        <f>TEXT(행사기준[[#This Row],[년월]],"yy년m월")&amp;행사기준[[#This Row],[행사명]]</f>
        <v>24년10월생태야 같이 놀자!</v>
      </c>
    </row>
    <row r="355" spans="1:15" x14ac:dyDescent="0.3">
      <c r="A355" s="5">
        <v>45566</v>
      </c>
      <c r="B355" t="s">
        <v>227</v>
      </c>
      <c r="C355" t="s">
        <v>229</v>
      </c>
      <c r="D355" t="s">
        <v>564</v>
      </c>
      <c r="E355" t="s">
        <v>133</v>
      </c>
      <c r="G355" t="s">
        <v>337</v>
      </c>
      <c r="H355">
        <v>1</v>
      </c>
      <c r="I355">
        <v>9</v>
      </c>
      <c r="J355">
        <v>8</v>
      </c>
      <c r="K355" s="17">
        <f t="shared" si="16"/>
        <v>17</v>
      </c>
      <c r="L355" t="s">
        <v>329</v>
      </c>
      <c r="M355" t="s">
        <v>476</v>
      </c>
      <c r="O355" t="str">
        <f>TEXT(행사기준[[#This Row],[년월]],"yy년m월")&amp;행사기준[[#This Row],[행사명]]</f>
        <v>24년10월책이랑 놀이랑</v>
      </c>
    </row>
    <row r="356" spans="1:15" x14ac:dyDescent="0.3">
      <c r="A356" s="5">
        <v>45566</v>
      </c>
      <c r="B356" t="s">
        <v>227</v>
      </c>
      <c r="C356" t="s">
        <v>229</v>
      </c>
      <c r="D356" t="s">
        <v>613</v>
      </c>
      <c r="E356" t="s">
        <v>133</v>
      </c>
      <c r="G356" t="s">
        <v>614</v>
      </c>
      <c r="H356">
        <v>4</v>
      </c>
      <c r="I356">
        <v>25</v>
      </c>
      <c r="J356">
        <v>27</v>
      </c>
      <c r="K356" s="17">
        <f t="shared" si="16"/>
        <v>52</v>
      </c>
      <c r="L356" t="s">
        <v>615</v>
      </c>
      <c r="M356" t="s">
        <v>476</v>
      </c>
      <c r="O356" t="str">
        <f>TEXT(행사기준[[#This Row],[년월]],"yy년m월")&amp;행사기준[[#This Row],[행사명]]</f>
        <v>24년10월신통방통 마법천자문</v>
      </c>
    </row>
    <row r="357" spans="1:15" x14ac:dyDescent="0.3">
      <c r="A357" s="5">
        <v>45566</v>
      </c>
      <c r="B357" t="s">
        <v>227</v>
      </c>
      <c r="C357" t="s">
        <v>229</v>
      </c>
      <c r="D357" t="s">
        <v>565</v>
      </c>
      <c r="E357" t="s">
        <v>133</v>
      </c>
      <c r="G357" t="s">
        <v>616</v>
      </c>
      <c r="H357">
        <v>3</v>
      </c>
      <c r="I357">
        <v>12</v>
      </c>
      <c r="J357">
        <v>10</v>
      </c>
      <c r="K357" s="17">
        <f t="shared" si="16"/>
        <v>22</v>
      </c>
      <c r="L357" t="s">
        <v>538</v>
      </c>
      <c r="M357" t="s">
        <v>476</v>
      </c>
      <c r="O357" t="str">
        <f>TEXT(행사기준[[#This Row],[년월]],"yy년m월")&amp;행사기준[[#This Row],[행사명]]</f>
        <v>24년10월어린이 역사 인문학</v>
      </c>
    </row>
    <row r="358" spans="1:15" x14ac:dyDescent="0.3">
      <c r="A358" s="5">
        <v>45566</v>
      </c>
      <c r="B358" t="s">
        <v>227</v>
      </c>
      <c r="C358" t="s">
        <v>229</v>
      </c>
      <c r="D358" t="s">
        <v>566</v>
      </c>
      <c r="E358" t="s">
        <v>133</v>
      </c>
      <c r="G358" t="s">
        <v>617</v>
      </c>
      <c r="H358">
        <v>2</v>
      </c>
      <c r="I358">
        <v>10</v>
      </c>
      <c r="J358">
        <v>14</v>
      </c>
      <c r="K358" s="17">
        <f t="shared" si="16"/>
        <v>24</v>
      </c>
      <c r="L358" t="s">
        <v>539</v>
      </c>
      <c r="M358" t="s">
        <v>476</v>
      </c>
      <c r="O358" t="str">
        <f>TEXT(행사기준[[#This Row],[년월]],"yy년m월")&amp;행사기준[[#This Row],[행사명]]</f>
        <v>24년10월조물조물 손끝 책빵</v>
      </c>
    </row>
    <row r="359" spans="1:15" x14ac:dyDescent="0.3">
      <c r="A359" s="5">
        <v>45566</v>
      </c>
      <c r="B359" t="s">
        <v>227</v>
      </c>
      <c r="C359" t="s">
        <v>235</v>
      </c>
      <c r="D359" t="s">
        <v>618</v>
      </c>
      <c r="E359" t="s">
        <v>133</v>
      </c>
      <c r="G359" t="s">
        <v>619</v>
      </c>
      <c r="H359">
        <v>2</v>
      </c>
      <c r="I359">
        <v>39</v>
      </c>
      <c r="J359">
        <v>39</v>
      </c>
      <c r="K359" s="17">
        <f t="shared" si="16"/>
        <v>78</v>
      </c>
      <c r="M359" t="s">
        <v>476</v>
      </c>
      <c r="O359" t="str">
        <f>TEXT(행사기준[[#This Row],[년월]],"yy년m월")&amp;행사기준[[#This Row],[행사명]]</f>
        <v>24년10월나혼자 사춘기</v>
      </c>
    </row>
    <row r="360" spans="1:15" x14ac:dyDescent="0.3">
      <c r="A360" s="5">
        <v>45566</v>
      </c>
      <c r="B360" t="s">
        <v>227</v>
      </c>
      <c r="C360" t="s">
        <v>235</v>
      </c>
      <c r="D360" t="s">
        <v>620</v>
      </c>
      <c r="E360" t="s">
        <v>133</v>
      </c>
      <c r="G360" t="s">
        <v>621</v>
      </c>
      <c r="H360">
        <v>5</v>
      </c>
      <c r="I360">
        <v>292</v>
      </c>
      <c r="J360">
        <v>283</v>
      </c>
      <c r="K360" s="17">
        <f t="shared" si="16"/>
        <v>575</v>
      </c>
      <c r="M360" t="s">
        <v>476</v>
      </c>
      <c r="O360" t="str">
        <f>TEXT(행사기준[[#This Row],[년월]],"yy년m월")&amp;행사기준[[#This Row],[행사명]]</f>
        <v>24년10월고릴라와 너구리</v>
      </c>
    </row>
    <row r="361" spans="1:15" x14ac:dyDescent="0.3">
      <c r="A361" s="5">
        <v>45566</v>
      </c>
      <c r="B361" t="s">
        <v>227</v>
      </c>
      <c r="C361" t="s">
        <v>235</v>
      </c>
      <c r="D361" t="s">
        <v>622</v>
      </c>
      <c r="E361" t="s">
        <v>133</v>
      </c>
      <c r="G361" t="s">
        <v>544</v>
      </c>
      <c r="H361">
        <v>1</v>
      </c>
      <c r="I361">
        <v>15</v>
      </c>
      <c r="J361">
        <v>8</v>
      </c>
      <c r="K361" s="17">
        <f t="shared" si="16"/>
        <v>23</v>
      </c>
      <c r="M361" t="s">
        <v>476</v>
      </c>
      <c r="O361" t="str">
        <f>TEXT(행사기준[[#This Row],[년월]],"yy년m월")&amp;행사기준[[#This Row],[행사명]]</f>
        <v>24년10월스트로 베리 베리 팡팡</v>
      </c>
    </row>
    <row r="362" spans="1:15" x14ac:dyDescent="0.3">
      <c r="A362" s="5">
        <v>45566</v>
      </c>
      <c r="B362" t="s">
        <v>227</v>
      </c>
      <c r="C362" t="s">
        <v>235</v>
      </c>
      <c r="D362" t="s">
        <v>570</v>
      </c>
      <c r="E362" t="s">
        <v>133</v>
      </c>
      <c r="G362" t="s">
        <v>536</v>
      </c>
      <c r="H362">
        <v>1</v>
      </c>
      <c r="I362">
        <v>12</v>
      </c>
      <c r="J362">
        <v>15</v>
      </c>
      <c r="K362" s="17">
        <f t="shared" si="16"/>
        <v>27</v>
      </c>
      <c r="M362" t="s">
        <v>476</v>
      </c>
      <c r="O362" t="str">
        <f>TEXT(행사기준[[#This Row],[년월]],"yy년m월")&amp;행사기준[[#This Row],[행사명]]</f>
        <v>24년10월그림책이 살아있다!</v>
      </c>
    </row>
    <row r="363" spans="1:15" x14ac:dyDescent="0.3">
      <c r="A363" s="5">
        <v>45566</v>
      </c>
      <c r="B363" t="s">
        <v>227</v>
      </c>
      <c r="C363" t="s">
        <v>235</v>
      </c>
      <c r="D363" t="s">
        <v>571</v>
      </c>
      <c r="E363" t="s">
        <v>133</v>
      </c>
      <c r="G363" t="s">
        <v>542</v>
      </c>
      <c r="H363">
        <v>2</v>
      </c>
      <c r="I363">
        <v>53</v>
      </c>
      <c r="J363">
        <v>42</v>
      </c>
      <c r="K363" s="17">
        <f t="shared" si="16"/>
        <v>95</v>
      </c>
      <c r="M363" t="s">
        <v>476</v>
      </c>
      <c r="O363" t="str">
        <f>TEXT(행사기준[[#This Row],[년월]],"yy년m월")&amp;행사기준[[#This Row],[행사명]]</f>
        <v>24년10월그림책이 커졌다!</v>
      </c>
    </row>
    <row r="364" spans="1:15" x14ac:dyDescent="0.3">
      <c r="A364" s="5">
        <v>45566</v>
      </c>
      <c r="B364" t="s">
        <v>227</v>
      </c>
      <c r="C364" t="s">
        <v>235</v>
      </c>
      <c r="D364" t="s">
        <v>572</v>
      </c>
      <c r="E364" t="s">
        <v>133</v>
      </c>
      <c r="G364" t="s">
        <v>623</v>
      </c>
      <c r="H364">
        <v>2</v>
      </c>
      <c r="I364">
        <v>147</v>
      </c>
      <c r="J364">
        <v>164</v>
      </c>
      <c r="K364" s="17">
        <f t="shared" si="16"/>
        <v>311</v>
      </c>
      <c r="M364" t="s">
        <v>476</v>
      </c>
      <c r="O364" t="str">
        <f>TEXT(행사기준[[#This Row],[년월]],"yy년m월")&amp;행사기준[[#This Row],[행사명]]</f>
        <v>24년10월존 버닝햄 작가의 책</v>
      </c>
    </row>
    <row r="365" spans="1:15" x14ac:dyDescent="0.3">
      <c r="A365" s="5">
        <v>45566</v>
      </c>
      <c r="B365" t="s">
        <v>227</v>
      </c>
      <c r="C365" t="s">
        <v>235</v>
      </c>
      <c r="D365" t="s">
        <v>624</v>
      </c>
      <c r="E365" t="s">
        <v>133</v>
      </c>
      <c r="G365" t="s">
        <v>625</v>
      </c>
      <c r="H365">
        <v>2</v>
      </c>
      <c r="I365">
        <v>31</v>
      </c>
      <c r="J365">
        <v>31</v>
      </c>
      <c r="K365" s="17">
        <f t="shared" si="16"/>
        <v>62</v>
      </c>
      <c r="M365" t="s">
        <v>476</v>
      </c>
      <c r="O365" t="str">
        <f>TEXT(행사기준[[#This Row],[년월]],"yy년m월")&amp;행사기준[[#This Row],[행사명]]</f>
        <v>24년10월레오 리오니 작가의 책</v>
      </c>
    </row>
    <row r="366" spans="1:15" x14ac:dyDescent="0.3">
      <c r="A366" s="5">
        <v>45597</v>
      </c>
      <c r="B366" t="s">
        <v>101</v>
      </c>
      <c r="D366" t="s">
        <v>644</v>
      </c>
      <c r="E366" t="s">
        <v>133</v>
      </c>
      <c r="H366">
        <v>4</v>
      </c>
      <c r="I366">
        <v>16</v>
      </c>
      <c r="J366">
        <v>24</v>
      </c>
      <c r="K366">
        <f>I366+J366</f>
        <v>40</v>
      </c>
      <c r="M366" t="s">
        <v>206</v>
      </c>
      <c r="O366" t="str">
        <f>TEXT(행사기준[[#This Row],[년월]],"yy년m월")&amp;행사기준[[#This Row],[행사명]]</f>
        <v>24년11월추운 날엔 책 한잔</v>
      </c>
    </row>
    <row r="367" spans="1:15" x14ac:dyDescent="0.3">
      <c r="A367" s="5">
        <v>45597</v>
      </c>
      <c r="B367" t="s">
        <v>101</v>
      </c>
      <c r="D367" t="s">
        <v>645</v>
      </c>
      <c r="E367" t="s">
        <v>133</v>
      </c>
      <c r="H367">
        <v>1</v>
      </c>
      <c r="I367">
        <v>22</v>
      </c>
      <c r="J367">
        <v>28</v>
      </c>
      <c r="K367">
        <f t="shared" ref="K367:K408" si="17">I367+J367</f>
        <v>50</v>
      </c>
      <c r="M367" t="s">
        <v>206</v>
      </c>
      <c r="O367" t="str">
        <f>TEXT(행사기준[[#This Row],[년월]],"yy년m월")&amp;행사기준[[#This Row],[행사명]]</f>
        <v>24년11월창녕 어린이 탐정단</v>
      </c>
    </row>
    <row r="368" spans="1:15" x14ac:dyDescent="0.3">
      <c r="A368" s="5">
        <v>45597</v>
      </c>
      <c r="B368" t="s">
        <v>101</v>
      </c>
      <c r="D368" t="s">
        <v>646</v>
      </c>
      <c r="E368" t="s">
        <v>133</v>
      </c>
      <c r="H368">
        <v>4</v>
      </c>
      <c r="I368">
        <v>36</v>
      </c>
      <c r="J368">
        <v>37</v>
      </c>
      <c r="K368">
        <f t="shared" si="17"/>
        <v>73</v>
      </c>
      <c r="M368" t="s">
        <v>206</v>
      </c>
      <c r="O368" t="str">
        <f>TEXT(행사기준[[#This Row],[년월]],"yy년m월")&amp;행사기준[[#This Row],[행사명]]</f>
        <v>24년11월내 단풍은 무슨 색?</v>
      </c>
    </row>
    <row r="369" spans="1:15" x14ac:dyDescent="0.3">
      <c r="A369" s="5">
        <v>45597</v>
      </c>
      <c r="B369" t="s">
        <v>101</v>
      </c>
      <c r="D369" t="s">
        <v>647</v>
      </c>
      <c r="E369" t="s">
        <v>133</v>
      </c>
      <c r="H369">
        <v>4</v>
      </c>
      <c r="I369">
        <v>25</v>
      </c>
      <c r="J369">
        <v>27</v>
      </c>
      <c r="K369">
        <f t="shared" si="17"/>
        <v>52</v>
      </c>
      <c r="M369" t="s">
        <v>206</v>
      </c>
      <c r="O369" t="str">
        <f>TEXT(행사기준[[#This Row],[년월]],"yy년m월")&amp;행사기준[[#This Row],[행사명]]</f>
        <v>24년11월천고마비, 달콤한 도서관</v>
      </c>
    </row>
    <row r="370" spans="1:15" x14ac:dyDescent="0.3">
      <c r="A370" s="5">
        <v>45597</v>
      </c>
      <c r="B370" t="s">
        <v>101</v>
      </c>
      <c r="D370" t="s">
        <v>648</v>
      </c>
      <c r="E370" t="s">
        <v>134</v>
      </c>
      <c r="H370">
        <v>1</v>
      </c>
      <c r="I370">
        <v>13</v>
      </c>
      <c r="J370">
        <v>37</v>
      </c>
      <c r="K370">
        <f t="shared" si="17"/>
        <v>50</v>
      </c>
      <c r="M370" t="s">
        <v>211</v>
      </c>
      <c r="O370" t="str">
        <f>TEXT(행사기준[[#This Row],[년월]],"yy년m월")&amp;행사기준[[#This Row],[행사명]]</f>
        <v>24년11월당신의 문해력은 안녕하십니까?</v>
      </c>
    </row>
    <row r="371" spans="1:15" x14ac:dyDescent="0.3">
      <c r="A371" s="5">
        <v>45597</v>
      </c>
      <c r="B371" t="s">
        <v>101</v>
      </c>
      <c r="D371" t="s">
        <v>599</v>
      </c>
      <c r="E371" t="s">
        <v>134</v>
      </c>
      <c r="H371">
        <v>1</v>
      </c>
      <c r="I371">
        <v>7</v>
      </c>
      <c r="J371">
        <v>13</v>
      </c>
      <c r="K371">
        <f t="shared" si="17"/>
        <v>20</v>
      </c>
      <c r="M371" t="s">
        <v>207</v>
      </c>
      <c r="O371" t="str">
        <f>TEXT(행사기준[[#This Row],[년월]],"yy년m월")&amp;행사기준[[#This Row],[행사명]]</f>
        <v>24년11월스마트한 독서생활</v>
      </c>
    </row>
    <row r="372" spans="1:15" x14ac:dyDescent="0.3">
      <c r="A372" s="5">
        <v>45597</v>
      </c>
      <c r="B372" t="s">
        <v>225</v>
      </c>
      <c r="D372" t="s">
        <v>649</v>
      </c>
      <c r="E372" t="s">
        <v>134</v>
      </c>
      <c r="K372">
        <f t="shared" si="17"/>
        <v>0</v>
      </c>
      <c r="M372" t="s">
        <v>231</v>
      </c>
      <c r="O372" t="str">
        <f>TEXT(행사기준[[#This Row],[년월]],"yy년m월")&amp;행사기준[[#This Row],[행사명]]</f>
        <v>24년11월도전 119%</v>
      </c>
    </row>
    <row r="373" spans="1:15" x14ac:dyDescent="0.3">
      <c r="A373" s="5">
        <v>45597</v>
      </c>
      <c r="B373" t="s">
        <v>101</v>
      </c>
      <c r="D373" t="s">
        <v>519</v>
      </c>
      <c r="E373" t="s">
        <v>133</v>
      </c>
      <c r="H373">
        <v>1</v>
      </c>
      <c r="I373">
        <v>29</v>
      </c>
      <c r="J373">
        <v>22</v>
      </c>
      <c r="K373">
        <f t="shared" si="17"/>
        <v>51</v>
      </c>
      <c r="M373" t="s">
        <v>206</v>
      </c>
      <c r="O373" t="str">
        <f>TEXT(행사기준[[#This Row],[년월]],"yy년m월")&amp;행사기준[[#This Row],[행사명]]</f>
        <v xml:space="preserve">24년11월생각키움 독서퀴즈 </v>
      </c>
    </row>
    <row r="374" spans="1:15" x14ac:dyDescent="0.3">
      <c r="A374" s="5">
        <v>45597</v>
      </c>
      <c r="B374" t="s">
        <v>101</v>
      </c>
      <c r="D374" t="s">
        <v>520</v>
      </c>
      <c r="E374" t="s">
        <v>133</v>
      </c>
      <c r="H374">
        <v>1</v>
      </c>
      <c r="I374">
        <v>8</v>
      </c>
      <c r="J374">
        <v>12</v>
      </c>
      <c r="K374">
        <f t="shared" si="17"/>
        <v>20</v>
      </c>
      <c r="M374" t="s">
        <v>206</v>
      </c>
      <c r="O374" t="str">
        <f>TEXT(행사기준[[#This Row],[년월]],"yy년m월")&amp;행사기준[[#This Row],[행사명]]</f>
        <v xml:space="preserve">24년11월내가 좋아하는 책 속 한 구절 </v>
      </c>
    </row>
    <row r="375" spans="1:15" x14ac:dyDescent="0.3">
      <c r="A375" s="5">
        <v>45597</v>
      </c>
      <c r="B375" t="s">
        <v>105</v>
      </c>
      <c r="D375" t="s">
        <v>650</v>
      </c>
      <c r="E375" t="s">
        <v>134</v>
      </c>
      <c r="H375">
        <v>1</v>
      </c>
      <c r="I375">
        <v>391</v>
      </c>
      <c r="J375">
        <v>597</v>
      </c>
      <c r="K375">
        <f t="shared" si="17"/>
        <v>988</v>
      </c>
      <c r="M375" t="s">
        <v>211</v>
      </c>
      <c r="O375" t="str">
        <f>TEXT(행사기준[[#This Row],[년월]],"yy년m월")&amp;행사기준[[#This Row],[행사명]]</f>
        <v>24년11월창녕도서관을 빛낸 올해의 작가전</v>
      </c>
    </row>
    <row r="376" spans="1:15" x14ac:dyDescent="0.3">
      <c r="A376" s="5">
        <v>45597</v>
      </c>
      <c r="B376" t="s">
        <v>101</v>
      </c>
      <c r="C376" t="s">
        <v>651</v>
      </c>
      <c r="D376" t="s">
        <v>652</v>
      </c>
      <c r="E376" t="s">
        <v>134</v>
      </c>
      <c r="G376" t="s">
        <v>653</v>
      </c>
      <c r="H376">
        <v>1</v>
      </c>
      <c r="I376">
        <v>20</v>
      </c>
      <c r="J376">
        <v>39</v>
      </c>
      <c r="K376">
        <f t="shared" si="17"/>
        <v>59</v>
      </c>
      <c r="M376" t="s">
        <v>206</v>
      </c>
      <c r="O376" t="str">
        <f>TEXT(행사기준[[#This Row],[년월]],"yy년m월")&amp;행사기준[[#This Row],[행사명]]</f>
        <v>24년11월버블 공연</v>
      </c>
    </row>
    <row r="377" spans="1:15" x14ac:dyDescent="0.3">
      <c r="A377" s="5">
        <v>45597</v>
      </c>
      <c r="B377" t="s">
        <v>101</v>
      </c>
      <c r="C377" t="s">
        <v>680</v>
      </c>
      <c r="D377" t="s">
        <v>522</v>
      </c>
      <c r="E377" t="s">
        <v>134</v>
      </c>
      <c r="H377">
        <v>1</v>
      </c>
      <c r="J377">
        <v>4</v>
      </c>
      <c r="K377">
        <f t="shared" si="17"/>
        <v>4</v>
      </c>
      <c r="M377" t="s">
        <v>211</v>
      </c>
      <c r="O377" t="str">
        <f>TEXT(행사기준[[#This Row],[년월]],"yy년m월")&amp;행사기준[[#This Row],[행사명]]</f>
        <v xml:space="preserve">24년11월두 배로 데이 </v>
      </c>
    </row>
    <row r="378" spans="1:15" x14ac:dyDescent="0.3">
      <c r="A378" s="5">
        <v>45597</v>
      </c>
      <c r="B378" t="s">
        <v>101</v>
      </c>
      <c r="C378" t="s">
        <v>680</v>
      </c>
      <c r="D378" t="s">
        <v>523</v>
      </c>
      <c r="E378" t="s">
        <v>134</v>
      </c>
      <c r="H378">
        <v>1</v>
      </c>
      <c r="I378">
        <v>4</v>
      </c>
      <c r="J378">
        <v>4</v>
      </c>
      <c r="K378">
        <f t="shared" si="17"/>
        <v>8</v>
      </c>
      <c r="M378" t="s">
        <v>211</v>
      </c>
      <c r="O378" t="str">
        <f>TEXT(행사기준[[#This Row],[년월]],"yy년m월")&amp;행사기준[[#This Row],[행사명]]</f>
        <v xml:space="preserve">24년11월연체 클린 데이 </v>
      </c>
    </row>
    <row r="379" spans="1:15" x14ac:dyDescent="0.3">
      <c r="A379" s="5">
        <v>45597</v>
      </c>
      <c r="B379" t="s">
        <v>103</v>
      </c>
      <c r="D379" t="s">
        <v>524</v>
      </c>
      <c r="E379" t="s">
        <v>133</v>
      </c>
      <c r="H379">
        <v>1</v>
      </c>
      <c r="I379">
        <v>1</v>
      </c>
      <c r="J379">
        <v>3</v>
      </c>
      <c r="K379">
        <f t="shared" si="17"/>
        <v>4</v>
      </c>
      <c r="L379" t="s">
        <v>321</v>
      </c>
      <c r="M379" t="s">
        <v>206</v>
      </c>
      <c r="O379" t="str">
        <f>TEXT(행사기준[[#This Row],[년월]],"yy년m월")&amp;행사기준[[#This Row],[행사명]]</f>
        <v xml:space="preserve">24년11월푸르미(어린이) 독서 동아리 </v>
      </c>
    </row>
    <row r="380" spans="1:15" x14ac:dyDescent="0.3">
      <c r="A380" s="5">
        <v>45597</v>
      </c>
      <c r="B380" t="s">
        <v>103</v>
      </c>
      <c r="D380" t="s">
        <v>525</v>
      </c>
      <c r="E380" t="s">
        <v>163</v>
      </c>
      <c r="H380">
        <v>1</v>
      </c>
      <c r="I380">
        <v>3</v>
      </c>
      <c r="J380">
        <v>1</v>
      </c>
      <c r="K380">
        <f t="shared" si="17"/>
        <v>4</v>
      </c>
      <c r="L380" t="s">
        <v>677</v>
      </c>
      <c r="M380" t="s">
        <v>211</v>
      </c>
      <c r="O380" t="str">
        <f>TEXT(행사기준[[#This Row],[년월]],"yy년m월")&amp;행사기준[[#This Row],[행사명]]</f>
        <v xml:space="preserve">24년11월꿈동(청소년) 독서동아리 </v>
      </c>
    </row>
    <row r="381" spans="1:15" x14ac:dyDescent="0.3">
      <c r="A381" s="5">
        <v>45597</v>
      </c>
      <c r="B381" t="s">
        <v>103</v>
      </c>
      <c r="D381" t="s">
        <v>526</v>
      </c>
      <c r="E381" t="s">
        <v>134</v>
      </c>
      <c r="H381">
        <v>1</v>
      </c>
      <c r="I381">
        <v>1</v>
      </c>
      <c r="J381">
        <v>3</v>
      </c>
      <c r="K381">
        <f t="shared" si="17"/>
        <v>4</v>
      </c>
      <c r="M381" t="s">
        <v>211</v>
      </c>
      <c r="O381" t="str">
        <f>TEXT(행사기준[[#This Row],[년월]],"yy년m월")&amp;행사기준[[#This Row],[행사명]]</f>
        <v xml:space="preserve">24년11월화왕(성인) 독서동아리 </v>
      </c>
    </row>
    <row r="382" spans="1:15" x14ac:dyDescent="0.3">
      <c r="A382" s="5">
        <v>45597</v>
      </c>
      <c r="B382" t="s">
        <v>105</v>
      </c>
      <c r="D382" t="s">
        <v>527</v>
      </c>
      <c r="E382" t="s">
        <v>134</v>
      </c>
      <c r="H382">
        <v>1</v>
      </c>
      <c r="I382">
        <v>255</v>
      </c>
      <c r="J382">
        <v>340</v>
      </c>
      <c r="K382">
        <f t="shared" si="17"/>
        <v>595</v>
      </c>
      <c r="M382" t="s">
        <v>211</v>
      </c>
      <c r="O382" t="str">
        <f>TEXT(행사기준[[#This Row],[년월]],"yy년m월")&amp;행사기준[[#This Row],[행사명]]</f>
        <v xml:space="preserve">24년11월사서가 들려주는 북 스토리 </v>
      </c>
    </row>
    <row r="383" spans="1:15" x14ac:dyDescent="0.3">
      <c r="A383" s="5">
        <v>45597</v>
      </c>
      <c r="B383" t="s">
        <v>105</v>
      </c>
      <c r="D383" t="s">
        <v>528</v>
      </c>
      <c r="E383" t="s">
        <v>134</v>
      </c>
      <c r="H383">
        <v>1</v>
      </c>
      <c r="I383">
        <v>452</v>
      </c>
      <c r="J383">
        <v>511</v>
      </c>
      <c r="K383">
        <f t="shared" si="17"/>
        <v>963</v>
      </c>
      <c r="M383" t="s">
        <v>206</v>
      </c>
      <c r="O383" t="str">
        <f>TEXT(행사기준[[#This Row],[년월]],"yy년m월")&amp;행사기준[[#This Row],[행사명]]</f>
        <v xml:space="preserve">24년11월이야기가 있는 그림책 원화 전시 </v>
      </c>
    </row>
    <row r="384" spans="1:15" x14ac:dyDescent="0.3">
      <c r="A384" s="5">
        <v>45597</v>
      </c>
      <c r="B384" t="s">
        <v>105</v>
      </c>
      <c r="D384" t="s">
        <v>529</v>
      </c>
      <c r="E384" t="s">
        <v>134</v>
      </c>
      <c r="H384">
        <v>1</v>
      </c>
      <c r="I384">
        <v>140</v>
      </c>
      <c r="J384">
        <v>152</v>
      </c>
      <c r="K384">
        <f t="shared" si="17"/>
        <v>292</v>
      </c>
      <c r="M384" t="s">
        <v>206</v>
      </c>
      <c r="O384" t="str">
        <f>TEXT(행사기준[[#This Row],[년월]],"yy년m월")&amp;행사기준[[#This Row],[행사명]]</f>
        <v xml:space="preserve">24년11월도서관에서 만나는 특별한 책 이야기 </v>
      </c>
    </row>
    <row r="385" spans="1:15" x14ac:dyDescent="0.3">
      <c r="A385" s="5">
        <v>45597</v>
      </c>
      <c r="B385" t="s">
        <v>105</v>
      </c>
      <c r="D385" t="s">
        <v>530</v>
      </c>
      <c r="E385" t="s">
        <v>134</v>
      </c>
      <c r="H385">
        <v>1</v>
      </c>
      <c r="I385">
        <v>398</v>
      </c>
      <c r="J385">
        <v>574</v>
      </c>
      <c r="K385">
        <f t="shared" si="17"/>
        <v>972</v>
      </c>
      <c r="M385" t="s">
        <v>206</v>
      </c>
      <c r="O385" t="str">
        <f>TEXT(행사기준[[#This Row],[년월]],"yy년m월")&amp;행사기준[[#This Row],[행사명]]</f>
        <v xml:space="preserve">24년11월사서 추천 도서 서평 전시 </v>
      </c>
    </row>
    <row r="386" spans="1:15" x14ac:dyDescent="0.3">
      <c r="A386" s="5">
        <v>45597</v>
      </c>
      <c r="B386" t="s">
        <v>101</v>
      </c>
      <c r="D386" t="s">
        <v>533</v>
      </c>
      <c r="E386" t="s">
        <v>134</v>
      </c>
      <c r="H386">
        <v>1</v>
      </c>
      <c r="I386">
        <v>16</v>
      </c>
      <c r="J386">
        <v>26</v>
      </c>
      <c r="K386">
        <f t="shared" si="17"/>
        <v>42</v>
      </c>
      <c r="M386" t="s">
        <v>206</v>
      </c>
      <c r="O386" t="str">
        <f>TEXT(행사기준[[#This Row],[년월]],"yy년m월")&amp;행사기준[[#This Row],[행사명]]</f>
        <v xml:space="preserve">24년11월도서관에서 만나는 창녕시네마 </v>
      </c>
    </row>
    <row r="387" spans="1:15" x14ac:dyDescent="0.3">
      <c r="A387" s="5">
        <v>45597</v>
      </c>
      <c r="B387" t="s">
        <v>107</v>
      </c>
      <c r="D387" t="s">
        <v>534</v>
      </c>
      <c r="E387" t="s">
        <v>133</v>
      </c>
      <c r="G387" t="s">
        <v>551</v>
      </c>
      <c r="H387">
        <v>2</v>
      </c>
      <c r="I387">
        <v>19</v>
      </c>
      <c r="J387">
        <v>27</v>
      </c>
      <c r="K387">
        <f t="shared" si="17"/>
        <v>46</v>
      </c>
      <c r="M387" t="s">
        <v>206</v>
      </c>
      <c r="O387" t="str">
        <f>TEXT(행사기준[[#This Row],[년월]],"yy년m월")&amp;행사기준[[#This Row],[행사명]]</f>
        <v xml:space="preserve">24년11월어린이 현장학습 </v>
      </c>
    </row>
    <row r="388" spans="1:15" x14ac:dyDescent="0.3">
      <c r="A388" s="5">
        <v>45597</v>
      </c>
      <c r="B388" t="s">
        <v>99</v>
      </c>
      <c r="D388" t="s">
        <v>212</v>
      </c>
      <c r="E388" t="s">
        <v>132</v>
      </c>
      <c r="H388">
        <v>4</v>
      </c>
      <c r="I388">
        <v>0</v>
      </c>
      <c r="J388">
        <v>39</v>
      </c>
      <c r="K388">
        <f t="shared" si="17"/>
        <v>39</v>
      </c>
      <c r="L388" t="s">
        <v>213</v>
      </c>
      <c r="M388" t="s">
        <v>231</v>
      </c>
      <c r="O388" t="str">
        <f>TEXT(행사기준[[#This Row],[년월]],"yy년m월")&amp;행사기준[[#This Row],[행사명]]</f>
        <v>24년11월바이올린 초급반</v>
      </c>
    </row>
    <row r="389" spans="1:15" x14ac:dyDescent="0.3">
      <c r="A389" s="5">
        <v>45597</v>
      </c>
      <c r="B389" t="s">
        <v>99</v>
      </c>
      <c r="D389" t="s">
        <v>209</v>
      </c>
      <c r="E389" t="s">
        <v>678</v>
      </c>
      <c r="G389" t="s">
        <v>679</v>
      </c>
      <c r="H389">
        <v>4</v>
      </c>
      <c r="I389">
        <v>36</v>
      </c>
      <c r="J389">
        <v>28</v>
      </c>
      <c r="K389">
        <f t="shared" si="17"/>
        <v>64</v>
      </c>
      <c r="L389" t="s">
        <v>210</v>
      </c>
      <c r="M389" t="s">
        <v>231</v>
      </c>
      <c r="O389" t="str">
        <f>TEXT(행사기준[[#This Row],[년월]],"yy년m월")&amp;행사기준[[#This Row],[행사명]]</f>
        <v>24년11월내 손안의 스마트 미디어</v>
      </c>
    </row>
    <row r="390" spans="1:15" x14ac:dyDescent="0.3">
      <c r="A390" s="5">
        <v>45597</v>
      </c>
      <c r="B390" t="s">
        <v>99</v>
      </c>
      <c r="D390" t="s">
        <v>552</v>
      </c>
      <c r="E390" t="s">
        <v>678</v>
      </c>
      <c r="G390" s="17" t="s">
        <v>679</v>
      </c>
      <c r="H390">
        <v>2</v>
      </c>
      <c r="I390">
        <v>5</v>
      </c>
      <c r="J390">
        <v>7</v>
      </c>
      <c r="K390">
        <f t="shared" si="17"/>
        <v>12</v>
      </c>
      <c r="L390" t="s">
        <v>553</v>
      </c>
      <c r="M390" t="s">
        <v>231</v>
      </c>
      <c r="O390" t="str">
        <f>TEXT(행사기준[[#This Row],[년월]],"yy년m월")&amp;행사기준[[#This Row],[행사명]]</f>
        <v>24년11월왕초보를 위한 기초 생활 영어</v>
      </c>
    </row>
    <row r="391" spans="1:15" x14ac:dyDescent="0.3">
      <c r="A391" s="5">
        <v>45597</v>
      </c>
      <c r="B391" t="s">
        <v>99</v>
      </c>
      <c r="D391" t="s">
        <v>554</v>
      </c>
      <c r="E391" t="s">
        <v>133</v>
      </c>
      <c r="G391" t="s">
        <v>555</v>
      </c>
      <c r="H391">
        <v>2</v>
      </c>
      <c r="I391">
        <v>2</v>
      </c>
      <c r="J391">
        <v>5</v>
      </c>
      <c r="K391">
        <f t="shared" si="17"/>
        <v>7</v>
      </c>
      <c r="L391" t="s">
        <v>556</v>
      </c>
      <c r="M391" t="s">
        <v>231</v>
      </c>
      <c r="O391" t="str">
        <f>TEXT(행사기준[[#This Row],[년월]],"yy년m월")&amp;행사기준[[#This Row],[행사명]]</f>
        <v>24년11월초등 영어 마스터</v>
      </c>
    </row>
    <row r="392" spans="1:15" x14ac:dyDescent="0.3">
      <c r="A392" s="5">
        <v>45597</v>
      </c>
      <c r="B392" t="s">
        <v>99</v>
      </c>
      <c r="D392" t="s">
        <v>557</v>
      </c>
      <c r="E392" t="s">
        <v>133</v>
      </c>
      <c r="G392" t="s">
        <v>558</v>
      </c>
      <c r="H392">
        <v>2</v>
      </c>
      <c r="I392">
        <v>13</v>
      </c>
      <c r="J392">
        <v>4</v>
      </c>
      <c r="K392">
        <f t="shared" si="17"/>
        <v>17</v>
      </c>
      <c r="L392" t="s">
        <v>559</v>
      </c>
      <c r="M392" t="s">
        <v>231</v>
      </c>
      <c r="O392" t="str">
        <f>TEXT(행사기준[[#This Row],[년월]],"yy년m월")&amp;행사기준[[#This Row],[행사명]]</f>
        <v>24년11월신난다 보드게임</v>
      </c>
    </row>
    <row r="393" spans="1:15" x14ac:dyDescent="0.3">
      <c r="A393" s="5">
        <v>45597</v>
      </c>
      <c r="B393" t="s">
        <v>99</v>
      </c>
      <c r="C393" t="s">
        <v>327</v>
      </c>
      <c r="D393" t="s">
        <v>605</v>
      </c>
      <c r="E393" t="s">
        <v>132</v>
      </c>
      <c r="H393">
        <v>4</v>
      </c>
      <c r="I393">
        <v>4</v>
      </c>
      <c r="J393">
        <v>48</v>
      </c>
      <c r="K393">
        <f t="shared" si="17"/>
        <v>52</v>
      </c>
      <c r="L393" t="s">
        <v>330</v>
      </c>
      <c r="M393" t="s">
        <v>231</v>
      </c>
      <c r="O393" t="str">
        <f>TEXT(행사기준[[#This Row],[년월]],"yy년m월")&amp;행사기준[[#This Row],[행사명]]</f>
        <v>24년11월건강 셀프 발마사지</v>
      </c>
    </row>
    <row r="394" spans="1:15" x14ac:dyDescent="0.3">
      <c r="A394" s="5">
        <v>45597</v>
      </c>
      <c r="B394" t="s">
        <v>227</v>
      </c>
      <c r="C394" t="s">
        <v>331</v>
      </c>
      <c r="D394" t="s">
        <v>654</v>
      </c>
      <c r="E394" t="s">
        <v>132</v>
      </c>
      <c r="H394">
        <v>1</v>
      </c>
      <c r="I394">
        <v>7</v>
      </c>
      <c r="J394">
        <v>14</v>
      </c>
      <c r="K394">
        <f t="shared" si="17"/>
        <v>21</v>
      </c>
      <c r="L394" t="s">
        <v>675</v>
      </c>
      <c r="M394" t="s">
        <v>476</v>
      </c>
      <c r="O394" t="str">
        <f>TEXT(행사기준[[#This Row],[년월]],"yy년m월")&amp;행사기준[[#This Row],[행사명]]</f>
        <v>24년11월영화속 인문학 여행</v>
      </c>
    </row>
    <row r="395" spans="1:15" x14ac:dyDescent="0.3">
      <c r="A395" s="5">
        <v>45597</v>
      </c>
      <c r="B395" t="s">
        <v>227</v>
      </c>
      <c r="C395" t="s">
        <v>608</v>
      </c>
      <c r="D395" t="s">
        <v>655</v>
      </c>
      <c r="E395" t="s">
        <v>163</v>
      </c>
      <c r="G395" t="s">
        <v>656</v>
      </c>
      <c r="H395">
        <v>2</v>
      </c>
      <c r="I395">
        <v>12</v>
      </c>
      <c r="J395">
        <v>49</v>
      </c>
      <c r="K395">
        <f t="shared" si="17"/>
        <v>61</v>
      </c>
      <c r="L395" t="s">
        <v>676</v>
      </c>
      <c r="M395" t="s">
        <v>476</v>
      </c>
      <c r="O395" t="str">
        <f>TEXT(행사기준[[#This Row],[년월]],"yy년m월")&amp;행사기준[[#This Row],[행사명]]</f>
        <v>24년11월MBTI 진단을 통한 자기이해와 진로 탐색</v>
      </c>
    </row>
    <row r="396" spans="1:15" x14ac:dyDescent="0.3">
      <c r="A396" s="5">
        <v>45597</v>
      </c>
      <c r="B396" t="s">
        <v>227</v>
      </c>
      <c r="C396" t="s">
        <v>229</v>
      </c>
      <c r="D396" t="s">
        <v>657</v>
      </c>
      <c r="E396" t="s">
        <v>133</v>
      </c>
      <c r="G396" t="s">
        <v>658</v>
      </c>
      <c r="H396">
        <v>2</v>
      </c>
      <c r="I396">
        <v>21</v>
      </c>
      <c r="J396">
        <v>13</v>
      </c>
      <c r="K396">
        <f t="shared" si="17"/>
        <v>34</v>
      </c>
      <c r="L396" t="s">
        <v>219</v>
      </c>
      <c r="M396" t="s">
        <v>476</v>
      </c>
      <c r="O396" t="str">
        <f>TEXT(행사기준[[#This Row],[년월]],"yy년m월")&amp;행사기준[[#This Row],[행사명]]</f>
        <v>24년11월생태야 같이 놀자</v>
      </c>
    </row>
    <row r="397" spans="1:15" x14ac:dyDescent="0.3">
      <c r="A397" s="5">
        <v>45597</v>
      </c>
      <c r="B397" t="s">
        <v>227</v>
      </c>
      <c r="C397" t="s">
        <v>229</v>
      </c>
      <c r="D397" t="s">
        <v>659</v>
      </c>
      <c r="E397" t="s">
        <v>133</v>
      </c>
      <c r="G397" t="s">
        <v>543</v>
      </c>
      <c r="H397">
        <v>3</v>
      </c>
      <c r="I397">
        <v>14</v>
      </c>
      <c r="J397">
        <v>11</v>
      </c>
      <c r="K397">
        <f t="shared" si="17"/>
        <v>25</v>
      </c>
      <c r="L397" t="s">
        <v>538</v>
      </c>
      <c r="M397" t="s">
        <v>476</v>
      </c>
      <c r="O397" t="str">
        <f>TEXT(행사기준[[#This Row],[년월]],"yy년m월")&amp;행사기준[[#This Row],[행사명]]</f>
        <v>24년11월어린이역사인문학</v>
      </c>
    </row>
    <row r="398" spans="1:15" x14ac:dyDescent="0.3">
      <c r="A398" s="5">
        <v>45597</v>
      </c>
      <c r="B398" t="s">
        <v>227</v>
      </c>
      <c r="C398" t="s">
        <v>229</v>
      </c>
      <c r="D398" t="s">
        <v>660</v>
      </c>
      <c r="E398" t="s">
        <v>133</v>
      </c>
      <c r="G398" t="s">
        <v>661</v>
      </c>
      <c r="H398">
        <v>3</v>
      </c>
      <c r="I398">
        <v>25</v>
      </c>
      <c r="J398">
        <v>23</v>
      </c>
      <c r="K398">
        <f t="shared" si="17"/>
        <v>48</v>
      </c>
      <c r="L398" t="s">
        <v>329</v>
      </c>
      <c r="M398" t="s">
        <v>476</v>
      </c>
      <c r="O398" t="str">
        <f>TEXT(행사기준[[#This Row],[년월]],"yy년m월")&amp;행사기준[[#This Row],[행사명]]</f>
        <v>24년11월책이랑놀이랑</v>
      </c>
    </row>
    <row r="399" spans="1:15" x14ac:dyDescent="0.3">
      <c r="A399" s="5">
        <v>45597</v>
      </c>
      <c r="B399" t="s">
        <v>227</v>
      </c>
      <c r="C399" t="s">
        <v>229</v>
      </c>
      <c r="D399" t="s">
        <v>662</v>
      </c>
      <c r="E399" t="s">
        <v>133</v>
      </c>
      <c r="G399" t="s">
        <v>663</v>
      </c>
      <c r="H399">
        <v>25</v>
      </c>
      <c r="I399">
        <v>14</v>
      </c>
      <c r="J399">
        <v>11</v>
      </c>
      <c r="K399">
        <f t="shared" si="17"/>
        <v>25</v>
      </c>
      <c r="L399" t="s">
        <v>539</v>
      </c>
      <c r="M399" t="s">
        <v>476</v>
      </c>
      <c r="O399" t="str">
        <f>TEXT(행사기준[[#This Row],[년월]],"yy년m월")&amp;행사기준[[#This Row],[행사명]]</f>
        <v>24년11월조물조물손끝책빵</v>
      </c>
    </row>
    <row r="400" spans="1:15" x14ac:dyDescent="0.3">
      <c r="A400" s="5">
        <v>45597</v>
      </c>
      <c r="B400" t="s">
        <v>227</v>
      </c>
      <c r="C400" t="s">
        <v>229</v>
      </c>
      <c r="D400" t="s">
        <v>664</v>
      </c>
      <c r="E400" t="s">
        <v>133</v>
      </c>
      <c r="G400" t="s">
        <v>478</v>
      </c>
      <c r="H400">
        <v>1</v>
      </c>
      <c r="I400">
        <v>5</v>
      </c>
      <c r="J400">
        <v>2</v>
      </c>
      <c r="K400">
        <f t="shared" si="17"/>
        <v>7</v>
      </c>
      <c r="L400" t="s">
        <v>615</v>
      </c>
      <c r="M400" t="s">
        <v>476</v>
      </c>
      <c r="O400" t="str">
        <f>TEXT(행사기준[[#This Row],[년월]],"yy년m월")&amp;행사기준[[#This Row],[행사명]]</f>
        <v>24년11월신통방통 마법 천자문</v>
      </c>
    </row>
    <row r="401" spans="1:15" x14ac:dyDescent="0.3">
      <c r="A401" s="5">
        <v>45597</v>
      </c>
      <c r="B401" t="s">
        <v>227</v>
      </c>
      <c r="C401" t="s">
        <v>235</v>
      </c>
      <c r="D401" t="s">
        <v>665</v>
      </c>
      <c r="E401" t="s">
        <v>133</v>
      </c>
      <c r="G401" t="s">
        <v>666</v>
      </c>
      <c r="H401">
        <v>3</v>
      </c>
      <c r="I401">
        <v>53</v>
      </c>
      <c r="J401">
        <v>57</v>
      </c>
      <c r="K401">
        <f t="shared" si="17"/>
        <v>110</v>
      </c>
      <c r="M401" t="s">
        <v>476</v>
      </c>
      <c r="O401" t="str">
        <f>TEXT(행사기준[[#This Row],[년월]],"yy년m월")&amp;행사기준[[#This Row],[행사명]]</f>
        <v>24년11월도토리 모자</v>
      </c>
    </row>
    <row r="402" spans="1:15" x14ac:dyDescent="0.3">
      <c r="A402" s="5">
        <v>45597</v>
      </c>
      <c r="B402" t="s">
        <v>227</v>
      </c>
      <c r="C402" t="s">
        <v>235</v>
      </c>
      <c r="D402" t="s">
        <v>667</v>
      </c>
      <c r="E402" t="s">
        <v>133</v>
      </c>
      <c r="G402" t="s">
        <v>668</v>
      </c>
      <c r="H402">
        <v>4</v>
      </c>
      <c r="I402">
        <v>261</v>
      </c>
      <c r="J402">
        <v>267</v>
      </c>
      <c r="K402">
        <f t="shared" si="17"/>
        <v>528</v>
      </c>
      <c r="M402" t="s">
        <v>476</v>
      </c>
      <c r="O402" t="str">
        <f>TEXT(행사기준[[#This Row],[년월]],"yy년m월")&amp;행사기준[[#This Row],[행사명]]</f>
        <v>24년11월딩동</v>
      </c>
    </row>
    <row r="403" spans="1:15" x14ac:dyDescent="0.3">
      <c r="A403" s="5">
        <v>45597</v>
      </c>
      <c r="B403" t="s">
        <v>227</v>
      </c>
      <c r="C403" t="s">
        <v>235</v>
      </c>
      <c r="D403" t="s">
        <v>669</v>
      </c>
      <c r="E403" t="s">
        <v>133</v>
      </c>
      <c r="G403" t="s">
        <v>670</v>
      </c>
      <c r="H403">
        <v>2</v>
      </c>
      <c r="I403">
        <v>114</v>
      </c>
      <c r="J403">
        <v>73</v>
      </c>
      <c r="K403">
        <f t="shared" si="17"/>
        <v>187</v>
      </c>
      <c r="M403" t="s">
        <v>476</v>
      </c>
      <c r="O403" t="str">
        <f>TEXT(행사기준[[#This Row],[년월]],"yy년m월")&amp;행사기준[[#This Row],[행사명]]</f>
        <v>24년11월좋아한다고 말할 수 없었어</v>
      </c>
    </row>
    <row r="404" spans="1:15" x14ac:dyDescent="0.3">
      <c r="A404" s="5">
        <v>45597</v>
      </c>
      <c r="B404" t="s">
        <v>227</v>
      </c>
      <c r="C404" t="s">
        <v>239</v>
      </c>
      <c r="D404" t="s">
        <v>671</v>
      </c>
      <c r="E404" t="s">
        <v>133</v>
      </c>
      <c r="F404" t="s">
        <v>163</v>
      </c>
      <c r="G404" t="s">
        <v>658</v>
      </c>
      <c r="H404">
        <v>1</v>
      </c>
      <c r="I404">
        <v>98</v>
      </c>
      <c r="J404">
        <v>90</v>
      </c>
      <c r="K404">
        <f t="shared" si="17"/>
        <v>188</v>
      </c>
      <c r="M404" t="s">
        <v>476</v>
      </c>
      <c r="O404" t="str">
        <f>TEXT(행사기준[[#This Row],[년월]],"yy년m월")&amp;행사기준[[#This Row],[행사명]]</f>
        <v>24년11월그림책이 살아 있다</v>
      </c>
    </row>
    <row r="405" spans="1:15" x14ac:dyDescent="0.3">
      <c r="A405" s="5">
        <v>45597</v>
      </c>
      <c r="B405" t="s">
        <v>227</v>
      </c>
      <c r="C405" t="s">
        <v>239</v>
      </c>
      <c r="D405" t="s">
        <v>572</v>
      </c>
      <c r="E405" t="s">
        <v>133</v>
      </c>
      <c r="G405" t="s">
        <v>356</v>
      </c>
      <c r="H405">
        <v>2</v>
      </c>
      <c r="I405">
        <v>47</v>
      </c>
      <c r="J405">
        <v>29</v>
      </c>
      <c r="K405">
        <f t="shared" si="17"/>
        <v>76</v>
      </c>
      <c r="M405" t="s">
        <v>476</v>
      </c>
      <c r="O405" t="str">
        <f>TEXT(행사기준[[#This Row],[년월]],"yy년m월")&amp;행사기준[[#This Row],[행사명]]</f>
        <v>24년11월존 버닝햄 작가의 책</v>
      </c>
    </row>
    <row r="406" spans="1:15" x14ac:dyDescent="0.3">
      <c r="A406" s="5">
        <v>45597</v>
      </c>
      <c r="B406" t="s">
        <v>227</v>
      </c>
      <c r="C406" t="s">
        <v>239</v>
      </c>
      <c r="D406" t="s">
        <v>624</v>
      </c>
      <c r="E406" t="s">
        <v>133</v>
      </c>
      <c r="G406" t="s">
        <v>672</v>
      </c>
      <c r="H406">
        <v>2</v>
      </c>
      <c r="I406">
        <v>138</v>
      </c>
      <c r="J406">
        <v>146</v>
      </c>
      <c r="K406">
        <f t="shared" si="17"/>
        <v>284</v>
      </c>
      <c r="M406" t="s">
        <v>476</v>
      </c>
      <c r="O406" t="str">
        <f>TEXT(행사기준[[#This Row],[년월]],"yy년m월")&amp;행사기준[[#This Row],[행사명]]</f>
        <v>24년11월레오 리오니 작가의 책</v>
      </c>
    </row>
    <row r="407" spans="1:15" x14ac:dyDescent="0.3">
      <c r="A407" s="5">
        <v>45597</v>
      </c>
      <c r="B407" t="s">
        <v>227</v>
      </c>
      <c r="C407" t="s">
        <v>239</v>
      </c>
      <c r="D407" t="s">
        <v>573</v>
      </c>
      <c r="E407" t="s">
        <v>133</v>
      </c>
      <c r="G407" t="s">
        <v>673</v>
      </c>
      <c r="H407">
        <v>2</v>
      </c>
      <c r="I407">
        <v>38</v>
      </c>
      <c r="J407">
        <v>39</v>
      </c>
      <c r="K407">
        <f t="shared" si="17"/>
        <v>77</v>
      </c>
      <c r="M407" t="s">
        <v>476</v>
      </c>
      <c r="O407" t="str">
        <f>TEXT(행사기준[[#This Row],[년월]],"yy년m월")&amp;행사기준[[#This Row],[행사명]]</f>
        <v>24년11월브리타 테큰트럽 작가의 책</v>
      </c>
    </row>
    <row r="408" spans="1:15" x14ac:dyDescent="0.3">
      <c r="A408" s="5">
        <v>45597</v>
      </c>
      <c r="B408" t="s">
        <v>103</v>
      </c>
      <c r="D408" t="s">
        <v>119</v>
      </c>
      <c r="E408" t="s">
        <v>132</v>
      </c>
      <c r="G408" t="s">
        <v>674</v>
      </c>
      <c r="H408">
        <v>1</v>
      </c>
      <c r="J408">
        <v>2</v>
      </c>
      <c r="K408">
        <f t="shared" si="17"/>
        <v>2</v>
      </c>
      <c r="M408" t="s">
        <v>206</v>
      </c>
      <c r="O408" t="str">
        <f>TEXT(행사기준[[#This Row],[년월]],"yy년m월")&amp;행사기준[[#This Row],[행사명]]</f>
        <v>24년11월도토리 그림책 동아리</v>
      </c>
    </row>
  </sheetData>
  <phoneticPr fontId="18" type="noConversion"/>
  <dataValidations count="2">
    <dataValidation type="list" allowBlank="1" showInputMessage="1" showErrorMessage="1" sqref="B2:B408" xr:uid="{9CBA2122-D915-4A66-A8F2-D411C8E827E6}">
      <formula1>INDIRECT("행사분류범례[행사분류]")</formula1>
    </dataValidation>
    <dataValidation type="list" allowBlank="1" showInputMessage="1" showErrorMessage="1" sqref="E2:E1048576" xr:uid="{5B674E2C-A2DC-42BF-8A97-C4260816B6A6}">
      <formula1>INDIRECT("행사분류범례[대상]")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S27"/>
  <sheetViews>
    <sheetView workbookViewId="0">
      <selection activeCell="L15" sqref="L15"/>
    </sheetView>
  </sheetViews>
  <sheetFormatPr defaultRowHeight="16.5" x14ac:dyDescent="0.3"/>
  <cols>
    <col min="1" max="1" width="23.5" bestFit="1" customWidth="1"/>
    <col min="2" max="2" width="13" bestFit="1" customWidth="1"/>
    <col min="4" max="4" width="11.5" customWidth="1"/>
    <col min="7" max="8" width="11.375" customWidth="1"/>
    <col min="11" max="12" width="15.875" customWidth="1"/>
    <col min="13" max="13" width="14.875" customWidth="1"/>
  </cols>
  <sheetData>
    <row r="1" spans="1:19" x14ac:dyDescent="0.3">
      <c r="A1" t="s">
        <v>27</v>
      </c>
      <c r="B1" t="s">
        <v>22</v>
      </c>
      <c r="D1" t="s">
        <v>109</v>
      </c>
      <c r="E1" t="s">
        <v>53</v>
      </c>
      <c r="G1" t="s">
        <v>131</v>
      </c>
      <c r="H1" t="s">
        <v>360</v>
      </c>
      <c r="J1" t="s">
        <v>52</v>
      </c>
      <c r="K1" t="s">
        <v>128</v>
      </c>
      <c r="L1" t="s">
        <v>129</v>
      </c>
      <c r="M1" t="s">
        <v>130</v>
      </c>
      <c r="N1" t="s">
        <v>152</v>
      </c>
      <c r="O1" t="s">
        <v>149</v>
      </c>
      <c r="P1" t="s">
        <v>150</v>
      </c>
      <c r="Q1" t="s">
        <v>151</v>
      </c>
    </row>
    <row r="2" spans="1:19" x14ac:dyDescent="0.3">
      <c r="A2" t="s">
        <v>21</v>
      </c>
      <c r="B2" t="s">
        <v>29</v>
      </c>
      <c r="D2" t="s">
        <v>49</v>
      </c>
      <c r="E2" t="s">
        <v>55</v>
      </c>
      <c r="G2" t="s">
        <v>100</v>
      </c>
      <c r="H2" t="s">
        <v>89</v>
      </c>
      <c r="J2" s="1">
        <v>45292</v>
      </c>
      <c r="K2">
        <f>개관일수범례[[#This Row],[일수]]-SUM(개관일수범례[[#This Row],[정기휴관일]],개관일수범례[[#This Row],[공휴일]])</f>
        <v>26</v>
      </c>
      <c r="L2">
        <f>개관일수범례[[#This Row],[일수]]-개관일수범례[[#This Row],[자유학습실휴관일]]-개관일수범례[[#This Row],[공휴일]]</f>
        <v>30</v>
      </c>
      <c r="M2">
        <f>IF(MONTH(개관일수범례[[#This Row],[년월]])&lt;6,개관일수범례[[#This Row],[자유학습실개관일수]]*40+개관일수범례[[#This Row],[자유학습실개관일수]]*50,개관일수범례[[#This Row],[자유학습실개관일수]]*30)</f>
        <v>2700</v>
      </c>
      <c r="N2">
        <v>31</v>
      </c>
      <c r="O2">
        <v>5</v>
      </c>
      <c r="P2">
        <v>0</v>
      </c>
      <c r="Q2">
        <v>1</v>
      </c>
      <c r="S2" t="s">
        <v>24</v>
      </c>
    </row>
    <row r="3" spans="1:19" x14ac:dyDescent="0.3">
      <c r="A3" t="s">
        <v>16</v>
      </c>
      <c r="B3" t="s">
        <v>30</v>
      </c>
      <c r="D3" t="s">
        <v>40</v>
      </c>
      <c r="E3" t="s">
        <v>57</v>
      </c>
      <c r="G3" t="s">
        <v>102</v>
      </c>
      <c r="H3" t="s">
        <v>81</v>
      </c>
      <c r="J3" s="1">
        <v>45323</v>
      </c>
      <c r="K3">
        <f>개관일수범례[[#This Row],[일수]]-SUM(개관일수범례[[#This Row],[정기휴관일]],개관일수범례[[#This Row],[공휴일]])</f>
        <v>22</v>
      </c>
      <c r="L3">
        <f>개관일수범례[[#This Row],[일수]]-개관일수범례[[#This Row],[자유학습실휴관일]]-개관일수범례[[#This Row],[공휴일]]</f>
        <v>25</v>
      </c>
      <c r="M3">
        <f>IF(MONTH(개관일수범례[[#This Row],[년월]])&lt;6,개관일수범례[[#This Row],[자유학습실개관일수]]*40+개관일수범례[[#This Row],[자유학습실개관일수]]*50,개관일수범례[[#This Row],[자유학습실개관일수]]*30)</f>
        <v>2250</v>
      </c>
      <c r="N3">
        <v>29</v>
      </c>
      <c r="O3">
        <v>4</v>
      </c>
      <c r="P3">
        <v>3</v>
      </c>
      <c r="Q3">
        <v>1</v>
      </c>
    </row>
    <row r="4" spans="1:19" x14ac:dyDescent="0.3">
      <c r="A4" t="s">
        <v>2</v>
      </c>
      <c r="B4" t="s">
        <v>32</v>
      </c>
      <c r="D4" t="s">
        <v>41</v>
      </c>
      <c r="E4" t="s">
        <v>59</v>
      </c>
      <c r="G4" t="s">
        <v>104</v>
      </c>
      <c r="H4" t="s">
        <v>79</v>
      </c>
      <c r="J4" s="1">
        <v>45352</v>
      </c>
      <c r="K4">
        <f>개관일수범례[[#This Row],[일수]]-SUM(개관일수범례[[#This Row],[정기휴관일]],개관일수범례[[#This Row],[공휴일]])</f>
        <v>26</v>
      </c>
      <c r="L4">
        <f>개관일수범례[[#This Row],[일수]]-개관일수범례[[#This Row],[자유학습실휴관일]]-개관일수범례[[#This Row],[공휴일]]</f>
        <v>29</v>
      </c>
      <c r="M4">
        <f>IF(MONTH(개관일수범례[[#This Row],[년월]])&lt;6,개관일수범례[[#This Row],[자유학습실개관일수]]*40+개관일수범례[[#This Row],[자유학습실개관일수]]*50,개관일수범례[[#This Row],[자유학습실개관일수]]*30)</f>
        <v>2610</v>
      </c>
      <c r="N4">
        <v>31</v>
      </c>
      <c r="O4">
        <v>4</v>
      </c>
      <c r="P4">
        <v>1</v>
      </c>
      <c r="Q4">
        <v>1</v>
      </c>
    </row>
    <row r="5" spans="1:19" x14ac:dyDescent="0.3">
      <c r="A5" t="s">
        <v>19</v>
      </c>
      <c r="B5" t="s">
        <v>29</v>
      </c>
      <c r="D5" t="s">
        <v>42</v>
      </c>
      <c r="E5" t="s">
        <v>61</v>
      </c>
      <c r="G5" t="s">
        <v>106</v>
      </c>
      <c r="H5" t="s">
        <v>361</v>
      </c>
      <c r="J5" s="1">
        <v>45383</v>
      </c>
      <c r="K5">
        <f>개관일수범례[[#This Row],[일수]]-SUM(개관일수범례[[#This Row],[정기휴관일]],개관일수범례[[#This Row],[공휴일]])</f>
        <v>24</v>
      </c>
      <c r="L5">
        <f>개관일수범례[[#This Row],[일수]]-개관일수범례[[#This Row],[자유학습실휴관일]]-개관일수범례[[#This Row],[공휴일]]</f>
        <v>28</v>
      </c>
      <c r="M5">
        <f>IF(MONTH(개관일수범례[[#This Row],[년월]])&lt;6,개관일수범례[[#This Row],[자유학습실개관일수]]*40+개관일수범례[[#This Row],[자유학습실개관일수]]*50,개관일수범례[[#This Row],[자유학습실개관일수]]*30)</f>
        <v>2520</v>
      </c>
      <c r="N5">
        <v>30</v>
      </c>
      <c r="O5">
        <v>5</v>
      </c>
      <c r="P5">
        <v>1</v>
      </c>
      <c r="Q5">
        <v>1</v>
      </c>
    </row>
    <row r="6" spans="1:19" x14ac:dyDescent="0.3">
      <c r="A6" t="s">
        <v>14</v>
      </c>
      <c r="B6" t="s">
        <v>30</v>
      </c>
      <c r="D6" t="s">
        <v>43</v>
      </c>
      <c r="E6" t="s">
        <v>63</v>
      </c>
      <c r="G6" t="s">
        <v>108</v>
      </c>
      <c r="J6" s="1">
        <v>45413</v>
      </c>
      <c r="K6">
        <f>개관일수범례[[#This Row],[일수]]-SUM(개관일수범례[[#This Row],[정기휴관일]],개관일수범례[[#This Row],[공휴일]])</f>
        <v>25</v>
      </c>
      <c r="L6">
        <f>개관일수범례[[#This Row],[일수]]-개관일수범례[[#This Row],[자유학습실휴관일]]-개관일수범례[[#This Row],[공휴일]]</f>
        <v>27</v>
      </c>
      <c r="M6">
        <f>IF(MONTH(개관일수범례[[#This Row],[년월]])&lt;6,개관일수범례[[#This Row],[자유학습실개관일수]]*40+개관일수범례[[#This Row],[자유학습실개관일수]]*50,개관일수범례[[#This Row],[자유학습실개관일수]]*30)</f>
        <v>2430</v>
      </c>
      <c r="N6">
        <v>31</v>
      </c>
      <c r="O6">
        <v>3</v>
      </c>
      <c r="P6">
        <v>3</v>
      </c>
      <c r="Q6">
        <v>1</v>
      </c>
    </row>
    <row r="7" spans="1:19" x14ac:dyDescent="0.3">
      <c r="A7" t="s">
        <v>13</v>
      </c>
      <c r="B7" t="s">
        <v>30</v>
      </c>
      <c r="D7" t="s">
        <v>44</v>
      </c>
      <c r="E7" t="s">
        <v>65</v>
      </c>
      <c r="G7" t="s">
        <v>226</v>
      </c>
      <c r="J7" s="1">
        <v>45444</v>
      </c>
      <c r="K7" s="9">
        <f>개관일수범례[[#This Row],[일수]]-SUM(개관일수범례[[#This Row],[정기휴관일]],개관일수범례[[#This Row],[공휴일]])</f>
        <v>25</v>
      </c>
      <c r="L7" s="9">
        <f>개관일수범례[[#This Row],[일수]]-개관일수범례[[#This Row],[자유학습실휴관일]]-개관일수범례[[#This Row],[공휴일]]</f>
        <v>28</v>
      </c>
      <c r="M7">
        <f>IF(MONTH(개관일수범례[[#This Row],[년월]])&lt;6,개관일수범례[[#This Row],[자유학습실개관일수]]*40+개관일수범례[[#This Row],[자유학습실개관일수]]*50,개관일수범례[[#This Row],[자유학습실개관일수]]*30)</f>
        <v>840</v>
      </c>
      <c r="N7">
        <v>30</v>
      </c>
      <c r="O7">
        <v>4</v>
      </c>
      <c r="P7">
        <v>1</v>
      </c>
      <c r="Q7">
        <v>1</v>
      </c>
    </row>
    <row r="8" spans="1:19" x14ac:dyDescent="0.3">
      <c r="A8" t="s">
        <v>15</v>
      </c>
      <c r="B8" t="s">
        <v>30</v>
      </c>
      <c r="D8" t="s">
        <v>45</v>
      </c>
      <c r="E8" t="s">
        <v>67</v>
      </c>
      <c r="G8" t="s">
        <v>228</v>
      </c>
      <c r="J8" s="1">
        <v>45474</v>
      </c>
      <c r="K8" s="9">
        <f>개관일수범례[[#This Row],[일수]]-SUM(개관일수범례[[#This Row],[정기휴관일]],개관일수범례[[#This Row],[공휴일]])</f>
        <v>26</v>
      </c>
      <c r="L8" s="9">
        <f>개관일수범례[[#This Row],[일수]]-개관일수범례[[#This Row],[자유학습실휴관일]]-개관일수범례[[#This Row],[공휴일]]</f>
        <v>30</v>
      </c>
      <c r="M8">
        <f>IF(MONTH(개관일수범례[[#This Row],[년월]])&lt;6,개관일수범례[[#This Row],[자유학습실개관일수]]*40+개관일수범례[[#This Row],[자유학습실개관일수]]*50,개관일수범례[[#This Row],[자유학습실개관일수]]*30)</f>
        <v>900</v>
      </c>
      <c r="N8">
        <v>31</v>
      </c>
      <c r="O8">
        <v>5</v>
      </c>
      <c r="P8">
        <v>0</v>
      </c>
      <c r="Q8">
        <v>1</v>
      </c>
    </row>
    <row r="9" spans="1:19" x14ac:dyDescent="0.3">
      <c r="A9" t="s">
        <v>20</v>
      </c>
      <c r="B9" t="s">
        <v>29</v>
      </c>
      <c r="D9" t="s">
        <v>46</v>
      </c>
      <c r="E9" t="s">
        <v>69</v>
      </c>
      <c r="J9" s="1">
        <v>45505</v>
      </c>
      <c r="K9" s="9">
        <f>개관일수범례[[#This Row],[일수]]-SUM(개관일수범례[[#This Row],[정기휴관일]],개관일수범례[[#This Row],[공휴일]])</f>
        <v>26</v>
      </c>
      <c r="L9" s="9">
        <f>개관일수범례[[#This Row],[일수]]-개관일수범례[[#This Row],[자유학습실휴관일]]-개관일수범례[[#This Row],[공휴일]]</f>
        <v>29</v>
      </c>
      <c r="M9">
        <f>IF(MONTH(개관일수범례[[#This Row],[년월]])&lt;6,개관일수범례[[#This Row],[자유학습실개관일수]]*40+개관일수범례[[#This Row],[자유학습실개관일수]]*50,개관일수범례[[#This Row],[자유학습실개관일수]]*30)</f>
        <v>870</v>
      </c>
      <c r="N9">
        <v>31</v>
      </c>
      <c r="O9">
        <v>4</v>
      </c>
      <c r="P9">
        <v>1</v>
      </c>
      <c r="Q9">
        <v>1</v>
      </c>
    </row>
    <row r="10" spans="1:19" x14ac:dyDescent="0.3">
      <c r="A10" t="s">
        <v>3</v>
      </c>
      <c r="B10" t="s">
        <v>32</v>
      </c>
      <c r="D10" t="s">
        <v>47</v>
      </c>
      <c r="E10" t="s">
        <v>71</v>
      </c>
      <c r="J10" s="1">
        <v>45536</v>
      </c>
      <c r="K10" s="9">
        <f>개관일수범례[[#This Row],[일수]]-SUM(개관일수범례[[#This Row],[정기휴관일]],개관일수범례[[#This Row],[공휴일]])</f>
        <v>23</v>
      </c>
      <c r="L10" s="9">
        <f>개관일수범례[[#This Row],[일수]]-개관일수범례[[#This Row],[자유학습실휴관일]]-개관일수범례[[#This Row],[공휴일]]</f>
        <v>26</v>
      </c>
      <c r="M10">
        <f>IF(MONTH(개관일수범례[[#This Row],[년월]])&lt;6,개관일수범례[[#This Row],[자유학습실개관일수]]*40+개관일수범례[[#This Row],[자유학습실개관일수]]*50,개관일수범례[[#This Row],[자유학습실개관일수]]*30)</f>
        <v>780</v>
      </c>
      <c r="N10">
        <v>30</v>
      </c>
      <c r="O10">
        <v>4</v>
      </c>
      <c r="P10">
        <v>3</v>
      </c>
      <c r="Q10">
        <v>1</v>
      </c>
    </row>
    <row r="11" spans="1:19" x14ac:dyDescent="0.3">
      <c r="A11" t="s">
        <v>4</v>
      </c>
      <c r="B11" t="s">
        <v>30</v>
      </c>
      <c r="D11" t="s">
        <v>48</v>
      </c>
      <c r="E11" t="s">
        <v>73</v>
      </c>
      <c r="J11" s="1">
        <v>45566</v>
      </c>
      <c r="K11" s="9">
        <f>개관일수범례[[#This Row],[일수]]-SUM(개관일수범례[[#This Row],[정기휴관일]],개관일수범례[[#This Row],[공휴일]])</f>
        <v>24</v>
      </c>
      <c r="L11" s="9">
        <f>개관일수범례[[#This Row],[일수]]-개관일수범례[[#This Row],[자유학습실휴관일]]-개관일수범례[[#This Row],[공휴일]]</f>
        <v>27</v>
      </c>
      <c r="M11">
        <f>IF(MONTH(개관일수범례[[#This Row],[년월]])&lt;6,개관일수범례[[#This Row],[자유학습실개관일수]]*40+개관일수범례[[#This Row],[자유학습실개관일수]]*50,개관일수범례[[#This Row],[자유학습실개관일수]]*30)</f>
        <v>810</v>
      </c>
      <c r="N11">
        <v>31</v>
      </c>
      <c r="O11">
        <v>4</v>
      </c>
      <c r="P11">
        <v>3</v>
      </c>
      <c r="Q11">
        <v>1</v>
      </c>
    </row>
    <row r="12" spans="1:19" x14ac:dyDescent="0.3">
      <c r="A12" t="s">
        <v>5</v>
      </c>
      <c r="B12" t="s">
        <v>29</v>
      </c>
      <c r="D12" t="s">
        <v>23</v>
      </c>
      <c r="E12" t="s">
        <v>71</v>
      </c>
      <c r="J12" s="1">
        <v>45597</v>
      </c>
      <c r="K12" s="9">
        <f>개관일수범례[[#This Row],[일수]]-SUM(개관일수범례[[#This Row],[정기휴관일]],개관일수범례[[#This Row],[공휴일]])</f>
        <v>26</v>
      </c>
      <c r="L12" s="9">
        <f>개관일수범례[[#This Row],[일수]]-개관일수범례[[#This Row],[자유학습실휴관일]]-개관일수범례[[#This Row],[공휴일]]</f>
        <v>29</v>
      </c>
      <c r="M12" s="9">
        <f>IF(MONTH(개관일수범례[[#This Row],[년월]])&lt;6,개관일수범례[[#This Row],[자유학습실개관일수]]*40+개관일수범례[[#This Row],[자유학습실개관일수]]*50,개관일수범례[[#This Row],[자유학습실개관일수]]*30)</f>
        <v>870</v>
      </c>
      <c r="N12">
        <v>30</v>
      </c>
      <c r="O12">
        <v>4</v>
      </c>
      <c r="P12">
        <v>0</v>
      </c>
      <c r="Q12">
        <v>1</v>
      </c>
    </row>
    <row r="13" spans="1:19" x14ac:dyDescent="0.3">
      <c r="A13" t="s">
        <v>7</v>
      </c>
      <c r="B13" t="s">
        <v>30</v>
      </c>
    </row>
    <row r="14" spans="1:19" x14ac:dyDescent="0.3">
      <c r="A14" t="s">
        <v>8</v>
      </c>
      <c r="B14" t="s">
        <v>30</v>
      </c>
    </row>
    <row r="15" spans="1:19" x14ac:dyDescent="0.3">
      <c r="A15" t="s">
        <v>9</v>
      </c>
      <c r="B15" t="s">
        <v>30</v>
      </c>
    </row>
    <row r="16" spans="1:19" x14ac:dyDescent="0.3">
      <c r="A16" t="s">
        <v>10</v>
      </c>
      <c r="B16" t="s">
        <v>30</v>
      </c>
    </row>
    <row r="17" spans="1:2" x14ac:dyDescent="0.3">
      <c r="A17" t="s">
        <v>11</v>
      </c>
      <c r="B17" t="s">
        <v>30</v>
      </c>
    </row>
    <row r="18" spans="1:2" x14ac:dyDescent="0.3">
      <c r="A18" t="s">
        <v>12</v>
      </c>
      <c r="B18" t="s">
        <v>30</v>
      </c>
    </row>
    <row r="19" spans="1:2" x14ac:dyDescent="0.3">
      <c r="A19" t="s">
        <v>0</v>
      </c>
      <c r="B19" t="s">
        <v>30</v>
      </c>
    </row>
    <row r="20" spans="1:2" x14ac:dyDescent="0.3">
      <c r="A20" t="s">
        <v>1</v>
      </c>
      <c r="B20" t="s">
        <v>30</v>
      </c>
    </row>
    <row r="21" spans="1:2" x14ac:dyDescent="0.3">
      <c r="A21" t="s">
        <v>6</v>
      </c>
      <c r="B21" t="s">
        <v>29</v>
      </c>
    </row>
    <row r="22" spans="1:2" x14ac:dyDescent="0.3">
      <c r="A22" t="s">
        <v>18</v>
      </c>
      <c r="B22" t="s">
        <v>29</v>
      </c>
    </row>
    <row r="23" spans="1:2" x14ac:dyDescent="0.3">
      <c r="A23" t="s">
        <v>17</v>
      </c>
      <c r="B23" t="s">
        <v>30</v>
      </c>
    </row>
    <row r="24" spans="1:2" x14ac:dyDescent="0.3">
      <c r="A24" t="s">
        <v>197</v>
      </c>
      <c r="B24" t="s">
        <v>29</v>
      </c>
    </row>
    <row r="25" spans="1:2" x14ac:dyDescent="0.3">
      <c r="A25" t="s">
        <v>198</v>
      </c>
      <c r="B25" t="s">
        <v>30</v>
      </c>
    </row>
    <row r="26" spans="1:2" x14ac:dyDescent="0.3">
      <c r="A26" t="s">
        <v>452</v>
      </c>
      <c r="B26" t="s">
        <v>453</v>
      </c>
    </row>
    <row r="27" spans="1:2" x14ac:dyDescent="0.3">
      <c r="B27" t="s">
        <v>453</v>
      </c>
    </row>
  </sheetData>
  <phoneticPr fontId="0" type="Hiragana"/>
  <pageMargins left="0.7" right="0.7" top="0.75" bottom="0.75" header="0.3" footer="0.3"/>
  <legacyDrawing r:id="rId1"/>
  <tableParts count="4"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M477"/>
  <sheetViews>
    <sheetView workbookViewId="0">
      <selection activeCell="F4" sqref="F4"/>
    </sheetView>
  </sheetViews>
  <sheetFormatPr defaultRowHeight="16.5" x14ac:dyDescent="0.3"/>
  <cols>
    <col min="1" max="1" width="11.125" bestFit="1" customWidth="1"/>
    <col min="2" max="2" width="33.25" customWidth="1"/>
    <col min="3" max="5" width="12.125" customWidth="1"/>
    <col min="7" max="8" width="12.125" customWidth="1"/>
    <col min="10" max="11" width="10.25" customWidth="1"/>
  </cols>
  <sheetData>
    <row r="1" spans="1:13" x14ac:dyDescent="0.3">
      <c r="A1" t="s">
        <v>52</v>
      </c>
      <c r="B1" t="s">
        <v>27</v>
      </c>
      <c r="C1" t="s">
        <v>82</v>
      </c>
      <c r="D1" t="s">
        <v>33</v>
      </c>
      <c r="E1" t="s">
        <v>34</v>
      </c>
      <c r="F1" t="s">
        <v>114</v>
      </c>
      <c r="G1" t="s">
        <v>35</v>
      </c>
      <c r="H1" t="s">
        <v>36</v>
      </c>
      <c r="I1" t="s">
        <v>115</v>
      </c>
      <c r="J1" t="s">
        <v>37</v>
      </c>
      <c r="K1" t="s">
        <v>38</v>
      </c>
      <c r="L1" t="s">
        <v>116</v>
      </c>
      <c r="M1" t="s">
        <v>39</v>
      </c>
    </row>
    <row r="2" spans="1:13" x14ac:dyDescent="0.3">
      <c r="A2" s="1">
        <v>45292</v>
      </c>
      <c r="B2" t="s">
        <v>0</v>
      </c>
      <c r="C2" t="str">
        <f>IFERROR(INDEX(자료실범례[],MATCH($B2,자료실범례[소장처명],0),2),"종합자료실")</f>
        <v>어린이자료실</v>
      </c>
      <c r="D2">
        <v>1</v>
      </c>
      <c r="E2">
        <v>3</v>
      </c>
      <c r="F2">
        <v>4</v>
      </c>
      <c r="G2">
        <v>0</v>
      </c>
      <c r="H2">
        <v>1</v>
      </c>
      <c r="I2">
        <v>1</v>
      </c>
      <c r="J2">
        <v>4</v>
      </c>
      <c r="K2">
        <v>8</v>
      </c>
      <c r="L2">
        <v>12</v>
      </c>
      <c r="M2">
        <v>17</v>
      </c>
    </row>
    <row r="3" spans="1:13" x14ac:dyDescent="0.3">
      <c r="A3" s="1">
        <v>45292</v>
      </c>
      <c r="B3" t="s">
        <v>1</v>
      </c>
      <c r="C3" t="str">
        <f>IFERROR(INDEX(자료실범례[],MATCH($B3,자료실범례[소장처명],0),2),"종합자료실")</f>
        <v>어린이자료실</v>
      </c>
      <c r="D3">
        <v>6</v>
      </c>
      <c r="E3">
        <v>1</v>
      </c>
      <c r="F3">
        <v>7</v>
      </c>
      <c r="G3">
        <v>0</v>
      </c>
      <c r="H3">
        <v>1</v>
      </c>
      <c r="I3">
        <v>1</v>
      </c>
      <c r="J3">
        <v>8</v>
      </c>
      <c r="K3">
        <v>7</v>
      </c>
      <c r="L3">
        <v>15</v>
      </c>
      <c r="M3">
        <v>23</v>
      </c>
    </row>
    <row r="4" spans="1:13" x14ac:dyDescent="0.3">
      <c r="A4" s="1">
        <v>45292</v>
      </c>
      <c r="B4" t="s">
        <v>2</v>
      </c>
      <c r="C4" t="str">
        <f>IFERROR(INDEX(자료실범례[],MATCH($B4,자료실범례[소장처명],0),2),"종합자료실")</f>
        <v>디지털자료실</v>
      </c>
      <c r="D4">
        <v>2</v>
      </c>
      <c r="E4">
        <v>3</v>
      </c>
      <c r="F4">
        <v>5</v>
      </c>
      <c r="G4">
        <v>0</v>
      </c>
      <c r="H4">
        <v>1</v>
      </c>
      <c r="I4">
        <v>1</v>
      </c>
      <c r="J4">
        <v>4</v>
      </c>
      <c r="K4">
        <v>6</v>
      </c>
      <c r="L4">
        <v>10</v>
      </c>
      <c r="M4">
        <v>16</v>
      </c>
    </row>
    <row r="5" spans="1:13" x14ac:dyDescent="0.3">
      <c r="A5" s="1">
        <v>45292</v>
      </c>
      <c r="B5" t="s">
        <v>3</v>
      </c>
      <c r="C5" t="str">
        <f>IFERROR(INDEX(자료실범례[],MATCH($B5,자료실범례[소장처명],0),2),"종합자료실")</f>
        <v>디지털자료실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2</v>
      </c>
      <c r="M5">
        <v>2</v>
      </c>
    </row>
    <row r="6" spans="1:13" x14ac:dyDescent="0.3">
      <c r="A6" s="1">
        <v>45292</v>
      </c>
      <c r="B6" t="s">
        <v>4</v>
      </c>
      <c r="C6" t="str">
        <f>IFERROR(INDEX(자료실범례[],MATCH($B6,자료실범례[소장처명],0),2),"종합자료실")</f>
        <v>어린이자료실</v>
      </c>
      <c r="D6">
        <v>1</v>
      </c>
      <c r="E6">
        <v>4</v>
      </c>
      <c r="F6">
        <v>5</v>
      </c>
      <c r="G6">
        <v>0</v>
      </c>
      <c r="H6">
        <v>0</v>
      </c>
      <c r="I6">
        <v>0</v>
      </c>
      <c r="J6">
        <v>2</v>
      </c>
      <c r="K6">
        <v>2</v>
      </c>
      <c r="L6">
        <v>4</v>
      </c>
      <c r="M6">
        <v>9</v>
      </c>
    </row>
    <row r="7" spans="1:13" x14ac:dyDescent="0.3">
      <c r="A7" s="1">
        <v>45292</v>
      </c>
      <c r="B7" t="s">
        <v>5</v>
      </c>
      <c r="C7" t="str">
        <f>IFERROR(INDEX(자료실범례[],MATCH($B7,자료실범례[소장처명],0),2),"종합자료실")</f>
        <v>종합자료실</v>
      </c>
      <c r="D7">
        <v>1</v>
      </c>
      <c r="E7">
        <v>0</v>
      </c>
      <c r="F7">
        <v>1</v>
      </c>
      <c r="G7">
        <v>0</v>
      </c>
      <c r="H7">
        <v>2</v>
      </c>
      <c r="I7">
        <v>2</v>
      </c>
      <c r="J7">
        <v>9</v>
      </c>
      <c r="K7">
        <v>17</v>
      </c>
      <c r="L7">
        <v>26</v>
      </c>
      <c r="M7">
        <v>29</v>
      </c>
    </row>
    <row r="8" spans="1:13" x14ac:dyDescent="0.3">
      <c r="A8" s="1">
        <v>45292</v>
      </c>
      <c r="B8" t="s">
        <v>6</v>
      </c>
      <c r="C8" t="str">
        <f>IFERROR(INDEX(자료실범례[],MATCH($B8,자료실범례[소장처명],0),2),"종합자료실")</f>
        <v>종합자료실</v>
      </c>
      <c r="D8">
        <v>2</v>
      </c>
      <c r="E8">
        <v>0</v>
      </c>
      <c r="F8">
        <v>2</v>
      </c>
      <c r="G8">
        <v>1</v>
      </c>
      <c r="H8">
        <v>2</v>
      </c>
      <c r="I8">
        <v>3</v>
      </c>
      <c r="J8">
        <v>9</v>
      </c>
      <c r="K8">
        <v>9</v>
      </c>
      <c r="L8">
        <v>18</v>
      </c>
      <c r="M8">
        <v>23</v>
      </c>
    </row>
    <row r="9" spans="1:13" x14ac:dyDescent="0.3">
      <c r="A9" s="1">
        <v>45292</v>
      </c>
      <c r="B9" t="s">
        <v>7</v>
      </c>
      <c r="C9" t="str">
        <f>IFERROR(INDEX(자료실범례[],MATCH($B9,자료실범례[소장처명],0),2),"종합자료실")</f>
        <v>어린이자료실</v>
      </c>
      <c r="D9">
        <v>3</v>
      </c>
      <c r="E9">
        <v>6</v>
      </c>
      <c r="F9">
        <v>9</v>
      </c>
      <c r="G9">
        <v>0</v>
      </c>
      <c r="H9">
        <v>0</v>
      </c>
      <c r="I9">
        <v>0</v>
      </c>
      <c r="J9">
        <v>1</v>
      </c>
      <c r="K9">
        <v>7</v>
      </c>
      <c r="L9">
        <v>8</v>
      </c>
      <c r="M9">
        <v>17</v>
      </c>
    </row>
    <row r="10" spans="1:13" x14ac:dyDescent="0.3">
      <c r="A10" s="1">
        <v>45292</v>
      </c>
      <c r="B10" t="s">
        <v>8</v>
      </c>
      <c r="C10" t="str">
        <f>IFERROR(INDEX(자료실범례[],MATCH($B10,자료실범례[소장처명],0),2),"종합자료실")</f>
        <v>어린이자료실</v>
      </c>
      <c r="D10">
        <v>2</v>
      </c>
      <c r="E10">
        <v>5</v>
      </c>
      <c r="F10">
        <v>7</v>
      </c>
      <c r="G10">
        <v>0</v>
      </c>
      <c r="H10">
        <v>0</v>
      </c>
      <c r="I10">
        <v>0</v>
      </c>
      <c r="J10">
        <v>1</v>
      </c>
      <c r="K10">
        <v>10</v>
      </c>
      <c r="L10">
        <v>11</v>
      </c>
      <c r="M10">
        <v>18</v>
      </c>
    </row>
    <row r="11" spans="1:13" x14ac:dyDescent="0.3">
      <c r="A11" s="1">
        <v>45292</v>
      </c>
      <c r="B11" t="s">
        <v>9</v>
      </c>
      <c r="C11" t="str">
        <f>IFERROR(INDEX(자료실범례[],MATCH($B11,자료실범례[소장처명],0),2),"종합자료실")</f>
        <v>어린이자료실</v>
      </c>
      <c r="D11">
        <v>1</v>
      </c>
      <c r="E11">
        <v>2</v>
      </c>
      <c r="F11">
        <v>3</v>
      </c>
      <c r="G11">
        <v>0</v>
      </c>
      <c r="H11">
        <v>0</v>
      </c>
      <c r="I11">
        <v>0</v>
      </c>
      <c r="J11">
        <v>3</v>
      </c>
      <c r="K11">
        <v>5</v>
      </c>
      <c r="L11">
        <v>8</v>
      </c>
      <c r="M11">
        <v>11</v>
      </c>
    </row>
    <row r="12" spans="1:13" x14ac:dyDescent="0.3">
      <c r="A12" s="1">
        <v>45292</v>
      </c>
      <c r="B12" t="s">
        <v>10</v>
      </c>
      <c r="C12" t="str">
        <f>IFERROR(INDEX(자료실범례[],MATCH($B12,자료실범례[소장처명],0),2),"종합자료실")</f>
        <v>어린이자료실</v>
      </c>
      <c r="D12">
        <v>2</v>
      </c>
      <c r="E12">
        <v>1</v>
      </c>
      <c r="F12">
        <v>3</v>
      </c>
      <c r="G12">
        <v>0</v>
      </c>
      <c r="H12">
        <v>0</v>
      </c>
      <c r="I12">
        <v>0</v>
      </c>
      <c r="J12">
        <v>3</v>
      </c>
      <c r="K12">
        <v>3</v>
      </c>
      <c r="L12">
        <v>6</v>
      </c>
      <c r="M12">
        <v>9</v>
      </c>
    </row>
    <row r="13" spans="1:13" x14ac:dyDescent="0.3">
      <c r="A13" s="1">
        <v>45292</v>
      </c>
      <c r="B13" t="s">
        <v>11</v>
      </c>
      <c r="C13" t="str">
        <f>IFERROR(INDEX(자료실범례[],MATCH($B13,자료실범례[소장처명],0),2),"종합자료실")</f>
        <v>어린이자료실</v>
      </c>
      <c r="D13">
        <v>1</v>
      </c>
      <c r="E13">
        <v>0</v>
      </c>
      <c r="F13">
        <v>1</v>
      </c>
      <c r="G13">
        <v>0</v>
      </c>
      <c r="H13">
        <v>2</v>
      </c>
      <c r="I13">
        <v>2</v>
      </c>
      <c r="J13">
        <v>0</v>
      </c>
      <c r="K13">
        <v>6</v>
      </c>
      <c r="L13">
        <v>6</v>
      </c>
      <c r="M13">
        <v>9</v>
      </c>
    </row>
    <row r="14" spans="1:13" x14ac:dyDescent="0.3">
      <c r="A14" s="1">
        <v>45292</v>
      </c>
      <c r="B14" t="s">
        <v>12</v>
      </c>
      <c r="C14" t="str">
        <f>IFERROR(INDEX(자료실범례[],MATCH($B14,자료실범례[소장처명],0),2),"종합자료실")</f>
        <v>어린이자료실</v>
      </c>
      <c r="D14">
        <v>3</v>
      </c>
      <c r="E14">
        <v>1</v>
      </c>
      <c r="F14">
        <v>4</v>
      </c>
      <c r="G14">
        <v>1</v>
      </c>
      <c r="H14">
        <v>1</v>
      </c>
      <c r="I14">
        <v>2</v>
      </c>
      <c r="J14">
        <v>1</v>
      </c>
      <c r="K14">
        <v>3</v>
      </c>
      <c r="L14">
        <v>4</v>
      </c>
      <c r="M14">
        <v>10</v>
      </c>
    </row>
    <row r="15" spans="1:13" x14ac:dyDescent="0.3">
      <c r="A15" s="1">
        <v>45292</v>
      </c>
      <c r="B15" t="s">
        <v>13</v>
      </c>
      <c r="C15" t="str">
        <f>IFERROR(INDEX(자료실범례[],MATCH($B15,자료실범례[소장처명],0),2),"종합자료실")</f>
        <v>어린이자료실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</v>
      </c>
      <c r="L15">
        <v>3</v>
      </c>
      <c r="M15">
        <v>3</v>
      </c>
    </row>
    <row r="16" spans="1:13" x14ac:dyDescent="0.3">
      <c r="A16" s="1">
        <v>45292</v>
      </c>
      <c r="B16" t="s">
        <v>14</v>
      </c>
      <c r="C16" t="str">
        <f>IFERROR(INDEX(자료실범례[],MATCH($B16,자료실범례[소장처명],0),2),"종합자료실")</f>
        <v>어린이자료실</v>
      </c>
      <c r="D16">
        <v>23</v>
      </c>
      <c r="E16">
        <v>26</v>
      </c>
      <c r="F16">
        <v>49</v>
      </c>
      <c r="G16">
        <v>1</v>
      </c>
      <c r="H16">
        <v>4</v>
      </c>
      <c r="I16">
        <v>5</v>
      </c>
      <c r="J16">
        <v>9</v>
      </c>
      <c r="K16">
        <v>36</v>
      </c>
      <c r="L16">
        <v>45</v>
      </c>
      <c r="M16">
        <v>99</v>
      </c>
    </row>
    <row r="17" spans="1:13" x14ac:dyDescent="0.3">
      <c r="A17" s="1">
        <v>45292</v>
      </c>
      <c r="B17" t="s">
        <v>15</v>
      </c>
      <c r="C17" t="str">
        <f>IFERROR(INDEX(자료실범례[],MATCH($B17,자료실범례[소장처명],0),2),"종합자료실")</f>
        <v>어린이자료실</v>
      </c>
      <c r="D17">
        <v>28</v>
      </c>
      <c r="E17">
        <v>30</v>
      </c>
      <c r="F17">
        <v>58</v>
      </c>
      <c r="G17">
        <v>3</v>
      </c>
      <c r="H17">
        <v>4</v>
      </c>
      <c r="I17">
        <v>7</v>
      </c>
      <c r="J17">
        <v>18</v>
      </c>
      <c r="K17">
        <v>33</v>
      </c>
      <c r="L17">
        <v>51</v>
      </c>
      <c r="M17">
        <v>116</v>
      </c>
    </row>
    <row r="18" spans="1:13" x14ac:dyDescent="0.3">
      <c r="A18" s="1">
        <v>45292</v>
      </c>
      <c r="B18" t="s">
        <v>16</v>
      </c>
      <c r="C18" t="str">
        <f>IFERROR(INDEX(자료실범례[],MATCH($B18,자료실범례[소장처명],0),2),"종합자료실")</f>
        <v>어린이자료실</v>
      </c>
      <c r="D18">
        <v>56</v>
      </c>
      <c r="E18">
        <v>58</v>
      </c>
      <c r="F18">
        <v>114</v>
      </c>
      <c r="G18">
        <v>5</v>
      </c>
      <c r="H18">
        <v>8</v>
      </c>
      <c r="I18">
        <v>13</v>
      </c>
      <c r="J18">
        <v>54</v>
      </c>
      <c r="K18">
        <v>115</v>
      </c>
      <c r="L18">
        <v>169</v>
      </c>
      <c r="M18">
        <v>296</v>
      </c>
    </row>
    <row r="19" spans="1:13" x14ac:dyDescent="0.3">
      <c r="A19" s="1">
        <v>45292</v>
      </c>
      <c r="B19" t="s">
        <v>17</v>
      </c>
      <c r="C19" t="str">
        <f>IFERROR(INDEX(자료실범례[],MATCH($B19,자료실범례[소장처명],0),2),"종합자료실")</f>
        <v>어린이자료실</v>
      </c>
      <c r="D19">
        <v>1</v>
      </c>
      <c r="E19">
        <v>1</v>
      </c>
      <c r="F19">
        <v>2</v>
      </c>
      <c r="G19">
        <v>0</v>
      </c>
      <c r="H19">
        <v>0</v>
      </c>
      <c r="I19">
        <v>0</v>
      </c>
      <c r="J19">
        <v>1</v>
      </c>
      <c r="K19">
        <v>2</v>
      </c>
      <c r="L19">
        <v>3</v>
      </c>
      <c r="M19">
        <v>5</v>
      </c>
    </row>
    <row r="20" spans="1:13" x14ac:dyDescent="0.3">
      <c r="A20" s="1">
        <v>45292</v>
      </c>
      <c r="B20" t="s">
        <v>18</v>
      </c>
      <c r="C20" t="str">
        <f>IFERROR(INDEX(자료실범례[],MATCH($B20,자료실범례[소장처명],0),2),"종합자료실")</f>
        <v>종합자료실</v>
      </c>
      <c r="D20">
        <v>0</v>
      </c>
      <c r="E20">
        <v>1</v>
      </c>
      <c r="F20">
        <v>1</v>
      </c>
      <c r="G20">
        <v>0</v>
      </c>
      <c r="H20">
        <v>0</v>
      </c>
      <c r="I20">
        <v>0</v>
      </c>
      <c r="J20">
        <v>4</v>
      </c>
      <c r="K20">
        <v>0</v>
      </c>
      <c r="L20">
        <v>4</v>
      </c>
      <c r="M20">
        <v>5</v>
      </c>
    </row>
    <row r="21" spans="1:13" x14ac:dyDescent="0.3">
      <c r="A21" s="1">
        <v>45292</v>
      </c>
      <c r="B21" t="s">
        <v>19</v>
      </c>
      <c r="C21" t="str">
        <f>IFERROR(INDEX(자료실범례[],MATCH($B21,자료실범례[소장처명],0),2),"종합자료실")</f>
        <v>종합자료실</v>
      </c>
      <c r="D21">
        <v>8</v>
      </c>
      <c r="E21">
        <v>6</v>
      </c>
      <c r="F21">
        <v>14</v>
      </c>
      <c r="G21">
        <v>4</v>
      </c>
      <c r="H21">
        <v>3</v>
      </c>
      <c r="I21">
        <v>7</v>
      </c>
      <c r="J21">
        <v>65</v>
      </c>
      <c r="K21">
        <v>109</v>
      </c>
      <c r="L21">
        <v>174</v>
      </c>
      <c r="M21">
        <v>195</v>
      </c>
    </row>
    <row r="22" spans="1:13" x14ac:dyDescent="0.3">
      <c r="A22" s="1">
        <v>45292</v>
      </c>
      <c r="B22" t="s">
        <v>20</v>
      </c>
      <c r="C22" t="str">
        <f>IFERROR(INDEX(자료실범례[],MATCH($B22,자료실범례[소장처명],0),2),"종합자료실")</f>
        <v>종합자료실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2</v>
      </c>
      <c r="M22">
        <v>2</v>
      </c>
    </row>
    <row r="23" spans="1:13" x14ac:dyDescent="0.3">
      <c r="A23" s="1">
        <v>45292</v>
      </c>
      <c r="B23" t="s">
        <v>21</v>
      </c>
      <c r="C23" t="str">
        <f>IFERROR(INDEX(자료실범례[],MATCH($B23,자료실범례[소장처명],0),2),"종합자료실")</f>
        <v>종합자료실</v>
      </c>
      <c r="D23">
        <v>12</v>
      </c>
      <c r="E23">
        <v>5</v>
      </c>
      <c r="F23">
        <v>17</v>
      </c>
      <c r="G23">
        <v>22</v>
      </c>
      <c r="H23">
        <v>32</v>
      </c>
      <c r="I23">
        <v>54</v>
      </c>
      <c r="J23">
        <v>136</v>
      </c>
      <c r="K23">
        <v>267</v>
      </c>
      <c r="L23">
        <v>403</v>
      </c>
      <c r="M23">
        <v>474</v>
      </c>
    </row>
    <row r="24" spans="1:13" x14ac:dyDescent="0.3">
      <c r="A24" s="1">
        <v>45323</v>
      </c>
      <c r="B24" t="s">
        <v>23</v>
      </c>
      <c r="C24" t="str">
        <f>IFERROR(INDEX(자료실범례[],MATCH($B24,자료실범례[소장처명],0),2),"종합자료실")</f>
        <v>종합자료실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1</v>
      </c>
      <c r="M24">
        <v>1</v>
      </c>
    </row>
    <row r="25" spans="1:13" x14ac:dyDescent="0.3">
      <c r="A25" s="1">
        <v>45323</v>
      </c>
      <c r="B25" t="s">
        <v>0</v>
      </c>
      <c r="C25" t="str">
        <f>IFERROR(INDEX(자료실범례[],MATCH($B25,자료실범례[소장처명],0),2),"종합자료실")</f>
        <v>어린이자료실</v>
      </c>
      <c r="D25">
        <v>1</v>
      </c>
      <c r="E25">
        <v>5</v>
      </c>
      <c r="F25">
        <v>6</v>
      </c>
      <c r="G25">
        <v>0</v>
      </c>
      <c r="H25">
        <v>0</v>
      </c>
      <c r="I25">
        <v>0</v>
      </c>
      <c r="J25">
        <v>3</v>
      </c>
      <c r="K25">
        <v>4</v>
      </c>
      <c r="L25">
        <v>7</v>
      </c>
      <c r="M25">
        <v>13</v>
      </c>
    </row>
    <row r="26" spans="1:13" x14ac:dyDescent="0.3">
      <c r="A26" s="1">
        <v>45323</v>
      </c>
      <c r="B26" t="s">
        <v>1</v>
      </c>
      <c r="C26" t="str">
        <f>IFERROR(INDEX(자료실범례[],MATCH($B26,자료실범례[소장처명],0),2),"종합자료실")</f>
        <v>어린이자료실</v>
      </c>
      <c r="D26">
        <v>4</v>
      </c>
      <c r="E26">
        <v>2</v>
      </c>
      <c r="F26">
        <v>6</v>
      </c>
      <c r="G26">
        <v>0</v>
      </c>
      <c r="H26">
        <v>1</v>
      </c>
      <c r="I26">
        <v>1</v>
      </c>
      <c r="J26">
        <v>1</v>
      </c>
      <c r="K26">
        <v>2</v>
      </c>
      <c r="L26">
        <v>3</v>
      </c>
      <c r="M26">
        <v>10</v>
      </c>
    </row>
    <row r="27" spans="1:13" x14ac:dyDescent="0.3">
      <c r="A27" s="1">
        <v>45323</v>
      </c>
      <c r="B27" t="s">
        <v>2</v>
      </c>
      <c r="C27" t="str">
        <f>IFERROR(INDEX(자료실범례[],MATCH($B27,자료실범례[소장처명],0),2),"종합자료실")</f>
        <v>디지털자료실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2</v>
      </c>
      <c r="K27">
        <v>7</v>
      </c>
      <c r="L27">
        <v>9</v>
      </c>
      <c r="M27">
        <v>10</v>
      </c>
    </row>
    <row r="28" spans="1:13" x14ac:dyDescent="0.3">
      <c r="A28" s="1">
        <v>45323</v>
      </c>
      <c r="B28" t="s">
        <v>4</v>
      </c>
      <c r="C28" t="str">
        <f>IFERROR(INDEX(자료실범례[],MATCH($B28,자료실범례[소장처명],0),2),"종합자료실")</f>
        <v>어린이자료실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</v>
      </c>
      <c r="L28">
        <v>3</v>
      </c>
      <c r="M28">
        <v>3</v>
      </c>
    </row>
    <row r="29" spans="1:13" x14ac:dyDescent="0.3">
      <c r="A29" s="1">
        <v>45323</v>
      </c>
      <c r="B29" t="s">
        <v>5</v>
      </c>
      <c r="C29" t="str">
        <f>IFERROR(INDEX(자료실범례[],MATCH($B29,자료실범례[소장처명],0),2),"종합자료실")</f>
        <v>종합자료실</v>
      </c>
      <c r="D29">
        <v>0</v>
      </c>
      <c r="E29">
        <v>1</v>
      </c>
      <c r="F29">
        <v>1</v>
      </c>
      <c r="G29">
        <v>1</v>
      </c>
      <c r="H29">
        <v>0</v>
      </c>
      <c r="I29">
        <v>1</v>
      </c>
      <c r="J29">
        <v>6</v>
      </c>
      <c r="K29">
        <v>13</v>
      </c>
      <c r="L29">
        <v>19</v>
      </c>
      <c r="M29">
        <v>21</v>
      </c>
    </row>
    <row r="30" spans="1:13" x14ac:dyDescent="0.3">
      <c r="A30" s="1">
        <v>45323</v>
      </c>
      <c r="B30" t="s">
        <v>6</v>
      </c>
      <c r="C30" t="str">
        <f>IFERROR(INDEX(자료실범례[],MATCH($B30,자료실범례[소장처명],0),2),"종합자료실")</f>
        <v>종합자료실</v>
      </c>
      <c r="D30">
        <v>0</v>
      </c>
      <c r="E30">
        <v>1</v>
      </c>
      <c r="F30">
        <v>1</v>
      </c>
      <c r="G30">
        <v>0</v>
      </c>
      <c r="H30">
        <v>0</v>
      </c>
      <c r="I30">
        <v>0</v>
      </c>
      <c r="J30">
        <v>5</v>
      </c>
      <c r="K30">
        <v>5</v>
      </c>
      <c r="L30">
        <v>10</v>
      </c>
      <c r="M30">
        <v>11</v>
      </c>
    </row>
    <row r="31" spans="1:13" x14ac:dyDescent="0.3">
      <c r="A31" s="1">
        <v>45323</v>
      </c>
      <c r="B31" t="s">
        <v>7</v>
      </c>
      <c r="C31" t="str">
        <f>IFERROR(INDEX(자료실범례[],MATCH($B31,자료실범례[소장처명],0),2),"종합자료실")</f>
        <v>어린이자료실</v>
      </c>
      <c r="D31">
        <v>3</v>
      </c>
      <c r="E31">
        <v>6</v>
      </c>
      <c r="F31">
        <v>9</v>
      </c>
      <c r="G31">
        <v>0</v>
      </c>
      <c r="H31">
        <v>0</v>
      </c>
      <c r="I31">
        <v>0</v>
      </c>
      <c r="J31">
        <v>2</v>
      </c>
      <c r="K31">
        <v>10</v>
      </c>
      <c r="L31">
        <v>12</v>
      </c>
      <c r="M31">
        <v>21</v>
      </c>
    </row>
    <row r="32" spans="1:13" x14ac:dyDescent="0.3">
      <c r="A32" s="1">
        <v>45323</v>
      </c>
      <c r="B32" t="s">
        <v>8</v>
      </c>
      <c r="C32" t="str">
        <f>IFERROR(INDEX(자료실범례[],MATCH($B32,자료실범례[소장처명],0),2),"종합자료실")</f>
        <v>어린이자료실</v>
      </c>
      <c r="D32">
        <v>3</v>
      </c>
      <c r="E32">
        <v>4</v>
      </c>
      <c r="F32">
        <v>7</v>
      </c>
      <c r="G32">
        <v>0</v>
      </c>
      <c r="H32">
        <v>0</v>
      </c>
      <c r="I32">
        <v>0</v>
      </c>
      <c r="J32">
        <v>1</v>
      </c>
      <c r="K32">
        <v>6</v>
      </c>
      <c r="L32">
        <v>7</v>
      </c>
      <c r="M32">
        <v>14</v>
      </c>
    </row>
    <row r="33" spans="1:13" x14ac:dyDescent="0.3">
      <c r="A33" s="1">
        <v>45323</v>
      </c>
      <c r="B33" t="s">
        <v>9</v>
      </c>
      <c r="C33" t="str">
        <f>IFERROR(INDEX(자료실범례[],MATCH($B33,자료실범례[소장처명],0),2),"종합자료실")</f>
        <v>어린이자료실</v>
      </c>
      <c r="D33">
        <v>2</v>
      </c>
      <c r="E33">
        <v>4</v>
      </c>
      <c r="F33">
        <v>6</v>
      </c>
      <c r="G33">
        <v>1</v>
      </c>
      <c r="H33">
        <v>0</v>
      </c>
      <c r="I33">
        <v>1</v>
      </c>
      <c r="J33">
        <v>0</v>
      </c>
      <c r="K33">
        <v>4</v>
      </c>
      <c r="L33">
        <v>4</v>
      </c>
      <c r="M33">
        <v>11</v>
      </c>
    </row>
    <row r="34" spans="1:13" x14ac:dyDescent="0.3">
      <c r="A34" s="1">
        <v>45323</v>
      </c>
      <c r="B34" t="s">
        <v>10</v>
      </c>
      <c r="C34" t="str">
        <f>IFERROR(INDEX(자료실범례[],MATCH($B34,자료실범례[소장처명],0),2),"종합자료실")</f>
        <v>어린이자료실</v>
      </c>
      <c r="D34">
        <v>0</v>
      </c>
      <c r="E34">
        <v>3</v>
      </c>
      <c r="F34">
        <v>3</v>
      </c>
      <c r="G34">
        <v>0</v>
      </c>
      <c r="H34">
        <v>0</v>
      </c>
      <c r="I34">
        <v>0</v>
      </c>
      <c r="J34">
        <v>0</v>
      </c>
      <c r="K34">
        <v>4</v>
      </c>
      <c r="L34">
        <v>4</v>
      </c>
      <c r="M34">
        <v>7</v>
      </c>
    </row>
    <row r="35" spans="1:13" x14ac:dyDescent="0.3">
      <c r="A35" s="1">
        <v>45323</v>
      </c>
      <c r="B35" t="s">
        <v>11</v>
      </c>
      <c r="C35" t="str">
        <f>IFERROR(INDEX(자료실범례[],MATCH($B35,자료실범례[소장처명],0),2),"종합자료실")</f>
        <v>어린이자료실</v>
      </c>
      <c r="D35">
        <v>2</v>
      </c>
      <c r="E35">
        <v>1</v>
      </c>
      <c r="F35">
        <v>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</v>
      </c>
    </row>
    <row r="36" spans="1:13" x14ac:dyDescent="0.3">
      <c r="A36" s="1">
        <v>45323</v>
      </c>
      <c r="B36" t="s">
        <v>12</v>
      </c>
      <c r="C36" t="str">
        <f>IFERROR(INDEX(자료실범례[],MATCH($B36,자료실범례[소장처명],0),2),"종합자료실")</f>
        <v>어린이자료실</v>
      </c>
      <c r="D36">
        <v>2</v>
      </c>
      <c r="E36">
        <v>1</v>
      </c>
      <c r="F36">
        <v>3</v>
      </c>
      <c r="G36">
        <v>0</v>
      </c>
      <c r="H36">
        <v>0</v>
      </c>
      <c r="I36">
        <v>0</v>
      </c>
      <c r="J36">
        <v>0</v>
      </c>
      <c r="K36">
        <v>3</v>
      </c>
      <c r="L36">
        <v>3</v>
      </c>
      <c r="M36">
        <v>6</v>
      </c>
    </row>
    <row r="37" spans="1:13" x14ac:dyDescent="0.3">
      <c r="A37" s="1">
        <v>45323</v>
      </c>
      <c r="B37" t="s">
        <v>13</v>
      </c>
      <c r="C37" t="str">
        <f>IFERROR(INDEX(자료실범례[],MATCH($B37,자료실범례[소장처명],0),2),"종합자료실")</f>
        <v>어린이자료실</v>
      </c>
      <c r="D37">
        <v>0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3</v>
      </c>
      <c r="L37">
        <v>3</v>
      </c>
      <c r="M37">
        <v>4</v>
      </c>
    </row>
    <row r="38" spans="1:13" x14ac:dyDescent="0.3">
      <c r="A38" s="1">
        <v>45323</v>
      </c>
      <c r="B38" t="s">
        <v>14</v>
      </c>
      <c r="C38" t="str">
        <f>IFERROR(INDEX(자료실범례[],MATCH($B38,자료실범례[소장처명],0),2),"종합자료실")</f>
        <v>어린이자료실</v>
      </c>
      <c r="D38">
        <v>14</v>
      </c>
      <c r="E38">
        <v>23</v>
      </c>
      <c r="F38">
        <v>37</v>
      </c>
      <c r="G38">
        <v>3</v>
      </c>
      <c r="H38">
        <v>3</v>
      </c>
      <c r="I38">
        <v>6</v>
      </c>
      <c r="J38">
        <v>11</v>
      </c>
      <c r="K38">
        <v>37</v>
      </c>
      <c r="L38">
        <v>48</v>
      </c>
      <c r="M38">
        <v>91</v>
      </c>
    </row>
    <row r="39" spans="1:13" x14ac:dyDescent="0.3">
      <c r="A39" s="1">
        <v>45323</v>
      </c>
      <c r="B39" t="s">
        <v>15</v>
      </c>
      <c r="C39" t="str">
        <f>IFERROR(INDEX(자료실범례[],MATCH($B39,자료실범례[소장처명],0),2),"종합자료실")</f>
        <v>어린이자료실</v>
      </c>
      <c r="D39">
        <v>22</v>
      </c>
      <c r="E39">
        <v>24</v>
      </c>
      <c r="F39">
        <v>46</v>
      </c>
      <c r="G39">
        <v>4</v>
      </c>
      <c r="H39">
        <v>2</v>
      </c>
      <c r="I39">
        <v>6</v>
      </c>
      <c r="J39">
        <v>11</v>
      </c>
      <c r="K39">
        <v>32</v>
      </c>
      <c r="L39">
        <v>43</v>
      </c>
      <c r="M39">
        <v>95</v>
      </c>
    </row>
    <row r="40" spans="1:13" x14ac:dyDescent="0.3">
      <c r="A40" s="1">
        <v>45323</v>
      </c>
      <c r="B40" t="s">
        <v>16</v>
      </c>
      <c r="C40" t="str">
        <f>IFERROR(INDEX(자료실범례[],MATCH($B40,자료실범례[소장처명],0),2),"종합자료실")</f>
        <v>어린이자료실</v>
      </c>
      <c r="D40">
        <v>41</v>
      </c>
      <c r="E40">
        <v>52</v>
      </c>
      <c r="F40">
        <v>93</v>
      </c>
      <c r="G40">
        <v>5</v>
      </c>
      <c r="H40">
        <v>7</v>
      </c>
      <c r="I40">
        <v>12</v>
      </c>
      <c r="J40">
        <v>31</v>
      </c>
      <c r="K40">
        <v>83</v>
      </c>
      <c r="L40">
        <v>114</v>
      </c>
      <c r="M40">
        <v>219</v>
      </c>
    </row>
    <row r="41" spans="1:13" x14ac:dyDescent="0.3">
      <c r="A41" s="1">
        <v>45323</v>
      </c>
      <c r="B41" t="s">
        <v>17</v>
      </c>
      <c r="C41" t="str">
        <f>IFERROR(INDEX(자료실범례[],MATCH($B41,자료실범례[소장처명],0),2),"종합자료실")</f>
        <v>어린이자료실</v>
      </c>
      <c r="D41">
        <v>0</v>
      </c>
      <c r="E41">
        <v>4</v>
      </c>
      <c r="F41">
        <v>4</v>
      </c>
      <c r="G41">
        <v>0</v>
      </c>
      <c r="H41">
        <v>0</v>
      </c>
      <c r="I41">
        <v>0</v>
      </c>
      <c r="J41">
        <v>2</v>
      </c>
      <c r="K41">
        <v>0</v>
      </c>
      <c r="L41">
        <v>2</v>
      </c>
      <c r="M41">
        <v>6</v>
      </c>
    </row>
    <row r="42" spans="1:13" x14ac:dyDescent="0.3">
      <c r="A42" s="1">
        <v>45323</v>
      </c>
      <c r="B42" t="s">
        <v>18</v>
      </c>
      <c r="C42" t="str">
        <f>IFERROR(INDEX(자료실범례[],MATCH($B42,자료실범례[소장처명],0),2),"종합자료실")</f>
        <v>종합자료실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</v>
      </c>
      <c r="K42">
        <v>1</v>
      </c>
      <c r="L42">
        <v>3</v>
      </c>
      <c r="M42">
        <v>3</v>
      </c>
    </row>
    <row r="43" spans="1:13" x14ac:dyDescent="0.3">
      <c r="A43" s="1">
        <v>45323</v>
      </c>
      <c r="B43" t="s">
        <v>19</v>
      </c>
      <c r="C43" t="str">
        <f>IFERROR(INDEX(자료실범례[],MATCH($B43,자료실범례[소장처명],0),2),"종합자료실")</f>
        <v>종합자료실</v>
      </c>
      <c r="D43">
        <v>4</v>
      </c>
      <c r="E43">
        <v>4</v>
      </c>
      <c r="F43">
        <v>8</v>
      </c>
      <c r="G43">
        <v>6</v>
      </c>
      <c r="H43">
        <v>6</v>
      </c>
      <c r="I43">
        <v>12</v>
      </c>
      <c r="J43">
        <v>60</v>
      </c>
      <c r="K43">
        <v>116</v>
      </c>
      <c r="L43">
        <v>176</v>
      </c>
      <c r="M43">
        <v>196</v>
      </c>
    </row>
    <row r="44" spans="1:13" x14ac:dyDescent="0.3">
      <c r="A44" s="1">
        <v>45323</v>
      </c>
      <c r="B44" t="s">
        <v>20</v>
      </c>
      <c r="C44" t="str">
        <f>IFERROR(INDEX(자료실범례[],MATCH($B44,자료실범례[소장처명],0),2),"종합자료실")</f>
        <v>종합자료실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1</v>
      </c>
      <c r="L44">
        <v>2</v>
      </c>
      <c r="M44">
        <v>2</v>
      </c>
    </row>
    <row r="45" spans="1:13" x14ac:dyDescent="0.3">
      <c r="A45" s="1">
        <v>45323</v>
      </c>
      <c r="B45" t="s">
        <v>21</v>
      </c>
      <c r="C45" t="str">
        <f>IFERROR(INDEX(자료실범례[],MATCH($B45,자료실범례[소장처명],0),2),"종합자료실")</f>
        <v>종합자료실</v>
      </c>
      <c r="D45">
        <v>9</v>
      </c>
      <c r="E45">
        <v>3</v>
      </c>
      <c r="F45">
        <v>12</v>
      </c>
      <c r="G45">
        <v>12</v>
      </c>
      <c r="H45">
        <v>26</v>
      </c>
      <c r="I45">
        <v>38</v>
      </c>
      <c r="J45">
        <v>114</v>
      </c>
      <c r="K45">
        <v>199</v>
      </c>
      <c r="L45">
        <v>313</v>
      </c>
      <c r="M45">
        <v>363</v>
      </c>
    </row>
    <row r="46" spans="1:13" x14ac:dyDescent="0.3">
      <c r="A46" s="1">
        <v>44927</v>
      </c>
      <c r="B46" t="s">
        <v>23</v>
      </c>
      <c r="C46" t="str">
        <f>IFERROR(INDEX(자료실범례[],MATCH($B46,자료실범례[소장처명],0),2),"종합자료실")</f>
        <v>종합자료실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1</v>
      </c>
      <c r="M46">
        <v>1</v>
      </c>
    </row>
    <row r="47" spans="1:13" x14ac:dyDescent="0.3">
      <c r="A47" s="1">
        <v>44927</v>
      </c>
      <c r="B47" t="s">
        <v>0</v>
      </c>
      <c r="C47" t="str">
        <f>IFERROR(INDEX(자료실범례[],MATCH($B47,자료실범례[소장처명],0),2),"종합자료실")</f>
        <v>어린이자료실</v>
      </c>
      <c r="D47">
        <v>2</v>
      </c>
      <c r="E47">
        <v>1</v>
      </c>
      <c r="F47">
        <v>3</v>
      </c>
      <c r="G47">
        <v>0</v>
      </c>
      <c r="H47">
        <v>0</v>
      </c>
      <c r="I47">
        <v>0</v>
      </c>
      <c r="J47">
        <v>1</v>
      </c>
      <c r="K47">
        <v>4</v>
      </c>
      <c r="L47">
        <v>5</v>
      </c>
      <c r="M47">
        <v>8</v>
      </c>
    </row>
    <row r="48" spans="1:13" x14ac:dyDescent="0.3">
      <c r="A48" s="1">
        <v>44927</v>
      </c>
      <c r="B48" t="s">
        <v>1</v>
      </c>
      <c r="C48" t="str">
        <f>IFERROR(INDEX(자료실범례[],MATCH($B48,자료실범례[소장처명],0),2),"종합자료실")</f>
        <v>어린이자료실</v>
      </c>
      <c r="D48">
        <v>3</v>
      </c>
      <c r="E48">
        <v>2</v>
      </c>
      <c r="F48">
        <v>5</v>
      </c>
      <c r="G48">
        <v>0</v>
      </c>
      <c r="H48">
        <v>0</v>
      </c>
      <c r="I48">
        <v>0</v>
      </c>
      <c r="J48">
        <v>1</v>
      </c>
      <c r="K48">
        <v>6</v>
      </c>
      <c r="L48">
        <v>7</v>
      </c>
      <c r="M48">
        <v>12</v>
      </c>
    </row>
    <row r="49" spans="1:13" x14ac:dyDescent="0.3">
      <c r="A49" s="1">
        <v>44927</v>
      </c>
      <c r="B49" t="s">
        <v>2</v>
      </c>
      <c r="C49" t="str">
        <f>IFERROR(INDEX(자료실범례[],MATCH($B49,자료실범례[소장처명],0),2),"종합자료실")</f>
        <v>디지털자료실</v>
      </c>
      <c r="D49">
        <v>1</v>
      </c>
      <c r="E49">
        <v>2</v>
      </c>
      <c r="F49">
        <v>3</v>
      </c>
      <c r="G49">
        <v>0</v>
      </c>
      <c r="H49">
        <v>0</v>
      </c>
      <c r="I49">
        <v>0</v>
      </c>
      <c r="J49">
        <v>3</v>
      </c>
      <c r="K49">
        <v>5</v>
      </c>
      <c r="L49">
        <v>8</v>
      </c>
      <c r="M49">
        <v>11</v>
      </c>
    </row>
    <row r="50" spans="1:13" x14ac:dyDescent="0.3">
      <c r="A50" s="1">
        <v>44927</v>
      </c>
      <c r="B50" t="s">
        <v>3</v>
      </c>
      <c r="C50" t="str">
        <f>IFERROR(INDEX(자료실범례[],MATCH($B50,자료실범례[소장처명],0),2),"종합자료실")</f>
        <v>디지털자료실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1</v>
      </c>
      <c r="L50">
        <v>2</v>
      </c>
      <c r="M50">
        <v>2</v>
      </c>
    </row>
    <row r="51" spans="1:13" x14ac:dyDescent="0.3">
      <c r="A51" s="1">
        <v>44927</v>
      </c>
      <c r="B51" t="s">
        <v>4</v>
      </c>
      <c r="C51" t="str">
        <f>IFERROR(INDEX(자료실범례[],MATCH($B51,자료실범례[소장처명],0),2),"종합자료실")</f>
        <v>어린이자료실</v>
      </c>
      <c r="D51">
        <v>6</v>
      </c>
      <c r="E51">
        <v>2</v>
      </c>
      <c r="F51">
        <v>8</v>
      </c>
      <c r="G51">
        <v>1</v>
      </c>
      <c r="H51">
        <v>0</v>
      </c>
      <c r="I51">
        <v>1</v>
      </c>
      <c r="J51">
        <v>5</v>
      </c>
      <c r="K51">
        <v>9</v>
      </c>
      <c r="L51">
        <v>14</v>
      </c>
      <c r="M51">
        <v>23</v>
      </c>
    </row>
    <row r="52" spans="1:13" x14ac:dyDescent="0.3">
      <c r="A52" s="1">
        <v>44927</v>
      </c>
      <c r="B52" t="s">
        <v>5</v>
      </c>
      <c r="C52" t="str">
        <f>IFERROR(INDEX(자료실범례[],MATCH($B52,자료실범례[소장처명],0),2),"종합자료실")</f>
        <v>종합자료실</v>
      </c>
      <c r="D52">
        <v>0</v>
      </c>
      <c r="E52">
        <v>0</v>
      </c>
      <c r="F52">
        <v>0</v>
      </c>
      <c r="G52">
        <v>1</v>
      </c>
      <c r="H52">
        <v>1</v>
      </c>
      <c r="I52">
        <v>2</v>
      </c>
      <c r="J52">
        <v>9</v>
      </c>
      <c r="K52">
        <v>9</v>
      </c>
      <c r="L52">
        <v>18</v>
      </c>
      <c r="M52">
        <v>20</v>
      </c>
    </row>
    <row r="53" spans="1:13" x14ac:dyDescent="0.3">
      <c r="A53" s="1">
        <v>44927</v>
      </c>
      <c r="B53" t="s">
        <v>6</v>
      </c>
      <c r="C53" t="str">
        <f>IFERROR(INDEX(자료실범례[],MATCH($B53,자료실범례[소장처명],0),2),"종합자료실")</f>
        <v>종합자료실</v>
      </c>
      <c r="D53">
        <v>0</v>
      </c>
      <c r="E53">
        <v>0</v>
      </c>
      <c r="F53">
        <v>0</v>
      </c>
      <c r="G53">
        <v>0</v>
      </c>
      <c r="H53">
        <v>4</v>
      </c>
      <c r="I53">
        <v>4</v>
      </c>
      <c r="J53">
        <v>0</v>
      </c>
      <c r="K53">
        <v>15</v>
      </c>
      <c r="L53">
        <v>15</v>
      </c>
      <c r="M53">
        <v>19</v>
      </c>
    </row>
    <row r="54" spans="1:13" x14ac:dyDescent="0.3">
      <c r="A54" s="1">
        <v>44927</v>
      </c>
      <c r="B54" t="s">
        <v>7</v>
      </c>
      <c r="C54" t="str">
        <f>IFERROR(INDEX(자료실범례[],MATCH($B54,자료실범례[소장처명],0),2),"종합자료실")</f>
        <v>어린이자료실</v>
      </c>
      <c r="D54">
        <v>4</v>
      </c>
      <c r="E54">
        <v>4</v>
      </c>
      <c r="F54">
        <v>8</v>
      </c>
      <c r="G54">
        <v>2</v>
      </c>
      <c r="H54">
        <v>1</v>
      </c>
      <c r="I54">
        <v>3</v>
      </c>
      <c r="J54">
        <v>1</v>
      </c>
      <c r="K54">
        <v>8</v>
      </c>
      <c r="L54">
        <v>9</v>
      </c>
      <c r="M54">
        <v>20</v>
      </c>
    </row>
    <row r="55" spans="1:13" x14ac:dyDescent="0.3">
      <c r="A55" s="1">
        <v>44927</v>
      </c>
      <c r="B55" t="s">
        <v>8</v>
      </c>
      <c r="C55" t="str">
        <f>IFERROR(INDEX(자료실범례[],MATCH($B55,자료실범례[소장처명],0),2),"종합자료실")</f>
        <v>어린이자료실</v>
      </c>
      <c r="D55">
        <v>6</v>
      </c>
      <c r="E55">
        <v>7</v>
      </c>
      <c r="F55">
        <v>13</v>
      </c>
      <c r="G55">
        <v>1</v>
      </c>
      <c r="H55">
        <v>0</v>
      </c>
      <c r="I55">
        <v>1</v>
      </c>
      <c r="J55">
        <v>0</v>
      </c>
      <c r="K55">
        <v>14</v>
      </c>
      <c r="L55">
        <v>14</v>
      </c>
      <c r="M55">
        <v>28</v>
      </c>
    </row>
    <row r="56" spans="1:13" x14ac:dyDescent="0.3">
      <c r="A56" s="1">
        <v>44927</v>
      </c>
      <c r="B56" t="s">
        <v>9</v>
      </c>
      <c r="C56" t="str">
        <f>IFERROR(INDEX(자료실범례[],MATCH($B56,자료실범례[소장처명],0),2),"종합자료실")</f>
        <v>어린이자료실</v>
      </c>
      <c r="D56">
        <v>5</v>
      </c>
      <c r="E56">
        <v>1</v>
      </c>
      <c r="F56">
        <v>6</v>
      </c>
      <c r="G56">
        <v>0</v>
      </c>
      <c r="H56">
        <v>0</v>
      </c>
      <c r="I56">
        <v>0</v>
      </c>
      <c r="J56">
        <v>3</v>
      </c>
      <c r="K56">
        <v>4</v>
      </c>
      <c r="L56">
        <v>7</v>
      </c>
      <c r="M56">
        <v>13</v>
      </c>
    </row>
    <row r="57" spans="1:13" x14ac:dyDescent="0.3">
      <c r="A57" s="1">
        <v>44927</v>
      </c>
      <c r="B57" t="s">
        <v>10</v>
      </c>
      <c r="C57" t="str">
        <f>IFERROR(INDEX(자료실범례[],MATCH($B57,자료실범례[소장처명],0),2),"종합자료실")</f>
        <v>어린이자료실</v>
      </c>
      <c r="D57">
        <v>3</v>
      </c>
      <c r="E57">
        <v>1</v>
      </c>
      <c r="F57">
        <v>4</v>
      </c>
      <c r="G57">
        <v>0</v>
      </c>
      <c r="H57">
        <v>0</v>
      </c>
      <c r="I57">
        <v>0</v>
      </c>
      <c r="J57">
        <v>2</v>
      </c>
      <c r="K57">
        <v>6</v>
      </c>
      <c r="L57">
        <v>8</v>
      </c>
      <c r="M57">
        <v>12</v>
      </c>
    </row>
    <row r="58" spans="1:13" x14ac:dyDescent="0.3">
      <c r="A58" s="1">
        <v>44927</v>
      </c>
      <c r="B58" t="s">
        <v>11</v>
      </c>
      <c r="C58" t="str">
        <f>IFERROR(INDEX(자료실범례[],MATCH($B58,자료실범례[소장처명],0),2),"종합자료실")</f>
        <v>어린이자료실</v>
      </c>
      <c r="D58">
        <v>5</v>
      </c>
      <c r="E58">
        <v>2</v>
      </c>
      <c r="F58">
        <v>7</v>
      </c>
      <c r="G58">
        <v>0</v>
      </c>
      <c r="H58">
        <v>2</v>
      </c>
      <c r="I58">
        <v>2</v>
      </c>
      <c r="J58">
        <v>0</v>
      </c>
      <c r="K58">
        <v>5</v>
      </c>
      <c r="L58">
        <v>5</v>
      </c>
      <c r="M58">
        <v>14</v>
      </c>
    </row>
    <row r="59" spans="1:13" x14ac:dyDescent="0.3">
      <c r="A59" s="1">
        <v>44927</v>
      </c>
      <c r="B59" t="s">
        <v>12</v>
      </c>
      <c r="C59" t="str">
        <f>IFERROR(INDEX(자료실범례[],MATCH($B59,자료실범례[소장처명],0),2),"종합자료실")</f>
        <v>어린이자료실</v>
      </c>
      <c r="D59">
        <v>2</v>
      </c>
      <c r="E59">
        <v>0</v>
      </c>
      <c r="F59">
        <v>2</v>
      </c>
      <c r="G59">
        <v>1</v>
      </c>
      <c r="H59">
        <v>1</v>
      </c>
      <c r="I59">
        <v>2</v>
      </c>
      <c r="J59">
        <v>1</v>
      </c>
      <c r="K59">
        <v>3</v>
      </c>
      <c r="L59">
        <v>4</v>
      </c>
      <c r="M59">
        <v>8</v>
      </c>
    </row>
    <row r="60" spans="1:13" x14ac:dyDescent="0.3">
      <c r="A60" s="1">
        <v>44927</v>
      </c>
      <c r="B60" t="s">
        <v>13</v>
      </c>
      <c r="C60" t="str">
        <f>IFERROR(INDEX(자료실범례[],MATCH($B60,자료실범례[소장처명],0),2),"종합자료실")</f>
        <v>어린이자료실</v>
      </c>
      <c r="D60">
        <v>3</v>
      </c>
      <c r="E60">
        <v>1</v>
      </c>
      <c r="F60">
        <v>4</v>
      </c>
      <c r="G60">
        <v>0</v>
      </c>
      <c r="H60">
        <v>0</v>
      </c>
      <c r="I60">
        <v>0</v>
      </c>
      <c r="J60">
        <v>0</v>
      </c>
      <c r="K60">
        <v>4</v>
      </c>
      <c r="L60">
        <v>4</v>
      </c>
      <c r="M60">
        <v>8</v>
      </c>
    </row>
    <row r="61" spans="1:13" x14ac:dyDescent="0.3">
      <c r="A61" s="1">
        <v>44927</v>
      </c>
      <c r="B61" t="s">
        <v>15</v>
      </c>
      <c r="C61" t="str">
        <f>IFERROR(INDEX(자료실범례[],MATCH($B61,자료실범례[소장처명],0),2),"종합자료실")</f>
        <v>어린이자료실</v>
      </c>
      <c r="D61">
        <v>24</v>
      </c>
      <c r="E61">
        <v>18</v>
      </c>
      <c r="F61">
        <v>42</v>
      </c>
      <c r="G61">
        <v>3</v>
      </c>
      <c r="H61">
        <v>4</v>
      </c>
      <c r="I61">
        <v>7</v>
      </c>
      <c r="J61">
        <v>9</v>
      </c>
      <c r="K61">
        <v>43</v>
      </c>
      <c r="L61">
        <v>52</v>
      </c>
      <c r="M61">
        <v>101</v>
      </c>
    </row>
    <row r="62" spans="1:13" x14ac:dyDescent="0.3">
      <c r="A62" s="1">
        <v>44927</v>
      </c>
      <c r="B62" t="s">
        <v>16</v>
      </c>
      <c r="C62" t="str">
        <f>IFERROR(INDEX(자료실범례[],MATCH($B62,자료실범례[소장처명],0),2),"종합자료실")</f>
        <v>어린이자료실</v>
      </c>
      <c r="D62">
        <v>41</v>
      </c>
      <c r="E62">
        <v>47</v>
      </c>
      <c r="F62">
        <v>88</v>
      </c>
      <c r="G62">
        <v>10</v>
      </c>
      <c r="H62">
        <v>6</v>
      </c>
      <c r="I62">
        <v>16</v>
      </c>
      <c r="J62">
        <v>28</v>
      </c>
      <c r="K62">
        <v>102</v>
      </c>
      <c r="L62">
        <v>130</v>
      </c>
      <c r="M62">
        <v>234</v>
      </c>
    </row>
    <row r="63" spans="1:13" x14ac:dyDescent="0.3">
      <c r="A63" s="1">
        <v>44927</v>
      </c>
      <c r="B63" t="s">
        <v>17</v>
      </c>
      <c r="C63" t="str">
        <f>IFERROR(INDEX(자료실범례[],MATCH($B63,자료실범례[소장처명],0),2),"종합자료실")</f>
        <v>어린이자료실</v>
      </c>
      <c r="D63">
        <v>3</v>
      </c>
      <c r="E63">
        <v>0</v>
      </c>
      <c r="F63">
        <v>3</v>
      </c>
      <c r="G63">
        <v>0</v>
      </c>
      <c r="H63">
        <v>0</v>
      </c>
      <c r="I63">
        <v>0</v>
      </c>
      <c r="J63">
        <v>0</v>
      </c>
      <c r="K63">
        <v>2</v>
      </c>
      <c r="L63">
        <v>2</v>
      </c>
      <c r="M63">
        <v>5</v>
      </c>
    </row>
    <row r="64" spans="1:13" x14ac:dyDescent="0.3">
      <c r="A64" s="1">
        <v>44927</v>
      </c>
      <c r="B64" t="s">
        <v>18</v>
      </c>
      <c r="C64" t="str">
        <f>IFERROR(INDEX(자료실범례[],MATCH($B64,자료실범례[소장처명],0),2),"종합자료실")</f>
        <v>종합자료실</v>
      </c>
      <c r="D64">
        <v>0</v>
      </c>
      <c r="E64">
        <v>0</v>
      </c>
      <c r="F64">
        <v>0</v>
      </c>
      <c r="G64">
        <v>0</v>
      </c>
      <c r="H64">
        <v>1</v>
      </c>
      <c r="I64">
        <v>1</v>
      </c>
      <c r="J64">
        <v>2</v>
      </c>
      <c r="K64">
        <v>1</v>
      </c>
      <c r="L64">
        <v>3</v>
      </c>
      <c r="M64">
        <v>4</v>
      </c>
    </row>
    <row r="65" spans="1:13" x14ac:dyDescent="0.3">
      <c r="A65" s="1">
        <v>44927</v>
      </c>
      <c r="B65" t="s">
        <v>20</v>
      </c>
      <c r="C65" t="str">
        <f>IFERROR(INDEX(자료실범례[],MATCH($B65,자료실범례[소장처명],0),2),"종합자료실")</f>
        <v>종합자료실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3</v>
      </c>
      <c r="L65">
        <v>3</v>
      </c>
      <c r="M65">
        <v>3</v>
      </c>
    </row>
    <row r="66" spans="1:13" x14ac:dyDescent="0.3">
      <c r="A66" s="1">
        <v>44927</v>
      </c>
      <c r="B66" t="s">
        <v>21</v>
      </c>
      <c r="C66" t="str">
        <f>IFERROR(INDEX(자료실범례[],MATCH($B66,자료실범례[소장처명],0),2),"종합자료실")</f>
        <v>종합자료실</v>
      </c>
      <c r="D66">
        <v>7</v>
      </c>
      <c r="E66">
        <v>6</v>
      </c>
      <c r="F66">
        <v>13</v>
      </c>
      <c r="G66">
        <v>18</v>
      </c>
      <c r="H66">
        <v>29</v>
      </c>
      <c r="I66">
        <v>47</v>
      </c>
      <c r="J66">
        <v>115</v>
      </c>
      <c r="K66">
        <v>228</v>
      </c>
      <c r="L66">
        <v>343</v>
      </c>
      <c r="M66">
        <v>403</v>
      </c>
    </row>
    <row r="67" spans="1:13" x14ac:dyDescent="0.3">
      <c r="A67" s="1">
        <v>44958</v>
      </c>
      <c r="B67" t="s">
        <v>23</v>
      </c>
      <c r="C67" t="str">
        <f>IFERROR(INDEX(자료실범례[],MATCH($B67,자료실범례[소장처명],0),2),"종합자료실")</f>
        <v>종합자료실</v>
      </c>
      <c r="D67">
        <v>1</v>
      </c>
      <c r="E67">
        <v>0</v>
      </c>
      <c r="F67">
        <v>1</v>
      </c>
      <c r="G67">
        <v>0</v>
      </c>
      <c r="H67">
        <v>0</v>
      </c>
      <c r="I67">
        <v>0</v>
      </c>
      <c r="J67">
        <v>1</v>
      </c>
      <c r="K67">
        <v>0</v>
      </c>
      <c r="L67">
        <v>1</v>
      </c>
      <c r="M67">
        <v>2</v>
      </c>
    </row>
    <row r="68" spans="1:13" x14ac:dyDescent="0.3">
      <c r="A68" s="1">
        <v>44958</v>
      </c>
      <c r="B68" t="s">
        <v>0</v>
      </c>
      <c r="C68" t="str">
        <f>IFERROR(INDEX(자료실범례[],MATCH($B68,자료실범례[소장처명],0),2),"종합자료실")</f>
        <v>어린이자료실</v>
      </c>
      <c r="D68">
        <v>5</v>
      </c>
      <c r="E68">
        <v>1</v>
      </c>
      <c r="F68">
        <v>6</v>
      </c>
      <c r="G68">
        <v>0</v>
      </c>
      <c r="H68">
        <v>0</v>
      </c>
      <c r="I68">
        <v>0</v>
      </c>
      <c r="J68">
        <v>3</v>
      </c>
      <c r="K68">
        <v>9</v>
      </c>
      <c r="L68">
        <v>12</v>
      </c>
      <c r="M68">
        <v>18</v>
      </c>
    </row>
    <row r="69" spans="1:13" x14ac:dyDescent="0.3">
      <c r="A69" s="1">
        <v>44958</v>
      </c>
      <c r="B69" t="s">
        <v>1</v>
      </c>
      <c r="C69" t="str">
        <f>IFERROR(INDEX(자료실범례[],MATCH($B69,자료실범례[소장처명],0),2),"종합자료실")</f>
        <v>어린이자료실</v>
      </c>
      <c r="D69">
        <v>5</v>
      </c>
      <c r="E69">
        <v>3</v>
      </c>
      <c r="F69">
        <v>8</v>
      </c>
      <c r="G69">
        <v>0</v>
      </c>
      <c r="H69">
        <v>0</v>
      </c>
      <c r="I69">
        <v>0</v>
      </c>
      <c r="J69">
        <v>3</v>
      </c>
      <c r="K69">
        <v>8</v>
      </c>
      <c r="L69">
        <v>11</v>
      </c>
      <c r="M69">
        <v>19</v>
      </c>
    </row>
    <row r="70" spans="1:13" x14ac:dyDescent="0.3">
      <c r="A70" s="1">
        <v>44958</v>
      </c>
      <c r="B70" t="s">
        <v>2</v>
      </c>
      <c r="C70" t="str">
        <f>IFERROR(INDEX(자료실범례[],MATCH($B70,자료실범례[소장처명],0),2),"종합자료실")</f>
        <v>디지털자료실</v>
      </c>
      <c r="D70">
        <v>0</v>
      </c>
      <c r="E70">
        <v>1</v>
      </c>
      <c r="F70">
        <v>1</v>
      </c>
      <c r="G70">
        <v>1</v>
      </c>
      <c r="H70">
        <v>1</v>
      </c>
      <c r="I70">
        <v>2</v>
      </c>
      <c r="J70">
        <v>5</v>
      </c>
      <c r="K70">
        <v>5</v>
      </c>
      <c r="L70">
        <v>10</v>
      </c>
      <c r="M70">
        <v>13</v>
      </c>
    </row>
    <row r="71" spans="1:13" x14ac:dyDescent="0.3">
      <c r="A71" s="1">
        <v>44958</v>
      </c>
      <c r="B71" t="s">
        <v>3</v>
      </c>
      <c r="C71" t="str">
        <f>IFERROR(INDEX(자료실범례[],MATCH($B71,자료실범례[소장처명],0),2),"종합자료실")</f>
        <v>디지털자료실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2</v>
      </c>
      <c r="K71">
        <v>1</v>
      </c>
      <c r="L71">
        <v>3</v>
      </c>
      <c r="M71">
        <v>3</v>
      </c>
    </row>
    <row r="72" spans="1:13" x14ac:dyDescent="0.3">
      <c r="A72" s="1">
        <v>44958</v>
      </c>
      <c r="B72" t="s">
        <v>4</v>
      </c>
      <c r="C72" t="str">
        <f>IFERROR(INDEX(자료실범례[],MATCH($B72,자료실범례[소장처명],0),2),"종합자료실")</f>
        <v>어린이자료실</v>
      </c>
      <c r="D72">
        <v>1</v>
      </c>
      <c r="E72">
        <v>4</v>
      </c>
      <c r="F72">
        <v>5</v>
      </c>
      <c r="G72">
        <v>1</v>
      </c>
      <c r="H72">
        <v>2</v>
      </c>
      <c r="I72">
        <v>3</v>
      </c>
      <c r="J72">
        <v>3</v>
      </c>
      <c r="K72">
        <v>8</v>
      </c>
      <c r="L72">
        <v>11</v>
      </c>
      <c r="M72">
        <v>19</v>
      </c>
    </row>
    <row r="73" spans="1:13" x14ac:dyDescent="0.3">
      <c r="A73" s="1">
        <v>44958</v>
      </c>
      <c r="B73" t="s">
        <v>5</v>
      </c>
      <c r="C73" t="str">
        <f>IFERROR(INDEX(자료실범례[],MATCH($B73,자료실범례[소장처명],0),2),"종합자료실")</f>
        <v>종합자료실</v>
      </c>
      <c r="D73">
        <v>0</v>
      </c>
      <c r="E73">
        <v>0</v>
      </c>
      <c r="F73">
        <v>0</v>
      </c>
      <c r="G73">
        <v>1</v>
      </c>
      <c r="H73">
        <v>1</v>
      </c>
      <c r="I73">
        <v>2</v>
      </c>
      <c r="J73">
        <v>8</v>
      </c>
      <c r="K73">
        <v>11</v>
      </c>
      <c r="L73">
        <v>19</v>
      </c>
      <c r="M73">
        <v>21</v>
      </c>
    </row>
    <row r="74" spans="1:13" x14ac:dyDescent="0.3">
      <c r="A74" s="1">
        <v>44958</v>
      </c>
      <c r="B74" t="s">
        <v>6</v>
      </c>
      <c r="C74" t="str">
        <f>IFERROR(INDEX(자료실범례[],MATCH($B74,자료실범례[소장처명],0),2),"종합자료실")</f>
        <v>종합자료실</v>
      </c>
      <c r="D74">
        <v>0</v>
      </c>
      <c r="E74">
        <v>0</v>
      </c>
      <c r="F74">
        <v>0</v>
      </c>
      <c r="G74">
        <v>0</v>
      </c>
      <c r="H74">
        <v>1</v>
      </c>
      <c r="I74">
        <v>1</v>
      </c>
      <c r="J74">
        <v>3</v>
      </c>
      <c r="K74">
        <v>15</v>
      </c>
      <c r="L74">
        <v>18</v>
      </c>
      <c r="M74">
        <v>19</v>
      </c>
    </row>
    <row r="75" spans="1:13" x14ac:dyDescent="0.3">
      <c r="A75" s="1">
        <v>44958</v>
      </c>
      <c r="B75" t="s">
        <v>7</v>
      </c>
      <c r="C75" t="str">
        <f>IFERROR(INDEX(자료실범례[],MATCH($B75,자료실범례[소장처명],0),2),"종합자료실")</f>
        <v>어린이자료실</v>
      </c>
      <c r="D75">
        <v>3</v>
      </c>
      <c r="E75">
        <v>3</v>
      </c>
      <c r="F75">
        <v>6</v>
      </c>
      <c r="G75">
        <v>1</v>
      </c>
      <c r="H75">
        <v>1</v>
      </c>
      <c r="I75">
        <v>2</v>
      </c>
      <c r="J75">
        <v>1</v>
      </c>
      <c r="K75">
        <v>7</v>
      </c>
      <c r="L75">
        <v>8</v>
      </c>
      <c r="M75">
        <v>16</v>
      </c>
    </row>
    <row r="76" spans="1:13" x14ac:dyDescent="0.3">
      <c r="A76" s="1">
        <v>44958</v>
      </c>
      <c r="B76" t="s">
        <v>8</v>
      </c>
      <c r="C76" t="str">
        <f>IFERROR(INDEX(자료실범례[],MATCH($B76,자료실범례[소장처명],0),2),"종합자료실")</f>
        <v>어린이자료실</v>
      </c>
      <c r="D76">
        <v>4</v>
      </c>
      <c r="E76">
        <v>3</v>
      </c>
      <c r="F76">
        <v>7</v>
      </c>
      <c r="G76">
        <v>0</v>
      </c>
      <c r="H76">
        <v>0</v>
      </c>
      <c r="I76">
        <v>0</v>
      </c>
      <c r="J76">
        <v>1</v>
      </c>
      <c r="K76">
        <v>9</v>
      </c>
      <c r="L76">
        <v>10</v>
      </c>
      <c r="M76">
        <v>17</v>
      </c>
    </row>
    <row r="77" spans="1:13" x14ac:dyDescent="0.3">
      <c r="A77" s="1">
        <v>44958</v>
      </c>
      <c r="B77" t="s">
        <v>9</v>
      </c>
      <c r="C77" t="str">
        <f>IFERROR(INDEX(자료실범례[],MATCH($B77,자료실범례[소장처명],0),2),"종합자료실")</f>
        <v>어린이자료실</v>
      </c>
      <c r="D77">
        <v>5</v>
      </c>
      <c r="E77">
        <v>1</v>
      </c>
      <c r="F77">
        <v>6</v>
      </c>
      <c r="G77">
        <v>0</v>
      </c>
      <c r="H77">
        <v>0</v>
      </c>
      <c r="I77">
        <v>0</v>
      </c>
      <c r="J77">
        <v>4</v>
      </c>
      <c r="K77">
        <v>5</v>
      </c>
      <c r="L77">
        <v>9</v>
      </c>
      <c r="M77">
        <v>15</v>
      </c>
    </row>
    <row r="78" spans="1:13" x14ac:dyDescent="0.3">
      <c r="A78" s="1">
        <v>44958</v>
      </c>
      <c r="B78" t="s">
        <v>10</v>
      </c>
      <c r="C78" t="str">
        <f>IFERROR(INDEX(자료실범례[],MATCH($B78,자료실범례[소장처명],0),2),"종합자료실")</f>
        <v>어린이자료실</v>
      </c>
      <c r="D78">
        <v>2</v>
      </c>
      <c r="E78">
        <v>4</v>
      </c>
      <c r="F78">
        <v>6</v>
      </c>
      <c r="G78">
        <v>1</v>
      </c>
      <c r="H78">
        <v>0</v>
      </c>
      <c r="I78">
        <v>1</v>
      </c>
      <c r="J78">
        <v>3</v>
      </c>
      <c r="K78">
        <v>1</v>
      </c>
      <c r="L78">
        <v>4</v>
      </c>
      <c r="M78">
        <v>11</v>
      </c>
    </row>
    <row r="79" spans="1:13" x14ac:dyDescent="0.3">
      <c r="A79" s="1">
        <v>44958</v>
      </c>
      <c r="B79" t="s">
        <v>11</v>
      </c>
      <c r="C79" t="str">
        <f>IFERROR(INDEX(자료실범례[],MATCH($B79,자료실범례[소장처명],0),2),"종합자료실")</f>
        <v>어린이자료실</v>
      </c>
      <c r="D79">
        <v>2</v>
      </c>
      <c r="E79">
        <v>2</v>
      </c>
      <c r="F79">
        <v>4</v>
      </c>
      <c r="G79">
        <v>0</v>
      </c>
      <c r="H79">
        <v>0</v>
      </c>
      <c r="I79">
        <v>0</v>
      </c>
      <c r="J79">
        <v>2</v>
      </c>
      <c r="K79">
        <v>1</v>
      </c>
      <c r="L79">
        <v>3</v>
      </c>
      <c r="M79">
        <v>7</v>
      </c>
    </row>
    <row r="80" spans="1:13" x14ac:dyDescent="0.3">
      <c r="A80" s="1">
        <v>44958</v>
      </c>
      <c r="B80" t="s">
        <v>12</v>
      </c>
      <c r="C80" t="str">
        <f>IFERROR(INDEX(자료실범례[],MATCH($B80,자료실범례[소장처명],0),2),"종합자료실")</f>
        <v>어린이자료실</v>
      </c>
      <c r="D80">
        <v>1</v>
      </c>
      <c r="E80">
        <v>1</v>
      </c>
      <c r="F80">
        <v>2</v>
      </c>
      <c r="G80">
        <v>0</v>
      </c>
      <c r="H80">
        <v>0</v>
      </c>
      <c r="I80">
        <v>0</v>
      </c>
      <c r="J80">
        <v>0</v>
      </c>
      <c r="K80">
        <v>2</v>
      </c>
      <c r="L80">
        <v>2</v>
      </c>
      <c r="M80">
        <v>4</v>
      </c>
    </row>
    <row r="81" spans="1:13" x14ac:dyDescent="0.3">
      <c r="A81" s="1">
        <v>44958</v>
      </c>
      <c r="B81" t="s">
        <v>13</v>
      </c>
      <c r="C81" t="str">
        <f>IFERROR(INDEX(자료실범례[],MATCH($B81,자료실범례[소장처명],0),2),"종합자료실")</f>
        <v>어린이자료실</v>
      </c>
      <c r="D81">
        <v>4</v>
      </c>
      <c r="E81">
        <v>0</v>
      </c>
      <c r="F81">
        <v>4</v>
      </c>
      <c r="G81">
        <v>0</v>
      </c>
      <c r="H81">
        <v>0</v>
      </c>
      <c r="I81">
        <v>0</v>
      </c>
      <c r="J81">
        <v>4</v>
      </c>
      <c r="K81">
        <v>2</v>
      </c>
      <c r="L81">
        <v>6</v>
      </c>
      <c r="M81">
        <v>10</v>
      </c>
    </row>
    <row r="82" spans="1:13" x14ac:dyDescent="0.3">
      <c r="A82" s="1">
        <v>44958</v>
      </c>
      <c r="B82" t="s">
        <v>15</v>
      </c>
      <c r="C82" t="str">
        <f>IFERROR(INDEX(자료실범례[],MATCH($B82,자료실범례[소장처명],0),2),"종합자료실")</f>
        <v>어린이자료실</v>
      </c>
      <c r="D82">
        <v>20</v>
      </c>
      <c r="E82">
        <v>14</v>
      </c>
      <c r="F82">
        <v>34</v>
      </c>
      <c r="G82">
        <v>2</v>
      </c>
      <c r="H82">
        <v>5</v>
      </c>
      <c r="I82">
        <v>7</v>
      </c>
      <c r="J82">
        <v>12</v>
      </c>
      <c r="K82">
        <v>33</v>
      </c>
      <c r="L82">
        <v>45</v>
      </c>
      <c r="M82">
        <v>86</v>
      </c>
    </row>
    <row r="83" spans="1:13" x14ac:dyDescent="0.3">
      <c r="A83" s="1">
        <v>44958</v>
      </c>
      <c r="B83" t="s">
        <v>16</v>
      </c>
      <c r="C83" t="str">
        <f>IFERROR(INDEX(자료실범례[],MATCH($B83,자료실범례[소장처명],0),2),"종합자료실")</f>
        <v>어린이자료실</v>
      </c>
      <c r="D83">
        <v>41</v>
      </c>
      <c r="E83">
        <v>45</v>
      </c>
      <c r="F83">
        <v>86</v>
      </c>
      <c r="G83">
        <v>8</v>
      </c>
      <c r="H83">
        <v>11</v>
      </c>
      <c r="I83">
        <v>19</v>
      </c>
      <c r="J83">
        <v>32</v>
      </c>
      <c r="K83">
        <v>95</v>
      </c>
      <c r="L83">
        <v>127</v>
      </c>
      <c r="M83">
        <v>232</v>
      </c>
    </row>
    <row r="84" spans="1:13" x14ac:dyDescent="0.3">
      <c r="A84" s="1">
        <v>44958</v>
      </c>
      <c r="B84" t="s">
        <v>17</v>
      </c>
      <c r="C84" t="str">
        <f>IFERROR(INDEX(자료실범례[],MATCH($B84,자료실범례[소장처명],0),2),"종합자료실")</f>
        <v>어린이자료실</v>
      </c>
      <c r="D84">
        <v>2</v>
      </c>
      <c r="E84">
        <v>0</v>
      </c>
      <c r="F84">
        <v>2</v>
      </c>
      <c r="G84">
        <v>0</v>
      </c>
      <c r="H84">
        <v>0</v>
      </c>
      <c r="I84">
        <v>0</v>
      </c>
      <c r="J84">
        <v>1</v>
      </c>
      <c r="K84">
        <v>1</v>
      </c>
      <c r="L84">
        <v>2</v>
      </c>
      <c r="M84">
        <v>4</v>
      </c>
    </row>
    <row r="85" spans="1:13" x14ac:dyDescent="0.3">
      <c r="A85" s="1">
        <v>44958</v>
      </c>
      <c r="B85" t="s">
        <v>18</v>
      </c>
      <c r="C85" t="str">
        <f>IFERROR(INDEX(자료실범례[],MATCH($B85,자료실범례[소장처명],0),2),"종합자료실")</f>
        <v>종합자료실</v>
      </c>
      <c r="D85">
        <v>0</v>
      </c>
      <c r="E85">
        <v>0</v>
      </c>
      <c r="F85">
        <v>0</v>
      </c>
      <c r="G85">
        <v>0</v>
      </c>
      <c r="H85">
        <v>1</v>
      </c>
      <c r="I85">
        <v>1</v>
      </c>
      <c r="J85">
        <v>0</v>
      </c>
      <c r="K85">
        <v>1</v>
      </c>
      <c r="L85">
        <v>1</v>
      </c>
      <c r="M85">
        <v>2</v>
      </c>
    </row>
    <row r="86" spans="1:13" x14ac:dyDescent="0.3">
      <c r="A86" s="1">
        <v>44958</v>
      </c>
      <c r="B86" t="s">
        <v>20</v>
      </c>
      <c r="C86" t="str">
        <f>IFERROR(INDEX(자료실범례[],MATCH($B86,자료실범례[소장처명],0),2),"종합자료실")</f>
        <v>종합자료실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1</v>
      </c>
      <c r="L86">
        <v>2</v>
      </c>
      <c r="M86">
        <v>2</v>
      </c>
    </row>
    <row r="87" spans="1:13" x14ac:dyDescent="0.3">
      <c r="A87" s="1">
        <v>44958</v>
      </c>
      <c r="B87" t="s">
        <v>21</v>
      </c>
      <c r="C87" t="str">
        <f>IFERROR(INDEX(자료실범례[],MATCH($B87,자료실범례[소장처명],0),2),"종합자료실")</f>
        <v>종합자료실</v>
      </c>
      <c r="D87">
        <v>3</v>
      </c>
      <c r="E87">
        <v>6</v>
      </c>
      <c r="F87">
        <v>9</v>
      </c>
      <c r="G87">
        <v>20</v>
      </c>
      <c r="H87">
        <v>30</v>
      </c>
      <c r="I87">
        <v>50</v>
      </c>
      <c r="J87">
        <v>119</v>
      </c>
      <c r="K87">
        <v>199</v>
      </c>
      <c r="L87">
        <v>318</v>
      </c>
      <c r="M87">
        <v>377</v>
      </c>
    </row>
    <row r="88" spans="1:13" x14ac:dyDescent="0.3">
      <c r="A88" s="1">
        <v>45352</v>
      </c>
      <c r="B88" t="s">
        <v>198</v>
      </c>
      <c r="C88" t="str">
        <f>IFERROR(INDEX(자료실범례[],MATCH($B88,자료실범례[소장처명],0),2),"종합자료실")</f>
        <v>어린이자료실</v>
      </c>
      <c r="D88">
        <v>4</v>
      </c>
      <c r="E88">
        <v>8</v>
      </c>
      <c r="F88">
        <v>12</v>
      </c>
      <c r="G88">
        <v>1</v>
      </c>
      <c r="H88">
        <v>0</v>
      </c>
      <c r="I88">
        <v>1</v>
      </c>
      <c r="J88">
        <v>3</v>
      </c>
      <c r="K88">
        <v>7</v>
      </c>
      <c r="L88">
        <v>10</v>
      </c>
      <c r="M88">
        <v>23</v>
      </c>
    </row>
    <row r="89" spans="1:13" x14ac:dyDescent="0.3">
      <c r="A89" s="1">
        <v>45352</v>
      </c>
      <c r="B89" t="s">
        <v>197</v>
      </c>
      <c r="C89" t="str">
        <f>IFERROR(INDEX(자료실범례[],MATCH($B89,자료실범례[소장처명],0),2),"종합자료실")</f>
        <v>종합자료실</v>
      </c>
      <c r="D89">
        <v>0</v>
      </c>
      <c r="E89">
        <v>2</v>
      </c>
      <c r="F89">
        <v>2</v>
      </c>
      <c r="G89">
        <v>0</v>
      </c>
      <c r="H89">
        <v>1</v>
      </c>
      <c r="I89">
        <v>1</v>
      </c>
      <c r="J89">
        <v>3</v>
      </c>
      <c r="K89">
        <v>13</v>
      </c>
      <c r="L89">
        <v>16</v>
      </c>
      <c r="M89">
        <v>19</v>
      </c>
    </row>
    <row r="90" spans="1:13" x14ac:dyDescent="0.3">
      <c r="A90" s="1">
        <v>45352</v>
      </c>
      <c r="B90" t="s">
        <v>0</v>
      </c>
      <c r="C90" t="str">
        <f>IFERROR(INDEX(자료실범례[],MATCH($B90,자료실범례[소장처명],0),2),"종합자료실")</f>
        <v>어린이자료실</v>
      </c>
      <c r="D90">
        <v>3</v>
      </c>
      <c r="E90">
        <v>2</v>
      </c>
      <c r="F90">
        <v>5</v>
      </c>
      <c r="G90">
        <v>0</v>
      </c>
      <c r="H90">
        <v>1</v>
      </c>
      <c r="I90">
        <v>1</v>
      </c>
      <c r="J90">
        <v>3</v>
      </c>
      <c r="K90">
        <v>5</v>
      </c>
      <c r="L90">
        <v>8</v>
      </c>
      <c r="M90">
        <v>14</v>
      </c>
    </row>
    <row r="91" spans="1:13" x14ac:dyDescent="0.3">
      <c r="A91" s="1">
        <v>45352</v>
      </c>
      <c r="B91" t="s">
        <v>1</v>
      </c>
      <c r="C91" t="str">
        <f>IFERROR(INDEX(자료실범례[],MATCH($B91,자료실범례[소장처명],0),2),"종합자료실")</f>
        <v>어린이자료실</v>
      </c>
      <c r="D91">
        <v>2</v>
      </c>
      <c r="E91">
        <v>1</v>
      </c>
      <c r="F91">
        <v>3</v>
      </c>
      <c r="G91">
        <v>0</v>
      </c>
      <c r="H91">
        <v>0</v>
      </c>
      <c r="I91">
        <v>0</v>
      </c>
      <c r="J91">
        <v>2</v>
      </c>
      <c r="K91">
        <v>4</v>
      </c>
      <c r="L91">
        <v>6</v>
      </c>
      <c r="M91">
        <v>9</v>
      </c>
    </row>
    <row r="92" spans="1:13" x14ac:dyDescent="0.3">
      <c r="A92" s="1">
        <v>45352</v>
      </c>
      <c r="B92" t="s">
        <v>2</v>
      </c>
      <c r="C92" t="str">
        <f>IFERROR(INDEX(자료실범례[],MATCH($B92,자료실범례[소장처명],0),2),"종합자료실")</f>
        <v>디지털자료실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</v>
      </c>
      <c r="K92">
        <v>5</v>
      </c>
      <c r="L92">
        <v>8</v>
      </c>
      <c r="M92">
        <v>8</v>
      </c>
    </row>
    <row r="93" spans="1:13" x14ac:dyDescent="0.3">
      <c r="A93" s="1">
        <v>45352</v>
      </c>
      <c r="B93" t="s">
        <v>3</v>
      </c>
      <c r="C93" t="str">
        <f>IFERROR(INDEX(자료실범례[],MATCH($B93,자료실범례[소장처명],0),2),"종합자료실")</f>
        <v>디지털자료실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1</v>
      </c>
      <c r="M93">
        <v>1</v>
      </c>
    </row>
    <row r="94" spans="1:13" x14ac:dyDescent="0.3">
      <c r="A94" s="1">
        <v>45352</v>
      </c>
      <c r="B94" t="s">
        <v>4</v>
      </c>
      <c r="C94" t="str">
        <f>IFERROR(INDEX(자료실범례[],MATCH($B94,자료실범례[소장처명],0),2),"종합자료실")</f>
        <v>어린이자료실</v>
      </c>
      <c r="D94">
        <v>0</v>
      </c>
      <c r="E94">
        <v>1</v>
      </c>
      <c r="F94">
        <v>1</v>
      </c>
      <c r="G94">
        <v>0</v>
      </c>
      <c r="H94">
        <v>0</v>
      </c>
      <c r="I94">
        <v>0</v>
      </c>
      <c r="J94">
        <v>3</v>
      </c>
      <c r="K94">
        <v>3</v>
      </c>
      <c r="L94">
        <v>6</v>
      </c>
      <c r="M94">
        <v>7</v>
      </c>
    </row>
    <row r="95" spans="1:13" x14ac:dyDescent="0.3">
      <c r="A95" s="1">
        <v>45352</v>
      </c>
      <c r="B95" t="s">
        <v>5</v>
      </c>
      <c r="C95" t="str">
        <f>IFERROR(INDEX(자료실범례[],MATCH($B95,자료실범례[소장처명],0),2),"종합자료실")</f>
        <v>종합자료실</v>
      </c>
      <c r="D95">
        <v>0</v>
      </c>
      <c r="E95">
        <v>1</v>
      </c>
      <c r="F95">
        <v>1</v>
      </c>
      <c r="G95">
        <v>1</v>
      </c>
      <c r="H95">
        <v>0</v>
      </c>
      <c r="I95">
        <v>1</v>
      </c>
      <c r="J95">
        <v>9</v>
      </c>
      <c r="K95">
        <v>14</v>
      </c>
      <c r="L95">
        <v>23</v>
      </c>
      <c r="M95">
        <v>25</v>
      </c>
    </row>
    <row r="96" spans="1:13" x14ac:dyDescent="0.3">
      <c r="A96" s="1">
        <v>45352</v>
      </c>
      <c r="B96" t="s">
        <v>6</v>
      </c>
      <c r="C96" t="str">
        <f>IFERROR(INDEX(자료실범례[],MATCH($B96,자료실범례[소장처명],0),2),"종합자료실")</f>
        <v>종합자료실</v>
      </c>
      <c r="D96">
        <v>4</v>
      </c>
      <c r="E96">
        <v>5</v>
      </c>
      <c r="F96">
        <v>9</v>
      </c>
      <c r="G96">
        <v>1</v>
      </c>
      <c r="H96">
        <v>5</v>
      </c>
      <c r="I96">
        <v>6</v>
      </c>
      <c r="J96">
        <v>5</v>
      </c>
      <c r="K96">
        <v>16</v>
      </c>
      <c r="L96">
        <v>21</v>
      </c>
      <c r="M96">
        <v>36</v>
      </c>
    </row>
    <row r="97" spans="1:13" x14ac:dyDescent="0.3">
      <c r="A97" s="1">
        <v>45352</v>
      </c>
      <c r="B97" t="s">
        <v>7</v>
      </c>
      <c r="C97" t="str">
        <f>IFERROR(INDEX(자료실범례[],MATCH($B97,자료실범례[소장처명],0),2),"종합자료실")</f>
        <v>어린이자료실</v>
      </c>
      <c r="D97">
        <v>10</v>
      </c>
      <c r="E97">
        <v>9</v>
      </c>
      <c r="F97">
        <v>19</v>
      </c>
      <c r="G97">
        <v>0</v>
      </c>
      <c r="H97">
        <v>0</v>
      </c>
      <c r="I97">
        <v>0</v>
      </c>
      <c r="J97">
        <v>0</v>
      </c>
      <c r="K97">
        <v>8</v>
      </c>
      <c r="L97">
        <v>8</v>
      </c>
      <c r="M97">
        <v>27</v>
      </c>
    </row>
    <row r="98" spans="1:13" x14ac:dyDescent="0.3">
      <c r="A98" s="1">
        <v>45352</v>
      </c>
      <c r="B98" t="s">
        <v>8</v>
      </c>
      <c r="C98" t="str">
        <f>IFERROR(INDEX(자료실범례[],MATCH($B98,자료실범례[소장처명],0),2),"종합자료실")</f>
        <v>어린이자료실</v>
      </c>
      <c r="D98">
        <v>1</v>
      </c>
      <c r="E98">
        <v>7</v>
      </c>
      <c r="F98">
        <v>8</v>
      </c>
      <c r="G98">
        <v>0</v>
      </c>
      <c r="H98">
        <v>0</v>
      </c>
      <c r="I98">
        <v>0</v>
      </c>
      <c r="J98">
        <v>0</v>
      </c>
      <c r="K98">
        <v>7</v>
      </c>
      <c r="L98">
        <v>7</v>
      </c>
      <c r="M98">
        <v>15</v>
      </c>
    </row>
    <row r="99" spans="1:13" x14ac:dyDescent="0.3">
      <c r="A99" s="1">
        <v>45352</v>
      </c>
      <c r="B99" t="s">
        <v>9</v>
      </c>
      <c r="C99" t="str">
        <f>IFERROR(INDEX(자료실범례[],MATCH($B99,자료실범례[소장처명],0),2),"종합자료실")</f>
        <v>어린이자료실</v>
      </c>
      <c r="D99">
        <v>1</v>
      </c>
      <c r="E99">
        <v>2</v>
      </c>
      <c r="F99">
        <v>3</v>
      </c>
      <c r="G99">
        <v>0</v>
      </c>
      <c r="H99">
        <v>0</v>
      </c>
      <c r="I99">
        <v>0</v>
      </c>
      <c r="J99">
        <v>1</v>
      </c>
      <c r="K99">
        <v>2</v>
      </c>
      <c r="L99">
        <v>3</v>
      </c>
      <c r="M99">
        <v>6</v>
      </c>
    </row>
    <row r="100" spans="1:13" x14ac:dyDescent="0.3">
      <c r="A100" s="1">
        <v>45352</v>
      </c>
      <c r="B100" t="s">
        <v>10</v>
      </c>
      <c r="C100" t="str">
        <f>IFERROR(INDEX(자료실범례[],MATCH($B100,자료실범례[소장처명],0),2),"종합자료실")</f>
        <v>어린이자료실</v>
      </c>
      <c r="D100">
        <v>6</v>
      </c>
      <c r="E100">
        <v>2</v>
      </c>
      <c r="F100">
        <v>8</v>
      </c>
      <c r="G100">
        <v>0</v>
      </c>
      <c r="H100">
        <v>0</v>
      </c>
      <c r="I100">
        <v>0</v>
      </c>
      <c r="J100">
        <v>1</v>
      </c>
      <c r="K100">
        <v>3</v>
      </c>
      <c r="L100">
        <v>4</v>
      </c>
      <c r="M100">
        <v>12</v>
      </c>
    </row>
    <row r="101" spans="1:13" x14ac:dyDescent="0.3">
      <c r="A101" s="1">
        <v>45352</v>
      </c>
      <c r="B101" t="s">
        <v>11</v>
      </c>
      <c r="C101" t="str">
        <f>IFERROR(INDEX(자료실범례[],MATCH($B101,자료실범례[소장처명],0),2),"종합자료실")</f>
        <v>어린이자료실</v>
      </c>
      <c r="D101">
        <v>2</v>
      </c>
      <c r="E101">
        <v>1</v>
      </c>
      <c r="F101">
        <v>3</v>
      </c>
      <c r="G101">
        <v>0</v>
      </c>
      <c r="H101">
        <v>1</v>
      </c>
      <c r="I101">
        <v>1</v>
      </c>
      <c r="J101">
        <v>2</v>
      </c>
      <c r="K101">
        <v>3</v>
      </c>
      <c r="L101">
        <v>5</v>
      </c>
      <c r="M101">
        <v>9</v>
      </c>
    </row>
    <row r="102" spans="1:13" x14ac:dyDescent="0.3">
      <c r="A102" s="1">
        <v>45352</v>
      </c>
      <c r="B102" t="s">
        <v>12</v>
      </c>
      <c r="C102" t="str">
        <f>IFERROR(INDEX(자료실범례[],MATCH($B102,자료실범례[소장처명],0),2),"종합자료실")</f>
        <v>어린이자료실</v>
      </c>
      <c r="D102">
        <v>1</v>
      </c>
      <c r="E102">
        <v>2</v>
      </c>
      <c r="F102">
        <v>3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1</v>
      </c>
      <c r="M102">
        <v>4</v>
      </c>
    </row>
    <row r="103" spans="1:13" x14ac:dyDescent="0.3">
      <c r="A103" s="1">
        <v>45352</v>
      </c>
      <c r="B103" t="s">
        <v>13</v>
      </c>
      <c r="C103" t="str">
        <f>IFERROR(INDEX(자료실범례[],MATCH($B103,자료실범례[소장처명],0),2),"종합자료실")</f>
        <v>어린이자료실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1</v>
      </c>
      <c r="J103">
        <v>0</v>
      </c>
      <c r="K103">
        <v>2</v>
      </c>
      <c r="L103">
        <v>2</v>
      </c>
      <c r="M103">
        <v>3</v>
      </c>
    </row>
    <row r="104" spans="1:13" x14ac:dyDescent="0.3">
      <c r="A104" s="1">
        <v>45352</v>
      </c>
      <c r="B104" t="s">
        <v>14</v>
      </c>
      <c r="C104" t="str">
        <f>IFERROR(INDEX(자료실범례[],MATCH($B104,자료실범례[소장처명],0),2),"종합자료실")</f>
        <v>어린이자료실</v>
      </c>
      <c r="D104">
        <v>23</v>
      </c>
      <c r="E104">
        <v>22</v>
      </c>
      <c r="F104">
        <v>45</v>
      </c>
      <c r="G104">
        <v>4</v>
      </c>
      <c r="H104">
        <v>2</v>
      </c>
      <c r="I104">
        <v>6</v>
      </c>
      <c r="J104">
        <v>14</v>
      </c>
      <c r="K104">
        <v>38</v>
      </c>
      <c r="L104">
        <v>52</v>
      </c>
      <c r="M104">
        <v>103</v>
      </c>
    </row>
    <row r="105" spans="1:13" x14ac:dyDescent="0.3">
      <c r="A105" s="1">
        <v>45352</v>
      </c>
      <c r="B105" t="s">
        <v>15</v>
      </c>
      <c r="C105" t="str">
        <f>IFERROR(INDEX(자료실범례[],MATCH($B105,자료실범례[소장처명],0),2),"종합자료실")</f>
        <v>어린이자료실</v>
      </c>
      <c r="D105">
        <v>25</v>
      </c>
      <c r="E105">
        <v>14</v>
      </c>
      <c r="F105">
        <v>39</v>
      </c>
      <c r="G105">
        <v>4</v>
      </c>
      <c r="H105">
        <v>1</v>
      </c>
      <c r="I105">
        <v>5</v>
      </c>
      <c r="J105">
        <v>10</v>
      </c>
      <c r="K105">
        <v>29</v>
      </c>
      <c r="L105">
        <v>39</v>
      </c>
      <c r="M105">
        <v>83</v>
      </c>
    </row>
    <row r="106" spans="1:13" x14ac:dyDescent="0.3">
      <c r="A106" s="1">
        <v>45352</v>
      </c>
      <c r="B106" t="s">
        <v>16</v>
      </c>
      <c r="C106" t="str">
        <f>IFERROR(INDEX(자료실범례[],MATCH($B106,자료실범례[소장처명],0),2),"종합자료실")</f>
        <v>어린이자료실</v>
      </c>
      <c r="D106">
        <v>45</v>
      </c>
      <c r="E106">
        <v>47</v>
      </c>
      <c r="F106">
        <v>92</v>
      </c>
      <c r="G106">
        <v>7</v>
      </c>
      <c r="H106">
        <v>5</v>
      </c>
      <c r="I106">
        <v>12</v>
      </c>
      <c r="J106">
        <v>29</v>
      </c>
      <c r="K106">
        <v>85</v>
      </c>
      <c r="L106">
        <v>114</v>
      </c>
      <c r="M106">
        <v>218</v>
      </c>
    </row>
    <row r="107" spans="1:13" x14ac:dyDescent="0.3">
      <c r="A107" s="1">
        <v>45352</v>
      </c>
      <c r="B107" t="s">
        <v>17</v>
      </c>
      <c r="C107" t="str">
        <f>IFERROR(INDEX(자료실범례[],MATCH($B107,자료실범례[소장처명],0),2),"종합자료실")</f>
        <v>어린이자료실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2</v>
      </c>
      <c r="K107">
        <v>1</v>
      </c>
      <c r="L107">
        <v>3</v>
      </c>
      <c r="M107">
        <v>3</v>
      </c>
    </row>
    <row r="108" spans="1:13" x14ac:dyDescent="0.3">
      <c r="A108" s="1">
        <v>45352</v>
      </c>
      <c r="B108" t="s">
        <v>18</v>
      </c>
      <c r="C108" t="str">
        <f>IFERROR(INDEX(자료실범례[],MATCH($B108,자료실범례[소장처명],0),2),"종합자료실")</f>
        <v>종합자료실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1</v>
      </c>
      <c r="L108">
        <v>2</v>
      </c>
      <c r="M108">
        <v>2</v>
      </c>
    </row>
    <row r="109" spans="1:13" x14ac:dyDescent="0.3">
      <c r="A109" s="1">
        <v>45352</v>
      </c>
      <c r="B109" t="s">
        <v>19</v>
      </c>
      <c r="C109" t="str">
        <f>IFERROR(INDEX(자료실범례[],MATCH($B109,자료실범례[소장처명],0),2),"종합자료실")</f>
        <v>종합자료실</v>
      </c>
      <c r="D109">
        <v>5</v>
      </c>
      <c r="E109">
        <v>3</v>
      </c>
      <c r="F109">
        <v>8</v>
      </c>
      <c r="G109">
        <v>2</v>
      </c>
      <c r="H109">
        <v>1</v>
      </c>
      <c r="I109">
        <v>3</v>
      </c>
      <c r="J109">
        <v>52</v>
      </c>
      <c r="K109">
        <v>90</v>
      </c>
      <c r="L109">
        <v>142</v>
      </c>
      <c r="M109">
        <v>153</v>
      </c>
    </row>
    <row r="110" spans="1:13" x14ac:dyDescent="0.3">
      <c r="A110" s="1">
        <v>45352</v>
      </c>
      <c r="B110" t="s">
        <v>20</v>
      </c>
      <c r="C110" t="str">
        <f>IFERROR(INDEX(자료실범례[],MATCH($B110,자료실범례[소장처명],0),2),"종합자료실")</f>
        <v>종합자료실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1</v>
      </c>
      <c r="M110">
        <v>1</v>
      </c>
    </row>
    <row r="111" spans="1:13" x14ac:dyDescent="0.3">
      <c r="A111" s="1">
        <v>45352</v>
      </c>
      <c r="B111" t="s">
        <v>21</v>
      </c>
      <c r="C111" t="str">
        <f>IFERROR(INDEX(자료실범례[],MATCH($B111,자료실범례[소장처명],0),2),"종합자료실")</f>
        <v>종합자료실</v>
      </c>
      <c r="D111">
        <v>10</v>
      </c>
      <c r="E111">
        <v>6</v>
      </c>
      <c r="F111">
        <v>16</v>
      </c>
      <c r="G111">
        <v>15</v>
      </c>
      <c r="H111">
        <v>22</v>
      </c>
      <c r="I111">
        <v>37</v>
      </c>
      <c r="J111">
        <v>118</v>
      </c>
      <c r="K111">
        <v>203</v>
      </c>
      <c r="L111">
        <v>321</v>
      </c>
      <c r="M111">
        <v>374</v>
      </c>
    </row>
    <row r="112" spans="1:13" x14ac:dyDescent="0.3">
      <c r="A112" s="1">
        <v>44986</v>
      </c>
      <c r="B112" t="s">
        <v>23</v>
      </c>
      <c r="C112" t="str">
        <f>IFERROR(INDEX(자료실범례[],MATCH($B112,자료실범례[소장처명],0),2),"종합자료실")</f>
        <v>종합자료실</v>
      </c>
      <c r="D112">
        <v>2</v>
      </c>
      <c r="E112">
        <v>1</v>
      </c>
      <c r="F112">
        <v>3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</v>
      </c>
    </row>
    <row r="113" spans="1:13" x14ac:dyDescent="0.3">
      <c r="A113" s="1">
        <v>44986</v>
      </c>
      <c r="B113" t="s">
        <v>0</v>
      </c>
      <c r="C113" t="str">
        <f>IFERROR(INDEX(자료실범례[],MATCH($B113,자료실범례[소장처명],0),2),"종합자료실")</f>
        <v>어린이자료실</v>
      </c>
      <c r="D113">
        <v>2</v>
      </c>
      <c r="E113">
        <v>1</v>
      </c>
      <c r="F113">
        <v>3</v>
      </c>
      <c r="G113">
        <v>0</v>
      </c>
      <c r="H113">
        <v>0</v>
      </c>
      <c r="I113">
        <v>0</v>
      </c>
      <c r="J113">
        <v>1</v>
      </c>
      <c r="K113">
        <v>5</v>
      </c>
      <c r="L113">
        <v>6</v>
      </c>
      <c r="M113">
        <v>9</v>
      </c>
    </row>
    <row r="114" spans="1:13" x14ac:dyDescent="0.3">
      <c r="A114" s="1">
        <v>44986</v>
      </c>
      <c r="B114" t="s">
        <v>1</v>
      </c>
      <c r="C114" t="str">
        <f>IFERROR(INDEX(자료실범례[],MATCH($B114,자료실범례[소장처명],0),2),"종합자료실")</f>
        <v>어린이자료실</v>
      </c>
      <c r="D114">
        <v>5</v>
      </c>
      <c r="E114">
        <v>1</v>
      </c>
      <c r="F114">
        <v>6</v>
      </c>
      <c r="G114">
        <v>0</v>
      </c>
      <c r="H114">
        <v>0</v>
      </c>
      <c r="I114">
        <v>0</v>
      </c>
      <c r="J114">
        <v>2</v>
      </c>
      <c r="K114">
        <v>10</v>
      </c>
      <c r="L114">
        <v>12</v>
      </c>
      <c r="M114">
        <v>18</v>
      </c>
    </row>
    <row r="115" spans="1:13" x14ac:dyDescent="0.3">
      <c r="A115" s="1">
        <v>44986</v>
      </c>
      <c r="B115" t="s">
        <v>2</v>
      </c>
      <c r="C115" t="str">
        <f>IFERROR(INDEX(자료실범례[],MATCH($B115,자료실범례[소장처명],0),2),"종합자료실")</f>
        <v>디지털자료실</v>
      </c>
      <c r="D115">
        <v>1</v>
      </c>
      <c r="E115">
        <v>2</v>
      </c>
      <c r="F115">
        <v>3</v>
      </c>
      <c r="G115">
        <v>0</v>
      </c>
      <c r="H115">
        <v>1</v>
      </c>
      <c r="I115">
        <v>1</v>
      </c>
      <c r="J115">
        <v>4</v>
      </c>
      <c r="K115">
        <v>4</v>
      </c>
      <c r="L115">
        <v>8</v>
      </c>
      <c r="M115">
        <v>12</v>
      </c>
    </row>
    <row r="116" spans="1:13" x14ac:dyDescent="0.3">
      <c r="A116" s="1">
        <v>44986</v>
      </c>
      <c r="B116" t="s">
        <v>3</v>
      </c>
      <c r="C116" t="str">
        <f>IFERROR(INDEX(자료실범례[],MATCH($B116,자료실범례[소장처명],0),2),"종합자료실")</f>
        <v>디지털자료실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1</v>
      </c>
      <c r="J116">
        <v>0</v>
      </c>
      <c r="K116">
        <v>2</v>
      </c>
      <c r="L116">
        <v>2</v>
      </c>
      <c r="M116">
        <v>3</v>
      </c>
    </row>
    <row r="117" spans="1:13" x14ac:dyDescent="0.3">
      <c r="A117" s="1">
        <v>44986</v>
      </c>
      <c r="B117" t="s">
        <v>4</v>
      </c>
      <c r="C117" t="str">
        <f>IFERROR(INDEX(자료실범례[],MATCH($B117,자료실범례[소장처명],0),2),"종합자료실")</f>
        <v>어린이자료실</v>
      </c>
      <c r="D117">
        <v>6</v>
      </c>
      <c r="E117">
        <v>6</v>
      </c>
      <c r="F117">
        <v>12</v>
      </c>
      <c r="G117">
        <v>1</v>
      </c>
      <c r="H117">
        <v>0</v>
      </c>
      <c r="I117">
        <v>1</v>
      </c>
      <c r="J117">
        <v>4</v>
      </c>
      <c r="K117">
        <v>6</v>
      </c>
      <c r="L117">
        <v>10</v>
      </c>
      <c r="M117">
        <v>23</v>
      </c>
    </row>
    <row r="118" spans="1:13" x14ac:dyDescent="0.3">
      <c r="A118" s="1">
        <v>44986</v>
      </c>
      <c r="B118" t="s">
        <v>5</v>
      </c>
      <c r="C118" t="str">
        <f>IFERROR(INDEX(자료실범례[],MATCH($B118,자료실범례[소장처명],0),2),"종합자료실")</f>
        <v>종합자료실</v>
      </c>
      <c r="D118">
        <v>1</v>
      </c>
      <c r="E118">
        <v>0</v>
      </c>
      <c r="F118">
        <v>1</v>
      </c>
      <c r="G118">
        <v>2</v>
      </c>
      <c r="H118">
        <v>1</v>
      </c>
      <c r="I118">
        <v>3</v>
      </c>
      <c r="J118">
        <v>10</v>
      </c>
      <c r="K118">
        <v>14</v>
      </c>
      <c r="L118">
        <v>24</v>
      </c>
      <c r="M118">
        <v>28</v>
      </c>
    </row>
    <row r="119" spans="1:13" x14ac:dyDescent="0.3">
      <c r="A119" s="1">
        <v>44986</v>
      </c>
      <c r="B119" t="s">
        <v>6</v>
      </c>
      <c r="C119" t="str">
        <f>IFERROR(INDEX(자료실범례[],MATCH($B119,자료실범례[소장처명],0),2),"종합자료실")</f>
        <v>종합자료실</v>
      </c>
      <c r="D119">
        <v>0</v>
      </c>
      <c r="E119">
        <v>6</v>
      </c>
      <c r="F119">
        <v>6</v>
      </c>
      <c r="G119">
        <v>2</v>
      </c>
      <c r="H119">
        <v>1</v>
      </c>
      <c r="I119">
        <v>3</v>
      </c>
      <c r="J119">
        <v>5</v>
      </c>
      <c r="K119">
        <v>8</v>
      </c>
      <c r="L119">
        <v>13</v>
      </c>
      <c r="M119">
        <v>22</v>
      </c>
    </row>
    <row r="120" spans="1:13" x14ac:dyDescent="0.3">
      <c r="A120" s="1">
        <v>44986</v>
      </c>
      <c r="B120" t="s">
        <v>7</v>
      </c>
      <c r="C120" t="str">
        <f>IFERROR(INDEX(자료실범례[],MATCH($B120,자료실범례[소장처명],0),2),"종합자료실")</f>
        <v>어린이자료실</v>
      </c>
      <c r="D120">
        <v>4</v>
      </c>
      <c r="E120">
        <v>8</v>
      </c>
      <c r="F120">
        <v>12</v>
      </c>
      <c r="G120">
        <v>1</v>
      </c>
      <c r="H120">
        <v>0</v>
      </c>
      <c r="I120">
        <v>1</v>
      </c>
      <c r="J120">
        <v>2</v>
      </c>
      <c r="K120">
        <v>9</v>
      </c>
      <c r="L120">
        <v>11</v>
      </c>
      <c r="M120">
        <v>24</v>
      </c>
    </row>
    <row r="121" spans="1:13" x14ac:dyDescent="0.3">
      <c r="A121" s="1">
        <v>44986</v>
      </c>
      <c r="B121" t="s">
        <v>8</v>
      </c>
      <c r="C121" t="str">
        <f>IFERROR(INDEX(자료실범례[],MATCH($B121,자료실범례[소장처명],0),2),"종합자료실")</f>
        <v>어린이자료실</v>
      </c>
      <c r="D121">
        <v>1</v>
      </c>
      <c r="E121">
        <v>7</v>
      </c>
      <c r="F121">
        <v>8</v>
      </c>
      <c r="G121">
        <v>0</v>
      </c>
      <c r="H121">
        <v>0</v>
      </c>
      <c r="I121">
        <v>0</v>
      </c>
      <c r="J121">
        <v>2</v>
      </c>
      <c r="K121">
        <v>9</v>
      </c>
      <c r="L121">
        <v>11</v>
      </c>
      <c r="M121">
        <v>19</v>
      </c>
    </row>
    <row r="122" spans="1:13" x14ac:dyDescent="0.3">
      <c r="A122" s="1">
        <v>44986</v>
      </c>
      <c r="B122" t="s">
        <v>9</v>
      </c>
      <c r="C122" t="str">
        <f>IFERROR(INDEX(자료실범례[],MATCH($B122,자료실범례[소장처명],0),2),"종합자료실")</f>
        <v>어린이자료실</v>
      </c>
      <c r="D122">
        <v>5</v>
      </c>
      <c r="E122">
        <v>1</v>
      </c>
      <c r="F122">
        <v>6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1</v>
      </c>
      <c r="M122">
        <v>7</v>
      </c>
    </row>
    <row r="123" spans="1:13" x14ac:dyDescent="0.3">
      <c r="A123" s="1">
        <v>44986</v>
      </c>
      <c r="B123" t="s">
        <v>10</v>
      </c>
      <c r="C123" t="str">
        <f>IFERROR(INDEX(자료실범례[],MATCH($B123,자료실범례[소장처명],0),2),"종합자료실")</f>
        <v>어린이자료실</v>
      </c>
      <c r="D123">
        <v>0</v>
      </c>
      <c r="E123">
        <v>1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5</v>
      </c>
      <c r="L123">
        <v>5</v>
      </c>
      <c r="M123">
        <v>6</v>
      </c>
    </row>
    <row r="124" spans="1:13" x14ac:dyDescent="0.3">
      <c r="A124" s="1">
        <v>44986</v>
      </c>
      <c r="B124" t="s">
        <v>11</v>
      </c>
      <c r="C124" t="str">
        <f>IFERROR(INDEX(자료실범례[],MATCH($B124,자료실범례[소장처명],0),2),"종합자료실")</f>
        <v>어린이자료실</v>
      </c>
      <c r="D124">
        <v>1</v>
      </c>
      <c r="E124">
        <v>0</v>
      </c>
      <c r="F124">
        <v>1</v>
      </c>
      <c r="G124">
        <v>1</v>
      </c>
      <c r="H124">
        <v>1</v>
      </c>
      <c r="I124">
        <v>2</v>
      </c>
      <c r="J124">
        <v>0</v>
      </c>
      <c r="K124">
        <v>6</v>
      </c>
      <c r="L124">
        <v>6</v>
      </c>
      <c r="M124">
        <v>9</v>
      </c>
    </row>
    <row r="125" spans="1:13" x14ac:dyDescent="0.3">
      <c r="A125" s="1">
        <v>44986</v>
      </c>
      <c r="B125" t="s">
        <v>12</v>
      </c>
      <c r="C125" t="str">
        <f>IFERROR(INDEX(자료실범례[],MATCH($B125,자료실범례[소장처명],0),2),"종합자료실")</f>
        <v>어린이자료실</v>
      </c>
      <c r="D125">
        <v>2</v>
      </c>
      <c r="E125">
        <v>0</v>
      </c>
      <c r="F125">
        <v>2</v>
      </c>
      <c r="G125">
        <v>1</v>
      </c>
      <c r="H125">
        <v>0</v>
      </c>
      <c r="I125">
        <v>1</v>
      </c>
      <c r="J125">
        <v>0</v>
      </c>
      <c r="K125">
        <v>1</v>
      </c>
      <c r="L125">
        <v>1</v>
      </c>
      <c r="M125">
        <v>4</v>
      </c>
    </row>
    <row r="126" spans="1:13" x14ac:dyDescent="0.3">
      <c r="A126" s="1">
        <v>44986</v>
      </c>
      <c r="B126" t="s">
        <v>13</v>
      </c>
      <c r="C126" t="str">
        <f>IFERROR(INDEX(자료실범례[],MATCH($B126,자료실범례[소장처명],0),2),"종합자료실")</f>
        <v>어린이자료실</v>
      </c>
      <c r="D126">
        <v>1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1</v>
      </c>
      <c r="M126">
        <v>2</v>
      </c>
    </row>
    <row r="127" spans="1:13" x14ac:dyDescent="0.3">
      <c r="A127" s="1">
        <v>44986</v>
      </c>
      <c r="B127" t="s">
        <v>15</v>
      </c>
      <c r="C127" t="str">
        <f>IFERROR(INDEX(자료실범례[],MATCH($B127,자료실범례[소장처명],0),2),"종합자료실")</f>
        <v>어린이자료실</v>
      </c>
      <c r="D127">
        <v>27</v>
      </c>
      <c r="E127">
        <v>17</v>
      </c>
      <c r="F127">
        <v>44</v>
      </c>
      <c r="G127">
        <v>2</v>
      </c>
      <c r="H127">
        <v>4</v>
      </c>
      <c r="I127">
        <v>6</v>
      </c>
      <c r="J127">
        <v>12</v>
      </c>
      <c r="K127">
        <v>31</v>
      </c>
      <c r="L127">
        <v>43</v>
      </c>
      <c r="M127">
        <v>93</v>
      </c>
    </row>
    <row r="128" spans="1:13" x14ac:dyDescent="0.3">
      <c r="A128" s="1">
        <v>44986</v>
      </c>
      <c r="B128" t="s">
        <v>16</v>
      </c>
      <c r="C128" t="str">
        <f>IFERROR(INDEX(자료실범례[],MATCH($B128,자료실범례[소장처명],0),2),"종합자료실")</f>
        <v>어린이자료실</v>
      </c>
      <c r="D128">
        <v>33</v>
      </c>
      <c r="E128">
        <v>47</v>
      </c>
      <c r="F128">
        <v>80</v>
      </c>
      <c r="G128">
        <v>7</v>
      </c>
      <c r="H128">
        <v>7</v>
      </c>
      <c r="I128">
        <v>14</v>
      </c>
      <c r="J128">
        <v>34</v>
      </c>
      <c r="K128">
        <v>96</v>
      </c>
      <c r="L128">
        <v>130</v>
      </c>
      <c r="M128">
        <v>224</v>
      </c>
    </row>
    <row r="129" spans="1:13" x14ac:dyDescent="0.3">
      <c r="A129" s="1">
        <v>44986</v>
      </c>
      <c r="B129" t="s">
        <v>17</v>
      </c>
      <c r="C129" t="str">
        <f>IFERROR(INDEX(자료실범례[],MATCH($B129,자료실범례[소장처명],0),2),"종합자료실")</f>
        <v>어린이자료실</v>
      </c>
      <c r="D129">
        <v>1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1</v>
      </c>
      <c r="K129">
        <v>2</v>
      </c>
      <c r="L129">
        <v>3</v>
      </c>
      <c r="M129">
        <v>4</v>
      </c>
    </row>
    <row r="130" spans="1:13" x14ac:dyDescent="0.3">
      <c r="A130" s="1">
        <v>44986</v>
      </c>
      <c r="B130" t="s">
        <v>18</v>
      </c>
      <c r="C130" t="str">
        <f>IFERROR(INDEX(자료실범례[],MATCH($B130,자료실범례[소장처명],0),2),"종합자료실")</f>
        <v>종합자료실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4</v>
      </c>
      <c r="L130">
        <v>5</v>
      </c>
      <c r="M130">
        <v>5</v>
      </c>
    </row>
    <row r="131" spans="1:13" x14ac:dyDescent="0.3">
      <c r="A131" s="1">
        <v>44986</v>
      </c>
      <c r="B131" t="s">
        <v>20</v>
      </c>
      <c r="C131" t="str">
        <f>IFERROR(INDEX(자료실범례[],MATCH($B131,자료실범례[소장처명],0),2),"종합자료실")</f>
        <v>종합자료실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1</v>
      </c>
    </row>
    <row r="132" spans="1:13" x14ac:dyDescent="0.3">
      <c r="A132" s="1">
        <v>44986</v>
      </c>
      <c r="B132" t="s">
        <v>21</v>
      </c>
      <c r="C132" t="str">
        <f>IFERROR(INDEX(자료실범례[],MATCH($B132,자료실범례[소장처명],0),2),"종합자료실")</f>
        <v>종합자료실</v>
      </c>
      <c r="D132">
        <v>13</v>
      </c>
      <c r="E132">
        <v>6</v>
      </c>
      <c r="F132">
        <v>19</v>
      </c>
      <c r="G132">
        <v>9</v>
      </c>
      <c r="H132">
        <v>30</v>
      </c>
      <c r="I132">
        <v>39</v>
      </c>
      <c r="J132">
        <v>114</v>
      </c>
      <c r="K132">
        <v>231</v>
      </c>
      <c r="L132">
        <v>345</v>
      </c>
      <c r="M132">
        <v>403</v>
      </c>
    </row>
    <row r="133" spans="1:13" x14ac:dyDescent="0.3">
      <c r="A133" s="1">
        <v>45383</v>
      </c>
      <c r="B133" t="s">
        <v>198</v>
      </c>
      <c r="C133" t="str">
        <f>IFERROR(INDEX(자료실범례[],MATCH($B133,자료실범례[소장처명],0),2),"종합자료실")</f>
        <v>어린이자료실</v>
      </c>
      <c r="D133">
        <v>3</v>
      </c>
      <c r="E133">
        <v>3</v>
      </c>
      <c r="F133">
        <v>6</v>
      </c>
      <c r="G133">
        <v>0</v>
      </c>
      <c r="H133">
        <v>0</v>
      </c>
      <c r="I133">
        <v>0</v>
      </c>
      <c r="J133">
        <v>2</v>
      </c>
      <c r="K133">
        <v>6</v>
      </c>
      <c r="L133">
        <v>8</v>
      </c>
      <c r="M133">
        <v>14</v>
      </c>
    </row>
    <row r="134" spans="1:13" x14ac:dyDescent="0.3">
      <c r="A134" s="1">
        <v>45383</v>
      </c>
      <c r="B134" t="s">
        <v>197</v>
      </c>
      <c r="C134" t="str">
        <f>IFERROR(INDEX(자료실범례[],MATCH($B134,자료실범례[소장처명],0),2),"종합자료실")</f>
        <v>종합자료실</v>
      </c>
      <c r="D134">
        <v>0</v>
      </c>
      <c r="E134">
        <v>2</v>
      </c>
      <c r="F134">
        <v>2</v>
      </c>
      <c r="G134">
        <v>1</v>
      </c>
      <c r="H134">
        <v>0</v>
      </c>
      <c r="I134">
        <v>1</v>
      </c>
      <c r="J134">
        <v>0</v>
      </c>
      <c r="K134">
        <v>8</v>
      </c>
      <c r="L134">
        <v>8</v>
      </c>
      <c r="M134">
        <v>11</v>
      </c>
    </row>
    <row r="135" spans="1:13" x14ac:dyDescent="0.3">
      <c r="A135" s="1">
        <v>45383</v>
      </c>
      <c r="B135" t="s">
        <v>23</v>
      </c>
      <c r="C135" t="str">
        <f>IFERROR(INDEX(자료실범례[],MATCH($B135,자료실범례[소장처명],0),2),"종합자료실")</f>
        <v>종합자료실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1</v>
      </c>
      <c r="M135">
        <v>1</v>
      </c>
    </row>
    <row r="136" spans="1:13" x14ac:dyDescent="0.3">
      <c r="A136" s="1">
        <v>45383</v>
      </c>
      <c r="B136" t="s">
        <v>0</v>
      </c>
      <c r="C136" t="str">
        <f>IFERROR(INDEX(자료실범례[],MATCH($B136,자료실범례[소장처명],0),2),"종합자료실")</f>
        <v>어린이자료실</v>
      </c>
      <c r="D136">
        <v>3</v>
      </c>
      <c r="E136">
        <v>1</v>
      </c>
      <c r="F136">
        <v>4</v>
      </c>
      <c r="G136">
        <v>0</v>
      </c>
      <c r="H136">
        <v>0</v>
      </c>
      <c r="I136">
        <v>0</v>
      </c>
      <c r="J136">
        <v>2</v>
      </c>
      <c r="K136">
        <v>3</v>
      </c>
      <c r="L136">
        <v>5</v>
      </c>
      <c r="M136">
        <v>9</v>
      </c>
    </row>
    <row r="137" spans="1:13" x14ac:dyDescent="0.3">
      <c r="A137" s="1">
        <v>45383</v>
      </c>
      <c r="B137" t="s">
        <v>1</v>
      </c>
      <c r="C137" t="str">
        <f>IFERROR(INDEX(자료실범례[],MATCH($B137,자료실범례[소장처명],0),2),"종합자료실")</f>
        <v>어린이자료실</v>
      </c>
      <c r="D137">
        <v>4</v>
      </c>
      <c r="E137">
        <v>2</v>
      </c>
      <c r="F137">
        <v>6</v>
      </c>
      <c r="G137">
        <v>0</v>
      </c>
      <c r="H137">
        <v>0</v>
      </c>
      <c r="I137">
        <v>0</v>
      </c>
      <c r="J137">
        <v>2</v>
      </c>
      <c r="K137">
        <v>2</v>
      </c>
      <c r="L137">
        <v>4</v>
      </c>
      <c r="M137">
        <v>10</v>
      </c>
    </row>
    <row r="138" spans="1:13" x14ac:dyDescent="0.3">
      <c r="A138" s="1">
        <v>45383</v>
      </c>
      <c r="B138" t="s">
        <v>2</v>
      </c>
      <c r="C138" t="str">
        <f>IFERROR(INDEX(자료실범례[],MATCH($B138,자료실범례[소장처명],0),2),"종합자료실")</f>
        <v>디지털자료실</v>
      </c>
      <c r="D138">
        <v>1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3</v>
      </c>
      <c r="K138">
        <v>1</v>
      </c>
      <c r="L138">
        <v>4</v>
      </c>
      <c r="M138">
        <v>5</v>
      </c>
    </row>
    <row r="139" spans="1:13" x14ac:dyDescent="0.3">
      <c r="A139" s="1">
        <v>45383</v>
      </c>
      <c r="B139" t="s">
        <v>3</v>
      </c>
      <c r="C139" t="str">
        <f>IFERROR(INDEX(자료실범례[],MATCH($B139,자료실범례[소장처명],0),2),"종합자료실")</f>
        <v>디지털자료실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1</v>
      </c>
      <c r="M139">
        <v>1</v>
      </c>
    </row>
    <row r="140" spans="1:13" x14ac:dyDescent="0.3">
      <c r="A140" s="1">
        <v>45383</v>
      </c>
      <c r="B140" t="s">
        <v>4</v>
      </c>
      <c r="C140" t="str">
        <f>IFERROR(INDEX(자료실범례[],MATCH($B140,자료실범례[소장처명],0),2),"종합자료실")</f>
        <v>어린이자료실</v>
      </c>
      <c r="D140">
        <v>2</v>
      </c>
      <c r="E140">
        <v>0</v>
      </c>
      <c r="F140">
        <v>2</v>
      </c>
      <c r="G140">
        <v>0</v>
      </c>
      <c r="H140">
        <v>0</v>
      </c>
      <c r="I140">
        <v>0</v>
      </c>
      <c r="J140">
        <v>0</v>
      </c>
      <c r="K140">
        <v>3</v>
      </c>
      <c r="L140">
        <v>3</v>
      </c>
      <c r="M140">
        <v>5</v>
      </c>
    </row>
    <row r="141" spans="1:13" x14ac:dyDescent="0.3">
      <c r="A141" s="1">
        <v>45383</v>
      </c>
      <c r="B141" t="s">
        <v>5</v>
      </c>
      <c r="C141" t="str">
        <f>IFERROR(INDEX(자료실범례[],MATCH($B141,자료실범례[소장처명],0),2),"종합자료실")</f>
        <v>종합자료실</v>
      </c>
      <c r="D141">
        <v>0</v>
      </c>
      <c r="E141">
        <v>0</v>
      </c>
      <c r="F141">
        <v>0</v>
      </c>
      <c r="G141">
        <v>0</v>
      </c>
      <c r="H141">
        <v>2</v>
      </c>
      <c r="I141">
        <v>2</v>
      </c>
      <c r="J141">
        <v>7</v>
      </c>
      <c r="K141">
        <v>9</v>
      </c>
      <c r="L141">
        <v>16</v>
      </c>
      <c r="M141">
        <v>18</v>
      </c>
    </row>
    <row r="142" spans="1:13" x14ac:dyDescent="0.3">
      <c r="A142" s="1">
        <v>45383</v>
      </c>
      <c r="B142" t="s">
        <v>6</v>
      </c>
      <c r="C142" t="str">
        <f>IFERROR(INDEX(자료실범례[],MATCH($B142,자료실범례[소장처명],0),2),"종합자료실")</f>
        <v>종합자료실</v>
      </c>
      <c r="D142">
        <v>0</v>
      </c>
      <c r="E142">
        <v>4</v>
      </c>
      <c r="F142">
        <v>4</v>
      </c>
      <c r="G142">
        <v>2</v>
      </c>
      <c r="H142">
        <v>1</v>
      </c>
      <c r="I142">
        <v>3</v>
      </c>
      <c r="J142">
        <v>8</v>
      </c>
      <c r="K142">
        <v>17</v>
      </c>
      <c r="L142">
        <v>25</v>
      </c>
      <c r="M142">
        <v>32</v>
      </c>
    </row>
    <row r="143" spans="1:13" x14ac:dyDescent="0.3">
      <c r="A143" s="1">
        <v>45383</v>
      </c>
      <c r="B143" t="s">
        <v>7</v>
      </c>
      <c r="C143" t="str">
        <f>IFERROR(INDEX(자료실범례[],MATCH($B143,자료실범례[소장처명],0),2),"종합자료실")</f>
        <v>어린이자료실</v>
      </c>
      <c r="D143">
        <v>6</v>
      </c>
      <c r="E143">
        <v>3</v>
      </c>
      <c r="F143">
        <v>9</v>
      </c>
      <c r="G143">
        <v>0</v>
      </c>
      <c r="H143">
        <v>0</v>
      </c>
      <c r="I143">
        <v>0</v>
      </c>
      <c r="J143">
        <v>2</v>
      </c>
      <c r="K143">
        <v>10</v>
      </c>
      <c r="L143">
        <v>12</v>
      </c>
      <c r="M143">
        <v>21</v>
      </c>
    </row>
    <row r="144" spans="1:13" x14ac:dyDescent="0.3">
      <c r="A144" s="1">
        <v>45383</v>
      </c>
      <c r="B144" t="s">
        <v>8</v>
      </c>
      <c r="C144" t="str">
        <f>IFERROR(INDEX(자료실범례[],MATCH($B144,자료실범례[소장처명],0),2),"종합자료실")</f>
        <v>어린이자료실</v>
      </c>
      <c r="D144">
        <v>6</v>
      </c>
      <c r="E144">
        <v>2</v>
      </c>
      <c r="F144">
        <v>8</v>
      </c>
      <c r="G144">
        <v>0</v>
      </c>
      <c r="H144">
        <v>0</v>
      </c>
      <c r="I144">
        <v>0</v>
      </c>
      <c r="J144">
        <v>1</v>
      </c>
      <c r="K144">
        <v>8</v>
      </c>
      <c r="L144">
        <v>9</v>
      </c>
      <c r="M144">
        <v>17</v>
      </c>
    </row>
    <row r="145" spans="1:13" x14ac:dyDescent="0.3">
      <c r="A145" s="1">
        <v>45383</v>
      </c>
      <c r="B145" t="s">
        <v>9</v>
      </c>
      <c r="C145" t="str">
        <f>IFERROR(INDEX(자료실범례[],MATCH($B145,자료실범례[소장처명],0),2),"종합자료실")</f>
        <v>어린이자료실</v>
      </c>
      <c r="D145">
        <v>2</v>
      </c>
      <c r="E145">
        <v>1</v>
      </c>
      <c r="F145">
        <v>3</v>
      </c>
      <c r="G145">
        <v>0</v>
      </c>
      <c r="H145">
        <v>0</v>
      </c>
      <c r="I145">
        <v>0</v>
      </c>
      <c r="J145">
        <v>1</v>
      </c>
      <c r="K145">
        <v>1</v>
      </c>
      <c r="L145">
        <v>2</v>
      </c>
      <c r="M145">
        <v>5</v>
      </c>
    </row>
    <row r="146" spans="1:13" x14ac:dyDescent="0.3">
      <c r="A146" s="1">
        <v>45383</v>
      </c>
      <c r="B146" t="s">
        <v>10</v>
      </c>
      <c r="C146" t="str">
        <f>IFERROR(INDEX(자료실범례[],MATCH($B146,자료실범례[소장처명],0),2),"종합자료실")</f>
        <v>어린이자료실</v>
      </c>
      <c r="D146">
        <v>4</v>
      </c>
      <c r="E146">
        <v>3</v>
      </c>
      <c r="F146">
        <v>7</v>
      </c>
      <c r="G146">
        <v>0</v>
      </c>
      <c r="H146">
        <v>0</v>
      </c>
      <c r="I146">
        <v>0</v>
      </c>
      <c r="J146">
        <v>1</v>
      </c>
      <c r="K146">
        <v>4</v>
      </c>
      <c r="L146">
        <v>5</v>
      </c>
      <c r="M146">
        <v>12</v>
      </c>
    </row>
    <row r="147" spans="1:13" x14ac:dyDescent="0.3">
      <c r="A147" s="1">
        <v>45383</v>
      </c>
      <c r="B147" t="s">
        <v>11</v>
      </c>
      <c r="C147" t="str">
        <f>IFERROR(INDEX(자료실범례[],MATCH($B147,자료실범례[소장처명],0),2),"종합자료실")</f>
        <v>어린이자료실</v>
      </c>
      <c r="D147">
        <v>2</v>
      </c>
      <c r="E147">
        <v>1</v>
      </c>
      <c r="F147">
        <v>3</v>
      </c>
      <c r="G147">
        <v>0</v>
      </c>
      <c r="H147">
        <v>1</v>
      </c>
      <c r="I147">
        <v>1</v>
      </c>
      <c r="J147">
        <v>0</v>
      </c>
      <c r="K147">
        <v>1</v>
      </c>
      <c r="L147">
        <v>1</v>
      </c>
      <c r="M147">
        <v>5</v>
      </c>
    </row>
    <row r="148" spans="1:13" x14ac:dyDescent="0.3">
      <c r="A148" s="1">
        <v>45383</v>
      </c>
      <c r="B148" t="s">
        <v>13</v>
      </c>
      <c r="C148" t="str">
        <f>IFERROR(INDEX(자료실범례[],MATCH($B148,자료실범례[소장처명],0),2),"종합자료실")</f>
        <v>어린이자료실</v>
      </c>
      <c r="D148">
        <v>0</v>
      </c>
      <c r="E148">
        <v>1</v>
      </c>
      <c r="F148">
        <v>1</v>
      </c>
      <c r="G148">
        <v>0</v>
      </c>
      <c r="H148">
        <v>0</v>
      </c>
      <c r="I148">
        <v>0</v>
      </c>
      <c r="J148">
        <v>2</v>
      </c>
      <c r="K148">
        <v>1</v>
      </c>
      <c r="L148">
        <v>3</v>
      </c>
      <c r="M148">
        <v>4</v>
      </c>
    </row>
    <row r="149" spans="1:13" x14ac:dyDescent="0.3">
      <c r="A149" s="1">
        <v>45383</v>
      </c>
      <c r="B149" t="s">
        <v>14</v>
      </c>
      <c r="C149" t="str">
        <f>IFERROR(INDEX(자료실범례[],MATCH($B149,자료실범례[소장처명],0),2),"종합자료실")</f>
        <v>어린이자료실</v>
      </c>
      <c r="D149">
        <v>19</v>
      </c>
      <c r="E149">
        <v>26</v>
      </c>
      <c r="F149">
        <v>45</v>
      </c>
      <c r="G149">
        <v>4</v>
      </c>
      <c r="H149">
        <v>3</v>
      </c>
      <c r="I149">
        <v>7</v>
      </c>
      <c r="J149">
        <v>16</v>
      </c>
      <c r="K149">
        <v>38</v>
      </c>
      <c r="L149">
        <v>54</v>
      </c>
      <c r="M149">
        <v>106</v>
      </c>
    </row>
    <row r="150" spans="1:13" x14ac:dyDescent="0.3">
      <c r="A150" s="1">
        <v>45383</v>
      </c>
      <c r="B150" t="s">
        <v>15</v>
      </c>
      <c r="C150" t="str">
        <f>IFERROR(INDEX(자료실범례[],MATCH($B150,자료실범례[소장처명],0),2),"종합자료실")</f>
        <v>어린이자료실</v>
      </c>
      <c r="D150">
        <v>28</v>
      </c>
      <c r="E150">
        <v>15</v>
      </c>
      <c r="F150">
        <v>43</v>
      </c>
      <c r="G150">
        <v>3</v>
      </c>
      <c r="H150">
        <v>2</v>
      </c>
      <c r="I150">
        <v>5</v>
      </c>
      <c r="J150">
        <v>8</v>
      </c>
      <c r="K150">
        <v>28</v>
      </c>
      <c r="L150">
        <v>36</v>
      </c>
      <c r="M150">
        <v>84</v>
      </c>
    </row>
    <row r="151" spans="1:13" x14ac:dyDescent="0.3">
      <c r="A151" s="1">
        <v>45383</v>
      </c>
      <c r="B151" t="s">
        <v>16</v>
      </c>
      <c r="C151" t="str">
        <f>IFERROR(INDEX(자료실범례[],MATCH($B151,자료실범례[소장처명],0),2),"종합자료실")</f>
        <v>어린이자료실</v>
      </c>
      <c r="D151">
        <v>49</v>
      </c>
      <c r="E151">
        <v>45</v>
      </c>
      <c r="F151">
        <v>94</v>
      </c>
      <c r="G151">
        <v>5</v>
      </c>
      <c r="H151">
        <v>6</v>
      </c>
      <c r="I151">
        <v>11</v>
      </c>
      <c r="J151">
        <v>33</v>
      </c>
      <c r="K151">
        <v>89</v>
      </c>
      <c r="L151">
        <v>122</v>
      </c>
      <c r="M151">
        <v>227</v>
      </c>
    </row>
    <row r="152" spans="1:13" x14ac:dyDescent="0.3">
      <c r="A152" s="1">
        <v>45383</v>
      </c>
      <c r="B152" t="s">
        <v>17</v>
      </c>
      <c r="C152" t="str">
        <f>IFERROR(INDEX(자료실범례[],MATCH($B152,자료실범례[소장처명],0),2),"종합자료실")</f>
        <v>어린이자료실</v>
      </c>
      <c r="D152">
        <v>2</v>
      </c>
      <c r="E152">
        <v>0</v>
      </c>
      <c r="F152">
        <v>2</v>
      </c>
      <c r="G152">
        <v>0</v>
      </c>
      <c r="H152">
        <v>0</v>
      </c>
      <c r="I152">
        <v>0</v>
      </c>
      <c r="J152">
        <v>1</v>
      </c>
      <c r="K152">
        <v>1</v>
      </c>
      <c r="L152">
        <v>2</v>
      </c>
      <c r="M152">
        <v>4</v>
      </c>
    </row>
    <row r="153" spans="1:13" x14ac:dyDescent="0.3">
      <c r="A153" s="1">
        <v>45383</v>
      </c>
      <c r="B153" t="s">
        <v>18</v>
      </c>
      <c r="C153" t="str">
        <f>IFERROR(INDEX(자료실범례[],MATCH($B153,자료실범례[소장처명],0),2),"종합자료실")</f>
        <v>종합자료실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1</v>
      </c>
      <c r="M153">
        <v>1</v>
      </c>
    </row>
    <row r="154" spans="1:13" x14ac:dyDescent="0.3">
      <c r="A154" s="1">
        <v>45383</v>
      </c>
      <c r="B154" t="s">
        <v>19</v>
      </c>
      <c r="C154" t="str">
        <f>IFERROR(INDEX(자료실범례[],MATCH($B154,자료실범례[소장처명],0),2),"종합자료실")</f>
        <v>종합자료실</v>
      </c>
      <c r="D154">
        <v>8</v>
      </c>
      <c r="E154">
        <v>3</v>
      </c>
      <c r="F154">
        <v>11</v>
      </c>
      <c r="G154">
        <v>3</v>
      </c>
      <c r="H154">
        <v>2</v>
      </c>
      <c r="I154">
        <v>5</v>
      </c>
      <c r="J154">
        <v>38</v>
      </c>
      <c r="K154">
        <v>92</v>
      </c>
      <c r="L154">
        <v>130</v>
      </c>
      <c r="M154">
        <v>146</v>
      </c>
    </row>
    <row r="155" spans="1:13" x14ac:dyDescent="0.3">
      <c r="A155" s="1">
        <v>45383</v>
      </c>
      <c r="B155" t="s">
        <v>20</v>
      </c>
      <c r="C155" t="str">
        <f>IFERROR(INDEX(자료실범례[],MATCH($B155,자료실범례[소장처명],0),2),"종합자료실")</f>
        <v>종합자료실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1</v>
      </c>
      <c r="M155">
        <v>1</v>
      </c>
    </row>
    <row r="156" spans="1:13" x14ac:dyDescent="0.3">
      <c r="A156" s="1">
        <v>45383</v>
      </c>
      <c r="B156" t="s">
        <v>21</v>
      </c>
      <c r="C156" t="str">
        <f>IFERROR(INDEX(자료실범례[],MATCH($B156,자료실범례[소장처명],0),2),"종합자료실")</f>
        <v>종합자료실</v>
      </c>
      <c r="D156">
        <v>9</v>
      </c>
      <c r="E156">
        <v>7</v>
      </c>
      <c r="F156">
        <v>16</v>
      </c>
      <c r="G156">
        <v>15</v>
      </c>
      <c r="H156">
        <v>19</v>
      </c>
      <c r="I156">
        <v>34</v>
      </c>
      <c r="J156">
        <v>95</v>
      </c>
      <c r="K156">
        <v>172</v>
      </c>
      <c r="L156">
        <v>267</v>
      </c>
      <c r="M156">
        <v>317</v>
      </c>
    </row>
    <row r="157" spans="1:13" x14ac:dyDescent="0.3">
      <c r="A157" s="1">
        <v>45017</v>
      </c>
      <c r="B157" t="s">
        <v>0</v>
      </c>
      <c r="C157" t="str">
        <f>IFERROR(INDEX(자료실범례[],MATCH($B157,자료실범례[소장처명],0),2),"종합자료실")</f>
        <v>어린이자료실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3</v>
      </c>
      <c r="K157">
        <v>7</v>
      </c>
      <c r="L157">
        <v>10</v>
      </c>
      <c r="M157">
        <v>10</v>
      </c>
    </row>
    <row r="158" spans="1:13" x14ac:dyDescent="0.3">
      <c r="A158" s="1">
        <v>45017</v>
      </c>
      <c r="B158" t="s">
        <v>1</v>
      </c>
      <c r="C158" t="str">
        <f>IFERROR(INDEX(자료실범례[],MATCH($B158,자료실범례[소장처명],0),2),"종합자료실")</f>
        <v>어린이자료실</v>
      </c>
      <c r="D158">
        <v>2</v>
      </c>
      <c r="E158">
        <v>0</v>
      </c>
      <c r="F158">
        <v>2</v>
      </c>
      <c r="G158">
        <v>0</v>
      </c>
      <c r="H158">
        <v>0</v>
      </c>
      <c r="I158">
        <v>0</v>
      </c>
      <c r="J158">
        <v>2</v>
      </c>
      <c r="K158">
        <v>4</v>
      </c>
      <c r="L158">
        <v>6</v>
      </c>
      <c r="M158">
        <v>8</v>
      </c>
    </row>
    <row r="159" spans="1:13" x14ac:dyDescent="0.3">
      <c r="A159" s="1">
        <v>45017</v>
      </c>
      <c r="B159" t="s">
        <v>2</v>
      </c>
      <c r="C159" t="str">
        <f>IFERROR(INDEX(자료실범례[],MATCH($B159,자료실범례[소장처명],0),2),"종합자료실")</f>
        <v>디지털자료실</v>
      </c>
      <c r="D159">
        <v>2</v>
      </c>
      <c r="E159">
        <v>1</v>
      </c>
      <c r="F159">
        <v>3</v>
      </c>
      <c r="G159">
        <v>0</v>
      </c>
      <c r="H159">
        <v>0</v>
      </c>
      <c r="I159">
        <v>0</v>
      </c>
      <c r="J159">
        <v>2</v>
      </c>
      <c r="K159">
        <v>2</v>
      </c>
      <c r="L159">
        <v>4</v>
      </c>
      <c r="M159">
        <v>7</v>
      </c>
    </row>
    <row r="160" spans="1:13" x14ac:dyDescent="0.3">
      <c r="A160" s="1">
        <v>45017</v>
      </c>
      <c r="B160" t="s">
        <v>3</v>
      </c>
      <c r="C160" t="str">
        <f>IFERROR(INDEX(자료실범례[],MATCH($B160,자료실범례[소장처명],0),2),"종합자료실")</f>
        <v>디지털자료실</v>
      </c>
      <c r="D160">
        <v>1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</row>
    <row r="161" spans="1:13" x14ac:dyDescent="0.3">
      <c r="A161" s="1">
        <v>45017</v>
      </c>
      <c r="B161" t="s">
        <v>4</v>
      </c>
      <c r="C161" t="str">
        <f>IFERROR(INDEX(자료실범례[],MATCH($B161,자료실범례[소장처명],0),2),"종합자료실")</f>
        <v>어린이자료실</v>
      </c>
      <c r="D161">
        <v>5</v>
      </c>
      <c r="E161">
        <v>5</v>
      </c>
      <c r="F161">
        <v>10</v>
      </c>
      <c r="G161">
        <v>1</v>
      </c>
      <c r="H161">
        <v>0</v>
      </c>
      <c r="I161">
        <v>1</v>
      </c>
      <c r="J161">
        <v>1</v>
      </c>
      <c r="K161">
        <v>11</v>
      </c>
      <c r="L161">
        <v>12</v>
      </c>
      <c r="M161">
        <v>23</v>
      </c>
    </row>
    <row r="162" spans="1:13" x14ac:dyDescent="0.3">
      <c r="A162" s="1">
        <v>45017</v>
      </c>
      <c r="B162" t="s">
        <v>5</v>
      </c>
      <c r="C162" t="str">
        <f>IFERROR(INDEX(자료실범례[],MATCH($B162,자료실범례[소장처명],0),2),"종합자료실")</f>
        <v>종합자료실</v>
      </c>
      <c r="D162">
        <v>0</v>
      </c>
      <c r="E162">
        <v>2</v>
      </c>
      <c r="F162">
        <v>2</v>
      </c>
      <c r="G162">
        <v>0</v>
      </c>
      <c r="H162">
        <v>0</v>
      </c>
      <c r="I162">
        <v>0</v>
      </c>
      <c r="J162">
        <v>10</v>
      </c>
      <c r="K162">
        <v>10</v>
      </c>
      <c r="L162">
        <v>20</v>
      </c>
      <c r="M162">
        <v>22</v>
      </c>
    </row>
    <row r="163" spans="1:13" x14ac:dyDescent="0.3">
      <c r="A163" s="1">
        <v>45017</v>
      </c>
      <c r="B163" t="s">
        <v>6</v>
      </c>
      <c r="C163" t="str">
        <f>IFERROR(INDEX(자료실범례[],MATCH($B163,자료실범례[소장처명],0),2),"종합자료실")</f>
        <v>종합자료실</v>
      </c>
      <c r="D163">
        <v>2</v>
      </c>
      <c r="E163">
        <v>3</v>
      </c>
      <c r="F163">
        <v>5</v>
      </c>
      <c r="G163">
        <v>0</v>
      </c>
      <c r="H163">
        <v>0</v>
      </c>
      <c r="I163">
        <v>0</v>
      </c>
      <c r="J163">
        <v>2</v>
      </c>
      <c r="K163">
        <v>5</v>
      </c>
      <c r="L163">
        <v>7</v>
      </c>
      <c r="M163">
        <v>12</v>
      </c>
    </row>
    <row r="164" spans="1:13" x14ac:dyDescent="0.3">
      <c r="A164" s="1">
        <v>45017</v>
      </c>
      <c r="B164" t="s">
        <v>7</v>
      </c>
      <c r="C164" t="str">
        <f>IFERROR(INDEX(자료실범례[],MATCH($B164,자료실범례[소장처명],0),2),"종합자료실")</f>
        <v>어린이자료실</v>
      </c>
      <c r="D164">
        <v>4</v>
      </c>
      <c r="E164">
        <v>2</v>
      </c>
      <c r="F164">
        <v>6</v>
      </c>
      <c r="G164">
        <v>0</v>
      </c>
      <c r="H164">
        <v>0</v>
      </c>
      <c r="I164">
        <v>0</v>
      </c>
      <c r="J164">
        <v>2</v>
      </c>
      <c r="K164">
        <v>4</v>
      </c>
      <c r="L164">
        <v>6</v>
      </c>
      <c r="M164">
        <v>12</v>
      </c>
    </row>
    <row r="165" spans="1:13" x14ac:dyDescent="0.3">
      <c r="A165" s="1">
        <v>45017</v>
      </c>
      <c r="B165" t="s">
        <v>8</v>
      </c>
      <c r="C165" t="str">
        <f>IFERROR(INDEX(자료실범례[],MATCH($B165,자료실범례[소장처명],0),2),"종합자료실")</f>
        <v>어린이자료실</v>
      </c>
      <c r="D165">
        <v>3</v>
      </c>
      <c r="E165">
        <v>4</v>
      </c>
      <c r="F165">
        <v>7</v>
      </c>
      <c r="G165">
        <v>0</v>
      </c>
      <c r="H165">
        <v>1</v>
      </c>
      <c r="I165">
        <v>1</v>
      </c>
      <c r="J165">
        <v>0</v>
      </c>
      <c r="K165">
        <v>5</v>
      </c>
      <c r="L165">
        <v>5</v>
      </c>
      <c r="M165">
        <v>13</v>
      </c>
    </row>
    <row r="166" spans="1:13" x14ac:dyDescent="0.3">
      <c r="A166" s="1">
        <v>45017</v>
      </c>
      <c r="B166" t="s">
        <v>9</v>
      </c>
      <c r="C166" t="str">
        <f>IFERROR(INDEX(자료실범례[],MATCH($B166,자료실범례[소장처명],0),2),"종합자료실")</f>
        <v>어린이자료실</v>
      </c>
      <c r="D166">
        <v>1</v>
      </c>
      <c r="E166">
        <v>0</v>
      </c>
      <c r="F166">
        <v>1</v>
      </c>
      <c r="G166">
        <v>0</v>
      </c>
      <c r="H166">
        <v>2</v>
      </c>
      <c r="I166">
        <v>2</v>
      </c>
      <c r="J166">
        <v>1</v>
      </c>
      <c r="K166">
        <v>2</v>
      </c>
      <c r="L166">
        <v>3</v>
      </c>
      <c r="M166">
        <v>6</v>
      </c>
    </row>
    <row r="167" spans="1:13" x14ac:dyDescent="0.3">
      <c r="A167" s="1">
        <v>45017</v>
      </c>
      <c r="B167" t="s">
        <v>10</v>
      </c>
      <c r="C167" t="str">
        <f>IFERROR(INDEX(자료실범례[],MATCH($B167,자료실범례[소장처명],0),2),"종합자료실")</f>
        <v>어린이자료실</v>
      </c>
      <c r="D167">
        <v>2</v>
      </c>
      <c r="E167">
        <v>0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3</v>
      </c>
      <c r="L167">
        <v>3</v>
      </c>
      <c r="M167">
        <v>5</v>
      </c>
    </row>
    <row r="168" spans="1:13" x14ac:dyDescent="0.3">
      <c r="A168" s="1">
        <v>45017</v>
      </c>
      <c r="B168" t="s">
        <v>11</v>
      </c>
      <c r="C168" t="str">
        <f>IFERROR(INDEX(자료실범례[],MATCH($B168,자료실범례[소장처명],0),2),"종합자료실")</f>
        <v>어린이자료실</v>
      </c>
      <c r="D168">
        <v>2</v>
      </c>
      <c r="E168">
        <v>0</v>
      </c>
      <c r="F168">
        <v>2</v>
      </c>
      <c r="G168">
        <v>1</v>
      </c>
      <c r="H168">
        <v>2</v>
      </c>
      <c r="I168">
        <v>3</v>
      </c>
      <c r="J168">
        <v>3</v>
      </c>
      <c r="K168">
        <v>5</v>
      </c>
      <c r="L168">
        <v>8</v>
      </c>
      <c r="M168">
        <v>13</v>
      </c>
    </row>
    <row r="169" spans="1:13" x14ac:dyDescent="0.3">
      <c r="A169" s="1">
        <v>45017</v>
      </c>
      <c r="B169" t="s">
        <v>12</v>
      </c>
      <c r="C169" t="str">
        <f>IFERROR(INDEX(자료실범례[],MATCH($B169,자료실범례[소장처명],0),2),"종합자료실")</f>
        <v>어린이자료실</v>
      </c>
      <c r="D169">
        <v>2</v>
      </c>
      <c r="E169">
        <v>0</v>
      </c>
      <c r="F169">
        <v>2</v>
      </c>
      <c r="G169">
        <v>0</v>
      </c>
      <c r="H169">
        <v>0</v>
      </c>
      <c r="I169">
        <v>0</v>
      </c>
      <c r="J169">
        <v>1</v>
      </c>
      <c r="K169">
        <v>5</v>
      </c>
      <c r="L169">
        <v>6</v>
      </c>
      <c r="M169">
        <v>8</v>
      </c>
    </row>
    <row r="170" spans="1:13" x14ac:dyDescent="0.3">
      <c r="A170" s="1">
        <v>45017</v>
      </c>
      <c r="B170" t="s">
        <v>13</v>
      </c>
      <c r="C170" t="str">
        <f>IFERROR(INDEX(자료실범례[],MATCH($B170,자료실범례[소장처명],0),2),"종합자료실")</f>
        <v>어린이자료실</v>
      </c>
      <c r="D170">
        <v>2</v>
      </c>
      <c r="E170">
        <v>1</v>
      </c>
      <c r="F170">
        <v>3</v>
      </c>
      <c r="G170">
        <v>0</v>
      </c>
      <c r="H170">
        <v>0</v>
      </c>
      <c r="I170">
        <v>0</v>
      </c>
      <c r="J170">
        <v>2</v>
      </c>
      <c r="K170">
        <v>3</v>
      </c>
      <c r="L170">
        <v>5</v>
      </c>
      <c r="M170">
        <v>8</v>
      </c>
    </row>
    <row r="171" spans="1:13" x14ac:dyDescent="0.3">
      <c r="A171" s="1">
        <v>45017</v>
      </c>
      <c r="B171" t="s">
        <v>15</v>
      </c>
      <c r="C171" t="str">
        <f>IFERROR(INDEX(자료실범례[],MATCH($B171,자료실범례[소장처명],0),2),"종합자료실")</f>
        <v>어린이자료실</v>
      </c>
      <c r="D171">
        <v>24</v>
      </c>
      <c r="E171">
        <v>16</v>
      </c>
      <c r="F171">
        <v>40</v>
      </c>
      <c r="G171">
        <v>3</v>
      </c>
      <c r="H171">
        <v>5</v>
      </c>
      <c r="I171">
        <v>8</v>
      </c>
      <c r="J171">
        <v>15</v>
      </c>
      <c r="K171">
        <v>25</v>
      </c>
      <c r="L171">
        <v>40</v>
      </c>
      <c r="M171">
        <v>88</v>
      </c>
    </row>
    <row r="172" spans="1:13" x14ac:dyDescent="0.3">
      <c r="A172" s="1">
        <v>45017</v>
      </c>
      <c r="B172" t="s">
        <v>16</v>
      </c>
      <c r="C172" t="str">
        <f>IFERROR(INDEX(자료실범례[],MATCH($B172,자료실범례[소장처명],0),2),"종합자료실")</f>
        <v>어린이자료실</v>
      </c>
      <c r="D172">
        <v>44</v>
      </c>
      <c r="E172">
        <v>39</v>
      </c>
      <c r="F172">
        <v>83</v>
      </c>
      <c r="G172">
        <v>6</v>
      </c>
      <c r="H172">
        <v>7</v>
      </c>
      <c r="I172">
        <v>13</v>
      </c>
      <c r="J172">
        <v>32</v>
      </c>
      <c r="K172">
        <v>83</v>
      </c>
      <c r="L172">
        <v>115</v>
      </c>
      <c r="M172">
        <v>211</v>
      </c>
    </row>
    <row r="173" spans="1:13" x14ac:dyDescent="0.3">
      <c r="A173" s="1">
        <v>45017</v>
      </c>
      <c r="B173" t="s">
        <v>17</v>
      </c>
      <c r="C173" t="str">
        <f>IFERROR(INDEX(자료실범례[],MATCH($B173,자료실범례[소장처명],0),2),"종합자료실")</f>
        <v>어린이자료실</v>
      </c>
      <c r="D173">
        <v>1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1</v>
      </c>
      <c r="K173">
        <v>2</v>
      </c>
      <c r="L173">
        <v>3</v>
      </c>
      <c r="M173">
        <v>4</v>
      </c>
    </row>
    <row r="174" spans="1:13" x14ac:dyDescent="0.3">
      <c r="A174" s="1">
        <v>45017</v>
      </c>
      <c r="B174" t="s">
        <v>18</v>
      </c>
      <c r="C174" t="str">
        <f>IFERROR(INDEX(자료실범례[],MATCH($B174,자료실범례[소장처명],0),2),"종합자료실")</f>
        <v>종합자료실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2</v>
      </c>
      <c r="K174">
        <v>3</v>
      </c>
      <c r="L174">
        <v>5</v>
      </c>
      <c r="M174">
        <v>5</v>
      </c>
    </row>
    <row r="175" spans="1:13" x14ac:dyDescent="0.3">
      <c r="A175" s="1">
        <v>45017</v>
      </c>
      <c r="B175" t="s">
        <v>20</v>
      </c>
      <c r="C175" t="str">
        <f>IFERROR(INDEX(자료실범례[],MATCH($B175,자료실범례[소장처명],0),2),"종합자료실")</f>
        <v>종합자료실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</v>
      </c>
      <c r="L175">
        <v>2</v>
      </c>
      <c r="M175">
        <v>2</v>
      </c>
    </row>
    <row r="176" spans="1:13" x14ac:dyDescent="0.3">
      <c r="A176" s="1">
        <v>45017</v>
      </c>
      <c r="B176" t="s">
        <v>21</v>
      </c>
      <c r="C176" t="str">
        <f>IFERROR(INDEX(자료실범례[],MATCH($B176,자료실범례[소장처명],0),2),"종합자료실")</f>
        <v>종합자료실</v>
      </c>
      <c r="D176">
        <v>16</v>
      </c>
      <c r="E176">
        <v>11</v>
      </c>
      <c r="F176">
        <v>27</v>
      </c>
      <c r="G176">
        <v>8</v>
      </c>
      <c r="H176">
        <v>19</v>
      </c>
      <c r="I176">
        <v>27</v>
      </c>
      <c r="J176">
        <v>104</v>
      </c>
      <c r="K176">
        <v>221</v>
      </c>
      <c r="L176">
        <v>325</v>
      </c>
      <c r="M176">
        <v>379</v>
      </c>
    </row>
    <row r="177" spans="1:13" x14ac:dyDescent="0.3">
      <c r="A177" s="1">
        <v>45413</v>
      </c>
      <c r="B177" t="s">
        <v>198</v>
      </c>
      <c r="C177" t="str">
        <f>IFERROR(INDEX(자료실범례[],MATCH($B177,자료실범례[소장처명],0),2),"종합자료실")</f>
        <v>어린이자료실</v>
      </c>
      <c r="D177">
        <v>5</v>
      </c>
      <c r="E177">
        <v>3</v>
      </c>
      <c r="F177">
        <v>8</v>
      </c>
      <c r="G177">
        <v>0</v>
      </c>
      <c r="H177">
        <v>0</v>
      </c>
      <c r="I177">
        <v>0</v>
      </c>
      <c r="J177">
        <v>1</v>
      </c>
      <c r="K177">
        <v>10</v>
      </c>
      <c r="L177">
        <v>11</v>
      </c>
      <c r="M177">
        <v>19</v>
      </c>
    </row>
    <row r="178" spans="1:13" x14ac:dyDescent="0.3">
      <c r="A178" s="1">
        <v>45413</v>
      </c>
      <c r="B178" t="s">
        <v>197</v>
      </c>
      <c r="C178" t="str">
        <f>IFERROR(INDEX(자료실범례[],MATCH($B178,자료실범례[소장처명],0),2),"종합자료실")</f>
        <v>종합자료실</v>
      </c>
      <c r="D178">
        <v>0</v>
      </c>
      <c r="E178">
        <v>1</v>
      </c>
      <c r="F178">
        <v>1</v>
      </c>
      <c r="G178">
        <v>1</v>
      </c>
      <c r="H178">
        <v>0</v>
      </c>
      <c r="I178">
        <v>1</v>
      </c>
      <c r="J178">
        <v>3</v>
      </c>
      <c r="K178">
        <v>4</v>
      </c>
      <c r="L178">
        <v>7</v>
      </c>
      <c r="M178">
        <v>9</v>
      </c>
    </row>
    <row r="179" spans="1:13" x14ac:dyDescent="0.3">
      <c r="A179" s="1">
        <v>45413</v>
      </c>
      <c r="B179" t="s">
        <v>0</v>
      </c>
      <c r="C179" t="str">
        <f>IFERROR(INDEX(자료실범례[],MATCH($B179,자료실범례[소장처명],0),2),"종합자료실")</f>
        <v>어린이자료실</v>
      </c>
      <c r="D179">
        <v>3</v>
      </c>
      <c r="E179">
        <v>0</v>
      </c>
      <c r="F179">
        <v>3</v>
      </c>
      <c r="G179">
        <v>0</v>
      </c>
      <c r="H179">
        <v>0</v>
      </c>
      <c r="I179">
        <v>0</v>
      </c>
      <c r="J179">
        <v>1</v>
      </c>
      <c r="K179">
        <v>5</v>
      </c>
      <c r="L179">
        <v>6</v>
      </c>
      <c r="M179">
        <v>9</v>
      </c>
    </row>
    <row r="180" spans="1:13" x14ac:dyDescent="0.3">
      <c r="A180" s="1">
        <v>45413</v>
      </c>
      <c r="B180" t="s">
        <v>1</v>
      </c>
      <c r="C180" t="str">
        <f>IFERROR(INDEX(자료실범례[],MATCH($B180,자료실범례[소장처명],0),2),"종합자료실")</f>
        <v>어린이자료실</v>
      </c>
      <c r="D180">
        <v>2</v>
      </c>
      <c r="E180">
        <v>1</v>
      </c>
      <c r="F180">
        <v>3</v>
      </c>
      <c r="G180">
        <v>0</v>
      </c>
      <c r="H180">
        <v>0</v>
      </c>
      <c r="I180">
        <v>0</v>
      </c>
      <c r="J180">
        <v>2</v>
      </c>
      <c r="K180">
        <v>3</v>
      </c>
      <c r="L180">
        <v>5</v>
      </c>
      <c r="M180">
        <v>8</v>
      </c>
    </row>
    <row r="181" spans="1:13" x14ac:dyDescent="0.3">
      <c r="A181" s="1">
        <v>45413</v>
      </c>
      <c r="B181" t="s">
        <v>2</v>
      </c>
      <c r="C181" t="str">
        <f>IFERROR(INDEX(자료실범례[],MATCH($B181,자료실범례[소장처명],0),2),"종합자료실")</f>
        <v>디지털자료실</v>
      </c>
      <c r="D181">
        <v>2</v>
      </c>
      <c r="E181">
        <v>0</v>
      </c>
      <c r="F181">
        <v>2</v>
      </c>
      <c r="G181">
        <v>0</v>
      </c>
      <c r="H181">
        <v>0</v>
      </c>
      <c r="I181">
        <v>0</v>
      </c>
      <c r="J181">
        <v>2</v>
      </c>
      <c r="K181">
        <v>2</v>
      </c>
      <c r="L181">
        <v>4</v>
      </c>
      <c r="M181">
        <v>6</v>
      </c>
    </row>
    <row r="182" spans="1:13" x14ac:dyDescent="0.3">
      <c r="A182" s="1">
        <v>45413</v>
      </c>
      <c r="B182" t="s">
        <v>4</v>
      </c>
      <c r="C182" t="str">
        <f>IFERROR(INDEX(자료실범례[],MATCH($B182,자료실범례[소장처명],0),2),"종합자료실")</f>
        <v>어린이자료실</v>
      </c>
      <c r="D182">
        <v>3</v>
      </c>
      <c r="E182">
        <v>2</v>
      </c>
      <c r="F182">
        <v>5</v>
      </c>
      <c r="G182">
        <v>0</v>
      </c>
      <c r="H182">
        <v>0</v>
      </c>
      <c r="I182">
        <v>0</v>
      </c>
      <c r="J182">
        <v>2</v>
      </c>
      <c r="K182">
        <v>3</v>
      </c>
      <c r="L182">
        <v>5</v>
      </c>
      <c r="M182">
        <v>10</v>
      </c>
    </row>
    <row r="183" spans="1:13" x14ac:dyDescent="0.3">
      <c r="A183" s="1">
        <v>45413</v>
      </c>
      <c r="B183" t="s">
        <v>5</v>
      </c>
      <c r="C183" t="str">
        <f>IFERROR(INDEX(자료실범례[],MATCH($B183,자료실범례[소장처명],0),2),"종합자료실")</f>
        <v>종합자료실</v>
      </c>
      <c r="D183">
        <v>2</v>
      </c>
      <c r="E183">
        <v>0</v>
      </c>
      <c r="F183">
        <v>2</v>
      </c>
      <c r="G183">
        <v>2</v>
      </c>
      <c r="H183">
        <v>2</v>
      </c>
      <c r="I183">
        <v>4</v>
      </c>
      <c r="J183">
        <v>8</v>
      </c>
      <c r="K183">
        <v>12</v>
      </c>
      <c r="L183">
        <v>20</v>
      </c>
      <c r="M183">
        <v>26</v>
      </c>
    </row>
    <row r="184" spans="1:13" x14ac:dyDescent="0.3">
      <c r="A184" s="1">
        <v>45413</v>
      </c>
      <c r="B184" t="s">
        <v>6</v>
      </c>
      <c r="C184" t="str">
        <f>IFERROR(INDEX(자료실범례[],MATCH($B184,자료실범례[소장처명],0),2),"종합자료실")</f>
        <v>종합자료실</v>
      </c>
      <c r="D184">
        <v>4</v>
      </c>
      <c r="E184">
        <v>7</v>
      </c>
      <c r="F184">
        <v>11</v>
      </c>
      <c r="G184">
        <v>1</v>
      </c>
      <c r="H184">
        <v>3</v>
      </c>
      <c r="I184">
        <v>4</v>
      </c>
      <c r="J184">
        <v>4</v>
      </c>
      <c r="K184">
        <v>11</v>
      </c>
      <c r="L184">
        <v>15</v>
      </c>
      <c r="M184">
        <v>30</v>
      </c>
    </row>
    <row r="185" spans="1:13" x14ac:dyDescent="0.3">
      <c r="A185" s="1">
        <v>45413</v>
      </c>
      <c r="B185" t="s">
        <v>7</v>
      </c>
      <c r="C185" t="str">
        <f>IFERROR(INDEX(자료실범례[],MATCH($B185,자료실범례[소장처명],0),2),"종합자료실")</f>
        <v>어린이자료실</v>
      </c>
      <c r="D185">
        <v>4</v>
      </c>
      <c r="E185">
        <v>5</v>
      </c>
      <c r="F185">
        <v>9</v>
      </c>
      <c r="G185">
        <v>0</v>
      </c>
      <c r="H185">
        <v>0</v>
      </c>
      <c r="I185">
        <v>0</v>
      </c>
      <c r="J185">
        <v>4</v>
      </c>
      <c r="K185">
        <v>4</v>
      </c>
      <c r="L185">
        <v>8</v>
      </c>
      <c r="M185">
        <v>17</v>
      </c>
    </row>
    <row r="186" spans="1:13" x14ac:dyDescent="0.3">
      <c r="A186" s="1">
        <v>45413</v>
      </c>
      <c r="B186" t="s">
        <v>8</v>
      </c>
      <c r="C186" t="str">
        <f>IFERROR(INDEX(자료실범례[],MATCH($B186,자료실범례[소장처명],0),2),"종합자료실")</f>
        <v>어린이자료실</v>
      </c>
      <c r="D186">
        <v>4</v>
      </c>
      <c r="E186">
        <v>3</v>
      </c>
      <c r="F186">
        <v>7</v>
      </c>
      <c r="G186">
        <v>1</v>
      </c>
      <c r="H186">
        <v>0</v>
      </c>
      <c r="I186">
        <v>1</v>
      </c>
      <c r="J186">
        <v>2</v>
      </c>
      <c r="K186">
        <v>3</v>
      </c>
      <c r="L186">
        <v>5</v>
      </c>
      <c r="M186">
        <v>13</v>
      </c>
    </row>
    <row r="187" spans="1:13" x14ac:dyDescent="0.3">
      <c r="A187" s="1">
        <v>45413</v>
      </c>
      <c r="B187" t="s">
        <v>9</v>
      </c>
      <c r="C187" t="str">
        <f>IFERROR(INDEX(자료실범례[],MATCH($B187,자료실범례[소장처명],0),2),"종합자료실")</f>
        <v>어린이자료실</v>
      </c>
      <c r="D187">
        <v>0</v>
      </c>
      <c r="E187">
        <v>3</v>
      </c>
      <c r="F187">
        <v>3</v>
      </c>
      <c r="G187">
        <v>0</v>
      </c>
      <c r="H187">
        <v>0</v>
      </c>
      <c r="I187">
        <v>0</v>
      </c>
      <c r="J187">
        <v>2</v>
      </c>
      <c r="K187">
        <v>4</v>
      </c>
      <c r="L187">
        <v>6</v>
      </c>
      <c r="M187">
        <v>9</v>
      </c>
    </row>
    <row r="188" spans="1:13" x14ac:dyDescent="0.3">
      <c r="A188" s="1">
        <v>45413</v>
      </c>
      <c r="B188" t="s">
        <v>10</v>
      </c>
      <c r="C188" t="str">
        <f>IFERROR(INDEX(자료실범례[],MATCH($B188,자료실범례[소장처명],0),2),"종합자료실")</f>
        <v>어린이자료실</v>
      </c>
      <c r="D188">
        <v>1</v>
      </c>
      <c r="E188">
        <v>3</v>
      </c>
      <c r="F188">
        <v>4</v>
      </c>
      <c r="G188">
        <v>0</v>
      </c>
      <c r="H188">
        <v>0</v>
      </c>
      <c r="I188">
        <v>0</v>
      </c>
      <c r="J188">
        <v>1</v>
      </c>
      <c r="K188">
        <v>5</v>
      </c>
      <c r="L188">
        <v>6</v>
      </c>
      <c r="M188">
        <v>10</v>
      </c>
    </row>
    <row r="189" spans="1:13" x14ac:dyDescent="0.3">
      <c r="A189" s="1">
        <v>45413</v>
      </c>
      <c r="B189" t="s">
        <v>11</v>
      </c>
      <c r="C189" t="str">
        <f>IFERROR(INDEX(자료실범례[],MATCH($B189,자료실범례[소장처명],0),2),"종합자료실")</f>
        <v>어린이자료실</v>
      </c>
      <c r="D189">
        <v>5</v>
      </c>
      <c r="E189">
        <v>2</v>
      </c>
      <c r="F189">
        <v>7</v>
      </c>
      <c r="G189">
        <v>0</v>
      </c>
      <c r="H189">
        <v>0</v>
      </c>
      <c r="I189">
        <v>0</v>
      </c>
      <c r="J189">
        <v>1</v>
      </c>
      <c r="K189">
        <v>4</v>
      </c>
      <c r="L189">
        <v>5</v>
      </c>
      <c r="M189">
        <v>12</v>
      </c>
    </row>
    <row r="190" spans="1:13" x14ac:dyDescent="0.3">
      <c r="A190" s="1">
        <v>45413</v>
      </c>
      <c r="B190" t="s">
        <v>12</v>
      </c>
      <c r="C190" t="str">
        <f>IFERROR(INDEX(자료실범례[],MATCH($B190,자료실범례[소장처명],0),2),"종합자료실")</f>
        <v>어린이자료실</v>
      </c>
      <c r="D190">
        <v>1</v>
      </c>
      <c r="E190">
        <v>1</v>
      </c>
      <c r="F190">
        <v>2</v>
      </c>
      <c r="G190">
        <v>0</v>
      </c>
      <c r="H190">
        <v>0</v>
      </c>
      <c r="I190">
        <v>0</v>
      </c>
      <c r="J190">
        <v>0</v>
      </c>
      <c r="K190">
        <v>4</v>
      </c>
      <c r="L190">
        <v>4</v>
      </c>
      <c r="M190">
        <v>6</v>
      </c>
    </row>
    <row r="191" spans="1:13" x14ac:dyDescent="0.3">
      <c r="A191" s="1">
        <v>45413</v>
      </c>
      <c r="B191" t="s">
        <v>13</v>
      </c>
      <c r="C191" t="str">
        <f>IFERROR(INDEX(자료실범례[],MATCH($B191,자료실범례[소장처명],0),2),"종합자료실")</f>
        <v>어린이자료실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</v>
      </c>
      <c r="L191">
        <v>2</v>
      </c>
      <c r="M191">
        <v>2</v>
      </c>
    </row>
    <row r="192" spans="1:13" x14ac:dyDescent="0.3">
      <c r="A192" s="1">
        <v>45413</v>
      </c>
      <c r="B192" t="s">
        <v>14</v>
      </c>
      <c r="C192" t="str">
        <f>IFERROR(INDEX(자료실범례[],MATCH($B192,자료실범례[소장처명],0),2),"종합자료실")</f>
        <v>어린이자료실</v>
      </c>
      <c r="D192">
        <v>24</v>
      </c>
      <c r="E192">
        <v>22</v>
      </c>
      <c r="F192">
        <v>46</v>
      </c>
      <c r="G192">
        <v>4</v>
      </c>
      <c r="H192">
        <v>2</v>
      </c>
      <c r="I192">
        <v>6</v>
      </c>
      <c r="J192">
        <v>13</v>
      </c>
      <c r="K192">
        <v>40</v>
      </c>
      <c r="L192">
        <v>53</v>
      </c>
      <c r="M192">
        <v>105</v>
      </c>
    </row>
    <row r="193" spans="1:13" x14ac:dyDescent="0.3">
      <c r="A193" s="1">
        <v>45413</v>
      </c>
      <c r="B193" t="s">
        <v>15</v>
      </c>
      <c r="C193" t="str">
        <f>IFERROR(INDEX(자료실범례[],MATCH($B193,자료실범례[소장처명],0),2),"종합자료실")</f>
        <v>어린이자료실</v>
      </c>
      <c r="D193">
        <v>25</v>
      </c>
      <c r="E193">
        <v>11</v>
      </c>
      <c r="F193">
        <v>36</v>
      </c>
      <c r="G193">
        <v>4</v>
      </c>
      <c r="H193">
        <v>2</v>
      </c>
      <c r="I193">
        <v>6</v>
      </c>
      <c r="J193">
        <v>11</v>
      </c>
      <c r="K193">
        <v>24</v>
      </c>
      <c r="L193">
        <v>35</v>
      </c>
      <c r="M193">
        <v>77</v>
      </c>
    </row>
    <row r="194" spans="1:13" x14ac:dyDescent="0.3">
      <c r="A194" s="1">
        <v>45413</v>
      </c>
      <c r="B194" t="s">
        <v>16</v>
      </c>
      <c r="C194" t="str">
        <f>IFERROR(INDEX(자료실범례[],MATCH($B194,자료실범례[소장처명],0),2),"종합자료실")</f>
        <v>어린이자료실</v>
      </c>
      <c r="D194">
        <v>52</v>
      </c>
      <c r="E194">
        <v>47</v>
      </c>
      <c r="F194">
        <v>99</v>
      </c>
      <c r="G194">
        <v>6</v>
      </c>
      <c r="H194">
        <v>3</v>
      </c>
      <c r="I194">
        <v>9</v>
      </c>
      <c r="J194">
        <v>33</v>
      </c>
      <c r="K194">
        <v>83</v>
      </c>
      <c r="L194">
        <v>116</v>
      </c>
      <c r="M194">
        <v>224</v>
      </c>
    </row>
    <row r="195" spans="1:13" x14ac:dyDescent="0.3">
      <c r="A195" s="1">
        <v>45413</v>
      </c>
      <c r="B195" t="s">
        <v>17</v>
      </c>
      <c r="C195" t="str">
        <f>IFERROR(INDEX(자료실범례[],MATCH($B195,자료실범례[소장처명],0),2),"종합자료실")</f>
        <v>어린이자료실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2</v>
      </c>
      <c r="L195">
        <v>3</v>
      </c>
      <c r="M195">
        <v>3</v>
      </c>
    </row>
    <row r="196" spans="1:13" x14ac:dyDescent="0.3">
      <c r="A196" s="1">
        <v>45413</v>
      </c>
      <c r="B196" t="s">
        <v>18</v>
      </c>
      <c r="C196" t="str">
        <f>IFERROR(INDEX(자료실범례[],MATCH($B196,자료실범례[소장처명],0),2),"종합자료실")</f>
        <v>종합자료실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2</v>
      </c>
      <c r="K196">
        <v>0</v>
      </c>
      <c r="L196">
        <v>2</v>
      </c>
      <c r="M196">
        <v>2</v>
      </c>
    </row>
    <row r="197" spans="1:13" x14ac:dyDescent="0.3">
      <c r="A197" s="1">
        <v>45413</v>
      </c>
      <c r="B197" t="s">
        <v>19</v>
      </c>
      <c r="C197" t="str">
        <f>IFERROR(INDEX(자료실범례[],MATCH($B197,자료실범례[소장처명],0),2),"종합자료실")</f>
        <v>종합자료실</v>
      </c>
      <c r="D197">
        <v>4</v>
      </c>
      <c r="E197">
        <v>5</v>
      </c>
      <c r="F197">
        <v>9</v>
      </c>
      <c r="G197">
        <v>3</v>
      </c>
      <c r="H197">
        <v>2</v>
      </c>
      <c r="I197">
        <v>5</v>
      </c>
      <c r="J197">
        <v>59</v>
      </c>
      <c r="K197">
        <v>92</v>
      </c>
      <c r="L197">
        <v>151</v>
      </c>
      <c r="M197">
        <v>165</v>
      </c>
    </row>
    <row r="198" spans="1:13" x14ac:dyDescent="0.3">
      <c r="A198" s="1">
        <v>45413</v>
      </c>
      <c r="B198" t="s">
        <v>21</v>
      </c>
      <c r="C198" t="str">
        <f>IFERROR(INDEX(자료실범례[],MATCH($B198,자료실범례[소장처명],0),2),"종합자료실")</f>
        <v>종합자료실</v>
      </c>
      <c r="D198">
        <v>12</v>
      </c>
      <c r="E198">
        <v>7</v>
      </c>
      <c r="F198">
        <v>19</v>
      </c>
      <c r="G198">
        <v>9</v>
      </c>
      <c r="H198">
        <v>18</v>
      </c>
      <c r="I198">
        <v>27</v>
      </c>
      <c r="J198">
        <v>111</v>
      </c>
      <c r="K198">
        <v>170</v>
      </c>
      <c r="L198">
        <v>281</v>
      </c>
      <c r="M198">
        <v>327</v>
      </c>
    </row>
    <row r="199" spans="1:13" x14ac:dyDescent="0.3">
      <c r="A199" s="1">
        <v>45047</v>
      </c>
      <c r="B199" t="s">
        <v>197</v>
      </c>
      <c r="C199" t="str">
        <f>IFERROR(INDEX(자료실범례[],MATCH($B199,자료실범례[소장처명],0),2),"종합자료실")</f>
        <v>종합자료실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3</v>
      </c>
      <c r="L199">
        <v>3</v>
      </c>
      <c r="M199">
        <v>3</v>
      </c>
    </row>
    <row r="200" spans="1:13" x14ac:dyDescent="0.3">
      <c r="A200" s="1">
        <v>45047</v>
      </c>
      <c r="B200" t="s">
        <v>0</v>
      </c>
      <c r="C200" t="str">
        <f>IFERROR(INDEX(자료실범례[],MATCH($B200,자료실범례[소장처명],0),2),"종합자료실")</f>
        <v>어린이자료실</v>
      </c>
      <c r="D200">
        <v>0</v>
      </c>
      <c r="E200">
        <v>1</v>
      </c>
      <c r="F200">
        <v>1</v>
      </c>
      <c r="G200">
        <v>0</v>
      </c>
      <c r="H200">
        <v>0</v>
      </c>
      <c r="I200">
        <v>0</v>
      </c>
      <c r="J200">
        <v>3</v>
      </c>
      <c r="K200">
        <v>4</v>
      </c>
      <c r="L200">
        <v>7</v>
      </c>
      <c r="M200">
        <v>8</v>
      </c>
    </row>
    <row r="201" spans="1:13" x14ac:dyDescent="0.3">
      <c r="A201" s="1">
        <v>45047</v>
      </c>
      <c r="B201" t="s">
        <v>1</v>
      </c>
      <c r="C201" t="str">
        <f>IFERROR(INDEX(자료실범례[],MATCH($B201,자료실범례[소장처명],0),2),"종합자료실")</f>
        <v>어린이자료실</v>
      </c>
      <c r="D201">
        <v>2</v>
      </c>
      <c r="E201">
        <v>3</v>
      </c>
      <c r="F201">
        <v>5</v>
      </c>
      <c r="G201">
        <v>0</v>
      </c>
      <c r="H201">
        <v>0</v>
      </c>
      <c r="I201">
        <v>0</v>
      </c>
      <c r="J201">
        <v>1</v>
      </c>
      <c r="K201">
        <v>3</v>
      </c>
      <c r="L201">
        <v>4</v>
      </c>
      <c r="M201">
        <v>9</v>
      </c>
    </row>
    <row r="202" spans="1:13" x14ac:dyDescent="0.3">
      <c r="A202" s="1">
        <v>45047</v>
      </c>
      <c r="B202" t="s">
        <v>2</v>
      </c>
      <c r="C202" t="str">
        <f>IFERROR(INDEX(자료실범례[],MATCH($B202,자료실범례[소장처명],0),2),"종합자료실")</f>
        <v>디지털자료실</v>
      </c>
      <c r="D202">
        <v>3</v>
      </c>
      <c r="E202">
        <v>1</v>
      </c>
      <c r="F202">
        <v>4</v>
      </c>
      <c r="G202">
        <v>0</v>
      </c>
      <c r="H202">
        <v>0</v>
      </c>
      <c r="I202">
        <v>0</v>
      </c>
      <c r="J202">
        <v>1</v>
      </c>
      <c r="K202">
        <v>3</v>
      </c>
      <c r="L202">
        <v>4</v>
      </c>
      <c r="M202">
        <v>8</v>
      </c>
    </row>
    <row r="203" spans="1:13" x14ac:dyDescent="0.3">
      <c r="A203" s="1">
        <v>45047</v>
      </c>
      <c r="B203" t="s">
        <v>4</v>
      </c>
      <c r="C203" t="str">
        <f>IFERROR(INDEX(자료실범례[],MATCH($B203,자료실범례[소장처명],0),2),"종합자료실")</f>
        <v>어린이자료실</v>
      </c>
      <c r="D203">
        <v>4</v>
      </c>
      <c r="E203">
        <v>1</v>
      </c>
      <c r="F203">
        <v>5</v>
      </c>
      <c r="G203">
        <v>0</v>
      </c>
      <c r="H203">
        <v>0</v>
      </c>
      <c r="I203">
        <v>0</v>
      </c>
      <c r="J203">
        <v>4</v>
      </c>
      <c r="K203">
        <v>11</v>
      </c>
      <c r="L203">
        <v>15</v>
      </c>
      <c r="M203">
        <v>20</v>
      </c>
    </row>
    <row r="204" spans="1:13" x14ac:dyDescent="0.3">
      <c r="A204" s="1">
        <v>45047</v>
      </c>
      <c r="B204" t="s">
        <v>5</v>
      </c>
      <c r="C204" t="str">
        <f>IFERROR(INDEX(자료실범례[],MATCH($B204,자료실범례[소장처명],0),2),"종합자료실")</f>
        <v>종합자료실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7</v>
      </c>
      <c r="K204">
        <v>12</v>
      </c>
      <c r="L204">
        <v>19</v>
      </c>
      <c r="M204">
        <v>19</v>
      </c>
    </row>
    <row r="205" spans="1:13" x14ac:dyDescent="0.3">
      <c r="A205" s="1">
        <v>45047</v>
      </c>
      <c r="B205" t="s">
        <v>6</v>
      </c>
      <c r="C205" t="str">
        <f>IFERROR(INDEX(자료실범례[],MATCH($B205,자료실범례[소장처명],0),2),"종합자료실")</f>
        <v>종합자료실</v>
      </c>
      <c r="D205">
        <v>3</v>
      </c>
      <c r="E205">
        <v>2</v>
      </c>
      <c r="F205">
        <v>5</v>
      </c>
      <c r="G205">
        <v>0</v>
      </c>
      <c r="H205">
        <v>0</v>
      </c>
      <c r="I205">
        <v>0</v>
      </c>
      <c r="J205">
        <v>0</v>
      </c>
      <c r="K205">
        <v>3</v>
      </c>
      <c r="L205">
        <v>3</v>
      </c>
      <c r="M205">
        <v>8</v>
      </c>
    </row>
    <row r="206" spans="1:13" x14ac:dyDescent="0.3">
      <c r="A206" s="1">
        <v>45047</v>
      </c>
      <c r="B206" t="s">
        <v>7</v>
      </c>
      <c r="C206" t="str">
        <f>IFERROR(INDEX(자료실범례[],MATCH($B206,자료실범례[소장처명],0),2),"종합자료실")</f>
        <v>어린이자료실</v>
      </c>
      <c r="D206">
        <v>3</v>
      </c>
      <c r="E206">
        <v>5</v>
      </c>
      <c r="F206">
        <v>8</v>
      </c>
      <c r="G206">
        <v>1</v>
      </c>
      <c r="H206">
        <v>0</v>
      </c>
      <c r="I206">
        <v>1</v>
      </c>
      <c r="J206">
        <v>2</v>
      </c>
      <c r="K206">
        <v>2</v>
      </c>
      <c r="L206">
        <v>4</v>
      </c>
      <c r="M206">
        <v>13</v>
      </c>
    </row>
    <row r="207" spans="1:13" x14ac:dyDescent="0.3">
      <c r="A207" s="1">
        <v>45047</v>
      </c>
      <c r="B207" t="s">
        <v>8</v>
      </c>
      <c r="C207" t="str">
        <f>IFERROR(INDEX(자료실범례[],MATCH($B207,자료실범례[소장처명],0),2),"종합자료실")</f>
        <v>어린이자료실</v>
      </c>
      <c r="D207">
        <v>0</v>
      </c>
      <c r="E207">
        <v>8</v>
      </c>
      <c r="F207">
        <v>8</v>
      </c>
      <c r="G207">
        <v>0</v>
      </c>
      <c r="H207">
        <v>0</v>
      </c>
      <c r="I207">
        <v>0</v>
      </c>
      <c r="J207">
        <v>1</v>
      </c>
      <c r="K207">
        <v>4</v>
      </c>
      <c r="L207">
        <v>5</v>
      </c>
      <c r="M207">
        <v>13</v>
      </c>
    </row>
    <row r="208" spans="1:13" x14ac:dyDescent="0.3">
      <c r="A208" s="1">
        <v>45047</v>
      </c>
      <c r="B208" t="s">
        <v>9</v>
      </c>
      <c r="C208" t="str">
        <f>IFERROR(INDEX(자료실범례[],MATCH($B208,자료실범례[소장처명],0),2),"종합자료실")</f>
        <v>어린이자료실</v>
      </c>
      <c r="D208">
        <v>2</v>
      </c>
      <c r="E208">
        <v>1</v>
      </c>
      <c r="F208">
        <v>3</v>
      </c>
      <c r="G208">
        <v>0</v>
      </c>
      <c r="H208">
        <v>0</v>
      </c>
      <c r="I208">
        <v>0</v>
      </c>
      <c r="J208">
        <v>0</v>
      </c>
      <c r="K208">
        <v>2</v>
      </c>
      <c r="L208">
        <v>2</v>
      </c>
      <c r="M208">
        <v>5</v>
      </c>
    </row>
    <row r="209" spans="1:13" x14ac:dyDescent="0.3">
      <c r="A209" s="1">
        <v>45047</v>
      </c>
      <c r="B209" t="s">
        <v>10</v>
      </c>
      <c r="C209" t="str">
        <f>IFERROR(INDEX(자료실범례[],MATCH($B209,자료실범례[소장처명],0),2),"종합자료실")</f>
        <v>어린이자료실</v>
      </c>
      <c r="D209">
        <v>1</v>
      </c>
      <c r="E209">
        <v>1</v>
      </c>
      <c r="F209">
        <v>2</v>
      </c>
      <c r="G209">
        <v>0</v>
      </c>
      <c r="H209">
        <v>0</v>
      </c>
      <c r="I209">
        <v>0</v>
      </c>
      <c r="J209">
        <v>1</v>
      </c>
      <c r="K209">
        <v>4</v>
      </c>
      <c r="L209">
        <v>5</v>
      </c>
      <c r="M209">
        <v>7</v>
      </c>
    </row>
    <row r="210" spans="1:13" x14ac:dyDescent="0.3">
      <c r="A210" s="1">
        <v>45047</v>
      </c>
      <c r="B210" t="s">
        <v>11</v>
      </c>
      <c r="C210" t="str">
        <f>IFERROR(INDEX(자료실범례[],MATCH($B210,자료실범례[소장처명],0),2),"종합자료실")</f>
        <v>어린이자료실</v>
      </c>
      <c r="D210">
        <v>4</v>
      </c>
      <c r="E210">
        <v>0</v>
      </c>
      <c r="F210">
        <v>4</v>
      </c>
      <c r="G210">
        <v>1</v>
      </c>
      <c r="H210">
        <v>0</v>
      </c>
      <c r="I210">
        <v>1</v>
      </c>
      <c r="J210">
        <v>0</v>
      </c>
      <c r="K210">
        <v>5</v>
      </c>
      <c r="L210">
        <v>5</v>
      </c>
      <c r="M210">
        <v>10</v>
      </c>
    </row>
    <row r="211" spans="1:13" x14ac:dyDescent="0.3">
      <c r="A211" s="1">
        <v>45047</v>
      </c>
      <c r="B211" t="s">
        <v>12</v>
      </c>
      <c r="C211" t="str">
        <f>IFERROR(INDEX(자료실범례[],MATCH($B211,자료실범례[소장처명],0),2),"종합자료실")</f>
        <v>어린이자료실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2</v>
      </c>
      <c r="L211">
        <v>3</v>
      </c>
      <c r="M211">
        <v>3</v>
      </c>
    </row>
    <row r="212" spans="1:13" x14ac:dyDescent="0.3">
      <c r="A212" s="1">
        <v>45047</v>
      </c>
      <c r="B212" t="s">
        <v>15</v>
      </c>
      <c r="C212" t="str">
        <f>IFERROR(INDEX(자료실범례[],MATCH($B212,자료실범례[소장처명],0),2),"종합자료실")</f>
        <v>어린이자료실</v>
      </c>
      <c r="D212">
        <v>23</v>
      </c>
      <c r="E212">
        <v>13</v>
      </c>
      <c r="F212">
        <v>36</v>
      </c>
      <c r="G212">
        <v>3</v>
      </c>
      <c r="H212">
        <v>3</v>
      </c>
      <c r="I212">
        <v>6</v>
      </c>
      <c r="J212">
        <v>13</v>
      </c>
      <c r="K212">
        <v>20</v>
      </c>
      <c r="L212">
        <v>33</v>
      </c>
      <c r="M212">
        <v>75</v>
      </c>
    </row>
    <row r="213" spans="1:13" x14ac:dyDescent="0.3">
      <c r="A213" s="1">
        <v>45047</v>
      </c>
      <c r="B213" t="s">
        <v>16</v>
      </c>
      <c r="C213" t="str">
        <f>IFERROR(INDEX(자료실범례[],MATCH($B213,자료실범례[소장처명],0),2),"종합자료실")</f>
        <v>어린이자료실</v>
      </c>
      <c r="D213">
        <v>39</v>
      </c>
      <c r="E213">
        <v>41</v>
      </c>
      <c r="F213">
        <v>80</v>
      </c>
      <c r="G213">
        <v>6</v>
      </c>
      <c r="H213">
        <v>6</v>
      </c>
      <c r="I213">
        <v>12</v>
      </c>
      <c r="J213">
        <v>33</v>
      </c>
      <c r="K213">
        <v>82</v>
      </c>
      <c r="L213">
        <v>115</v>
      </c>
      <c r="M213">
        <v>207</v>
      </c>
    </row>
    <row r="214" spans="1:13" x14ac:dyDescent="0.3">
      <c r="A214" s="1">
        <v>45047</v>
      </c>
      <c r="B214" t="s">
        <v>17</v>
      </c>
      <c r="C214" t="str">
        <f>IFERROR(INDEX(자료실범례[],MATCH($B214,자료실범례[소장처명],0),2),"종합자료실")</f>
        <v>어린이자료실</v>
      </c>
      <c r="D214">
        <v>1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</row>
    <row r="215" spans="1:13" x14ac:dyDescent="0.3">
      <c r="A215" s="1">
        <v>45047</v>
      </c>
      <c r="B215" t="s">
        <v>18</v>
      </c>
      <c r="C215" t="str">
        <f>IFERROR(INDEX(자료실범례[],MATCH($B215,자료실범례[소장처명],0),2),"종합자료실")</f>
        <v>종합자료실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1</v>
      </c>
      <c r="L215">
        <v>2</v>
      </c>
      <c r="M215">
        <v>2</v>
      </c>
    </row>
    <row r="216" spans="1:13" x14ac:dyDescent="0.3">
      <c r="A216" s="1">
        <v>45047</v>
      </c>
      <c r="B216" t="s">
        <v>20</v>
      </c>
      <c r="C216" t="str">
        <f>IFERROR(INDEX(자료실범례[],MATCH($B216,자료실범례[소장처명],0),2),"종합자료실")</f>
        <v>종합자료실</v>
      </c>
      <c r="D216">
        <v>0</v>
      </c>
      <c r="E216">
        <v>0</v>
      </c>
      <c r="F216">
        <v>0</v>
      </c>
      <c r="G216">
        <v>1</v>
      </c>
      <c r="H216">
        <v>1</v>
      </c>
      <c r="I216">
        <v>2</v>
      </c>
      <c r="J216">
        <v>1</v>
      </c>
      <c r="K216">
        <v>2</v>
      </c>
      <c r="L216">
        <v>3</v>
      </c>
      <c r="M216">
        <v>5</v>
      </c>
    </row>
    <row r="217" spans="1:13" x14ac:dyDescent="0.3">
      <c r="A217" s="1">
        <v>45047</v>
      </c>
      <c r="B217" t="s">
        <v>21</v>
      </c>
      <c r="C217" t="str">
        <f>IFERROR(INDEX(자료실범례[],MATCH($B217,자료실범례[소장처명],0),2),"종합자료실")</f>
        <v>종합자료실</v>
      </c>
      <c r="D217">
        <v>14</v>
      </c>
      <c r="E217">
        <v>8</v>
      </c>
      <c r="F217">
        <v>22</v>
      </c>
      <c r="G217">
        <v>7</v>
      </c>
      <c r="H217">
        <v>32</v>
      </c>
      <c r="I217">
        <v>39</v>
      </c>
      <c r="J217">
        <v>116</v>
      </c>
      <c r="K217">
        <v>194</v>
      </c>
      <c r="L217">
        <v>310</v>
      </c>
      <c r="M217">
        <v>371</v>
      </c>
    </row>
    <row r="218" spans="1:13" x14ac:dyDescent="0.3">
      <c r="A218" s="1">
        <v>45078</v>
      </c>
      <c r="B218" t="s">
        <v>197</v>
      </c>
      <c r="C218" t="str">
        <f>IFERROR(INDEX(자료실범례[],MATCH($B218,자료실범례[소장처명],0),2),"종합자료실")</f>
        <v>종합자료실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1</v>
      </c>
      <c r="M218">
        <v>1</v>
      </c>
    </row>
    <row r="219" spans="1:13" x14ac:dyDescent="0.3">
      <c r="A219" s="1">
        <v>45078</v>
      </c>
      <c r="B219" t="s">
        <v>0</v>
      </c>
      <c r="C219" t="str">
        <f>IFERROR(INDEX(자료실범례[],MATCH($B219,자료실범례[소장처명],0),2),"종합자료실")</f>
        <v>어린이자료실</v>
      </c>
      <c r="D219">
        <v>2</v>
      </c>
      <c r="E219">
        <v>0</v>
      </c>
      <c r="F219">
        <v>2</v>
      </c>
      <c r="G219">
        <v>0</v>
      </c>
      <c r="H219">
        <v>0</v>
      </c>
      <c r="I219">
        <v>0</v>
      </c>
      <c r="J219">
        <v>1</v>
      </c>
      <c r="K219">
        <v>4</v>
      </c>
      <c r="L219">
        <v>5</v>
      </c>
      <c r="M219">
        <v>7</v>
      </c>
    </row>
    <row r="220" spans="1:13" x14ac:dyDescent="0.3">
      <c r="A220" s="1">
        <v>45078</v>
      </c>
      <c r="B220" t="s">
        <v>1</v>
      </c>
      <c r="C220" t="str">
        <f>IFERROR(INDEX(자료실범례[],MATCH($B220,자료실범례[소장처명],0),2),"종합자료실")</f>
        <v>어린이자료실</v>
      </c>
      <c r="D220">
        <v>3</v>
      </c>
      <c r="E220">
        <v>0</v>
      </c>
      <c r="F220">
        <v>3</v>
      </c>
      <c r="G220">
        <v>0</v>
      </c>
      <c r="H220">
        <v>0</v>
      </c>
      <c r="I220">
        <v>0</v>
      </c>
      <c r="J220">
        <v>1</v>
      </c>
      <c r="K220">
        <v>4</v>
      </c>
      <c r="L220">
        <v>5</v>
      </c>
      <c r="M220">
        <v>8</v>
      </c>
    </row>
    <row r="221" spans="1:13" x14ac:dyDescent="0.3">
      <c r="A221" s="1">
        <v>45078</v>
      </c>
      <c r="B221" t="s">
        <v>2</v>
      </c>
      <c r="C221" t="str">
        <f>IFERROR(INDEX(자료실범례[],MATCH($B221,자료실범례[소장처명],0),2),"종합자료실")</f>
        <v>디지털자료실</v>
      </c>
      <c r="D221">
        <v>3</v>
      </c>
      <c r="E221">
        <v>0</v>
      </c>
      <c r="F221">
        <v>3</v>
      </c>
      <c r="G221">
        <v>0</v>
      </c>
      <c r="H221">
        <v>0</v>
      </c>
      <c r="I221">
        <v>0</v>
      </c>
      <c r="J221">
        <v>1</v>
      </c>
      <c r="K221">
        <v>5</v>
      </c>
      <c r="L221">
        <v>6</v>
      </c>
      <c r="M221">
        <v>9</v>
      </c>
    </row>
    <row r="222" spans="1:13" x14ac:dyDescent="0.3">
      <c r="A222" s="1">
        <v>45078</v>
      </c>
      <c r="B222" t="s">
        <v>3</v>
      </c>
      <c r="C222" t="str">
        <f>IFERROR(INDEX(자료실범례[],MATCH($B222,자료실범례[소장처명],0),2),"종합자료실")</f>
        <v>디지털자료실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1</v>
      </c>
      <c r="L222">
        <v>2</v>
      </c>
      <c r="M222">
        <v>2</v>
      </c>
    </row>
    <row r="223" spans="1:13" x14ac:dyDescent="0.3">
      <c r="A223" s="1">
        <v>45078</v>
      </c>
      <c r="B223" t="s">
        <v>4</v>
      </c>
      <c r="C223" t="str">
        <f>IFERROR(INDEX(자료실범례[],MATCH($B223,자료실범례[소장처명],0),2),"종합자료실")</f>
        <v>어린이자료실</v>
      </c>
      <c r="D223">
        <v>4</v>
      </c>
      <c r="E223">
        <v>2</v>
      </c>
      <c r="F223">
        <v>6</v>
      </c>
      <c r="G223">
        <v>0</v>
      </c>
      <c r="H223">
        <v>0</v>
      </c>
      <c r="I223">
        <v>0</v>
      </c>
      <c r="J223">
        <v>5</v>
      </c>
      <c r="K223">
        <v>3</v>
      </c>
      <c r="L223">
        <v>8</v>
      </c>
      <c r="M223">
        <v>14</v>
      </c>
    </row>
    <row r="224" spans="1:13" x14ac:dyDescent="0.3">
      <c r="A224" s="1">
        <v>45078</v>
      </c>
      <c r="B224" t="s">
        <v>5</v>
      </c>
      <c r="C224" t="str">
        <f>IFERROR(INDEX(자료실범례[],MATCH($B224,자료실범례[소장처명],0),2),"종합자료실")</f>
        <v>종합자료실</v>
      </c>
      <c r="D224">
        <v>0</v>
      </c>
      <c r="E224">
        <v>0</v>
      </c>
      <c r="F224">
        <v>0</v>
      </c>
      <c r="G224">
        <v>0</v>
      </c>
      <c r="H224">
        <v>2</v>
      </c>
      <c r="I224">
        <v>2</v>
      </c>
      <c r="J224">
        <v>8</v>
      </c>
      <c r="K224">
        <v>16</v>
      </c>
      <c r="L224">
        <v>24</v>
      </c>
      <c r="M224">
        <v>26</v>
      </c>
    </row>
    <row r="225" spans="1:13" x14ac:dyDescent="0.3">
      <c r="A225" s="1">
        <v>45078</v>
      </c>
      <c r="B225" t="s">
        <v>6</v>
      </c>
      <c r="C225" t="str">
        <f>IFERROR(INDEX(자료실범례[],MATCH($B225,자료실범례[소장처명],0),2),"종합자료실")</f>
        <v>종합자료실</v>
      </c>
      <c r="D225">
        <v>3</v>
      </c>
      <c r="E225">
        <v>1</v>
      </c>
      <c r="F225">
        <v>4</v>
      </c>
      <c r="G225">
        <v>0</v>
      </c>
      <c r="H225">
        <v>0</v>
      </c>
      <c r="I225">
        <v>0</v>
      </c>
      <c r="J225">
        <v>6</v>
      </c>
      <c r="K225">
        <v>10</v>
      </c>
      <c r="L225">
        <v>16</v>
      </c>
      <c r="M225">
        <v>20</v>
      </c>
    </row>
    <row r="226" spans="1:13" x14ac:dyDescent="0.3">
      <c r="A226" s="1">
        <v>45078</v>
      </c>
      <c r="B226" t="s">
        <v>7</v>
      </c>
      <c r="C226" t="str">
        <f>IFERROR(INDEX(자료실범례[],MATCH($B226,자료실범례[소장처명],0),2),"종합자료실")</f>
        <v>어린이자료실</v>
      </c>
      <c r="D226">
        <v>4</v>
      </c>
      <c r="E226">
        <v>1</v>
      </c>
      <c r="F226">
        <v>5</v>
      </c>
      <c r="G226">
        <v>0</v>
      </c>
      <c r="H226">
        <v>0</v>
      </c>
      <c r="I226">
        <v>0</v>
      </c>
      <c r="J226">
        <v>1</v>
      </c>
      <c r="K226">
        <v>3</v>
      </c>
      <c r="L226">
        <v>4</v>
      </c>
      <c r="M226">
        <v>9</v>
      </c>
    </row>
    <row r="227" spans="1:13" x14ac:dyDescent="0.3">
      <c r="A227" s="1">
        <v>45078</v>
      </c>
      <c r="B227" t="s">
        <v>8</v>
      </c>
      <c r="C227" t="str">
        <f>IFERROR(INDEX(자료실범례[],MATCH($B227,자료실범례[소장처명],0),2),"종합자료실")</f>
        <v>어린이자료실</v>
      </c>
      <c r="D227">
        <v>1</v>
      </c>
      <c r="E227">
        <v>2</v>
      </c>
      <c r="F227">
        <v>3</v>
      </c>
      <c r="G227">
        <v>0</v>
      </c>
      <c r="H227">
        <v>0</v>
      </c>
      <c r="I227">
        <v>0</v>
      </c>
      <c r="J227">
        <v>0</v>
      </c>
      <c r="K227">
        <v>5</v>
      </c>
      <c r="L227">
        <v>5</v>
      </c>
      <c r="M227">
        <v>8</v>
      </c>
    </row>
    <row r="228" spans="1:13" x14ac:dyDescent="0.3">
      <c r="A228" s="1">
        <v>45078</v>
      </c>
      <c r="B228" t="s">
        <v>9</v>
      </c>
      <c r="C228" t="str">
        <f>IFERROR(INDEX(자료실범례[],MATCH($B228,자료실범례[소장처명],0),2),"종합자료실")</f>
        <v>어린이자료실</v>
      </c>
      <c r="D228">
        <v>2</v>
      </c>
      <c r="E228">
        <v>0</v>
      </c>
      <c r="F228">
        <v>2</v>
      </c>
      <c r="G228">
        <v>1</v>
      </c>
      <c r="H228">
        <v>0</v>
      </c>
      <c r="I228">
        <v>1</v>
      </c>
      <c r="J228">
        <v>0</v>
      </c>
      <c r="K228">
        <v>4</v>
      </c>
      <c r="L228">
        <v>4</v>
      </c>
      <c r="M228">
        <v>7</v>
      </c>
    </row>
    <row r="229" spans="1:13" x14ac:dyDescent="0.3">
      <c r="A229" s="1">
        <v>45078</v>
      </c>
      <c r="B229" t="s">
        <v>10</v>
      </c>
      <c r="C229" t="str">
        <f>IFERROR(INDEX(자료실범례[],MATCH($B229,자료실범례[소장처명],0),2),"종합자료실")</f>
        <v>어린이자료실</v>
      </c>
      <c r="D229">
        <v>0</v>
      </c>
      <c r="E229">
        <v>2</v>
      </c>
      <c r="F229">
        <v>2</v>
      </c>
      <c r="G229">
        <v>1</v>
      </c>
      <c r="H229">
        <v>0</v>
      </c>
      <c r="I229">
        <v>1</v>
      </c>
      <c r="J229">
        <v>2</v>
      </c>
      <c r="K229">
        <v>4</v>
      </c>
      <c r="L229">
        <v>6</v>
      </c>
      <c r="M229">
        <v>9</v>
      </c>
    </row>
    <row r="230" spans="1:13" x14ac:dyDescent="0.3">
      <c r="A230" s="1">
        <v>45078</v>
      </c>
      <c r="B230" t="s">
        <v>11</v>
      </c>
      <c r="C230" t="str">
        <f>IFERROR(INDEX(자료실범례[],MATCH($B230,자료실범례[소장처명],0),2),"종합자료실")</f>
        <v>어린이자료실</v>
      </c>
      <c r="D230">
        <v>1</v>
      </c>
      <c r="E230">
        <v>1</v>
      </c>
      <c r="F230">
        <v>2</v>
      </c>
      <c r="G230">
        <v>1</v>
      </c>
      <c r="H230">
        <v>0</v>
      </c>
      <c r="I230">
        <v>1</v>
      </c>
      <c r="J230">
        <v>0</v>
      </c>
      <c r="K230">
        <v>1</v>
      </c>
      <c r="L230">
        <v>1</v>
      </c>
      <c r="M230">
        <v>4</v>
      </c>
    </row>
    <row r="231" spans="1:13" x14ac:dyDescent="0.3">
      <c r="A231" s="1">
        <v>45078</v>
      </c>
      <c r="B231" t="s">
        <v>12</v>
      </c>
      <c r="C231" t="str">
        <f>IFERROR(INDEX(자료실범례[],MATCH($B231,자료실범례[소장처명],0),2),"종합자료실")</f>
        <v>어린이자료실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1</v>
      </c>
      <c r="M231">
        <v>1</v>
      </c>
    </row>
    <row r="232" spans="1:13" x14ac:dyDescent="0.3">
      <c r="A232" s="1">
        <v>45078</v>
      </c>
      <c r="B232" t="s">
        <v>13</v>
      </c>
      <c r="C232" t="str">
        <f>IFERROR(INDEX(자료실범례[],MATCH($B232,자료실범례[소장처명],0),2),"종합자료실")</f>
        <v>어린이자료실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1</v>
      </c>
      <c r="L232">
        <v>2</v>
      </c>
      <c r="M232">
        <v>2</v>
      </c>
    </row>
    <row r="233" spans="1:13" x14ac:dyDescent="0.3">
      <c r="A233" s="1">
        <v>45078</v>
      </c>
      <c r="B233" t="s">
        <v>15</v>
      </c>
      <c r="C233" t="str">
        <f>IFERROR(INDEX(자료실범례[],MATCH($B233,자료실범례[소장처명],0),2),"종합자료실")</f>
        <v>어린이자료실</v>
      </c>
      <c r="D233">
        <v>29</v>
      </c>
      <c r="E233">
        <v>16</v>
      </c>
      <c r="F233">
        <v>45</v>
      </c>
      <c r="G233">
        <v>2</v>
      </c>
      <c r="H233">
        <v>2</v>
      </c>
      <c r="I233">
        <v>4</v>
      </c>
      <c r="J233">
        <v>12</v>
      </c>
      <c r="K233">
        <v>26</v>
      </c>
      <c r="L233">
        <v>38</v>
      </c>
      <c r="M233">
        <v>87</v>
      </c>
    </row>
    <row r="234" spans="1:13" x14ac:dyDescent="0.3">
      <c r="A234" s="1">
        <v>45078</v>
      </c>
      <c r="B234" t="s">
        <v>16</v>
      </c>
      <c r="C234" t="str">
        <f>IFERROR(INDEX(자료실범례[],MATCH($B234,자료실범례[소장처명],0),2),"종합자료실")</f>
        <v>어린이자료실</v>
      </c>
      <c r="D234">
        <v>38</v>
      </c>
      <c r="E234">
        <v>42</v>
      </c>
      <c r="F234">
        <v>80</v>
      </c>
      <c r="G234">
        <v>6</v>
      </c>
      <c r="H234">
        <v>5</v>
      </c>
      <c r="I234">
        <v>11</v>
      </c>
      <c r="J234">
        <v>27</v>
      </c>
      <c r="K234">
        <v>90</v>
      </c>
      <c r="L234">
        <v>117</v>
      </c>
      <c r="M234">
        <v>208</v>
      </c>
    </row>
    <row r="235" spans="1:13" x14ac:dyDescent="0.3">
      <c r="A235" s="1">
        <v>45078</v>
      </c>
      <c r="B235" t="s">
        <v>17</v>
      </c>
      <c r="C235" t="str">
        <f>IFERROR(INDEX(자료실범례[],MATCH($B235,자료실범례[소장처명],0),2),"종합자료실")</f>
        <v>어린이자료실</v>
      </c>
      <c r="D235">
        <v>2</v>
      </c>
      <c r="E235">
        <v>0</v>
      </c>
      <c r="F235">
        <v>2</v>
      </c>
      <c r="G235">
        <v>0</v>
      </c>
      <c r="H235">
        <v>0</v>
      </c>
      <c r="I235">
        <v>0</v>
      </c>
      <c r="J235">
        <v>0</v>
      </c>
      <c r="K235">
        <v>2</v>
      </c>
      <c r="L235">
        <v>2</v>
      </c>
      <c r="M235">
        <v>4</v>
      </c>
    </row>
    <row r="236" spans="1:13" x14ac:dyDescent="0.3">
      <c r="A236" s="1">
        <v>45078</v>
      </c>
      <c r="B236" t="s">
        <v>18</v>
      </c>
      <c r="C236" t="str">
        <f>IFERROR(INDEX(자료실범례[],MATCH($B236,자료실범례[소장처명],0),2),"종합자료실")</f>
        <v>종합자료실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2</v>
      </c>
      <c r="L236">
        <v>3</v>
      </c>
      <c r="M236">
        <v>3</v>
      </c>
    </row>
    <row r="237" spans="1:13" x14ac:dyDescent="0.3">
      <c r="A237" s="1">
        <v>45078</v>
      </c>
      <c r="B237" t="s">
        <v>20</v>
      </c>
      <c r="C237" t="str">
        <f>IFERROR(INDEX(자료실범례[],MATCH($B237,자료실범례[소장처명],0),2),"종합자료실")</f>
        <v>종합자료실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0</v>
      </c>
      <c r="M237">
        <v>1</v>
      </c>
    </row>
    <row r="238" spans="1:13" x14ac:dyDescent="0.3">
      <c r="A238" s="1">
        <v>45078</v>
      </c>
      <c r="B238" t="s">
        <v>21</v>
      </c>
      <c r="C238" t="str">
        <f>IFERROR(INDEX(자료실범례[],MATCH($B238,자료실범례[소장처명],0),2),"종합자료실")</f>
        <v>종합자료실</v>
      </c>
      <c r="D238">
        <v>13</v>
      </c>
      <c r="E238">
        <v>8</v>
      </c>
      <c r="F238">
        <v>21</v>
      </c>
      <c r="G238">
        <v>10</v>
      </c>
      <c r="H238">
        <v>39</v>
      </c>
      <c r="I238">
        <v>49</v>
      </c>
      <c r="J238">
        <v>118</v>
      </c>
      <c r="K238">
        <v>213</v>
      </c>
      <c r="L238">
        <v>332</v>
      </c>
      <c r="M238">
        <v>402</v>
      </c>
    </row>
    <row r="239" spans="1:13" x14ac:dyDescent="0.3">
      <c r="A239" s="1">
        <v>45444</v>
      </c>
      <c r="B239" t="s">
        <v>198</v>
      </c>
      <c r="C239" t="str">
        <f>IFERROR(INDEX(자료실범례[],MATCH($B239,자료실범례[소장처명],0),2),"종합자료실")</f>
        <v>어린이자료실</v>
      </c>
      <c r="D239">
        <v>3</v>
      </c>
      <c r="E239">
        <v>6</v>
      </c>
      <c r="F239">
        <v>9</v>
      </c>
      <c r="G239">
        <v>0</v>
      </c>
      <c r="H239">
        <v>0</v>
      </c>
      <c r="I239">
        <v>0</v>
      </c>
      <c r="J239">
        <v>4</v>
      </c>
      <c r="K239">
        <v>7</v>
      </c>
      <c r="L239">
        <v>11</v>
      </c>
      <c r="M239">
        <v>20</v>
      </c>
    </row>
    <row r="240" spans="1:13" x14ac:dyDescent="0.3">
      <c r="A240" s="1">
        <v>45444</v>
      </c>
      <c r="B240" t="s">
        <v>197</v>
      </c>
      <c r="C240" t="str">
        <f>IFERROR(INDEX(자료실범례[],MATCH($B240,자료실범례[소장처명],0),2),"종합자료실")</f>
        <v>종합자료실</v>
      </c>
      <c r="D240">
        <v>0</v>
      </c>
      <c r="E240">
        <v>2</v>
      </c>
      <c r="F240">
        <v>2</v>
      </c>
      <c r="G240">
        <v>1</v>
      </c>
      <c r="H240">
        <v>0</v>
      </c>
      <c r="I240">
        <v>1</v>
      </c>
      <c r="J240">
        <v>2</v>
      </c>
      <c r="K240">
        <v>7</v>
      </c>
      <c r="L240">
        <v>9</v>
      </c>
      <c r="M240">
        <v>12</v>
      </c>
    </row>
    <row r="241" spans="1:13" x14ac:dyDescent="0.3">
      <c r="A241" s="1">
        <v>45444</v>
      </c>
      <c r="B241" t="s">
        <v>23</v>
      </c>
      <c r="C241" t="str">
        <f>IFERROR(INDEX(자료실범례[],MATCH($B241,자료실범례[소장처명],0),2),"종합자료실")</f>
        <v>종합자료실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1</v>
      </c>
      <c r="M241">
        <v>1</v>
      </c>
    </row>
    <row r="242" spans="1:13" x14ac:dyDescent="0.3">
      <c r="A242" s="1">
        <v>45444</v>
      </c>
      <c r="B242" t="s">
        <v>0</v>
      </c>
      <c r="C242" t="str">
        <f>IFERROR(INDEX(자료실범례[],MATCH($B242,자료실범례[소장처명],0),2),"종합자료실")</f>
        <v>어린이자료실</v>
      </c>
      <c r="D242">
        <v>3</v>
      </c>
      <c r="E242">
        <v>0</v>
      </c>
      <c r="F242">
        <v>3</v>
      </c>
      <c r="G242">
        <v>0</v>
      </c>
      <c r="H242">
        <v>0</v>
      </c>
      <c r="I242">
        <v>0</v>
      </c>
      <c r="J242">
        <v>5</v>
      </c>
      <c r="K242">
        <v>2</v>
      </c>
      <c r="L242">
        <v>7</v>
      </c>
      <c r="M242">
        <v>10</v>
      </c>
    </row>
    <row r="243" spans="1:13" x14ac:dyDescent="0.3">
      <c r="A243" s="1">
        <v>45444</v>
      </c>
      <c r="B243" t="s">
        <v>1</v>
      </c>
      <c r="C243" t="str">
        <f>IFERROR(INDEX(자료실범례[],MATCH($B243,자료실범례[소장처명],0),2),"종합자료실")</f>
        <v>어린이자료실</v>
      </c>
      <c r="D243">
        <v>4</v>
      </c>
      <c r="E243">
        <v>1</v>
      </c>
      <c r="F243">
        <v>5</v>
      </c>
      <c r="G243">
        <v>0</v>
      </c>
      <c r="H243">
        <v>1</v>
      </c>
      <c r="I243">
        <v>1</v>
      </c>
      <c r="J243">
        <v>2</v>
      </c>
      <c r="K243">
        <v>3</v>
      </c>
      <c r="L243">
        <v>5</v>
      </c>
      <c r="M243">
        <v>11</v>
      </c>
    </row>
    <row r="244" spans="1:13" x14ac:dyDescent="0.3">
      <c r="A244" s="1">
        <v>45444</v>
      </c>
      <c r="B244" t="s">
        <v>2</v>
      </c>
      <c r="C244" t="str">
        <f>IFERROR(INDEX(자료실범례[],MATCH($B244,자료실범례[소장처명],0),2),"종합자료실")</f>
        <v>디지털자료실</v>
      </c>
      <c r="D244">
        <v>2</v>
      </c>
      <c r="E244">
        <v>0</v>
      </c>
      <c r="F244">
        <v>2</v>
      </c>
      <c r="G244">
        <v>0</v>
      </c>
      <c r="H244">
        <v>0</v>
      </c>
      <c r="I244">
        <v>0</v>
      </c>
      <c r="J244">
        <v>4</v>
      </c>
      <c r="K244">
        <v>3</v>
      </c>
      <c r="L244">
        <v>7</v>
      </c>
      <c r="M244">
        <v>9</v>
      </c>
    </row>
    <row r="245" spans="1:13" x14ac:dyDescent="0.3">
      <c r="A245" s="1">
        <v>45444</v>
      </c>
      <c r="B245" t="s">
        <v>4</v>
      </c>
      <c r="C245" t="str">
        <f>IFERROR(INDEX(자료실범례[],MATCH($B245,자료실범례[소장처명],0),2),"종합자료실")</f>
        <v>어린이자료실</v>
      </c>
      <c r="D245">
        <v>0</v>
      </c>
      <c r="E245">
        <v>1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6</v>
      </c>
      <c r="L245">
        <v>6</v>
      </c>
      <c r="M245">
        <v>7</v>
      </c>
    </row>
    <row r="246" spans="1:13" x14ac:dyDescent="0.3">
      <c r="A246" s="1">
        <v>45444</v>
      </c>
      <c r="B246" t="s">
        <v>5</v>
      </c>
      <c r="C246" t="str">
        <f>IFERROR(INDEX(자료실범례[],MATCH($B246,자료실범례[소장처명],0),2),"종합자료실")</f>
        <v>종합자료실</v>
      </c>
      <c r="D246">
        <v>0</v>
      </c>
      <c r="E246">
        <v>0</v>
      </c>
      <c r="F246">
        <v>0</v>
      </c>
      <c r="G246">
        <v>1</v>
      </c>
      <c r="H246">
        <v>4</v>
      </c>
      <c r="I246">
        <v>5</v>
      </c>
      <c r="J246">
        <v>12</v>
      </c>
      <c r="K246">
        <v>13</v>
      </c>
      <c r="L246">
        <v>25</v>
      </c>
      <c r="M246">
        <v>30</v>
      </c>
    </row>
    <row r="247" spans="1:13" x14ac:dyDescent="0.3">
      <c r="A247" s="1">
        <v>45444</v>
      </c>
      <c r="B247" t="s">
        <v>6</v>
      </c>
      <c r="C247" t="str">
        <f>IFERROR(INDEX(자료실범례[],MATCH($B247,자료실범례[소장처명],0),2),"종합자료실")</f>
        <v>종합자료실</v>
      </c>
      <c r="D247">
        <v>14</v>
      </c>
      <c r="E247">
        <v>10</v>
      </c>
      <c r="F247">
        <v>24</v>
      </c>
      <c r="G247">
        <v>1</v>
      </c>
      <c r="H247">
        <v>6</v>
      </c>
      <c r="I247">
        <v>7</v>
      </c>
      <c r="J247">
        <v>6</v>
      </c>
      <c r="K247">
        <v>32</v>
      </c>
      <c r="L247">
        <v>38</v>
      </c>
      <c r="M247">
        <v>69</v>
      </c>
    </row>
    <row r="248" spans="1:13" x14ac:dyDescent="0.3">
      <c r="A248" s="1">
        <v>45444</v>
      </c>
      <c r="B248" t="s">
        <v>7</v>
      </c>
      <c r="C248" t="str">
        <f>IFERROR(INDEX(자료실범례[],MATCH($B248,자료실범례[소장처명],0),2),"종합자료실")</f>
        <v>어린이자료실</v>
      </c>
      <c r="D248">
        <v>6</v>
      </c>
      <c r="E248">
        <v>6</v>
      </c>
      <c r="F248">
        <v>12</v>
      </c>
      <c r="G248">
        <v>0</v>
      </c>
      <c r="H248">
        <v>0</v>
      </c>
      <c r="I248">
        <v>0</v>
      </c>
      <c r="J248">
        <v>1</v>
      </c>
      <c r="K248">
        <v>8</v>
      </c>
      <c r="L248">
        <v>9</v>
      </c>
      <c r="M248">
        <v>21</v>
      </c>
    </row>
    <row r="249" spans="1:13" x14ac:dyDescent="0.3">
      <c r="A249" s="1">
        <v>45444</v>
      </c>
      <c r="B249" t="s">
        <v>8</v>
      </c>
      <c r="C249" t="str">
        <f>IFERROR(INDEX(자료실범례[],MATCH($B249,자료실범례[소장처명],0),2),"종합자료실")</f>
        <v>어린이자료실</v>
      </c>
      <c r="D249">
        <v>1</v>
      </c>
      <c r="E249">
        <v>4</v>
      </c>
      <c r="F249">
        <v>5</v>
      </c>
      <c r="G249">
        <v>1</v>
      </c>
      <c r="H249">
        <v>0</v>
      </c>
      <c r="I249">
        <v>1</v>
      </c>
      <c r="J249">
        <v>1</v>
      </c>
      <c r="K249">
        <v>3</v>
      </c>
      <c r="L249">
        <v>4</v>
      </c>
      <c r="M249">
        <v>10</v>
      </c>
    </row>
    <row r="250" spans="1:13" x14ac:dyDescent="0.3">
      <c r="A250" s="1">
        <v>45444</v>
      </c>
      <c r="B250" t="s">
        <v>9</v>
      </c>
      <c r="C250" t="str">
        <f>IFERROR(INDEX(자료실범례[],MATCH($B250,자료실범례[소장처명],0),2),"종합자료실")</f>
        <v>어린이자료실</v>
      </c>
      <c r="D250">
        <v>3</v>
      </c>
      <c r="E250">
        <v>1</v>
      </c>
      <c r="F250">
        <v>4</v>
      </c>
      <c r="G250">
        <v>1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5</v>
      </c>
    </row>
    <row r="251" spans="1:13" x14ac:dyDescent="0.3">
      <c r="A251" s="1">
        <v>45444</v>
      </c>
      <c r="B251" t="s">
        <v>10</v>
      </c>
      <c r="C251" t="str">
        <f>IFERROR(INDEX(자료실범례[],MATCH($B251,자료실범례[소장처명],0),2),"종합자료실")</f>
        <v>어린이자료실</v>
      </c>
      <c r="D251">
        <v>1</v>
      </c>
      <c r="E251">
        <v>3</v>
      </c>
      <c r="F251">
        <v>4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1</v>
      </c>
      <c r="M251">
        <v>5</v>
      </c>
    </row>
    <row r="252" spans="1:13" x14ac:dyDescent="0.3">
      <c r="A252" s="1">
        <v>45444</v>
      </c>
      <c r="B252" t="s">
        <v>11</v>
      </c>
      <c r="C252" t="str">
        <f>IFERROR(INDEX(자료실범례[],MATCH($B252,자료실범례[소장처명],0),2),"종합자료실")</f>
        <v>어린이자료실</v>
      </c>
      <c r="D252">
        <v>3</v>
      </c>
      <c r="E252">
        <v>2</v>
      </c>
      <c r="F252">
        <v>5</v>
      </c>
      <c r="G252">
        <v>0</v>
      </c>
      <c r="H252">
        <v>1</v>
      </c>
      <c r="I252">
        <v>1</v>
      </c>
      <c r="J252">
        <v>1</v>
      </c>
      <c r="K252">
        <v>1</v>
      </c>
      <c r="L252">
        <v>2</v>
      </c>
      <c r="M252">
        <v>8</v>
      </c>
    </row>
    <row r="253" spans="1:13" x14ac:dyDescent="0.3">
      <c r="A253" s="1">
        <v>45444</v>
      </c>
      <c r="B253" t="s">
        <v>12</v>
      </c>
      <c r="C253" t="str">
        <f>IFERROR(INDEX(자료실범례[],MATCH($B253,자료실범례[소장처명],0),2),"종합자료실")</f>
        <v>어린이자료실</v>
      </c>
      <c r="D253">
        <v>2</v>
      </c>
      <c r="E253">
        <v>0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2</v>
      </c>
      <c r="L253">
        <v>2</v>
      </c>
      <c r="M253">
        <v>4</v>
      </c>
    </row>
    <row r="254" spans="1:13" x14ac:dyDescent="0.3">
      <c r="A254" s="1">
        <v>45444</v>
      </c>
      <c r="B254" t="s">
        <v>13</v>
      </c>
      <c r="C254" t="str">
        <f>IFERROR(INDEX(자료실범례[],MATCH($B254,자료실범례[소장처명],0),2),"종합자료실")</f>
        <v>어린이자료실</v>
      </c>
      <c r="D254">
        <v>0</v>
      </c>
      <c r="E254">
        <v>1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3</v>
      </c>
      <c r="L254">
        <v>3</v>
      </c>
      <c r="M254">
        <v>4</v>
      </c>
    </row>
    <row r="255" spans="1:13" x14ac:dyDescent="0.3">
      <c r="A255" s="1">
        <v>45444</v>
      </c>
      <c r="B255" t="s">
        <v>14</v>
      </c>
      <c r="C255" t="str">
        <f>IFERROR(INDEX(자료실범례[],MATCH($B255,자료실범례[소장처명],0),2),"종합자료실")</f>
        <v>어린이자료실</v>
      </c>
      <c r="D255">
        <v>15</v>
      </c>
      <c r="E255">
        <v>24</v>
      </c>
      <c r="F255">
        <v>39</v>
      </c>
      <c r="G255">
        <v>2</v>
      </c>
      <c r="H255">
        <v>1</v>
      </c>
      <c r="I255">
        <v>3</v>
      </c>
      <c r="J255">
        <v>13</v>
      </c>
      <c r="K255">
        <v>33</v>
      </c>
      <c r="L255">
        <v>46</v>
      </c>
      <c r="M255">
        <v>88</v>
      </c>
    </row>
    <row r="256" spans="1:13" x14ac:dyDescent="0.3">
      <c r="A256" s="1">
        <v>45444</v>
      </c>
      <c r="B256" t="s">
        <v>15</v>
      </c>
      <c r="C256" t="str">
        <f>IFERROR(INDEX(자료실범례[],MATCH($B256,자료실범례[소장처명],0),2),"종합자료실")</f>
        <v>어린이자료실</v>
      </c>
      <c r="D256">
        <v>25</v>
      </c>
      <c r="E256">
        <v>18</v>
      </c>
      <c r="F256">
        <v>43</v>
      </c>
      <c r="G256">
        <v>3</v>
      </c>
      <c r="H256">
        <v>4</v>
      </c>
      <c r="I256">
        <v>7</v>
      </c>
      <c r="J256">
        <v>9</v>
      </c>
      <c r="K256">
        <v>32</v>
      </c>
      <c r="L256">
        <v>41</v>
      </c>
      <c r="M256">
        <v>91</v>
      </c>
    </row>
    <row r="257" spans="1:13" x14ac:dyDescent="0.3">
      <c r="A257" s="1">
        <v>45444</v>
      </c>
      <c r="B257" t="s">
        <v>16</v>
      </c>
      <c r="C257" t="str">
        <f>IFERROR(INDEX(자료실범례[],MATCH($B257,자료실범례[소장처명],0),2),"종합자료실")</f>
        <v>어린이자료실</v>
      </c>
      <c r="D257">
        <v>54</v>
      </c>
      <c r="E257">
        <v>56</v>
      </c>
      <c r="F257">
        <v>110</v>
      </c>
      <c r="G257">
        <v>4</v>
      </c>
      <c r="H257">
        <v>8</v>
      </c>
      <c r="I257">
        <v>12</v>
      </c>
      <c r="J257">
        <v>44</v>
      </c>
      <c r="K257">
        <v>75</v>
      </c>
      <c r="L257">
        <v>119</v>
      </c>
      <c r="M257">
        <v>241</v>
      </c>
    </row>
    <row r="258" spans="1:13" x14ac:dyDescent="0.3">
      <c r="A258" s="1">
        <v>45444</v>
      </c>
      <c r="B258" t="s">
        <v>17</v>
      </c>
      <c r="C258" t="str">
        <f>IFERROR(INDEX(자료실범례[],MATCH($B258,자료실범례[소장처명],0),2),"종합자료실")</f>
        <v>어린이자료실</v>
      </c>
      <c r="D258">
        <v>0</v>
      </c>
      <c r="E258">
        <v>1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2</v>
      </c>
      <c r="L258">
        <v>2</v>
      </c>
      <c r="M258">
        <v>3</v>
      </c>
    </row>
    <row r="259" spans="1:13" x14ac:dyDescent="0.3">
      <c r="A259" s="1">
        <v>45444</v>
      </c>
      <c r="B259" t="s">
        <v>18</v>
      </c>
      <c r="C259" t="str">
        <f>IFERROR(INDEX(자료실범례[],MATCH($B259,자료실범례[소장처명],0),2),"종합자료실")</f>
        <v>종합자료실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1</v>
      </c>
      <c r="M259">
        <v>1</v>
      </c>
    </row>
    <row r="260" spans="1:13" x14ac:dyDescent="0.3">
      <c r="A260" s="1">
        <v>45444</v>
      </c>
      <c r="B260" t="s">
        <v>19</v>
      </c>
      <c r="C260" t="str">
        <f>IFERROR(INDEX(자료실범례[],MATCH($B260,자료실범례[소장처명],0),2),"종합자료실")</f>
        <v>종합자료실</v>
      </c>
      <c r="D260">
        <v>3</v>
      </c>
      <c r="E260">
        <v>4</v>
      </c>
      <c r="F260">
        <v>7</v>
      </c>
      <c r="G260">
        <v>3</v>
      </c>
      <c r="H260">
        <v>5</v>
      </c>
      <c r="I260">
        <v>8</v>
      </c>
      <c r="J260">
        <v>45</v>
      </c>
      <c r="K260">
        <v>99</v>
      </c>
      <c r="L260">
        <v>144</v>
      </c>
      <c r="M260">
        <v>159</v>
      </c>
    </row>
    <row r="261" spans="1:13" x14ac:dyDescent="0.3">
      <c r="A261" s="1">
        <v>45444</v>
      </c>
      <c r="B261" t="s">
        <v>20</v>
      </c>
      <c r="C261" t="str">
        <f>IFERROR(INDEX(자료실범례[],MATCH($B261,자료실범례[소장처명],0),2),"종합자료실")</f>
        <v>종합자료실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1</v>
      </c>
      <c r="J261">
        <v>1</v>
      </c>
      <c r="K261">
        <v>0</v>
      </c>
      <c r="L261">
        <v>1</v>
      </c>
      <c r="M261">
        <v>2</v>
      </c>
    </row>
    <row r="262" spans="1:13" x14ac:dyDescent="0.3">
      <c r="A262" s="1">
        <v>45444</v>
      </c>
      <c r="B262" t="s">
        <v>21</v>
      </c>
      <c r="C262" t="str">
        <f>IFERROR(INDEX(자료실범례[],MATCH($B262,자료실범례[소장처명],0),2),"종합자료실")</f>
        <v>종합자료실</v>
      </c>
      <c r="D262">
        <v>12</v>
      </c>
      <c r="E262">
        <v>7</v>
      </c>
      <c r="F262">
        <v>19</v>
      </c>
      <c r="G262">
        <v>16</v>
      </c>
      <c r="H262">
        <v>32</v>
      </c>
      <c r="I262">
        <v>48</v>
      </c>
      <c r="J262">
        <v>106</v>
      </c>
      <c r="K262">
        <v>211</v>
      </c>
      <c r="L262">
        <v>317</v>
      </c>
      <c r="M262">
        <v>384</v>
      </c>
    </row>
    <row r="263" spans="1:13" x14ac:dyDescent="0.3">
      <c r="A263" s="1">
        <v>45108</v>
      </c>
      <c r="B263" t="s">
        <v>197</v>
      </c>
      <c r="C263" t="str">
        <f>IFERROR(INDEX(자료실범례[],MATCH($B263,자료실범례[소장처명],0),2),"종합자료실")</f>
        <v>종합자료실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1</v>
      </c>
    </row>
    <row r="264" spans="1:13" x14ac:dyDescent="0.3">
      <c r="A264" s="1">
        <v>45108</v>
      </c>
      <c r="B264" t="s">
        <v>0</v>
      </c>
      <c r="C264" t="str">
        <f>IFERROR(INDEX(자료실범례[],MATCH($B264,자료실범례[소장처명],0),2),"종합자료실")</f>
        <v>어린이자료실</v>
      </c>
      <c r="D264">
        <v>1</v>
      </c>
      <c r="E264">
        <v>4</v>
      </c>
      <c r="F264">
        <v>5</v>
      </c>
      <c r="G264">
        <v>0</v>
      </c>
      <c r="H264">
        <v>0</v>
      </c>
      <c r="I264">
        <v>0</v>
      </c>
      <c r="J264">
        <v>3</v>
      </c>
      <c r="K264">
        <v>2</v>
      </c>
      <c r="L264">
        <v>5</v>
      </c>
      <c r="M264">
        <v>10</v>
      </c>
    </row>
    <row r="265" spans="1:13" x14ac:dyDescent="0.3">
      <c r="A265" s="1">
        <v>45108</v>
      </c>
      <c r="B265" t="s">
        <v>1</v>
      </c>
      <c r="C265" t="str">
        <f>IFERROR(INDEX(자료실범례[],MATCH($B265,자료실범례[소장처명],0),2),"종합자료실")</f>
        <v>어린이자료실</v>
      </c>
      <c r="D265">
        <v>1</v>
      </c>
      <c r="E265">
        <v>4</v>
      </c>
      <c r="F265">
        <v>5</v>
      </c>
      <c r="G265">
        <v>0</v>
      </c>
      <c r="H265">
        <v>0</v>
      </c>
      <c r="I265">
        <v>0</v>
      </c>
      <c r="J265">
        <v>3</v>
      </c>
      <c r="K265">
        <v>3</v>
      </c>
      <c r="L265">
        <v>6</v>
      </c>
      <c r="M265">
        <v>11</v>
      </c>
    </row>
    <row r="266" spans="1:13" x14ac:dyDescent="0.3">
      <c r="A266" s="1">
        <v>45108</v>
      </c>
      <c r="B266" t="s">
        <v>2</v>
      </c>
      <c r="C266" t="str">
        <f>IFERROR(INDEX(자료실범례[],MATCH($B266,자료실범례[소장처명],0),2),"종합자료실")</f>
        <v>디지털자료실</v>
      </c>
      <c r="D266">
        <v>1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1</v>
      </c>
      <c r="M266">
        <v>2</v>
      </c>
    </row>
    <row r="267" spans="1:13" x14ac:dyDescent="0.3">
      <c r="A267" s="1">
        <v>45108</v>
      </c>
      <c r="B267" t="s">
        <v>4</v>
      </c>
      <c r="C267" t="str">
        <f>IFERROR(INDEX(자료실범례[],MATCH($B267,자료실범례[소장처명],0),2),"종합자료실")</f>
        <v>어린이자료실</v>
      </c>
      <c r="D267">
        <v>3</v>
      </c>
      <c r="E267">
        <v>8</v>
      </c>
      <c r="F267">
        <v>11</v>
      </c>
      <c r="G267">
        <v>0</v>
      </c>
      <c r="H267">
        <v>2</v>
      </c>
      <c r="I267">
        <v>2</v>
      </c>
      <c r="J267">
        <v>6</v>
      </c>
      <c r="K267">
        <v>8</v>
      </c>
      <c r="L267">
        <v>14</v>
      </c>
      <c r="M267">
        <v>27</v>
      </c>
    </row>
    <row r="268" spans="1:13" x14ac:dyDescent="0.3">
      <c r="A268" s="1">
        <v>45108</v>
      </c>
      <c r="B268" t="s">
        <v>5</v>
      </c>
      <c r="C268" t="str">
        <f>IFERROR(INDEX(자료실범례[],MATCH($B268,자료실범례[소장처명],0),2),"종합자료실")</f>
        <v>종합자료실</v>
      </c>
      <c r="D268">
        <v>0</v>
      </c>
      <c r="E268">
        <v>0</v>
      </c>
      <c r="F268">
        <v>0</v>
      </c>
      <c r="G268">
        <v>2</v>
      </c>
      <c r="H268">
        <v>3</v>
      </c>
      <c r="I268">
        <v>5</v>
      </c>
      <c r="J268">
        <v>7</v>
      </c>
      <c r="K268">
        <v>20</v>
      </c>
      <c r="L268">
        <v>27</v>
      </c>
      <c r="M268">
        <v>32</v>
      </c>
    </row>
    <row r="269" spans="1:13" x14ac:dyDescent="0.3">
      <c r="A269" s="1">
        <v>45108</v>
      </c>
      <c r="B269" t="s">
        <v>6</v>
      </c>
      <c r="C269" t="str">
        <f>IFERROR(INDEX(자료실범례[],MATCH($B269,자료실범례[소장처명],0),2),"종합자료실")</f>
        <v>종합자료실</v>
      </c>
      <c r="D269">
        <v>2</v>
      </c>
      <c r="E269">
        <v>5</v>
      </c>
      <c r="F269">
        <v>7</v>
      </c>
      <c r="G269">
        <v>1</v>
      </c>
      <c r="H269">
        <v>1</v>
      </c>
      <c r="I269">
        <v>2</v>
      </c>
      <c r="J269">
        <v>3</v>
      </c>
      <c r="K269">
        <v>8</v>
      </c>
      <c r="L269">
        <v>11</v>
      </c>
      <c r="M269">
        <v>20</v>
      </c>
    </row>
    <row r="270" spans="1:13" x14ac:dyDescent="0.3">
      <c r="A270" s="1">
        <v>45108</v>
      </c>
      <c r="B270" t="s">
        <v>7</v>
      </c>
      <c r="C270" t="str">
        <f>IFERROR(INDEX(자료실범례[],MATCH($B270,자료실범례[소장처명],0),2),"종합자료실")</f>
        <v>어린이자료실</v>
      </c>
      <c r="D270">
        <v>2</v>
      </c>
      <c r="E270">
        <v>2</v>
      </c>
      <c r="F270">
        <v>4</v>
      </c>
      <c r="G270">
        <v>0</v>
      </c>
      <c r="H270">
        <v>0</v>
      </c>
      <c r="I270">
        <v>0</v>
      </c>
      <c r="J270">
        <v>2</v>
      </c>
      <c r="K270">
        <v>3</v>
      </c>
      <c r="L270">
        <v>5</v>
      </c>
      <c r="M270">
        <v>9</v>
      </c>
    </row>
    <row r="271" spans="1:13" x14ac:dyDescent="0.3">
      <c r="A271" s="1">
        <v>45108</v>
      </c>
      <c r="B271" t="s">
        <v>8</v>
      </c>
      <c r="C271" t="str">
        <f>IFERROR(INDEX(자료실범례[],MATCH($B271,자료실범례[소장처명],0),2),"종합자료실")</f>
        <v>어린이자료실</v>
      </c>
      <c r="D271">
        <v>3</v>
      </c>
      <c r="E271">
        <v>5</v>
      </c>
      <c r="F271">
        <v>8</v>
      </c>
      <c r="G271">
        <v>0</v>
      </c>
      <c r="H271">
        <v>1</v>
      </c>
      <c r="I271">
        <v>1</v>
      </c>
      <c r="J271">
        <v>2</v>
      </c>
      <c r="K271">
        <v>2</v>
      </c>
      <c r="L271">
        <v>4</v>
      </c>
      <c r="M271">
        <v>13</v>
      </c>
    </row>
    <row r="272" spans="1:13" x14ac:dyDescent="0.3">
      <c r="A272" s="1">
        <v>45108</v>
      </c>
      <c r="B272" t="s">
        <v>9</v>
      </c>
      <c r="C272" t="str">
        <f>IFERROR(INDEX(자료실범례[],MATCH($B272,자료실범례[소장처명],0),2),"종합자료실")</f>
        <v>어린이자료실</v>
      </c>
      <c r="D272">
        <v>1</v>
      </c>
      <c r="E272">
        <v>2</v>
      </c>
      <c r="F272">
        <v>3</v>
      </c>
      <c r="G272">
        <v>0</v>
      </c>
      <c r="H272">
        <v>1</v>
      </c>
      <c r="I272">
        <v>1</v>
      </c>
      <c r="J272">
        <v>1</v>
      </c>
      <c r="K272">
        <v>3</v>
      </c>
      <c r="L272">
        <v>4</v>
      </c>
      <c r="M272">
        <v>8</v>
      </c>
    </row>
    <row r="273" spans="1:13" x14ac:dyDescent="0.3">
      <c r="A273" s="1">
        <v>45108</v>
      </c>
      <c r="B273" t="s">
        <v>10</v>
      </c>
      <c r="C273" t="str">
        <f>IFERROR(INDEX(자료실범례[],MATCH($B273,자료실범례[소장처명],0),2),"종합자료실")</f>
        <v>어린이자료실</v>
      </c>
      <c r="D273">
        <v>2</v>
      </c>
      <c r="E273">
        <v>1</v>
      </c>
      <c r="F273">
        <v>3</v>
      </c>
      <c r="G273">
        <v>0</v>
      </c>
      <c r="H273">
        <v>2</v>
      </c>
      <c r="I273">
        <v>2</v>
      </c>
      <c r="J273">
        <v>3</v>
      </c>
      <c r="K273">
        <v>2</v>
      </c>
      <c r="L273">
        <v>5</v>
      </c>
      <c r="M273">
        <v>10</v>
      </c>
    </row>
    <row r="274" spans="1:13" x14ac:dyDescent="0.3">
      <c r="A274" s="1">
        <v>45108</v>
      </c>
      <c r="B274" t="s">
        <v>11</v>
      </c>
      <c r="C274" t="str">
        <f>IFERROR(INDEX(자료실범례[],MATCH($B274,자료실범례[소장처명],0),2),"종합자료실")</f>
        <v>어린이자료실</v>
      </c>
      <c r="D274">
        <v>1</v>
      </c>
      <c r="E274">
        <v>1</v>
      </c>
      <c r="F274">
        <v>2</v>
      </c>
      <c r="G274">
        <v>0</v>
      </c>
      <c r="H274">
        <v>0</v>
      </c>
      <c r="I274">
        <v>0</v>
      </c>
      <c r="J274">
        <v>1</v>
      </c>
      <c r="K274">
        <v>1</v>
      </c>
      <c r="L274">
        <v>2</v>
      </c>
      <c r="M274">
        <v>4</v>
      </c>
    </row>
    <row r="275" spans="1:13" x14ac:dyDescent="0.3">
      <c r="A275" s="1">
        <v>45108</v>
      </c>
      <c r="B275" t="s">
        <v>12</v>
      </c>
      <c r="C275" t="str">
        <f>IFERROR(INDEX(자료실범례[],MATCH($B275,자료실범례[소장처명],0),2),"종합자료실")</f>
        <v>어린이자료실</v>
      </c>
      <c r="D275">
        <v>1</v>
      </c>
      <c r="E275">
        <v>1</v>
      </c>
      <c r="F275">
        <v>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2</v>
      </c>
    </row>
    <row r="276" spans="1:13" x14ac:dyDescent="0.3">
      <c r="A276" s="1">
        <v>45108</v>
      </c>
      <c r="B276" t="s">
        <v>13</v>
      </c>
      <c r="C276" t="str">
        <f>IFERROR(INDEX(자료실범례[],MATCH($B276,자료실범례[소장처명],0),2),"종합자료실")</f>
        <v>어린이자료실</v>
      </c>
      <c r="D276">
        <v>0</v>
      </c>
      <c r="E276">
        <v>1</v>
      </c>
      <c r="F276">
        <v>1</v>
      </c>
      <c r="G276">
        <v>0</v>
      </c>
      <c r="H276">
        <v>0</v>
      </c>
      <c r="I276">
        <v>0</v>
      </c>
      <c r="J276">
        <v>1</v>
      </c>
      <c r="K276">
        <v>3</v>
      </c>
      <c r="L276">
        <v>4</v>
      </c>
      <c r="M276">
        <v>5</v>
      </c>
    </row>
    <row r="277" spans="1:13" x14ac:dyDescent="0.3">
      <c r="A277" s="1">
        <v>45108</v>
      </c>
      <c r="B277" t="s">
        <v>15</v>
      </c>
      <c r="C277" t="str">
        <f>IFERROR(INDEX(자료실범례[],MATCH($B277,자료실범례[소장처명],0),2),"종합자료실")</f>
        <v>어린이자료실</v>
      </c>
      <c r="D277">
        <v>31</v>
      </c>
      <c r="E277">
        <v>18</v>
      </c>
      <c r="F277">
        <v>49</v>
      </c>
      <c r="G277">
        <v>3</v>
      </c>
      <c r="H277">
        <v>6</v>
      </c>
      <c r="I277">
        <v>9</v>
      </c>
      <c r="J277">
        <v>18</v>
      </c>
      <c r="K277">
        <v>31</v>
      </c>
      <c r="L277">
        <v>49</v>
      </c>
      <c r="M277">
        <v>107</v>
      </c>
    </row>
    <row r="278" spans="1:13" x14ac:dyDescent="0.3">
      <c r="A278" s="1">
        <v>45108</v>
      </c>
      <c r="B278" t="s">
        <v>16</v>
      </c>
      <c r="C278" t="str">
        <f>IFERROR(INDEX(자료실범례[],MATCH($B278,자료실범례[소장처명],0),2),"종합자료실")</f>
        <v>어린이자료실</v>
      </c>
      <c r="D278">
        <v>58</v>
      </c>
      <c r="E278">
        <v>53</v>
      </c>
      <c r="F278">
        <v>111</v>
      </c>
      <c r="G278">
        <v>7</v>
      </c>
      <c r="H278">
        <v>8</v>
      </c>
      <c r="I278">
        <v>15</v>
      </c>
      <c r="J278">
        <v>46</v>
      </c>
      <c r="K278">
        <v>99</v>
      </c>
      <c r="L278">
        <v>145</v>
      </c>
      <c r="M278">
        <v>271</v>
      </c>
    </row>
    <row r="279" spans="1:13" x14ac:dyDescent="0.3">
      <c r="A279" s="1">
        <v>45108</v>
      </c>
      <c r="B279" t="s">
        <v>17</v>
      </c>
      <c r="C279" t="str">
        <f>IFERROR(INDEX(자료실범례[],MATCH($B279,자료실범례[소장처명],0),2),"종합자료실")</f>
        <v>어린이자료실</v>
      </c>
      <c r="D279">
        <v>2</v>
      </c>
      <c r="E279">
        <v>0</v>
      </c>
      <c r="F279">
        <v>2</v>
      </c>
      <c r="G279">
        <v>0</v>
      </c>
      <c r="H279">
        <v>0</v>
      </c>
      <c r="I279">
        <v>0</v>
      </c>
      <c r="J279">
        <v>1</v>
      </c>
      <c r="K279">
        <v>1</v>
      </c>
      <c r="L279">
        <v>2</v>
      </c>
      <c r="M279">
        <v>4</v>
      </c>
    </row>
    <row r="280" spans="1:13" x14ac:dyDescent="0.3">
      <c r="A280" s="1">
        <v>45108</v>
      </c>
      <c r="B280" t="s">
        <v>18</v>
      </c>
      <c r="C280" t="str">
        <f>IFERROR(INDEX(자료실범례[],MATCH($B280,자료실범례[소장처명],0),2),"종합자료실")</f>
        <v>종합자료실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2</v>
      </c>
      <c r="K280">
        <v>0</v>
      </c>
      <c r="L280">
        <v>2</v>
      </c>
      <c r="M280">
        <v>2</v>
      </c>
    </row>
    <row r="281" spans="1:13" x14ac:dyDescent="0.3">
      <c r="A281" s="1">
        <v>45108</v>
      </c>
      <c r="B281" t="s">
        <v>20</v>
      </c>
      <c r="C281" t="str">
        <f>IFERROR(INDEX(자료실범례[],MATCH($B281,자료실범례[소장처명],0),2),"종합자료실")</f>
        <v>종합자료실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1</v>
      </c>
      <c r="M281">
        <v>1</v>
      </c>
    </row>
    <row r="282" spans="1:13" x14ac:dyDescent="0.3">
      <c r="A282" s="1">
        <v>45108</v>
      </c>
      <c r="B282" t="s">
        <v>21</v>
      </c>
      <c r="C282" t="str">
        <f>IFERROR(INDEX(자료실범례[],MATCH($B282,자료실범례[소장처명],0),2),"종합자료실")</f>
        <v>종합자료실</v>
      </c>
      <c r="D282">
        <v>14</v>
      </c>
      <c r="E282">
        <v>10</v>
      </c>
      <c r="F282">
        <v>24</v>
      </c>
      <c r="G282">
        <v>9</v>
      </c>
      <c r="H282">
        <v>30</v>
      </c>
      <c r="I282">
        <v>39</v>
      </c>
      <c r="J282">
        <v>117</v>
      </c>
      <c r="K282">
        <v>224</v>
      </c>
      <c r="L282">
        <v>341</v>
      </c>
      <c r="M282">
        <v>404</v>
      </c>
    </row>
    <row r="283" spans="1:13" x14ac:dyDescent="0.3">
      <c r="A283" s="1">
        <v>45474</v>
      </c>
      <c r="B283" t="s">
        <v>198</v>
      </c>
      <c r="C283" t="str">
        <f>IFERROR(INDEX(자료실범례[],MATCH($B283,자료실범례[소장처명],0),2),"종합자료실")</f>
        <v>어린이자료실</v>
      </c>
      <c r="D283">
        <v>4</v>
      </c>
      <c r="E283">
        <v>7</v>
      </c>
      <c r="F283">
        <v>11</v>
      </c>
      <c r="G283">
        <v>0</v>
      </c>
      <c r="H283">
        <v>0</v>
      </c>
      <c r="I283">
        <v>0</v>
      </c>
      <c r="J283">
        <v>4</v>
      </c>
      <c r="K283">
        <v>12</v>
      </c>
      <c r="L283">
        <v>16</v>
      </c>
      <c r="M283">
        <v>27</v>
      </c>
    </row>
    <row r="284" spans="1:13" x14ac:dyDescent="0.3">
      <c r="A284" s="1">
        <v>45474</v>
      </c>
      <c r="B284" t="s">
        <v>197</v>
      </c>
      <c r="C284" t="str">
        <f>IFERROR(INDEX(자료실범례[],MATCH($B284,자료실범례[소장처명],0),2),"종합자료실")</f>
        <v>종합자료실</v>
      </c>
      <c r="D284">
        <v>1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3</v>
      </c>
      <c r="K284">
        <v>10</v>
      </c>
      <c r="L284">
        <v>13</v>
      </c>
      <c r="M284">
        <v>14</v>
      </c>
    </row>
    <row r="285" spans="1:13" x14ac:dyDescent="0.3">
      <c r="A285" s="1">
        <v>45474</v>
      </c>
      <c r="B285" t="s">
        <v>0</v>
      </c>
      <c r="C285" t="str">
        <f>IFERROR(INDEX(자료실범례[],MATCH($B285,자료실범례[소장처명],0),2),"종합자료실")</f>
        <v>어린이자료실</v>
      </c>
      <c r="D285">
        <v>1</v>
      </c>
      <c r="E285">
        <v>0</v>
      </c>
      <c r="F285">
        <v>1</v>
      </c>
      <c r="G285">
        <v>0</v>
      </c>
      <c r="H285">
        <v>2</v>
      </c>
      <c r="I285">
        <v>2</v>
      </c>
      <c r="J285">
        <v>1</v>
      </c>
      <c r="K285">
        <v>5</v>
      </c>
      <c r="L285">
        <v>6</v>
      </c>
      <c r="M285">
        <v>9</v>
      </c>
    </row>
    <row r="286" spans="1:13" x14ac:dyDescent="0.3">
      <c r="A286" s="1">
        <v>45474</v>
      </c>
      <c r="B286" t="s">
        <v>1</v>
      </c>
      <c r="C286" t="str">
        <f>IFERROR(INDEX(자료실범례[],MATCH($B286,자료실범례[소장처명],0),2),"종합자료실")</f>
        <v>어린이자료실</v>
      </c>
      <c r="D286">
        <v>4</v>
      </c>
      <c r="E286">
        <v>0</v>
      </c>
      <c r="F286">
        <v>4</v>
      </c>
      <c r="G286">
        <v>0</v>
      </c>
      <c r="H286">
        <v>0</v>
      </c>
      <c r="I286">
        <v>0</v>
      </c>
      <c r="J286">
        <v>4</v>
      </c>
      <c r="K286">
        <v>5</v>
      </c>
      <c r="L286">
        <v>9</v>
      </c>
      <c r="M286">
        <v>13</v>
      </c>
    </row>
    <row r="287" spans="1:13" x14ac:dyDescent="0.3">
      <c r="A287" s="1">
        <v>45474</v>
      </c>
      <c r="B287" t="s">
        <v>2</v>
      </c>
      <c r="C287" t="str">
        <f>IFERROR(INDEX(자료실범례[],MATCH($B287,자료실범례[소장처명],0),2),"종합자료실")</f>
        <v>디지털자료실</v>
      </c>
      <c r="D287">
        <v>1</v>
      </c>
      <c r="E287">
        <v>2</v>
      </c>
      <c r="F287">
        <v>3</v>
      </c>
      <c r="G287">
        <v>0</v>
      </c>
      <c r="H287">
        <v>0</v>
      </c>
      <c r="I287">
        <v>0</v>
      </c>
      <c r="J287">
        <v>6</v>
      </c>
      <c r="K287">
        <v>9</v>
      </c>
      <c r="L287">
        <v>15</v>
      </c>
      <c r="M287">
        <v>18</v>
      </c>
    </row>
    <row r="288" spans="1:13" x14ac:dyDescent="0.3">
      <c r="A288" s="1">
        <v>45474</v>
      </c>
      <c r="B288" t="s">
        <v>4</v>
      </c>
      <c r="C288" t="str">
        <f>IFERROR(INDEX(자료실범례[],MATCH($B288,자료실범례[소장처명],0),2),"종합자료실")</f>
        <v>어린이자료실</v>
      </c>
      <c r="D288">
        <v>2</v>
      </c>
      <c r="E288">
        <v>1</v>
      </c>
      <c r="F288">
        <v>3</v>
      </c>
      <c r="G288">
        <v>0</v>
      </c>
      <c r="H288">
        <v>0</v>
      </c>
      <c r="I288">
        <v>0</v>
      </c>
      <c r="J288">
        <v>0</v>
      </c>
      <c r="K288">
        <v>4</v>
      </c>
      <c r="L288">
        <v>4</v>
      </c>
      <c r="M288">
        <v>7</v>
      </c>
    </row>
    <row r="289" spans="1:13" x14ac:dyDescent="0.3">
      <c r="A289" s="1">
        <v>45474</v>
      </c>
      <c r="B289" t="s">
        <v>5</v>
      </c>
      <c r="C289" t="str">
        <f>IFERROR(INDEX(자료실범례[],MATCH($B289,자료실범례[소장처명],0),2),"종합자료실")</f>
        <v>종합자료실</v>
      </c>
      <c r="D289">
        <v>1</v>
      </c>
      <c r="E289">
        <v>1</v>
      </c>
      <c r="F289">
        <v>2</v>
      </c>
      <c r="G289">
        <v>1</v>
      </c>
      <c r="H289">
        <v>1</v>
      </c>
      <c r="I289">
        <v>2</v>
      </c>
      <c r="J289">
        <v>6</v>
      </c>
      <c r="K289">
        <v>20</v>
      </c>
      <c r="L289">
        <v>26</v>
      </c>
      <c r="M289">
        <v>30</v>
      </c>
    </row>
    <row r="290" spans="1:13" x14ac:dyDescent="0.3">
      <c r="A290" s="1">
        <v>45474</v>
      </c>
      <c r="B290" t="s">
        <v>6</v>
      </c>
      <c r="C290" t="str">
        <f>IFERROR(INDEX(자료실범례[],MATCH($B290,자료실범례[소장처명],0),2),"종합자료실")</f>
        <v>종합자료실</v>
      </c>
      <c r="D290">
        <v>5</v>
      </c>
      <c r="E290">
        <v>10</v>
      </c>
      <c r="F290">
        <v>15</v>
      </c>
      <c r="G290">
        <v>0</v>
      </c>
      <c r="H290">
        <v>1</v>
      </c>
      <c r="I290">
        <v>1</v>
      </c>
      <c r="J290">
        <v>3</v>
      </c>
      <c r="K290">
        <v>16</v>
      </c>
      <c r="L290">
        <v>19</v>
      </c>
      <c r="M290">
        <v>35</v>
      </c>
    </row>
    <row r="291" spans="1:13" x14ac:dyDescent="0.3">
      <c r="A291" s="1">
        <v>45474</v>
      </c>
      <c r="B291" t="s">
        <v>7</v>
      </c>
      <c r="C291" t="str">
        <f>IFERROR(INDEX(자료실범례[],MATCH($B291,자료실범례[소장처명],0),2),"종합자료실")</f>
        <v>어린이자료실</v>
      </c>
      <c r="D291">
        <v>0</v>
      </c>
      <c r="E291">
        <v>3</v>
      </c>
      <c r="F291">
        <v>3</v>
      </c>
      <c r="G291">
        <v>1</v>
      </c>
      <c r="H291">
        <v>0</v>
      </c>
      <c r="I291">
        <v>1</v>
      </c>
      <c r="J291">
        <v>3</v>
      </c>
      <c r="K291">
        <v>5</v>
      </c>
      <c r="L291">
        <v>8</v>
      </c>
      <c r="M291">
        <v>12</v>
      </c>
    </row>
    <row r="292" spans="1:13" x14ac:dyDescent="0.3">
      <c r="A292" s="1">
        <v>45474</v>
      </c>
      <c r="B292" t="s">
        <v>8</v>
      </c>
      <c r="C292" t="str">
        <f>IFERROR(INDEX(자료실범례[],MATCH($B292,자료실범례[소장처명],0),2),"종합자료실")</f>
        <v>어린이자료실</v>
      </c>
      <c r="D292">
        <v>1</v>
      </c>
      <c r="E292">
        <v>1</v>
      </c>
      <c r="F292">
        <v>2</v>
      </c>
      <c r="G292">
        <v>1</v>
      </c>
      <c r="H292">
        <v>0</v>
      </c>
      <c r="I292">
        <v>1</v>
      </c>
      <c r="J292">
        <v>1</v>
      </c>
      <c r="K292">
        <v>7</v>
      </c>
      <c r="L292">
        <v>8</v>
      </c>
      <c r="M292">
        <v>11</v>
      </c>
    </row>
    <row r="293" spans="1:13" x14ac:dyDescent="0.3">
      <c r="A293" s="1">
        <v>45474</v>
      </c>
      <c r="B293" t="s">
        <v>9</v>
      </c>
      <c r="C293" t="str">
        <f>IFERROR(INDEX(자료실범례[],MATCH($B293,자료실범례[소장처명],0),2),"종합자료실")</f>
        <v>어린이자료실</v>
      </c>
      <c r="D293">
        <v>1</v>
      </c>
      <c r="E293">
        <v>1</v>
      </c>
      <c r="F293">
        <v>2</v>
      </c>
      <c r="G293">
        <v>1</v>
      </c>
      <c r="H293">
        <v>0</v>
      </c>
      <c r="I293">
        <v>1</v>
      </c>
      <c r="J293">
        <v>1</v>
      </c>
      <c r="K293">
        <v>3</v>
      </c>
      <c r="L293">
        <v>4</v>
      </c>
      <c r="M293">
        <v>7</v>
      </c>
    </row>
    <row r="294" spans="1:13" x14ac:dyDescent="0.3">
      <c r="A294" s="1">
        <v>45474</v>
      </c>
      <c r="B294" t="s">
        <v>10</v>
      </c>
      <c r="C294" t="str">
        <f>IFERROR(INDEX(자료실범례[],MATCH($B294,자료실범례[소장처명],0),2),"종합자료실")</f>
        <v>어린이자료실</v>
      </c>
      <c r="D294">
        <v>3</v>
      </c>
      <c r="E294">
        <v>1</v>
      </c>
      <c r="F294">
        <v>4</v>
      </c>
      <c r="G294">
        <v>0</v>
      </c>
      <c r="H294">
        <v>0</v>
      </c>
      <c r="I294">
        <v>0</v>
      </c>
      <c r="J294">
        <v>0</v>
      </c>
      <c r="K294">
        <v>5</v>
      </c>
      <c r="L294">
        <v>5</v>
      </c>
      <c r="M294">
        <v>9</v>
      </c>
    </row>
    <row r="295" spans="1:13" x14ac:dyDescent="0.3">
      <c r="A295" s="1">
        <v>45474</v>
      </c>
      <c r="B295" t="s">
        <v>11</v>
      </c>
      <c r="C295" t="str">
        <f>IFERROR(INDEX(자료실범례[],MATCH($B295,자료실범례[소장처명],0),2),"종합자료실")</f>
        <v>어린이자료실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</v>
      </c>
      <c r="L295">
        <v>2</v>
      </c>
      <c r="M295">
        <v>2</v>
      </c>
    </row>
    <row r="296" spans="1:13" x14ac:dyDescent="0.3">
      <c r="A296" s="1">
        <v>45474</v>
      </c>
      <c r="B296" t="s">
        <v>12</v>
      </c>
      <c r="C296" t="str">
        <f>IFERROR(INDEX(자료실범례[],MATCH($B296,자료실범례[소장처명],0),2),"종합자료실")</f>
        <v>어린이자료실</v>
      </c>
      <c r="D296">
        <v>1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1</v>
      </c>
      <c r="M296">
        <v>2</v>
      </c>
    </row>
    <row r="297" spans="1:13" x14ac:dyDescent="0.3">
      <c r="A297" s="1">
        <v>45474</v>
      </c>
      <c r="B297" t="s">
        <v>13</v>
      </c>
      <c r="C297" t="str">
        <f>IFERROR(INDEX(자료실범례[],MATCH($B297,자료실범례[소장처명],0),2),"종합자료실")</f>
        <v>어린이자료실</v>
      </c>
      <c r="D297">
        <v>1</v>
      </c>
      <c r="E297">
        <v>1</v>
      </c>
      <c r="F297">
        <v>2</v>
      </c>
      <c r="G297">
        <v>0</v>
      </c>
      <c r="H297">
        <v>0</v>
      </c>
      <c r="I297">
        <v>0</v>
      </c>
      <c r="J297">
        <v>2</v>
      </c>
      <c r="K297">
        <v>2</v>
      </c>
      <c r="L297">
        <v>4</v>
      </c>
      <c r="M297">
        <v>6</v>
      </c>
    </row>
    <row r="298" spans="1:13" x14ac:dyDescent="0.3">
      <c r="A298" s="1">
        <v>45474</v>
      </c>
      <c r="B298" t="s">
        <v>14</v>
      </c>
      <c r="C298" t="str">
        <f>IFERROR(INDEX(자료실범례[],MATCH($B298,자료실범례[소장처명],0),2),"종합자료실")</f>
        <v>어린이자료실</v>
      </c>
      <c r="D298">
        <v>20</v>
      </c>
      <c r="E298">
        <v>25</v>
      </c>
      <c r="F298">
        <v>45</v>
      </c>
      <c r="G298">
        <v>1</v>
      </c>
      <c r="H298">
        <v>2</v>
      </c>
      <c r="I298">
        <v>3</v>
      </c>
      <c r="J298">
        <v>13</v>
      </c>
      <c r="K298">
        <v>45</v>
      </c>
      <c r="L298">
        <v>58</v>
      </c>
      <c r="M298">
        <v>106</v>
      </c>
    </row>
    <row r="299" spans="1:13" x14ac:dyDescent="0.3">
      <c r="A299" s="1">
        <v>45474</v>
      </c>
      <c r="B299" t="s">
        <v>15</v>
      </c>
      <c r="C299" t="str">
        <f>IFERROR(INDEX(자료실범례[],MATCH($B299,자료실범례[소장처명],0),2),"종합자료실")</f>
        <v>어린이자료실</v>
      </c>
      <c r="D299">
        <v>26</v>
      </c>
      <c r="E299">
        <v>22</v>
      </c>
      <c r="F299">
        <v>48</v>
      </c>
      <c r="G299">
        <v>1</v>
      </c>
      <c r="H299">
        <v>4</v>
      </c>
      <c r="I299">
        <v>5</v>
      </c>
      <c r="J299">
        <v>15</v>
      </c>
      <c r="K299">
        <v>35</v>
      </c>
      <c r="L299">
        <v>50</v>
      </c>
      <c r="M299">
        <v>103</v>
      </c>
    </row>
    <row r="300" spans="1:13" x14ac:dyDescent="0.3">
      <c r="A300" s="1">
        <v>45474</v>
      </c>
      <c r="B300" t="s">
        <v>16</v>
      </c>
      <c r="C300" t="str">
        <f>IFERROR(INDEX(자료실범례[],MATCH($B300,자료실범례[소장처명],0),2),"종합자료실")</f>
        <v>어린이자료실</v>
      </c>
      <c r="D300">
        <v>63</v>
      </c>
      <c r="E300">
        <v>59</v>
      </c>
      <c r="F300">
        <v>122</v>
      </c>
      <c r="G300">
        <v>5</v>
      </c>
      <c r="H300">
        <v>8</v>
      </c>
      <c r="I300">
        <v>13</v>
      </c>
      <c r="J300">
        <v>42</v>
      </c>
      <c r="K300">
        <v>101</v>
      </c>
      <c r="L300">
        <v>143</v>
      </c>
      <c r="M300">
        <v>278</v>
      </c>
    </row>
    <row r="301" spans="1:13" x14ac:dyDescent="0.3">
      <c r="A301" s="1">
        <v>45474</v>
      </c>
      <c r="B301" t="s">
        <v>17</v>
      </c>
      <c r="C301" t="str">
        <f>IFERROR(INDEX(자료실범례[],MATCH($B301,자료실범례[소장처명],0),2),"종합자료실")</f>
        <v>어린이자료실</v>
      </c>
      <c r="D301">
        <v>1</v>
      </c>
      <c r="E301">
        <v>2</v>
      </c>
      <c r="F301">
        <v>3</v>
      </c>
      <c r="G301">
        <v>0</v>
      </c>
      <c r="H301">
        <v>0</v>
      </c>
      <c r="I301">
        <v>0</v>
      </c>
      <c r="J301">
        <v>1</v>
      </c>
      <c r="K301">
        <v>3</v>
      </c>
      <c r="L301">
        <v>4</v>
      </c>
      <c r="M301">
        <v>7</v>
      </c>
    </row>
    <row r="302" spans="1:13" x14ac:dyDescent="0.3">
      <c r="A302" s="1">
        <v>45474</v>
      </c>
      <c r="B302" t="s">
        <v>18</v>
      </c>
      <c r="C302" t="str">
        <f>IFERROR(INDEX(자료실범례[],MATCH($B302,자료실범례[소장처명],0),2),"종합자료실")</f>
        <v>종합자료실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3</v>
      </c>
      <c r="K302">
        <v>0</v>
      </c>
      <c r="L302">
        <v>3</v>
      </c>
      <c r="M302">
        <v>3</v>
      </c>
    </row>
    <row r="303" spans="1:13" x14ac:dyDescent="0.3">
      <c r="A303" s="1">
        <v>45474</v>
      </c>
      <c r="B303" t="s">
        <v>19</v>
      </c>
      <c r="C303" t="str">
        <f>IFERROR(INDEX(자료실범례[],MATCH($B303,자료실범례[소장처명],0),2),"종합자료실")</f>
        <v>종합자료실</v>
      </c>
      <c r="D303">
        <v>2</v>
      </c>
      <c r="E303">
        <v>3</v>
      </c>
      <c r="F303">
        <v>5</v>
      </c>
      <c r="G303">
        <v>4</v>
      </c>
      <c r="H303">
        <v>5</v>
      </c>
      <c r="I303">
        <v>9</v>
      </c>
      <c r="J303">
        <v>52</v>
      </c>
      <c r="K303">
        <v>121</v>
      </c>
      <c r="L303">
        <v>173</v>
      </c>
      <c r="M303">
        <v>187</v>
      </c>
    </row>
    <row r="304" spans="1:13" x14ac:dyDescent="0.3">
      <c r="A304" s="1">
        <v>45474</v>
      </c>
      <c r="B304" t="s">
        <v>20</v>
      </c>
      <c r="C304" t="str">
        <f>IFERROR(INDEX(자료실범례[],MATCH($B304,자료실범례[소장처명],0),2),"종합자료실")</f>
        <v>종합자료실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1</v>
      </c>
      <c r="M304">
        <v>1</v>
      </c>
    </row>
    <row r="305" spans="1:13" x14ac:dyDescent="0.3">
      <c r="A305" s="1">
        <v>45474</v>
      </c>
      <c r="B305" t="s">
        <v>21</v>
      </c>
      <c r="C305" t="str">
        <f>IFERROR(INDEX(자료실범례[],MATCH($B305,자료실범례[소장처명],0),2),"종합자료실")</f>
        <v>종합자료실</v>
      </c>
      <c r="D305">
        <v>13</v>
      </c>
      <c r="E305">
        <v>14</v>
      </c>
      <c r="F305">
        <v>27</v>
      </c>
      <c r="G305">
        <v>11</v>
      </c>
      <c r="H305">
        <v>22</v>
      </c>
      <c r="I305">
        <v>33</v>
      </c>
      <c r="J305">
        <v>120</v>
      </c>
      <c r="K305">
        <v>244</v>
      </c>
      <c r="L305">
        <v>364</v>
      </c>
      <c r="M305">
        <v>424</v>
      </c>
    </row>
    <row r="306" spans="1:13" x14ac:dyDescent="0.3">
      <c r="A306" s="1">
        <v>45139</v>
      </c>
      <c r="B306" t="s">
        <v>197</v>
      </c>
      <c r="C306" t="str">
        <f>IFERROR(INDEX(자료실범례[],MATCH($B306,자료실범례[소장처명],0),2),"종합자료실")</f>
        <v>종합자료실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1</v>
      </c>
      <c r="M306">
        <v>1</v>
      </c>
    </row>
    <row r="307" spans="1:13" x14ac:dyDescent="0.3">
      <c r="A307" s="1">
        <v>45139</v>
      </c>
      <c r="B307" t="s">
        <v>0</v>
      </c>
      <c r="C307" t="str">
        <f>IFERROR(INDEX(자료실범례[],MATCH($B307,자료실범례[소장처명],0),2),"종합자료실")</f>
        <v>어린이자료실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2</v>
      </c>
      <c r="K307">
        <v>2</v>
      </c>
      <c r="L307">
        <v>4</v>
      </c>
      <c r="M307">
        <v>4</v>
      </c>
    </row>
    <row r="308" spans="1:13" x14ac:dyDescent="0.3">
      <c r="A308" s="1">
        <v>45139</v>
      </c>
      <c r="B308" t="s">
        <v>1</v>
      </c>
      <c r="C308" t="str">
        <f>IFERROR(INDEX(자료실범례[],MATCH($B308,자료실범례[소장처명],0),2),"종합자료실")</f>
        <v>어린이자료실</v>
      </c>
      <c r="D308">
        <v>2</v>
      </c>
      <c r="E308">
        <v>1</v>
      </c>
      <c r="F308">
        <v>3</v>
      </c>
      <c r="G308">
        <v>0</v>
      </c>
      <c r="H308">
        <v>0</v>
      </c>
      <c r="I308">
        <v>0</v>
      </c>
      <c r="J308">
        <v>4</v>
      </c>
      <c r="K308">
        <v>4</v>
      </c>
      <c r="L308">
        <v>8</v>
      </c>
      <c r="M308">
        <v>11</v>
      </c>
    </row>
    <row r="309" spans="1:13" x14ac:dyDescent="0.3">
      <c r="A309" s="1">
        <v>45139</v>
      </c>
      <c r="B309" t="s">
        <v>2</v>
      </c>
      <c r="C309" t="str">
        <f>IFERROR(INDEX(자료실범례[],MATCH($B309,자료실범례[소장처명],0),2),"종합자료실")</f>
        <v>디지털자료실</v>
      </c>
      <c r="D309">
        <v>1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2</v>
      </c>
      <c r="K309">
        <v>3</v>
      </c>
      <c r="L309">
        <v>5</v>
      </c>
      <c r="M309">
        <v>6</v>
      </c>
    </row>
    <row r="310" spans="1:13" x14ac:dyDescent="0.3">
      <c r="A310" s="1">
        <v>45139</v>
      </c>
      <c r="B310" t="s">
        <v>3</v>
      </c>
      <c r="C310" t="str">
        <f>IFERROR(INDEX(자료실범례[],MATCH($B310,자료실범례[소장처명],0),2),"종합자료실")</f>
        <v>디지털자료실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1</v>
      </c>
      <c r="M310">
        <v>1</v>
      </c>
    </row>
    <row r="311" spans="1:13" x14ac:dyDescent="0.3">
      <c r="A311" s="1">
        <v>45139</v>
      </c>
      <c r="B311" t="s">
        <v>4</v>
      </c>
      <c r="C311" t="str">
        <f>IFERROR(INDEX(자료실범례[],MATCH($B311,자료실범례[소장처명],0),2),"종합자료실")</f>
        <v>어린이자료실</v>
      </c>
      <c r="D311">
        <v>7</v>
      </c>
      <c r="E311">
        <v>4</v>
      </c>
      <c r="F311">
        <v>11</v>
      </c>
      <c r="G311">
        <v>1</v>
      </c>
      <c r="H311">
        <v>1</v>
      </c>
      <c r="I311">
        <v>2</v>
      </c>
      <c r="J311">
        <v>7</v>
      </c>
      <c r="K311">
        <v>15</v>
      </c>
      <c r="L311">
        <v>22</v>
      </c>
      <c r="M311">
        <v>35</v>
      </c>
    </row>
    <row r="312" spans="1:13" x14ac:dyDescent="0.3">
      <c r="A312" s="1">
        <v>45139</v>
      </c>
      <c r="B312" t="s">
        <v>5</v>
      </c>
      <c r="C312" t="str">
        <f>IFERROR(INDEX(자료실범례[],MATCH($B312,자료실범례[소장처명],0),2),"종합자료실")</f>
        <v>종합자료실</v>
      </c>
      <c r="D312">
        <v>2</v>
      </c>
      <c r="E312">
        <v>0</v>
      </c>
      <c r="F312">
        <v>2</v>
      </c>
      <c r="G312">
        <v>0</v>
      </c>
      <c r="H312">
        <v>1</v>
      </c>
      <c r="I312">
        <v>1</v>
      </c>
      <c r="J312">
        <v>12</v>
      </c>
      <c r="K312">
        <v>17</v>
      </c>
      <c r="L312">
        <v>29</v>
      </c>
      <c r="M312">
        <v>32</v>
      </c>
    </row>
    <row r="313" spans="1:13" x14ac:dyDescent="0.3">
      <c r="A313" s="1">
        <v>45139</v>
      </c>
      <c r="B313" t="s">
        <v>6</v>
      </c>
      <c r="C313" t="str">
        <f>IFERROR(INDEX(자료실범례[],MATCH($B313,자료실범례[소장처명],0),2),"종합자료실")</f>
        <v>종합자료실</v>
      </c>
      <c r="D313">
        <v>5</v>
      </c>
      <c r="E313">
        <v>4</v>
      </c>
      <c r="F313">
        <v>9</v>
      </c>
      <c r="G313">
        <v>2</v>
      </c>
      <c r="H313">
        <v>2</v>
      </c>
      <c r="I313">
        <v>4</v>
      </c>
      <c r="J313">
        <v>6</v>
      </c>
      <c r="K313">
        <v>7</v>
      </c>
      <c r="L313">
        <v>13</v>
      </c>
      <c r="M313">
        <v>26</v>
      </c>
    </row>
    <row r="314" spans="1:13" x14ac:dyDescent="0.3">
      <c r="A314" s="1">
        <v>45139</v>
      </c>
      <c r="B314" t="s">
        <v>7</v>
      </c>
      <c r="C314" t="str">
        <f>IFERROR(INDEX(자료실범례[],MATCH($B314,자료실범례[소장처명],0),2),"종합자료실")</f>
        <v>어린이자료실</v>
      </c>
      <c r="D314">
        <v>1</v>
      </c>
      <c r="E314">
        <v>4</v>
      </c>
      <c r="F314">
        <v>5</v>
      </c>
      <c r="G314">
        <v>0</v>
      </c>
      <c r="H314">
        <v>1</v>
      </c>
      <c r="I314">
        <v>1</v>
      </c>
      <c r="J314">
        <v>3</v>
      </c>
      <c r="K314">
        <v>3</v>
      </c>
      <c r="L314">
        <v>6</v>
      </c>
      <c r="M314">
        <v>12</v>
      </c>
    </row>
    <row r="315" spans="1:13" x14ac:dyDescent="0.3">
      <c r="A315" s="1">
        <v>45139</v>
      </c>
      <c r="B315" t="s">
        <v>8</v>
      </c>
      <c r="C315" t="str">
        <f>IFERROR(INDEX(자료실범례[],MATCH($B315,자료실범례[소장처명],0),2),"종합자료실")</f>
        <v>어린이자료실</v>
      </c>
      <c r="D315">
        <v>3</v>
      </c>
      <c r="E315">
        <v>7</v>
      </c>
      <c r="F315">
        <v>10</v>
      </c>
      <c r="G315">
        <v>0</v>
      </c>
      <c r="H315">
        <v>0</v>
      </c>
      <c r="I315">
        <v>0</v>
      </c>
      <c r="J315">
        <v>1</v>
      </c>
      <c r="K315">
        <v>8</v>
      </c>
      <c r="L315">
        <v>9</v>
      </c>
      <c r="M315">
        <v>19</v>
      </c>
    </row>
    <row r="316" spans="1:13" x14ac:dyDescent="0.3">
      <c r="A316" s="1">
        <v>45139</v>
      </c>
      <c r="B316" t="s">
        <v>9</v>
      </c>
      <c r="C316" t="str">
        <f>IFERROR(INDEX(자료실범례[],MATCH($B316,자료실범례[소장처명],0),2),"종합자료실")</f>
        <v>어린이자료실</v>
      </c>
      <c r="D316">
        <v>1</v>
      </c>
      <c r="E316">
        <v>2</v>
      </c>
      <c r="F316">
        <v>3</v>
      </c>
      <c r="G316">
        <v>0</v>
      </c>
      <c r="H316">
        <v>1</v>
      </c>
      <c r="I316">
        <v>1</v>
      </c>
      <c r="J316">
        <v>1</v>
      </c>
      <c r="K316">
        <v>2</v>
      </c>
      <c r="L316">
        <v>3</v>
      </c>
      <c r="M316">
        <v>7</v>
      </c>
    </row>
    <row r="317" spans="1:13" x14ac:dyDescent="0.3">
      <c r="A317" s="1">
        <v>45139</v>
      </c>
      <c r="B317" t="s">
        <v>10</v>
      </c>
      <c r="C317" t="str">
        <f>IFERROR(INDEX(자료실범례[],MATCH($B317,자료실범례[소장처명],0),2),"종합자료실")</f>
        <v>어린이자료실</v>
      </c>
      <c r="D317">
        <v>0</v>
      </c>
      <c r="E317">
        <v>3</v>
      </c>
      <c r="F317">
        <v>3</v>
      </c>
      <c r="G317">
        <v>0</v>
      </c>
      <c r="H317">
        <v>0</v>
      </c>
      <c r="I317">
        <v>0</v>
      </c>
      <c r="J317">
        <v>0</v>
      </c>
      <c r="K317">
        <v>6</v>
      </c>
      <c r="L317">
        <v>6</v>
      </c>
      <c r="M317">
        <v>9</v>
      </c>
    </row>
    <row r="318" spans="1:13" x14ac:dyDescent="0.3">
      <c r="A318" s="1">
        <v>45139</v>
      </c>
      <c r="B318" t="s">
        <v>11</v>
      </c>
      <c r="C318" t="str">
        <f>IFERROR(INDEX(자료실범례[],MATCH($B318,자료실범례[소장처명],0),2),"종합자료실")</f>
        <v>어린이자료실</v>
      </c>
      <c r="D318">
        <v>4</v>
      </c>
      <c r="E318">
        <v>1</v>
      </c>
      <c r="F318">
        <v>5</v>
      </c>
      <c r="G318">
        <v>0</v>
      </c>
      <c r="H318">
        <v>0</v>
      </c>
      <c r="I318">
        <v>0</v>
      </c>
      <c r="J318">
        <v>0</v>
      </c>
      <c r="K318">
        <v>2</v>
      </c>
      <c r="L318">
        <v>2</v>
      </c>
      <c r="M318">
        <v>7</v>
      </c>
    </row>
    <row r="319" spans="1:13" x14ac:dyDescent="0.3">
      <c r="A319" s="1">
        <v>45139</v>
      </c>
      <c r="B319" t="s">
        <v>12</v>
      </c>
      <c r="C319" t="str">
        <f>IFERROR(INDEX(자료실범례[],MATCH($B319,자료실범례[소장처명],0),2),"종합자료실")</f>
        <v>어린이자료실</v>
      </c>
      <c r="D319">
        <v>0</v>
      </c>
      <c r="E319">
        <v>2</v>
      </c>
      <c r="F319">
        <v>2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1</v>
      </c>
      <c r="M319">
        <v>3</v>
      </c>
    </row>
    <row r="320" spans="1:13" x14ac:dyDescent="0.3">
      <c r="A320" s="1">
        <v>45139</v>
      </c>
      <c r="B320" t="s">
        <v>13</v>
      </c>
      <c r="C320" t="str">
        <f>IFERROR(INDEX(자료실범례[],MATCH($B320,자료실범례[소장처명],0),2),"종합자료실")</f>
        <v>어린이자료실</v>
      </c>
      <c r="D320">
        <v>0</v>
      </c>
      <c r="E320">
        <v>1</v>
      </c>
      <c r="F320">
        <v>1</v>
      </c>
      <c r="G320">
        <v>0</v>
      </c>
      <c r="H320">
        <v>0</v>
      </c>
      <c r="I320">
        <v>0</v>
      </c>
      <c r="J320">
        <v>1</v>
      </c>
      <c r="K320">
        <v>2</v>
      </c>
      <c r="L320">
        <v>3</v>
      </c>
      <c r="M320">
        <v>4</v>
      </c>
    </row>
    <row r="321" spans="1:13" x14ac:dyDescent="0.3">
      <c r="A321" s="1">
        <v>45139</v>
      </c>
      <c r="B321" t="s">
        <v>15</v>
      </c>
      <c r="C321" t="str">
        <f>IFERROR(INDEX(자료실범례[],MATCH($B321,자료실범례[소장처명],0),2),"종합자료실")</f>
        <v>어린이자료실</v>
      </c>
      <c r="D321">
        <v>34</v>
      </c>
      <c r="E321">
        <v>19</v>
      </c>
      <c r="F321">
        <v>53</v>
      </c>
      <c r="G321">
        <v>1</v>
      </c>
      <c r="H321">
        <v>2</v>
      </c>
      <c r="I321">
        <v>3</v>
      </c>
      <c r="J321">
        <v>16</v>
      </c>
      <c r="K321">
        <v>36</v>
      </c>
      <c r="L321">
        <v>52</v>
      </c>
      <c r="M321">
        <v>108</v>
      </c>
    </row>
    <row r="322" spans="1:13" x14ac:dyDescent="0.3">
      <c r="A322" s="1">
        <v>45139</v>
      </c>
      <c r="B322" t="s">
        <v>16</v>
      </c>
      <c r="C322" t="str">
        <f>IFERROR(INDEX(자료실범례[],MATCH($B322,자료실범례[소장처명],0),2),"종합자료실")</f>
        <v>어린이자료실</v>
      </c>
      <c r="D322">
        <v>60</v>
      </c>
      <c r="E322">
        <v>50</v>
      </c>
      <c r="F322">
        <v>110</v>
      </c>
      <c r="G322">
        <v>6</v>
      </c>
      <c r="H322">
        <v>8</v>
      </c>
      <c r="I322">
        <v>14</v>
      </c>
      <c r="J322">
        <v>40</v>
      </c>
      <c r="K322">
        <v>117</v>
      </c>
      <c r="L322">
        <v>157</v>
      </c>
      <c r="M322">
        <v>281</v>
      </c>
    </row>
    <row r="323" spans="1:13" x14ac:dyDescent="0.3">
      <c r="A323" s="1">
        <v>45139</v>
      </c>
      <c r="B323" t="s">
        <v>17</v>
      </c>
      <c r="C323" t="str">
        <f>IFERROR(INDEX(자료실범례[],MATCH($B323,자료실범례[소장처명],0),2),"종합자료실")</f>
        <v>어린이자료실</v>
      </c>
      <c r="D323">
        <v>3</v>
      </c>
      <c r="E323">
        <v>0</v>
      </c>
      <c r="F323">
        <v>3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1</v>
      </c>
      <c r="M323">
        <v>4</v>
      </c>
    </row>
    <row r="324" spans="1:13" x14ac:dyDescent="0.3">
      <c r="A324" s="1">
        <v>45139</v>
      </c>
      <c r="B324" t="s">
        <v>18</v>
      </c>
      <c r="C324" t="str">
        <f>IFERROR(INDEX(자료실범례[],MATCH($B324,자료실범례[소장처명],0),2),"종합자료실")</f>
        <v>종합자료실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1</v>
      </c>
      <c r="M324">
        <v>1</v>
      </c>
    </row>
    <row r="325" spans="1:13" x14ac:dyDescent="0.3">
      <c r="A325" s="1">
        <v>45139</v>
      </c>
      <c r="B325" t="s">
        <v>20</v>
      </c>
      <c r="C325" t="str">
        <f>IFERROR(INDEX(자료실범례[],MATCH($B325,자료실범례[소장처명],0),2),"종합자료실")</f>
        <v>종합자료실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</v>
      </c>
      <c r="L325">
        <v>2</v>
      </c>
      <c r="M325">
        <v>2</v>
      </c>
    </row>
    <row r="326" spans="1:13" x14ac:dyDescent="0.3">
      <c r="A326" s="1">
        <v>45139</v>
      </c>
      <c r="B326" t="s">
        <v>21</v>
      </c>
      <c r="C326" t="str">
        <f>IFERROR(INDEX(자료실범례[],MATCH($B326,자료실범례[소장처명],0),2),"종합자료실")</f>
        <v>종합자료실</v>
      </c>
      <c r="D326">
        <v>18</v>
      </c>
      <c r="E326">
        <v>15</v>
      </c>
      <c r="F326">
        <v>33</v>
      </c>
      <c r="G326">
        <v>13</v>
      </c>
      <c r="H326">
        <v>34</v>
      </c>
      <c r="I326">
        <v>47</v>
      </c>
      <c r="J326">
        <v>121</v>
      </c>
      <c r="K326">
        <v>226</v>
      </c>
      <c r="L326">
        <v>347</v>
      </c>
      <c r="M326">
        <v>427</v>
      </c>
    </row>
    <row r="327" spans="1:13" x14ac:dyDescent="0.3">
      <c r="A327" s="1">
        <v>45505</v>
      </c>
      <c r="B327" t="s">
        <v>198</v>
      </c>
      <c r="C327" t="str">
        <f>IFERROR(INDEX(자료실범례[],MATCH($B327,자료실범례[소장처명],0),2),"종합자료실")</f>
        <v>어린이자료실</v>
      </c>
      <c r="D327">
        <v>7</v>
      </c>
      <c r="E327">
        <v>6</v>
      </c>
      <c r="F327">
        <v>13</v>
      </c>
      <c r="G327">
        <v>1</v>
      </c>
      <c r="H327">
        <v>2</v>
      </c>
      <c r="I327">
        <v>3</v>
      </c>
      <c r="J327">
        <v>5</v>
      </c>
      <c r="K327">
        <v>11</v>
      </c>
      <c r="L327">
        <v>16</v>
      </c>
      <c r="M327">
        <v>32</v>
      </c>
    </row>
    <row r="328" spans="1:13" x14ac:dyDescent="0.3">
      <c r="A328" s="1">
        <v>45505</v>
      </c>
      <c r="B328" t="s">
        <v>197</v>
      </c>
      <c r="C328" t="str">
        <f>IFERROR(INDEX(자료실범례[],MATCH($B328,자료실범례[소장처명],0),2),"종합자료실")</f>
        <v>종합자료실</v>
      </c>
      <c r="D328">
        <v>0</v>
      </c>
      <c r="E328">
        <v>3</v>
      </c>
      <c r="F328">
        <v>3</v>
      </c>
      <c r="G328">
        <v>0</v>
      </c>
      <c r="H328">
        <v>1</v>
      </c>
      <c r="I328">
        <v>1</v>
      </c>
      <c r="J328">
        <v>2</v>
      </c>
      <c r="K328">
        <v>12</v>
      </c>
      <c r="L328">
        <v>14</v>
      </c>
      <c r="M328">
        <v>18</v>
      </c>
    </row>
    <row r="329" spans="1:13" x14ac:dyDescent="0.3">
      <c r="A329" s="1">
        <v>45505</v>
      </c>
      <c r="B329" t="s">
        <v>0</v>
      </c>
      <c r="C329" t="str">
        <f>IFERROR(INDEX(자료실범례[],MATCH($B329,자료실범례[소장처명],0),2),"종합자료실")</f>
        <v>어린이자료실</v>
      </c>
      <c r="D329">
        <v>3</v>
      </c>
      <c r="E329">
        <v>1</v>
      </c>
      <c r="F329">
        <v>4</v>
      </c>
      <c r="G329">
        <v>0</v>
      </c>
      <c r="H329">
        <v>0</v>
      </c>
      <c r="I329">
        <v>0</v>
      </c>
      <c r="J329">
        <v>2</v>
      </c>
      <c r="K329">
        <v>5</v>
      </c>
      <c r="L329">
        <v>7</v>
      </c>
      <c r="M329">
        <v>11</v>
      </c>
    </row>
    <row r="330" spans="1:13" x14ac:dyDescent="0.3">
      <c r="A330" s="1">
        <v>45505</v>
      </c>
      <c r="B330" t="s">
        <v>1</v>
      </c>
      <c r="C330" t="str">
        <f>IFERROR(INDEX(자료실범례[],MATCH($B330,자료실범례[소장처명],0),2),"종합자료실")</f>
        <v>어린이자료실</v>
      </c>
      <c r="D330">
        <v>1</v>
      </c>
      <c r="E330">
        <v>2</v>
      </c>
      <c r="F330">
        <v>3</v>
      </c>
      <c r="G330">
        <v>0</v>
      </c>
      <c r="H330">
        <v>0</v>
      </c>
      <c r="I330">
        <v>0</v>
      </c>
      <c r="J330">
        <v>2</v>
      </c>
      <c r="K330">
        <v>3</v>
      </c>
      <c r="L330">
        <v>5</v>
      </c>
      <c r="M330">
        <v>8</v>
      </c>
    </row>
    <row r="331" spans="1:13" x14ac:dyDescent="0.3">
      <c r="A331" s="1">
        <v>45505</v>
      </c>
      <c r="B331" t="s">
        <v>2</v>
      </c>
      <c r="C331" t="str">
        <f>IFERROR(INDEX(자료실범례[],MATCH($B331,자료실범례[소장처명],0),2),"종합자료실")</f>
        <v>디지털자료실</v>
      </c>
      <c r="D331">
        <v>2</v>
      </c>
      <c r="E331">
        <v>1</v>
      </c>
      <c r="F331">
        <v>3</v>
      </c>
      <c r="G331">
        <v>0</v>
      </c>
      <c r="H331">
        <v>0</v>
      </c>
      <c r="I331">
        <v>0</v>
      </c>
      <c r="J331">
        <v>7</v>
      </c>
      <c r="K331">
        <v>5</v>
      </c>
      <c r="L331">
        <v>12</v>
      </c>
      <c r="M331">
        <v>15</v>
      </c>
    </row>
    <row r="332" spans="1:13" x14ac:dyDescent="0.3">
      <c r="A332" s="1">
        <v>45505</v>
      </c>
      <c r="B332" t="s">
        <v>3</v>
      </c>
      <c r="C332" t="str">
        <f>IFERROR(INDEX(자료실범례[],MATCH($B332,자료실범례[소장처명],0),2),"종합자료실")</f>
        <v>디지털자료실</v>
      </c>
      <c r="D332">
        <v>1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</v>
      </c>
    </row>
    <row r="333" spans="1:13" x14ac:dyDescent="0.3">
      <c r="A333" s="1">
        <v>45505</v>
      </c>
      <c r="B333" t="s">
        <v>4</v>
      </c>
      <c r="C333" t="str">
        <f>IFERROR(INDEX(자료실범례[],MATCH($B333,자료실범례[소장처명],0),2),"종합자료실")</f>
        <v>어린이자료실</v>
      </c>
      <c r="D333">
        <v>1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3</v>
      </c>
      <c r="K333">
        <v>5</v>
      </c>
      <c r="L333">
        <v>8</v>
      </c>
      <c r="M333">
        <v>9</v>
      </c>
    </row>
    <row r="334" spans="1:13" x14ac:dyDescent="0.3">
      <c r="A334" s="1">
        <v>45505</v>
      </c>
      <c r="B334" t="s">
        <v>5</v>
      </c>
      <c r="C334" t="str">
        <f>IFERROR(INDEX(자료실범례[],MATCH($B334,자료실범례[소장처명],0),2),"종합자료실")</f>
        <v>종합자료실</v>
      </c>
      <c r="D334">
        <v>2</v>
      </c>
      <c r="E334">
        <v>1</v>
      </c>
      <c r="F334">
        <v>3</v>
      </c>
      <c r="G334">
        <v>0</v>
      </c>
      <c r="H334">
        <v>2</v>
      </c>
      <c r="I334">
        <v>2</v>
      </c>
      <c r="J334">
        <v>10</v>
      </c>
      <c r="K334">
        <v>20</v>
      </c>
      <c r="L334">
        <v>30</v>
      </c>
      <c r="M334">
        <v>35</v>
      </c>
    </row>
    <row r="335" spans="1:13" x14ac:dyDescent="0.3">
      <c r="A335" s="1">
        <v>45505</v>
      </c>
      <c r="B335" t="s">
        <v>6</v>
      </c>
      <c r="C335" t="str">
        <f>IFERROR(INDEX(자료실범례[],MATCH($B335,자료실범례[소장처명],0),2),"종합자료실")</f>
        <v>종합자료실</v>
      </c>
      <c r="D335">
        <v>1</v>
      </c>
      <c r="E335">
        <v>2</v>
      </c>
      <c r="F335">
        <v>3</v>
      </c>
      <c r="G335">
        <v>0</v>
      </c>
      <c r="H335">
        <v>0</v>
      </c>
      <c r="I335">
        <v>0</v>
      </c>
      <c r="J335">
        <v>3</v>
      </c>
      <c r="K335">
        <v>8</v>
      </c>
      <c r="L335">
        <v>11</v>
      </c>
      <c r="M335">
        <v>14</v>
      </c>
    </row>
    <row r="336" spans="1:13" x14ac:dyDescent="0.3">
      <c r="A336" s="1">
        <v>45505</v>
      </c>
      <c r="B336" t="s">
        <v>7</v>
      </c>
      <c r="C336" t="str">
        <f>IFERROR(INDEX(자료실범례[],MATCH($B336,자료실범례[소장처명],0),2),"종합자료실")</f>
        <v>어린이자료실</v>
      </c>
      <c r="D336">
        <v>3</v>
      </c>
      <c r="E336">
        <v>2</v>
      </c>
      <c r="F336">
        <v>5</v>
      </c>
      <c r="G336">
        <v>0</v>
      </c>
      <c r="H336">
        <v>0</v>
      </c>
      <c r="I336">
        <v>0</v>
      </c>
      <c r="J336">
        <v>1</v>
      </c>
      <c r="K336">
        <v>6</v>
      </c>
      <c r="L336">
        <v>7</v>
      </c>
      <c r="M336">
        <v>12</v>
      </c>
    </row>
    <row r="337" spans="1:13" x14ac:dyDescent="0.3">
      <c r="A337" s="1">
        <v>45505</v>
      </c>
      <c r="B337" t="s">
        <v>8</v>
      </c>
      <c r="C337" t="str">
        <f>IFERROR(INDEX(자료실범례[],MATCH($B337,자료실범례[소장처명],0),2),"종합자료실")</f>
        <v>어린이자료실</v>
      </c>
      <c r="D337">
        <v>0</v>
      </c>
      <c r="E337">
        <v>3</v>
      </c>
      <c r="F337">
        <v>3</v>
      </c>
      <c r="G337">
        <v>0</v>
      </c>
      <c r="H337">
        <v>1</v>
      </c>
      <c r="I337">
        <v>1</v>
      </c>
      <c r="J337">
        <v>0</v>
      </c>
      <c r="K337">
        <v>3</v>
      </c>
      <c r="L337">
        <v>3</v>
      </c>
      <c r="M337">
        <v>7</v>
      </c>
    </row>
    <row r="338" spans="1:13" x14ac:dyDescent="0.3">
      <c r="A338" s="1">
        <v>45505</v>
      </c>
      <c r="B338" t="s">
        <v>9</v>
      </c>
      <c r="C338" t="str">
        <f>IFERROR(INDEX(자료실범례[],MATCH($B338,자료실범례[소장처명],0),2),"종합자료실")</f>
        <v>어린이자료실</v>
      </c>
      <c r="D338">
        <v>1</v>
      </c>
      <c r="E338">
        <v>2</v>
      </c>
      <c r="F338">
        <v>3</v>
      </c>
      <c r="G338">
        <v>0</v>
      </c>
      <c r="H338">
        <v>0</v>
      </c>
      <c r="I338">
        <v>0</v>
      </c>
      <c r="J338">
        <v>0</v>
      </c>
      <c r="K338">
        <v>5</v>
      </c>
      <c r="L338">
        <v>5</v>
      </c>
      <c r="M338">
        <v>8</v>
      </c>
    </row>
    <row r="339" spans="1:13" x14ac:dyDescent="0.3">
      <c r="A339" s="1">
        <v>45505</v>
      </c>
      <c r="B339" t="s">
        <v>10</v>
      </c>
      <c r="C339" t="str">
        <f>IFERROR(INDEX(자료실범례[],MATCH($B339,자료실범례[소장처명],0),2),"종합자료실")</f>
        <v>어린이자료실</v>
      </c>
      <c r="D339">
        <v>2</v>
      </c>
      <c r="E339">
        <v>0</v>
      </c>
      <c r="F339">
        <v>2</v>
      </c>
      <c r="G339">
        <v>0</v>
      </c>
      <c r="H339">
        <v>1</v>
      </c>
      <c r="I339">
        <v>1</v>
      </c>
      <c r="J339">
        <v>1</v>
      </c>
      <c r="K339">
        <v>1</v>
      </c>
      <c r="L339">
        <v>2</v>
      </c>
      <c r="M339">
        <v>5</v>
      </c>
    </row>
    <row r="340" spans="1:13" x14ac:dyDescent="0.3">
      <c r="A340" s="1">
        <v>45505</v>
      </c>
      <c r="B340" t="s">
        <v>11</v>
      </c>
      <c r="C340" t="str">
        <f>IFERROR(INDEX(자료실범례[],MATCH($B340,자료실범례[소장처명],0),2),"종합자료실")</f>
        <v>어린이자료실</v>
      </c>
      <c r="D340">
        <v>1</v>
      </c>
      <c r="E340">
        <v>1</v>
      </c>
      <c r="F340">
        <v>2</v>
      </c>
      <c r="G340">
        <v>0</v>
      </c>
      <c r="H340">
        <v>1</v>
      </c>
      <c r="I340">
        <v>1</v>
      </c>
      <c r="J340">
        <v>2</v>
      </c>
      <c r="K340">
        <v>5</v>
      </c>
      <c r="L340">
        <v>7</v>
      </c>
      <c r="M340">
        <v>10</v>
      </c>
    </row>
    <row r="341" spans="1:13" x14ac:dyDescent="0.3">
      <c r="A341" s="1">
        <v>45505</v>
      </c>
      <c r="B341" t="s">
        <v>12</v>
      </c>
      <c r="C341" t="str">
        <f>IFERROR(INDEX(자료실범례[],MATCH($B341,자료실범례[소장처명],0),2),"종합자료실")</f>
        <v>어린이자료실</v>
      </c>
      <c r="D341">
        <v>2</v>
      </c>
      <c r="E341">
        <v>0</v>
      </c>
      <c r="F341">
        <v>2</v>
      </c>
      <c r="G341">
        <v>0</v>
      </c>
      <c r="H341">
        <v>0</v>
      </c>
      <c r="I341">
        <v>0</v>
      </c>
      <c r="J341">
        <v>2</v>
      </c>
      <c r="K341">
        <v>3</v>
      </c>
      <c r="L341">
        <v>5</v>
      </c>
      <c r="M341">
        <v>7</v>
      </c>
    </row>
    <row r="342" spans="1:13" x14ac:dyDescent="0.3">
      <c r="A342" s="1">
        <v>45505</v>
      </c>
      <c r="B342" t="s">
        <v>13</v>
      </c>
      <c r="C342" t="str">
        <f>IFERROR(INDEX(자료실범례[],MATCH($B342,자료실범례[소장처명],0),2),"종합자료실")</f>
        <v>어린이자료실</v>
      </c>
      <c r="D342">
        <v>1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1</v>
      </c>
      <c r="K342">
        <v>1</v>
      </c>
      <c r="L342">
        <v>2</v>
      </c>
      <c r="M342">
        <v>3</v>
      </c>
    </row>
    <row r="343" spans="1:13" x14ac:dyDescent="0.3">
      <c r="A343" s="1">
        <v>45505</v>
      </c>
      <c r="B343" t="s">
        <v>14</v>
      </c>
      <c r="C343" t="str">
        <f>IFERROR(INDEX(자료실범례[],MATCH($B343,자료실범례[소장처명],0),2),"종합자료실")</f>
        <v>어린이자료실</v>
      </c>
      <c r="D343">
        <v>25</v>
      </c>
      <c r="E343">
        <v>26</v>
      </c>
      <c r="F343">
        <v>51</v>
      </c>
      <c r="G343">
        <v>1</v>
      </c>
      <c r="H343">
        <v>3</v>
      </c>
      <c r="I343">
        <v>4</v>
      </c>
      <c r="J343">
        <v>19</v>
      </c>
      <c r="K343">
        <v>53</v>
      </c>
      <c r="L343">
        <v>72</v>
      </c>
      <c r="M343">
        <v>127</v>
      </c>
    </row>
    <row r="344" spans="1:13" x14ac:dyDescent="0.3">
      <c r="A344" s="1">
        <v>45505</v>
      </c>
      <c r="B344" t="s">
        <v>15</v>
      </c>
      <c r="C344" t="str">
        <f>IFERROR(INDEX(자료실범례[],MATCH($B344,자료실범례[소장처명],0),2),"종합자료실")</f>
        <v>어린이자료실</v>
      </c>
      <c r="D344">
        <v>27</v>
      </c>
      <c r="E344">
        <v>17</v>
      </c>
      <c r="F344">
        <v>44</v>
      </c>
      <c r="G344">
        <v>2</v>
      </c>
      <c r="H344">
        <v>3</v>
      </c>
      <c r="I344">
        <v>5</v>
      </c>
      <c r="J344">
        <v>20</v>
      </c>
      <c r="K344">
        <v>37</v>
      </c>
      <c r="L344">
        <v>57</v>
      </c>
      <c r="M344">
        <v>106</v>
      </c>
    </row>
    <row r="345" spans="1:13" x14ac:dyDescent="0.3">
      <c r="A345" s="1">
        <v>45505</v>
      </c>
      <c r="B345" t="s">
        <v>16</v>
      </c>
      <c r="C345" t="str">
        <f>IFERROR(INDEX(자료실범례[],MATCH($B345,자료실범례[소장처명],0),2),"종합자료실")</f>
        <v>어린이자료실</v>
      </c>
      <c r="D345">
        <v>59</v>
      </c>
      <c r="E345">
        <v>59</v>
      </c>
      <c r="F345">
        <v>118</v>
      </c>
      <c r="G345">
        <v>4</v>
      </c>
      <c r="H345">
        <v>7</v>
      </c>
      <c r="I345">
        <v>11</v>
      </c>
      <c r="J345">
        <v>52</v>
      </c>
      <c r="K345">
        <v>115</v>
      </c>
      <c r="L345">
        <v>167</v>
      </c>
      <c r="M345">
        <v>296</v>
      </c>
    </row>
    <row r="346" spans="1:13" x14ac:dyDescent="0.3">
      <c r="A346" s="1">
        <v>45505</v>
      </c>
      <c r="B346" t="s">
        <v>17</v>
      </c>
      <c r="C346" t="str">
        <f>IFERROR(INDEX(자료실범례[],MATCH($B346,자료실범례[소장처명],0),2),"종합자료실")</f>
        <v>어린이자료실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</v>
      </c>
      <c r="L346">
        <v>2</v>
      </c>
      <c r="M346">
        <v>2</v>
      </c>
    </row>
    <row r="347" spans="1:13" x14ac:dyDescent="0.3">
      <c r="A347" s="1">
        <v>45505</v>
      </c>
      <c r="B347" t="s">
        <v>18</v>
      </c>
      <c r="C347" t="str">
        <f>IFERROR(INDEX(자료실범례[],MATCH($B347,자료실범례[소장처명],0),2),"종합자료실")</f>
        <v>종합자료실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1</v>
      </c>
      <c r="M347">
        <v>1</v>
      </c>
    </row>
    <row r="348" spans="1:13" x14ac:dyDescent="0.3">
      <c r="A348" s="1">
        <v>45505</v>
      </c>
      <c r="B348" t="s">
        <v>19</v>
      </c>
      <c r="C348" t="str">
        <f>IFERROR(INDEX(자료실범례[],MATCH($B348,자료실범례[소장처명],0),2),"종합자료실")</f>
        <v>종합자료실</v>
      </c>
      <c r="D348">
        <v>11</v>
      </c>
      <c r="E348">
        <v>5</v>
      </c>
      <c r="F348">
        <v>16</v>
      </c>
      <c r="G348">
        <v>4</v>
      </c>
      <c r="H348">
        <v>7</v>
      </c>
      <c r="I348">
        <v>11</v>
      </c>
      <c r="J348">
        <v>67</v>
      </c>
      <c r="K348">
        <v>126</v>
      </c>
      <c r="L348">
        <v>193</v>
      </c>
      <c r="M348">
        <v>220</v>
      </c>
    </row>
    <row r="349" spans="1:13" x14ac:dyDescent="0.3">
      <c r="A349" s="1">
        <v>45505</v>
      </c>
      <c r="B349" t="s">
        <v>21</v>
      </c>
      <c r="C349" t="str">
        <f>IFERROR(INDEX(자료실범례[],MATCH($B349,자료실범례[소장처명],0),2),"종합자료실")</f>
        <v>종합자료실</v>
      </c>
      <c r="D349">
        <v>15</v>
      </c>
      <c r="E349">
        <v>13</v>
      </c>
      <c r="F349">
        <v>28</v>
      </c>
      <c r="G349">
        <v>11</v>
      </c>
      <c r="H349">
        <v>24</v>
      </c>
      <c r="I349">
        <v>35</v>
      </c>
      <c r="J349">
        <v>139</v>
      </c>
      <c r="K349">
        <v>225</v>
      </c>
      <c r="L349">
        <v>364</v>
      </c>
      <c r="M349">
        <v>427</v>
      </c>
    </row>
    <row r="350" spans="1:13" x14ac:dyDescent="0.3">
      <c r="A350" s="1">
        <v>45536</v>
      </c>
      <c r="B350" t="s">
        <v>198</v>
      </c>
      <c r="C350" t="str">
        <f>IFERROR(INDEX(자료실범례[],MATCH($B350,자료실범례[소장처명],0),2),"종합자료실")</f>
        <v>어린이자료실</v>
      </c>
      <c r="D350">
        <v>8</v>
      </c>
      <c r="E350">
        <v>5</v>
      </c>
      <c r="F350">
        <v>13</v>
      </c>
      <c r="G350">
        <v>1</v>
      </c>
      <c r="H350">
        <v>0</v>
      </c>
      <c r="I350">
        <v>1</v>
      </c>
      <c r="J350">
        <v>1</v>
      </c>
      <c r="K350">
        <v>6</v>
      </c>
      <c r="L350">
        <v>7</v>
      </c>
      <c r="M350">
        <v>21</v>
      </c>
    </row>
    <row r="351" spans="1:13" x14ac:dyDescent="0.3">
      <c r="A351" s="1">
        <v>45536</v>
      </c>
      <c r="B351" t="s">
        <v>197</v>
      </c>
      <c r="C351" t="str">
        <f>IFERROR(INDEX(자료실범례[],MATCH($B351,자료실범례[소장처명],0),2),"종합자료실")</f>
        <v>종합자료실</v>
      </c>
      <c r="D351">
        <v>0</v>
      </c>
      <c r="E351">
        <v>1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6</v>
      </c>
      <c r="L351">
        <v>6</v>
      </c>
      <c r="M351">
        <v>7</v>
      </c>
    </row>
    <row r="352" spans="1:13" x14ac:dyDescent="0.3">
      <c r="A352" s="1">
        <v>45536</v>
      </c>
      <c r="B352" t="s">
        <v>0</v>
      </c>
      <c r="C352" t="str">
        <f>IFERROR(INDEX(자료실범례[],MATCH($B352,자료실범례[소장처명],0),2),"종합자료실")</f>
        <v>어린이자료실</v>
      </c>
      <c r="D352">
        <v>3</v>
      </c>
      <c r="E352">
        <v>0</v>
      </c>
      <c r="F352">
        <v>3</v>
      </c>
      <c r="G352">
        <v>0</v>
      </c>
      <c r="H352">
        <v>0</v>
      </c>
      <c r="I352">
        <v>0</v>
      </c>
      <c r="J352">
        <v>1</v>
      </c>
      <c r="K352">
        <v>6</v>
      </c>
      <c r="L352">
        <v>7</v>
      </c>
      <c r="M352">
        <v>10</v>
      </c>
    </row>
    <row r="353" spans="1:13" x14ac:dyDescent="0.3">
      <c r="A353" s="1">
        <v>45536</v>
      </c>
      <c r="B353" t="s">
        <v>1</v>
      </c>
      <c r="C353" t="str">
        <f>IFERROR(INDEX(자료실범례[],MATCH($B353,자료실범례[소장처명],0),2),"종합자료실")</f>
        <v>어린이자료실</v>
      </c>
      <c r="D353">
        <v>1</v>
      </c>
      <c r="E353">
        <v>1</v>
      </c>
      <c r="F353">
        <v>2</v>
      </c>
      <c r="G353">
        <v>0</v>
      </c>
      <c r="H353">
        <v>0</v>
      </c>
      <c r="I353">
        <v>0</v>
      </c>
      <c r="J353">
        <v>0</v>
      </c>
      <c r="K353">
        <v>2</v>
      </c>
      <c r="L353">
        <v>2</v>
      </c>
      <c r="M353">
        <v>4</v>
      </c>
    </row>
    <row r="354" spans="1:13" x14ac:dyDescent="0.3">
      <c r="A354" s="1">
        <v>45536</v>
      </c>
      <c r="B354" t="s">
        <v>2</v>
      </c>
      <c r="C354" t="str">
        <f>IFERROR(INDEX(자료실범례[],MATCH($B354,자료실범례[소장처명],0),2),"종합자료실")</f>
        <v>디지털자료실</v>
      </c>
      <c r="D354">
        <v>1</v>
      </c>
      <c r="E354">
        <v>2</v>
      </c>
      <c r="F354">
        <v>3</v>
      </c>
      <c r="G354">
        <v>0</v>
      </c>
      <c r="H354">
        <v>1</v>
      </c>
      <c r="I354">
        <v>1</v>
      </c>
      <c r="J354">
        <v>6</v>
      </c>
      <c r="K354">
        <v>5</v>
      </c>
      <c r="L354">
        <v>11</v>
      </c>
      <c r="M354">
        <v>15</v>
      </c>
    </row>
    <row r="355" spans="1:13" x14ac:dyDescent="0.3">
      <c r="A355" s="1">
        <v>45536</v>
      </c>
      <c r="B355" t="s">
        <v>4</v>
      </c>
      <c r="C355" t="str">
        <f>IFERROR(INDEX(자료실범례[],MATCH($B355,자료실범례[소장처명],0),2),"종합자료실")</f>
        <v>어린이자료실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2</v>
      </c>
      <c r="L355">
        <v>3</v>
      </c>
      <c r="M355">
        <v>3</v>
      </c>
    </row>
    <row r="356" spans="1:13" x14ac:dyDescent="0.3">
      <c r="A356" s="1">
        <v>45536</v>
      </c>
      <c r="B356" t="s">
        <v>5</v>
      </c>
      <c r="C356" t="str">
        <f>IFERROR(INDEX(자료실범례[],MATCH($B356,자료실범례[소장처명],0),2),"종합자료실")</f>
        <v>종합자료실</v>
      </c>
      <c r="D356">
        <v>0</v>
      </c>
      <c r="E356">
        <v>0</v>
      </c>
      <c r="F356">
        <v>0</v>
      </c>
      <c r="G356">
        <v>1</v>
      </c>
      <c r="H356">
        <v>1</v>
      </c>
      <c r="I356">
        <v>2</v>
      </c>
      <c r="J356">
        <v>6</v>
      </c>
      <c r="K356">
        <v>15</v>
      </c>
      <c r="L356">
        <v>21</v>
      </c>
      <c r="M356">
        <v>23</v>
      </c>
    </row>
    <row r="357" spans="1:13" x14ac:dyDescent="0.3">
      <c r="A357" s="1">
        <v>45536</v>
      </c>
      <c r="B357" t="s">
        <v>6</v>
      </c>
      <c r="C357" t="str">
        <f>IFERROR(INDEX(자료실범례[],MATCH($B357,자료실범례[소장처명],0),2),"종합자료실")</f>
        <v>종합자료실</v>
      </c>
      <c r="D357">
        <v>1</v>
      </c>
      <c r="E357">
        <v>0</v>
      </c>
      <c r="F357">
        <v>1</v>
      </c>
      <c r="G357">
        <v>0</v>
      </c>
      <c r="H357">
        <v>3</v>
      </c>
      <c r="I357">
        <v>3</v>
      </c>
      <c r="J357">
        <v>6</v>
      </c>
      <c r="K357">
        <v>7</v>
      </c>
      <c r="L357">
        <v>13</v>
      </c>
      <c r="M357">
        <v>17</v>
      </c>
    </row>
    <row r="358" spans="1:13" x14ac:dyDescent="0.3">
      <c r="A358" s="1">
        <v>45536</v>
      </c>
      <c r="B358" t="s">
        <v>7</v>
      </c>
      <c r="C358" t="str">
        <f>IFERROR(INDEX(자료실범례[],MATCH($B358,자료실범례[소장처명],0),2),"종합자료실")</f>
        <v>어린이자료실</v>
      </c>
      <c r="D358">
        <v>4</v>
      </c>
      <c r="E358">
        <v>5</v>
      </c>
      <c r="F358">
        <v>9</v>
      </c>
      <c r="G358">
        <v>0</v>
      </c>
      <c r="H358">
        <v>0</v>
      </c>
      <c r="I358">
        <v>0</v>
      </c>
      <c r="J358">
        <v>4</v>
      </c>
      <c r="K358">
        <v>4</v>
      </c>
      <c r="L358">
        <v>8</v>
      </c>
      <c r="M358">
        <v>17</v>
      </c>
    </row>
    <row r="359" spans="1:13" x14ac:dyDescent="0.3">
      <c r="A359" s="1">
        <v>45536</v>
      </c>
      <c r="B359" t="s">
        <v>8</v>
      </c>
      <c r="C359" t="str">
        <f>IFERROR(INDEX(자료실범례[],MATCH($B359,자료실범례[소장처명],0),2),"종합자료실")</f>
        <v>어린이자료실</v>
      </c>
      <c r="D359">
        <v>2</v>
      </c>
      <c r="E359">
        <v>7</v>
      </c>
      <c r="F359">
        <v>9</v>
      </c>
      <c r="G359">
        <v>0</v>
      </c>
      <c r="H359">
        <v>0</v>
      </c>
      <c r="I359">
        <v>0</v>
      </c>
      <c r="J359">
        <v>2</v>
      </c>
      <c r="K359">
        <v>6</v>
      </c>
      <c r="L359">
        <v>8</v>
      </c>
      <c r="M359">
        <v>17</v>
      </c>
    </row>
    <row r="360" spans="1:13" x14ac:dyDescent="0.3">
      <c r="A360" s="1">
        <v>45536</v>
      </c>
      <c r="B360" t="s">
        <v>9</v>
      </c>
      <c r="C360" t="str">
        <f>IFERROR(INDEX(자료실범례[],MATCH($B360,자료실범례[소장처명],0),2),"종합자료실")</f>
        <v>어린이자료실</v>
      </c>
      <c r="D360">
        <v>4</v>
      </c>
      <c r="E360">
        <v>2</v>
      </c>
      <c r="F360">
        <v>6</v>
      </c>
      <c r="G360">
        <v>0</v>
      </c>
      <c r="H360">
        <v>0</v>
      </c>
      <c r="I360">
        <v>0</v>
      </c>
      <c r="J360">
        <v>2</v>
      </c>
      <c r="K360">
        <v>1</v>
      </c>
      <c r="L360">
        <v>3</v>
      </c>
      <c r="M360">
        <v>9</v>
      </c>
    </row>
    <row r="361" spans="1:13" x14ac:dyDescent="0.3">
      <c r="A361" s="1">
        <v>45536</v>
      </c>
      <c r="B361" t="s">
        <v>10</v>
      </c>
      <c r="C361" t="str">
        <f>IFERROR(INDEX(자료실범례[],MATCH($B361,자료실범례[소장처명],0),2),"종합자료실")</f>
        <v>어린이자료실</v>
      </c>
      <c r="D361">
        <v>3</v>
      </c>
      <c r="E361">
        <v>1</v>
      </c>
      <c r="F361">
        <v>4</v>
      </c>
      <c r="G361">
        <v>0</v>
      </c>
      <c r="H361">
        <v>0</v>
      </c>
      <c r="I361">
        <v>0</v>
      </c>
      <c r="J361">
        <v>0</v>
      </c>
      <c r="K361">
        <v>2</v>
      </c>
      <c r="L361">
        <v>2</v>
      </c>
      <c r="M361">
        <v>6</v>
      </c>
    </row>
    <row r="362" spans="1:13" x14ac:dyDescent="0.3">
      <c r="A362" s="1">
        <v>45536</v>
      </c>
      <c r="B362" t="s">
        <v>11</v>
      </c>
      <c r="C362" t="str">
        <f>IFERROR(INDEX(자료실범례[],MATCH($B362,자료실범례[소장처명],0),2),"종합자료실")</f>
        <v>어린이자료실</v>
      </c>
      <c r="D362">
        <v>2</v>
      </c>
      <c r="E362">
        <v>1</v>
      </c>
      <c r="F362">
        <v>3</v>
      </c>
      <c r="G362">
        <v>0</v>
      </c>
      <c r="H362">
        <v>0</v>
      </c>
      <c r="I362">
        <v>0</v>
      </c>
      <c r="J362">
        <v>2</v>
      </c>
      <c r="K362">
        <v>3</v>
      </c>
      <c r="L362">
        <v>5</v>
      </c>
      <c r="M362">
        <v>8</v>
      </c>
    </row>
    <row r="363" spans="1:13" x14ac:dyDescent="0.3">
      <c r="A363" s="1">
        <v>45536</v>
      </c>
      <c r="B363" t="s">
        <v>12</v>
      </c>
      <c r="C363" t="str">
        <f>IFERROR(INDEX(자료실범례[],MATCH($B363,자료실범례[소장처명],0),2),"종합자료실")</f>
        <v>어린이자료실</v>
      </c>
      <c r="D363">
        <v>0</v>
      </c>
      <c r="E363">
        <v>1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</row>
    <row r="364" spans="1:13" x14ac:dyDescent="0.3">
      <c r="A364" s="1">
        <v>45536</v>
      </c>
      <c r="B364" t="s">
        <v>13</v>
      </c>
      <c r="C364" t="str">
        <f>IFERROR(INDEX(자료실범례[],MATCH($B364,자료실범례[소장처명],0),2),"종합자료실")</f>
        <v>어린이자료실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2</v>
      </c>
      <c r="K364">
        <v>3</v>
      </c>
      <c r="L364">
        <v>5</v>
      </c>
      <c r="M364">
        <v>5</v>
      </c>
    </row>
    <row r="365" spans="1:13" x14ac:dyDescent="0.3">
      <c r="A365" s="1">
        <v>45536</v>
      </c>
      <c r="B365" t="s">
        <v>14</v>
      </c>
      <c r="C365" t="str">
        <f>IFERROR(INDEX(자료실범례[],MATCH($B365,자료실범례[소장처명],0),2),"종합자료실")</f>
        <v>어린이자료실</v>
      </c>
      <c r="D365">
        <v>27</v>
      </c>
      <c r="E365">
        <v>29</v>
      </c>
      <c r="F365">
        <v>56</v>
      </c>
      <c r="G365">
        <v>1</v>
      </c>
      <c r="H365">
        <v>1</v>
      </c>
      <c r="I365">
        <v>2</v>
      </c>
      <c r="J365">
        <v>14</v>
      </c>
      <c r="K365">
        <v>41</v>
      </c>
      <c r="L365">
        <v>55</v>
      </c>
      <c r="M365">
        <v>113</v>
      </c>
    </row>
    <row r="366" spans="1:13" x14ac:dyDescent="0.3">
      <c r="A366" s="1">
        <v>45536</v>
      </c>
      <c r="B366" t="s">
        <v>15</v>
      </c>
      <c r="C366" t="str">
        <f>IFERROR(INDEX(자료실범례[],MATCH($B366,자료실범례[소장처명],0),2),"종합자료실")</f>
        <v>어린이자료실</v>
      </c>
      <c r="D366">
        <v>36</v>
      </c>
      <c r="E366">
        <v>26</v>
      </c>
      <c r="F366">
        <v>62</v>
      </c>
      <c r="G366">
        <v>0</v>
      </c>
      <c r="H366">
        <v>2</v>
      </c>
      <c r="I366">
        <v>2</v>
      </c>
      <c r="J366">
        <v>14</v>
      </c>
      <c r="K366">
        <v>30</v>
      </c>
      <c r="L366">
        <v>44</v>
      </c>
      <c r="M366">
        <v>108</v>
      </c>
    </row>
    <row r="367" spans="1:13" x14ac:dyDescent="0.3">
      <c r="A367" s="1">
        <v>45536</v>
      </c>
      <c r="B367" t="s">
        <v>16</v>
      </c>
      <c r="C367" t="str">
        <f>IFERROR(INDEX(자료실범례[],MATCH($B367,자료실범례[소장처명],0),2),"종합자료실")</f>
        <v>어린이자료실</v>
      </c>
      <c r="D367">
        <v>55</v>
      </c>
      <c r="E367">
        <v>63</v>
      </c>
      <c r="F367">
        <v>118</v>
      </c>
      <c r="G367">
        <v>2</v>
      </c>
      <c r="H367">
        <v>3</v>
      </c>
      <c r="I367">
        <v>5</v>
      </c>
      <c r="J367">
        <v>35</v>
      </c>
      <c r="K367">
        <v>95</v>
      </c>
      <c r="L367">
        <v>130</v>
      </c>
      <c r="M367">
        <v>253</v>
      </c>
    </row>
    <row r="368" spans="1:13" x14ac:dyDescent="0.3">
      <c r="A368" s="1">
        <v>45536</v>
      </c>
      <c r="B368" t="s">
        <v>17</v>
      </c>
      <c r="C368" t="str">
        <f>IFERROR(INDEX(자료실범례[],MATCH($B368,자료실범례[소장처명],0),2),"종합자료실")</f>
        <v>어린이자료실</v>
      </c>
      <c r="D368">
        <v>0</v>
      </c>
      <c r="E368">
        <v>1</v>
      </c>
      <c r="F368">
        <v>1</v>
      </c>
      <c r="G368">
        <v>0</v>
      </c>
      <c r="H368">
        <v>0</v>
      </c>
      <c r="I368">
        <v>0</v>
      </c>
      <c r="J368">
        <v>1</v>
      </c>
      <c r="K368">
        <v>1</v>
      </c>
      <c r="L368">
        <v>2</v>
      </c>
      <c r="M368">
        <v>3</v>
      </c>
    </row>
    <row r="369" spans="1:13" x14ac:dyDescent="0.3">
      <c r="A369" s="1">
        <v>45536</v>
      </c>
      <c r="B369" t="s">
        <v>19</v>
      </c>
      <c r="C369" t="str">
        <f>IFERROR(INDEX(자료실범례[],MATCH($B369,자료실범례[소장처명],0),2),"종합자료실")</f>
        <v>종합자료실</v>
      </c>
      <c r="D369">
        <v>4</v>
      </c>
      <c r="E369">
        <v>8</v>
      </c>
      <c r="F369">
        <v>12</v>
      </c>
      <c r="G369">
        <v>1</v>
      </c>
      <c r="H369">
        <v>6</v>
      </c>
      <c r="I369">
        <v>7</v>
      </c>
      <c r="J369">
        <v>55</v>
      </c>
      <c r="K369">
        <v>105</v>
      </c>
      <c r="L369">
        <v>160</v>
      </c>
      <c r="M369">
        <v>179</v>
      </c>
    </row>
    <row r="370" spans="1:13" x14ac:dyDescent="0.3">
      <c r="A370" s="1">
        <v>45536</v>
      </c>
      <c r="B370" t="s">
        <v>21</v>
      </c>
      <c r="C370" t="str">
        <f>IFERROR(INDEX(자료실범례[],MATCH($B370,자료실범례[소장처명],0),2),"종합자료실")</f>
        <v>종합자료실</v>
      </c>
      <c r="D370">
        <v>8</v>
      </c>
      <c r="E370">
        <v>14</v>
      </c>
      <c r="F370">
        <v>22</v>
      </c>
      <c r="G370">
        <v>10</v>
      </c>
      <c r="H370">
        <v>21</v>
      </c>
      <c r="I370">
        <v>31</v>
      </c>
      <c r="J370">
        <v>118</v>
      </c>
      <c r="K370">
        <v>189</v>
      </c>
      <c r="L370">
        <v>307</v>
      </c>
      <c r="M370">
        <v>360</v>
      </c>
    </row>
    <row r="371" spans="1:13" x14ac:dyDescent="0.3">
      <c r="A371" s="1">
        <v>45170</v>
      </c>
      <c r="B371" s="1" t="s">
        <v>197</v>
      </c>
      <c r="C371" s="17" t="str">
        <f>IFERROR(INDEX(자료실범례[],MATCH($B371,자료실범례[소장처명],0),2),"종합자료실")</f>
        <v>종합자료실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</v>
      </c>
      <c r="L371">
        <v>2</v>
      </c>
      <c r="M371">
        <v>2</v>
      </c>
    </row>
    <row r="372" spans="1:13" x14ac:dyDescent="0.3">
      <c r="A372" s="1">
        <v>45170</v>
      </c>
      <c r="B372" s="1" t="s">
        <v>0</v>
      </c>
      <c r="C372" s="17" t="str">
        <f>IFERROR(INDEX(자료실범례[],MATCH($B372,자료실범례[소장처명],0),2),"종합자료실")</f>
        <v>어린이자료실</v>
      </c>
      <c r="D372">
        <v>3</v>
      </c>
      <c r="E372">
        <v>1</v>
      </c>
      <c r="F372">
        <v>4</v>
      </c>
      <c r="G372">
        <v>0</v>
      </c>
      <c r="H372">
        <v>0</v>
      </c>
      <c r="I372">
        <v>0</v>
      </c>
      <c r="J372">
        <v>4</v>
      </c>
      <c r="K372">
        <v>2</v>
      </c>
      <c r="L372">
        <v>6</v>
      </c>
      <c r="M372">
        <v>10</v>
      </c>
    </row>
    <row r="373" spans="1:13" x14ac:dyDescent="0.3">
      <c r="A373" s="1">
        <v>45170</v>
      </c>
      <c r="B373" s="1" t="s">
        <v>1</v>
      </c>
      <c r="C373" s="17" t="str">
        <f>IFERROR(INDEX(자료실범례[],MATCH($B373,자료실범례[소장처명],0),2),"종합자료실")</f>
        <v>어린이자료실</v>
      </c>
      <c r="D373">
        <v>4</v>
      </c>
      <c r="E373">
        <v>0</v>
      </c>
      <c r="F373">
        <v>4</v>
      </c>
      <c r="G373">
        <v>0</v>
      </c>
      <c r="H373">
        <v>0</v>
      </c>
      <c r="I373">
        <v>0</v>
      </c>
      <c r="J373">
        <v>1</v>
      </c>
      <c r="K373">
        <v>5</v>
      </c>
      <c r="L373">
        <v>6</v>
      </c>
      <c r="M373">
        <v>10</v>
      </c>
    </row>
    <row r="374" spans="1:13" x14ac:dyDescent="0.3">
      <c r="A374" s="1">
        <v>45170</v>
      </c>
      <c r="B374" s="1" t="s">
        <v>2</v>
      </c>
      <c r="C374" s="17" t="str">
        <f>IFERROR(INDEX(자료실범례[],MATCH($B374,자료실범례[소장처명],0),2),"종합자료실")</f>
        <v>디지털자료실</v>
      </c>
      <c r="D374">
        <v>1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3</v>
      </c>
      <c r="K374">
        <v>3</v>
      </c>
      <c r="L374">
        <v>6</v>
      </c>
      <c r="M374">
        <v>7</v>
      </c>
    </row>
    <row r="375" spans="1:13" x14ac:dyDescent="0.3">
      <c r="A375" s="1">
        <v>45170</v>
      </c>
      <c r="B375" s="1" t="s">
        <v>4</v>
      </c>
      <c r="C375" s="17" t="str">
        <f>IFERROR(INDEX(자료실범례[],MATCH($B375,자료실범례[소장처명],0),2),"종합자료실")</f>
        <v>어린이자료실</v>
      </c>
      <c r="D375">
        <v>4</v>
      </c>
      <c r="E375">
        <v>6</v>
      </c>
      <c r="F375">
        <v>10</v>
      </c>
      <c r="G375">
        <v>1</v>
      </c>
      <c r="H375">
        <v>0</v>
      </c>
      <c r="I375">
        <v>1</v>
      </c>
      <c r="J375">
        <v>4</v>
      </c>
      <c r="K375">
        <v>2</v>
      </c>
      <c r="L375">
        <v>6</v>
      </c>
      <c r="M375">
        <v>17</v>
      </c>
    </row>
    <row r="376" spans="1:13" x14ac:dyDescent="0.3">
      <c r="A376" s="1">
        <v>45170</v>
      </c>
      <c r="B376" s="1" t="s">
        <v>5</v>
      </c>
      <c r="C376" s="17" t="str">
        <f>IFERROR(INDEX(자료실범례[],MATCH($B376,자료실범례[소장처명],0),2),"종합자료실")</f>
        <v>종합자료실</v>
      </c>
      <c r="D376">
        <v>2</v>
      </c>
      <c r="E376">
        <v>0</v>
      </c>
      <c r="F376">
        <v>2</v>
      </c>
      <c r="G376">
        <v>1</v>
      </c>
      <c r="H376">
        <v>2</v>
      </c>
      <c r="I376">
        <v>3</v>
      </c>
      <c r="J376">
        <v>15</v>
      </c>
      <c r="K376">
        <v>23</v>
      </c>
      <c r="L376">
        <v>38</v>
      </c>
      <c r="M376">
        <v>43</v>
      </c>
    </row>
    <row r="377" spans="1:13" x14ac:dyDescent="0.3">
      <c r="A377" s="1">
        <v>45170</v>
      </c>
      <c r="B377" s="1" t="s">
        <v>6</v>
      </c>
      <c r="C377" s="17" t="str">
        <f>IFERROR(INDEX(자료실범례[],MATCH($B377,자료실범례[소장처명],0),2),"종합자료실")</f>
        <v>종합자료실</v>
      </c>
      <c r="D377">
        <v>4</v>
      </c>
      <c r="E377">
        <v>7</v>
      </c>
      <c r="F377">
        <v>11</v>
      </c>
      <c r="G377">
        <v>2</v>
      </c>
      <c r="H377">
        <v>1</v>
      </c>
      <c r="I377">
        <v>3</v>
      </c>
      <c r="J377">
        <v>1</v>
      </c>
      <c r="K377">
        <v>4</v>
      </c>
      <c r="L377">
        <v>5</v>
      </c>
      <c r="M377">
        <v>19</v>
      </c>
    </row>
    <row r="378" spans="1:13" x14ac:dyDescent="0.3">
      <c r="A378" s="1">
        <v>45170</v>
      </c>
      <c r="B378" s="1" t="s">
        <v>7</v>
      </c>
      <c r="C378" s="17" t="str">
        <f>IFERROR(INDEX(자료실범례[],MATCH($B378,자료실범례[소장처명],0),2),"종합자료실")</f>
        <v>어린이자료실</v>
      </c>
      <c r="D378">
        <v>2</v>
      </c>
      <c r="E378">
        <v>7</v>
      </c>
      <c r="F378">
        <v>9</v>
      </c>
      <c r="G378">
        <v>0</v>
      </c>
      <c r="H378">
        <v>0</v>
      </c>
      <c r="I378">
        <v>0</v>
      </c>
      <c r="J378">
        <v>0</v>
      </c>
      <c r="K378">
        <v>6</v>
      </c>
      <c r="L378">
        <v>6</v>
      </c>
      <c r="M378">
        <v>15</v>
      </c>
    </row>
    <row r="379" spans="1:13" x14ac:dyDescent="0.3">
      <c r="A379" s="1">
        <v>45170</v>
      </c>
      <c r="B379" s="1" t="s">
        <v>8</v>
      </c>
      <c r="C379" s="17" t="str">
        <f>IFERROR(INDEX(자료실범례[],MATCH($B379,자료실범례[소장처명],0),2),"종합자료실")</f>
        <v>어린이자료실</v>
      </c>
      <c r="D379">
        <v>1</v>
      </c>
      <c r="E379">
        <v>4</v>
      </c>
      <c r="F379">
        <v>5</v>
      </c>
      <c r="G379">
        <v>0</v>
      </c>
      <c r="H379">
        <v>0</v>
      </c>
      <c r="I379">
        <v>0</v>
      </c>
      <c r="J379">
        <v>0</v>
      </c>
      <c r="K379">
        <v>4</v>
      </c>
      <c r="L379">
        <v>4</v>
      </c>
      <c r="M379">
        <v>9</v>
      </c>
    </row>
    <row r="380" spans="1:13" x14ac:dyDescent="0.3">
      <c r="A380" s="1">
        <v>45170</v>
      </c>
      <c r="B380" s="1" t="s">
        <v>9</v>
      </c>
      <c r="C380" s="17" t="str">
        <f>IFERROR(INDEX(자료실범례[],MATCH($B380,자료실범례[소장처명],0),2),"종합자료실")</f>
        <v>어린이자료실</v>
      </c>
      <c r="D380">
        <v>3</v>
      </c>
      <c r="E380">
        <v>0</v>
      </c>
      <c r="F380">
        <v>3</v>
      </c>
      <c r="G380">
        <v>0</v>
      </c>
      <c r="H380">
        <v>0</v>
      </c>
      <c r="I380">
        <v>0</v>
      </c>
      <c r="J380">
        <v>2</v>
      </c>
      <c r="K380">
        <v>2</v>
      </c>
      <c r="L380">
        <v>4</v>
      </c>
      <c r="M380">
        <v>7</v>
      </c>
    </row>
    <row r="381" spans="1:13" x14ac:dyDescent="0.3">
      <c r="A381" s="1">
        <v>45170</v>
      </c>
      <c r="B381" s="1" t="s">
        <v>10</v>
      </c>
      <c r="C381" s="17" t="str">
        <f>IFERROR(INDEX(자료실범례[],MATCH($B381,자료실범례[소장처명],0),2),"종합자료실")</f>
        <v>어린이자료실</v>
      </c>
      <c r="D381">
        <v>1</v>
      </c>
      <c r="E381">
        <v>2</v>
      </c>
      <c r="F381">
        <v>3</v>
      </c>
      <c r="G381">
        <v>0</v>
      </c>
      <c r="H381">
        <v>0</v>
      </c>
      <c r="I381">
        <v>0</v>
      </c>
      <c r="J381">
        <v>1</v>
      </c>
      <c r="K381">
        <v>2</v>
      </c>
      <c r="L381">
        <v>3</v>
      </c>
      <c r="M381">
        <v>6</v>
      </c>
    </row>
    <row r="382" spans="1:13" x14ac:dyDescent="0.3">
      <c r="A382" s="1">
        <v>45170</v>
      </c>
      <c r="B382" s="1" t="s">
        <v>11</v>
      </c>
      <c r="C382" s="17" t="str">
        <f>IFERROR(INDEX(자료실범례[],MATCH($B382,자료실범례[소장처명],0),2),"종합자료실")</f>
        <v>어린이자료실</v>
      </c>
      <c r="D382">
        <v>2</v>
      </c>
      <c r="E382">
        <v>2</v>
      </c>
      <c r="F382">
        <v>4</v>
      </c>
      <c r="G382">
        <v>0</v>
      </c>
      <c r="H382">
        <v>1</v>
      </c>
      <c r="I382">
        <v>1</v>
      </c>
      <c r="J382">
        <v>1</v>
      </c>
      <c r="K382">
        <v>3</v>
      </c>
      <c r="L382">
        <v>4</v>
      </c>
      <c r="M382">
        <v>9</v>
      </c>
    </row>
    <row r="383" spans="1:13" x14ac:dyDescent="0.3">
      <c r="A383" s="1">
        <v>45170</v>
      </c>
      <c r="B383" s="1" t="s">
        <v>13</v>
      </c>
      <c r="C383" s="17" t="str">
        <f>IFERROR(INDEX(자료실범례[],MATCH($B383,자료실범례[소장처명],0),2),"종합자료실")</f>
        <v>어린이자료실</v>
      </c>
      <c r="D383">
        <v>0</v>
      </c>
      <c r="E383">
        <v>1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2</v>
      </c>
      <c r="L383">
        <v>2</v>
      </c>
      <c r="M383">
        <v>3</v>
      </c>
    </row>
    <row r="384" spans="1:13" x14ac:dyDescent="0.3">
      <c r="A384" s="1">
        <v>45170</v>
      </c>
      <c r="B384" s="1" t="s">
        <v>15</v>
      </c>
      <c r="C384" s="17" t="str">
        <f>IFERROR(INDEX(자료실범례[],MATCH($B384,자료실범례[소장처명],0),2),"종합자료실")</f>
        <v>어린이자료실</v>
      </c>
      <c r="D384">
        <v>28</v>
      </c>
      <c r="E384">
        <v>18</v>
      </c>
      <c r="F384">
        <v>46</v>
      </c>
      <c r="G384">
        <v>1</v>
      </c>
      <c r="H384">
        <v>2</v>
      </c>
      <c r="I384">
        <v>3</v>
      </c>
      <c r="J384">
        <v>16</v>
      </c>
      <c r="K384">
        <v>31</v>
      </c>
      <c r="L384">
        <v>47</v>
      </c>
      <c r="M384">
        <v>96</v>
      </c>
    </row>
    <row r="385" spans="1:13" x14ac:dyDescent="0.3">
      <c r="A385" s="1">
        <v>45170</v>
      </c>
      <c r="B385" s="1" t="s">
        <v>16</v>
      </c>
      <c r="C385" s="17" t="str">
        <f>IFERROR(INDEX(자료실범례[],MATCH($B385,자료실범례[소장처명],0),2),"종합자료실")</f>
        <v>어린이자료실</v>
      </c>
      <c r="D385">
        <v>47</v>
      </c>
      <c r="E385">
        <v>42</v>
      </c>
      <c r="F385">
        <v>89</v>
      </c>
      <c r="G385">
        <v>5</v>
      </c>
      <c r="H385">
        <v>3</v>
      </c>
      <c r="I385">
        <v>8</v>
      </c>
      <c r="J385">
        <v>32</v>
      </c>
      <c r="K385">
        <v>87</v>
      </c>
      <c r="L385">
        <v>119</v>
      </c>
      <c r="M385">
        <v>216</v>
      </c>
    </row>
    <row r="386" spans="1:13" x14ac:dyDescent="0.3">
      <c r="A386" s="1">
        <v>45170</v>
      </c>
      <c r="B386" s="1" t="s">
        <v>17</v>
      </c>
      <c r="C386" s="17" t="str">
        <f>IFERROR(INDEX(자료실범례[],MATCH($B386,자료실범례[소장처명],0),2),"종합자료실")</f>
        <v>어린이자료실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1</v>
      </c>
      <c r="L386">
        <v>2</v>
      </c>
      <c r="M386">
        <v>2</v>
      </c>
    </row>
    <row r="387" spans="1:13" x14ac:dyDescent="0.3">
      <c r="A387" s="1">
        <v>45170</v>
      </c>
      <c r="B387" s="1" t="s">
        <v>18</v>
      </c>
      <c r="C387" s="17" t="str">
        <f>IFERROR(INDEX(자료실범례[],MATCH($B387,자료실범례[소장처명],0),2),"종합자료실")</f>
        <v>종합자료실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</v>
      </c>
      <c r="L387">
        <v>2</v>
      </c>
      <c r="M387">
        <v>2</v>
      </c>
    </row>
    <row r="388" spans="1:13" x14ac:dyDescent="0.3">
      <c r="A388" s="1">
        <v>45170</v>
      </c>
      <c r="B388" s="1" t="s">
        <v>20</v>
      </c>
      <c r="C388" s="17" t="str">
        <f>IFERROR(INDEX(자료실범례[],MATCH($B388,자료실범례[소장처명],0),2),"종합자료실")</f>
        <v>종합자료실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1</v>
      </c>
      <c r="M388">
        <v>1</v>
      </c>
    </row>
    <row r="389" spans="1:13" x14ac:dyDescent="0.3">
      <c r="A389" s="1">
        <v>45170</v>
      </c>
      <c r="B389" s="1" t="s">
        <v>21</v>
      </c>
      <c r="C389" s="17" t="str">
        <f>IFERROR(INDEX(자료실범례[],MATCH($B389,자료실범례[소장처명],0),2),"종합자료실")</f>
        <v>종합자료실</v>
      </c>
      <c r="D389">
        <v>12</v>
      </c>
      <c r="E389">
        <v>13</v>
      </c>
      <c r="F389">
        <v>25</v>
      </c>
      <c r="G389">
        <v>10</v>
      </c>
      <c r="H389">
        <v>29</v>
      </c>
      <c r="I389">
        <v>39</v>
      </c>
      <c r="J389">
        <v>107</v>
      </c>
      <c r="K389">
        <v>204</v>
      </c>
      <c r="L389">
        <v>311</v>
      </c>
      <c r="M389">
        <v>375</v>
      </c>
    </row>
    <row r="390" spans="1:13" x14ac:dyDescent="0.3">
      <c r="A390" s="1">
        <v>45566</v>
      </c>
      <c r="B390" t="s">
        <v>198</v>
      </c>
      <c r="C390" t="str">
        <f>IFERROR(INDEX(자료실범례[],MATCH($B390,자료실범례[소장처명],0),2),"종합자료실")</f>
        <v>어린이자료실</v>
      </c>
      <c r="D390">
        <v>6</v>
      </c>
      <c r="E390">
        <v>3</v>
      </c>
      <c r="F390">
        <v>9</v>
      </c>
      <c r="G390">
        <v>0</v>
      </c>
      <c r="H390">
        <v>0</v>
      </c>
      <c r="I390">
        <v>0</v>
      </c>
      <c r="J390">
        <v>3</v>
      </c>
      <c r="K390">
        <v>1</v>
      </c>
      <c r="L390">
        <v>4</v>
      </c>
      <c r="M390">
        <v>13</v>
      </c>
    </row>
    <row r="391" spans="1:13" x14ac:dyDescent="0.3">
      <c r="A391" s="1">
        <v>45566</v>
      </c>
      <c r="B391" t="s">
        <v>197</v>
      </c>
      <c r="C391" t="str">
        <f>IFERROR(INDEX(자료실범례[],MATCH($B391,자료실범례[소장처명],0),2),"종합자료실")</f>
        <v>종합자료실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1</v>
      </c>
      <c r="J391">
        <v>2</v>
      </c>
      <c r="K391">
        <v>6</v>
      </c>
      <c r="L391">
        <v>8</v>
      </c>
      <c r="M391">
        <v>9</v>
      </c>
    </row>
    <row r="392" spans="1:13" x14ac:dyDescent="0.3">
      <c r="A392" s="1">
        <v>45566</v>
      </c>
      <c r="B392" t="s">
        <v>0</v>
      </c>
      <c r="C392" t="str">
        <f>IFERROR(INDEX(자료실범례[],MATCH($B392,자료실범례[소장처명],0),2),"종합자료실")</f>
        <v>어린이자료실</v>
      </c>
      <c r="D392">
        <v>0</v>
      </c>
      <c r="E392">
        <v>2</v>
      </c>
      <c r="F392">
        <v>2</v>
      </c>
      <c r="G392">
        <v>0</v>
      </c>
      <c r="H392">
        <v>0</v>
      </c>
      <c r="I392">
        <v>0</v>
      </c>
      <c r="J392">
        <v>3</v>
      </c>
      <c r="K392">
        <v>3</v>
      </c>
      <c r="L392">
        <v>6</v>
      </c>
      <c r="M392">
        <v>8</v>
      </c>
    </row>
    <row r="393" spans="1:13" x14ac:dyDescent="0.3">
      <c r="A393" s="1">
        <v>45566</v>
      </c>
      <c r="B393" t="s">
        <v>1</v>
      </c>
      <c r="C393" t="str">
        <f>IFERROR(INDEX(자료실범례[],MATCH($B393,자료실범례[소장처명],0),2),"종합자료실")</f>
        <v>어린이자료실</v>
      </c>
      <c r="D393">
        <v>1</v>
      </c>
      <c r="E393">
        <v>3</v>
      </c>
      <c r="F393">
        <v>4</v>
      </c>
      <c r="G393">
        <v>0</v>
      </c>
      <c r="H393">
        <v>0</v>
      </c>
      <c r="I393">
        <v>0</v>
      </c>
      <c r="J393">
        <v>1</v>
      </c>
      <c r="K393">
        <v>1</v>
      </c>
      <c r="L393">
        <v>2</v>
      </c>
      <c r="M393">
        <v>6</v>
      </c>
    </row>
    <row r="394" spans="1:13" x14ac:dyDescent="0.3">
      <c r="A394" s="1">
        <v>45566</v>
      </c>
      <c r="B394" t="s">
        <v>2</v>
      </c>
      <c r="C394" t="str">
        <f>IFERROR(INDEX(자료실범례[],MATCH($B394,자료실범례[소장처명],0),2),"종합자료실")</f>
        <v>디지털자료실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4</v>
      </c>
      <c r="K394">
        <v>2</v>
      </c>
      <c r="L394">
        <v>6</v>
      </c>
      <c r="M394">
        <v>6</v>
      </c>
    </row>
    <row r="395" spans="1:13" x14ac:dyDescent="0.3">
      <c r="A395" s="1">
        <v>45566</v>
      </c>
      <c r="B395" t="s">
        <v>3</v>
      </c>
      <c r="C395" t="str">
        <f>IFERROR(INDEX(자료실범례[],MATCH($B395,자료실범례[소장처명],0),2),"종합자료실")</f>
        <v>디지털자료실</v>
      </c>
      <c r="D395">
        <v>0</v>
      </c>
      <c r="E395">
        <v>1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1</v>
      </c>
      <c r="M395">
        <v>2</v>
      </c>
    </row>
    <row r="396" spans="1:13" x14ac:dyDescent="0.3">
      <c r="A396" s="1">
        <v>45566</v>
      </c>
      <c r="B396" t="s">
        <v>4</v>
      </c>
      <c r="C396" t="str">
        <f>IFERROR(INDEX(자료실범례[],MATCH($B396,자료실범례[소장처명],0),2),"종합자료실")</f>
        <v>어린이자료실</v>
      </c>
      <c r="D396">
        <v>2</v>
      </c>
      <c r="E396">
        <v>0</v>
      </c>
      <c r="F396">
        <v>2</v>
      </c>
      <c r="G396">
        <v>0</v>
      </c>
      <c r="H396">
        <v>0</v>
      </c>
      <c r="I396">
        <v>0</v>
      </c>
      <c r="J396">
        <v>2</v>
      </c>
      <c r="K396">
        <v>2</v>
      </c>
      <c r="L396">
        <v>4</v>
      </c>
      <c r="M396">
        <v>6</v>
      </c>
    </row>
    <row r="397" spans="1:13" x14ac:dyDescent="0.3">
      <c r="A397" s="1">
        <v>45566</v>
      </c>
      <c r="B397" t="s">
        <v>5</v>
      </c>
      <c r="C397" t="str">
        <f>IFERROR(INDEX(자료실범례[],MATCH($B397,자료실범례[소장처명],0),2),"종합자료실")</f>
        <v>종합자료실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1</v>
      </c>
      <c r="J397">
        <v>14</v>
      </c>
      <c r="K397">
        <v>26</v>
      </c>
      <c r="L397">
        <v>40</v>
      </c>
      <c r="M397">
        <v>42</v>
      </c>
    </row>
    <row r="398" spans="1:13" x14ac:dyDescent="0.3">
      <c r="A398" s="1">
        <v>45566</v>
      </c>
      <c r="B398" t="s">
        <v>6</v>
      </c>
      <c r="C398" t="str">
        <f>IFERROR(INDEX(자료실범례[],MATCH($B398,자료실범례[소장처명],0),2),"종합자료실")</f>
        <v>종합자료실</v>
      </c>
      <c r="D398">
        <v>4</v>
      </c>
      <c r="E398">
        <v>5</v>
      </c>
      <c r="F398">
        <v>9</v>
      </c>
      <c r="G398">
        <v>0</v>
      </c>
      <c r="H398">
        <v>2</v>
      </c>
      <c r="I398">
        <v>2</v>
      </c>
      <c r="J398">
        <v>7</v>
      </c>
      <c r="K398">
        <v>17</v>
      </c>
      <c r="L398">
        <v>24</v>
      </c>
      <c r="M398">
        <v>35</v>
      </c>
    </row>
    <row r="399" spans="1:13" x14ac:dyDescent="0.3">
      <c r="A399" s="1">
        <v>45566</v>
      </c>
      <c r="B399" t="s">
        <v>7</v>
      </c>
      <c r="C399" t="str">
        <f>IFERROR(INDEX(자료실범례[],MATCH($B399,자료실범례[소장처명],0),2),"종합자료실")</f>
        <v>어린이자료실</v>
      </c>
      <c r="D399">
        <v>0</v>
      </c>
      <c r="E399">
        <v>4</v>
      </c>
      <c r="F399">
        <v>4</v>
      </c>
      <c r="G399">
        <v>0</v>
      </c>
      <c r="H399">
        <v>0</v>
      </c>
      <c r="I399">
        <v>0</v>
      </c>
      <c r="J399">
        <v>3</v>
      </c>
      <c r="K399">
        <v>4</v>
      </c>
      <c r="L399">
        <v>7</v>
      </c>
      <c r="M399">
        <v>11</v>
      </c>
    </row>
    <row r="400" spans="1:13" x14ac:dyDescent="0.3">
      <c r="A400" s="1">
        <v>45566</v>
      </c>
      <c r="B400" t="s">
        <v>8</v>
      </c>
      <c r="C400" t="str">
        <f>IFERROR(INDEX(자료실범례[],MATCH($B400,자료실범례[소장처명],0),2),"종합자료실")</f>
        <v>어린이자료실</v>
      </c>
      <c r="D400">
        <v>2</v>
      </c>
      <c r="E400">
        <v>4</v>
      </c>
      <c r="F400">
        <v>6</v>
      </c>
      <c r="G400">
        <v>0</v>
      </c>
      <c r="H400">
        <v>0</v>
      </c>
      <c r="I400">
        <v>0</v>
      </c>
      <c r="J400">
        <v>2</v>
      </c>
      <c r="K400">
        <v>3</v>
      </c>
      <c r="L400">
        <v>5</v>
      </c>
      <c r="M400">
        <v>11</v>
      </c>
    </row>
    <row r="401" spans="1:13" x14ac:dyDescent="0.3">
      <c r="A401" s="1">
        <v>45566</v>
      </c>
      <c r="B401" t="s">
        <v>9</v>
      </c>
      <c r="C401" t="str">
        <f>IFERROR(INDEX(자료실범례[],MATCH($B401,자료실범례[소장처명],0),2),"종합자료실")</f>
        <v>어린이자료실</v>
      </c>
      <c r="D401">
        <v>3</v>
      </c>
      <c r="E401">
        <v>4</v>
      </c>
      <c r="F401">
        <v>7</v>
      </c>
      <c r="G401">
        <v>0</v>
      </c>
      <c r="H401">
        <v>0</v>
      </c>
      <c r="I401">
        <v>0</v>
      </c>
      <c r="J401">
        <v>0</v>
      </c>
      <c r="K401">
        <v>2</v>
      </c>
      <c r="L401">
        <v>2</v>
      </c>
      <c r="M401">
        <v>9</v>
      </c>
    </row>
    <row r="402" spans="1:13" x14ac:dyDescent="0.3">
      <c r="A402" s="1">
        <v>45566</v>
      </c>
      <c r="B402" t="s">
        <v>10</v>
      </c>
      <c r="C402" t="str">
        <f>IFERROR(INDEX(자료실범례[],MATCH($B402,자료실범례[소장처명],0),2),"종합자료실")</f>
        <v>어린이자료실</v>
      </c>
      <c r="D402">
        <v>2</v>
      </c>
      <c r="E402">
        <v>2</v>
      </c>
      <c r="F402">
        <v>4</v>
      </c>
      <c r="G402">
        <v>0</v>
      </c>
      <c r="H402">
        <v>0</v>
      </c>
      <c r="I402">
        <v>0</v>
      </c>
      <c r="J402">
        <v>0</v>
      </c>
      <c r="K402">
        <v>2</v>
      </c>
      <c r="L402">
        <v>2</v>
      </c>
      <c r="M402">
        <v>6</v>
      </c>
    </row>
    <row r="403" spans="1:13" x14ac:dyDescent="0.3">
      <c r="A403" s="1">
        <v>45566</v>
      </c>
      <c r="B403" t="s">
        <v>11</v>
      </c>
      <c r="C403" t="str">
        <f>IFERROR(INDEX(자료실범례[],MATCH($B403,자료실범례[소장처명],0),2),"종합자료실")</f>
        <v>어린이자료실</v>
      </c>
      <c r="D403">
        <v>2</v>
      </c>
      <c r="E403">
        <v>1</v>
      </c>
      <c r="F403">
        <v>3</v>
      </c>
      <c r="G403">
        <v>0</v>
      </c>
      <c r="H403">
        <v>1</v>
      </c>
      <c r="I403">
        <v>1</v>
      </c>
      <c r="J403">
        <v>3</v>
      </c>
      <c r="K403">
        <v>0</v>
      </c>
      <c r="L403">
        <v>3</v>
      </c>
      <c r="M403">
        <v>7</v>
      </c>
    </row>
    <row r="404" spans="1:13" x14ac:dyDescent="0.3">
      <c r="A404" s="1">
        <v>45566</v>
      </c>
      <c r="B404" t="s">
        <v>12</v>
      </c>
      <c r="C404" t="str">
        <f>IFERROR(INDEX(자료실범례[],MATCH($B404,자료실범례[소장처명],0),2),"종합자료실")</f>
        <v>어린이자료실</v>
      </c>
      <c r="D404">
        <v>1</v>
      </c>
      <c r="E404">
        <v>0</v>
      </c>
      <c r="F404">
        <v>1</v>
      </c>
      <c r="G404">
        <v>0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2</v>
      </c>
    </row>
    <row r="405" spans="1:13" x14ac:dyDescent="0.3">
      <c r="A405" s="1">
        <v>45566</v>
      </c>
      <c r="B405" t="s">
        <v>13</v>
      </c>
      <c r="C405" t="str">
        <f>IFERROR(INDEX(자료실범례[],MATCH($B405,자료실범례[소장처명],0),2),"종합자료실")</f>
        <v>어린이자료실</v>
      </c>
      <c r="D405">
        <v>2</v>
      </c>
      <c r="E405">
        <v>1</v>
      </c>
      <c r="F405">
        <v>3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1</v>
      </c>
      <c r="M405">
        <v>4</v>
      </c>
    </row>
    <row r="406" spans="1:13" x14ac:dyDescent="0.3">
      <c r="A406" s="1">
        <v>45566</v>
      </c>
      <c r="B406" t="s">
        <v>14</v>
      </c>
      <c r="C406" t="str">
        <f>IFERROR(INDEX(자료실범례[],MATCH($B406,자료실범례[소장처명],0),2),"종합자료실")</f>
        <v>어린이자료실</v>
      </c>
      <c r="D406">
        <v>22</v>
      </c>
      <c r="E406">
        <v>25</v>
      </c>
      <c r="F406">
        <v>47</v>
      </c>
      <c r="G406">
        <v>0</v>
      </c>
      <c r="H406">
        <v>0</v>
      </c>
      <c r="I406">
        <v>0</v>
      </c>
      <c r="J406">
        <v>14</v>
      </c>
      <c r="K406">
        <v>25</v>
      </c>
      <c r="L406">
        <v>39</v>
      </c>
      <c r="M406">
        <v>86</v>
      </c>
    </row>
    <row r="407" spans="1:13" x14ac:dyDescent="0.3">
      <c r="A407" s="1">
        <v>45566</v>
      </c>
      <c r="B407" t="s">
        <v>15</v>
      </c>
      <c r="C407" t="str">
        <f>IFERROR(INDEX(자료실범례[],MATCH($B407,자료실범례[소장처명],0),2),"종합자료실")</f>
        <v>어린이자료실</v>
      </c>
      <c r="D407">
        <v>27</v>
      </c>
      <c r="E407">
        <v>15</v>
      </c>
      <c r="F407">
        <v>42</v>
      </c>
      <c r="G407">
        <v>1</v>
      </c>
      <c r="H407">
        <v>2</v>
      </c>
      <c r="I407">
        <v>3</v>
      </c>
      <c r="J407">
        <v>11</v>
      </c>
      <c r="K407">
        <v>28</v>
      </c>
      <c r="L407">
        <v>39</v>
      </c>
      <c r="M407">
        <v>84</v>
      </c>
    </row>
    <row r="408" spans="1:13" x14ac:dyDescent="0.3">
      <c r="A408" s="1">
        <v>45566</v>
      </c>
      <c r="B408" t="s">
        <v>16</v>
      </c>
      <c r="C408" t="str">
        <f>IFERROR(INDEX(자료실범례[],MATCH($B408,자료실범례[소장처명],0),2),"종합자료실")</f>
        <v>어린이자료실</v>
      </c>
      <c r="D408">
        <v>55</v>
      </c>
      <c r="E408">
        <v>49</v>
      </c>
      <c r="F408">
        <v>104</v>
      </c>
      <c r="G408">
        <v>3</v>
      </c>
      <c r="H408">
        <v>4</v>
      </c>
      <c r="I408">
        <v>7</v>
      </c>
      <c r="J408">
        <v>34</v>
      </c>
      <c r="K408">
        <v>72</v>
      </c>
      <c r="L408">
        <v>106</v>
      </c>
      <c r="M408">
        <v>217</v>
      </c>
    </row>
    <row r="409" spans="1:13" x14ac:dyDescent="0.3">
      <c r="A409" s="1">
        <v>45566</v>
      </c>
      <c r="B409" t="s">
        <v>17</v>
      </c>
      <c r="C409" t="str">
        <f>IFERROR(INDEX(자료실범례[],MATCH($B409,자료실범례[소장처명],0),2),"종합자료실")</f>
        <v>어린이자료실</v>
      </c>
      <c r="D409">
        <v>1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</row>
    <row r="410" spans="1:13" x14ac:dyDescent="0.3">
      <c r="A410" s="1">
        <v>45566</v>
      </c>
      <c r="B410" t="s">
        <v>18</v>
      </c>
      <c r="C410" t="str">
        <f>IFERROR(INDEX(자료실범례[],MATCH($B410,자료실범례[소장처명],0),2),"종합자료실")</f>
        <v>종합자료실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2</v>
      </c>
      <c r="K410">
        <v>1</v>
      </c>
      <c r="L410">
        <v>3</v>
      </c>
      <c r="M410">
        <v>3</v>
      </c>
    </row>
    <row r="411" spans="1:13" x14ac:dyDescent="0.3">
      <c r="A411" s="1">
        <v>45566</v>
      </c>
      <c r="B411" t="s">
        <v>19</v>
      </c>
      <c r="C411" t="str">
        <f>IFERROR(INDEX(자료실범례[],MATCH($B411,자료실범례[소장처명],0),2),"종합자료실")</f>
        <v>종합자료실</v>
      </c>
      <c r="D411">
        <v>6</v>
      </c>
      <c r="E411">
        <v>0</v>
      </c>
      <c r="F411">
        <v>6</v>
      </c>
      <c r="G411">
        <v>2</v>
      </c>
      <c r="H411">
        <v>3</v>
      </c>
      <c r="I411">
        <v>5</v>
      </c>
      <c r="J411">
        <v>47</v>
      </c>
      <c r="K411">
        <v>102</v>
      </c>
      <c r="L411">
        <v>149</v>
      </c>
      <c r="M411">
        <v>160</v>
      </c>
    </row>
    <row r="412" spans="1:13" x14ac:dyDescent="0.3">
      <c r="A412" s="1">
        <v>45566</v>
      </c>
      <c r="B412" t="s">
        <v>20</v>
      </c>
      <c r="C412" t="str">
        <f>IFERROR(INDEX(자료실범례[],MATCH($B412,자료실범례[소장처명],0),2),"종합자료실")</f>
        <v>종합자료실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1</v>
      </c>
      <c r="L412">
        <v>2</v>
      </c>
      <c r="M412">
        <v>2</v>
      </c>
    </row>
    <row r="413" spans="1:13" x14ac:dyDescent="0.3">
      <c r="A413" s="1">
        <v>45566</v>
      </c>
      <c r="B413" t="s">
        <v>21</v>
      </c>
      <c r="C413" t="str">
        <f>IFERROR(INDEX(자료실범례[],MATCH($B413,자료실범례[소장처명],0),2),"종합자료실")</f>
        <v>종합자료실</v>
      </c>
      <c r="D413">
        <v>6</v>
      </c>
      <c r="E413">
        <v>6</v>
      </c>
      <c r="F413">
        <v>12</v>
      </c>
      <c r="G413">
        <v>11</v>
      </c>
      <c r="H413">
        <v>18</v>
      </c>
      <c r="I413">
        <v>29</v>
      </c>
      <c r="J413">
        <v>122</v>
      </c>
      <c r="K413">
        <v>212</v>
      </c>
      <c r="L413">
        <v>334</v>
      </c>
      <c r="M413">
        <v>375</v>
      </c>
    </row>
    <row r="414" spans="1:13" x14ac:dyDescent="0.3">
      <c r="A414" s="1">
        <v>45200</v>
      </c>
      <c r="B414" t="s">
        <v>197</v>
      </c>
      <c r="C414" t="str">
        <f>IFERROR(INDEX(자료실범례[],MATCH($B414,자료실범례[소장처명],0),2),"종합자료실")</f>
        <v>종합자료실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1</v>
      </c>
      <c r="J414">
        <v>1</v>
      </c>
      <c r="K414">
        <v>2</v>
      </c>
      <c r="L414">
        <v>3</v>
      </c>
      <c r="M414">
        <v>4</v>
      </c>
    </row>
    <row r="415" spans="1:13" x14ac:dyDescent="0.3">
      <c r="A415" s="1">
        <v>45200</v>
      </c>
      <c r="B415" t="s">
        <v>0</v>
      </c>
      <c r="C415" t="str">
        <f>IFERROR(INDEX(자료실범례[],MATCH($B415,자료실범례[소장처명],0),2),"종합자료실")</f>
        <v>어린이자료실</v>
      </c>
      <c r="D415">
        <v>2</v>
      </c>
      <c r="E415">
        <v>1</v>
      </c>
      <c r="F415">
        <v>3</v>
      </c>
      <c r="G415">
        <v>0</v>
      </c>
      <c r="H415">
        <v>0</v>
      </c>
      <c r="I415">
        <v>0</v>
      </c>
      <c r="J415">
        <v>4</v>
      </c>
      <c r="K415">
        <v>8</v>
      </c>
      <c r="L415">
        <v>12</v>
      </c>
      <c r="M415">
        <v>15</v>
      </c>
    </row>
    <row r="416" spans="1:13" x14ac:dyDescent="0.3">
      <c r="A416" s="1">
        <v>45200</v>
      </c>
      <c r="B416" t="s">
        <v>1</v>
      </c>
      <c r="C416" t="str">
        <f>IFERROR(INDEX(자료실범례[],MATCH($B416,자료실범례[소장처명],0),2),"종합자료실")</f>
        <v>어린이자료실</v>
      </c>
      <c r="D416">
        <v>1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4</v>
      </c>
      <c r="K416">
        <v>2</v>
      </c>
      <c r="L416">
        <v>6</v>
      </c>
      <c r="M416">
        <v>7</v>
      </c>
    </row>
    <row r="417" spans="1:13" x14ac:dyDescent="0.3">
      <c r="A417" s="1">
        <v>45200</v>
      </c>
      <c r="B417" t="s">
        <v>2</v>
      </c>
      <c r="C417" t="str">
        <f>IFERROR(INDEX(자료실범례[],MATCH($B417,자료실범례[소장처명],0),2),"종합자료실")</f>
        <v>디지털자료실</v>
      </c>
      <c r="D417">
        <v>0</v>
      </c>
      <c r="E417">
        <v>2</v>
      </c>
      <c r="F417">
        <v>2</v>
      </c>
      <c r="G417">
        <v>0</v>
      </c>
      <c r="H417">
        <v>0</v>
      </c>
      <c r="I417">
        <v>0</v>
      </c>
      <c r="J417">
        <v>2</v>
      </c>
      <c r="K417">
        <v>4</v>
      </c>
      <c r="L417">
        <v>6</v>
      </c>
      <c r="M417">
        <v>8</v>
      </c>
    </row>
    <row r="418" spans="1:13" x14ac:dyDescent="0.3">
      <c r="A418" s="1">
        <v>45200</v>
      </c>
      <c r="B418" t="s">
        <v>3</v>
      </c>
      <c r="C418" t="str">
        <f>IFERROR(INDEX(자료실범례[],MATCH($B418,자료실범례[소장처명],0),2),"종합자료실")</f>
        <v>디지털자료실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1</v>
      </c>
      <c r="M418">
        <v>1</v>
      </c>
    </row>
    <row r="419" spans="1:13" x14ac:dyDescent="0.3">
      <c r="A419" s="1">
        <v>45200</v>
      </c>
      <c r="B419" t="s">
        <v>4</v>
      </c>
      <c r="C419" t="str">
        <f>IFERROR(INDEX(자료실범례[],MATCH($B419,자료실범례[소장처명],0),2),"종합자료실")</f>
        <v>어린이자료실</v>
      </c>
      <c r="D419">
        <v>2</v>
      </c>
      <c r="E419">
        <v>2</v>
      </c>
      <c r="F419">
        <v>4</v>
      </c>
      <c r="G419">
        <v>0</v>
      </c>
      <c r="H419">
        <v>1</v>
      </c>
      <c r="I419">
        <v>1</v>
      </c>
      <c r="J419">
        <v>2</v>
      </c>
      <c r="K419">
        <v>4</v>
      </c>
      <c r="L419">
        <v>6</v>
      </c>
      <c r="M419">
        <v>11</v>
      </c>
    </row>
    <row r="420" spans="1:13" x14ac:dyDescent="0.3">
      <c r="A420" s="1">
        <v>45200</v>
      </c>
      <c r="B420" t="s">
        <v>5</v>
      </c>
      <c r="C420" t="str">
        <f>IFERROR(INDEX(자료실범례[],MATCH($B420,자료실범례[소장처명],0),2),"종합자료실")</f>
        <v>종합자료실</v>
      </c>
      <c r="D420">
        <v>3</v>
      </c>
      <c r="E420">
        <v>0</v>
      </c>
      <c r="F420">
        <v>3</v>
      </c>
      <c r="G420">
        <v>2</v>
      </c>
      <c r="H420">
        <v>3</v>
      </c>
      <c r="I420">
        <v>5</v>
      </c>
      <c r="J420">
        <v>9</v>
      </c>
      <c r="K420">
        <v>11</v>
      </c>
      <c r="L420">
        <v>20</v>
      </c>
      <c r="M420">
        <v>28</v>
      </c>
    </row>
    <row r="421" spans="1:13" x14ac:dyDescent="0.3">
      <c r="A421" s="1">
        <v>45200</v>
      </c>
      <c r="B421" t="s">
        <v>6</v>
      </c>
      <c r="C421" t="str">
        <f>IFERROR(INDEX(자료실범례[],MATCH($B421,자료실범례[소장처명],0),2),"종합자료실")</f>
        <v>종합자료실</v>
      </c>
      <c r="D421">
        <v>1</v>
      </c>
      <c r="E421">
        <v>4</v>
      </c>
      <c r="F421">
        <v>5</v>
      </c>
      <c r="G421">
        <v>1</v>
      </c>
      <c r="H421">
        <v>3</v>
      </c>
      <c r="I421">
        <v>4</v>
      </c>
      <c r="J421">
        <v>2</v>
      </c>
      <c r="K421">
        <v>6</v>
      </c>
      <c r="L421">
        <v>8</v>
      </c>
      <c r="M421">
        <v>17</v>
      </c>
    </row>
    <row r="422" spans="1:13" x14ac:dyDescent="0.3">
      <c r="A422" s="1">
        <v>45200</v>
      </c>
      <c r="B422" t="s">
        <v>7</v>
      </c>
      <c r="C422" t="str">
        <f>IFERROR(INDEX(자료실범례[],MATCH($B422,자료실범례[소장처명],0),2),"종합자료실")</f>
        <v>어린이자료실</v>
      </c>
      <c r="D422">
        <v>2</v>
      </c>
      <c r="E422">
        <v>1</v>
      </c>
      <c r="F422">
        <v>3</v>
      </c>
      <c r="G422">
        <v>0</v>
      </c>
      <c r="H422">
        <v>0</v>
      </c>
      <c r="I422">
        <v>0</v>
      </c>
      <c r="J422">
        <v>1</v>
      </c>
      <c r="K422">
        <v>1</v>
      </c>
      <c r="L422">
        <v>2</v>
      </c>
      <c r="M422">
        <v>5</v>
      </c>
    </row>
    <row r="423" spans="1:13" x14ac:dyDescent="0.3">
      <c r="A423" s="1">
        <v>45200</v>
      </c>
      <c r="B423" t="s">
        <v>8</v>
      </c>
      <c r="C423" t="str">
        <f>IFERROR(INDEX(자료실범례[],MATCH($B423,자료실범례[소장처명],0),2),"종합자료실")</f>
        <v>어린이자료실</v>
      </c>
      <c r="D423">
        <v>2</v>
      </c>
      <c r="E423">
        <v>4</v>
      </c>
      <c r="F423">
        <v>6</v>
      </c>
      <c r="G423">
        <v>0</v>
      </c>
      <c r="H423">
        <v>1</v>
      </c>
      <c r="I423">
        <v>1</v>
      </c>
      <c r="J423">
        <v>2</v>
      </c>
      <c r="K423">
        <v>3</v>
      </c>
      <c r="L423">
        <v>5</v>
      </c>
      <c r="M423">
        <v>12</v>
      </c>
    </row>
    <row r="424" spans="1:13" x14ac:dyDescent="0.3">
      <c r="A424" s="1">
        <v>45200</v>
      </c>
      <c r="B424" t="s">
        <v>9</v>
      </c>
      <c r="C424" t="str">
        <f>IFERROR(INDEX(자료실범례[],MATCH($B424,자료실범례[소장처명],0),2),"종합자료실")</f>
        <v>어린이자료실</v>
      </c>
      <c r="D424">
        <v>2</v>
      </c>
      <c r="E424">
        <v>0</v>
      </c>
      <c r="F424">
        <v>2</v>
      </c>
      <c r="G424">
        <v>0</v>
      </c>
      <c r="H424">
        <v>0</v>
      </c>
      <c r="I424">
        <v>0</v>
      </c>
      <c r="J424">
        <v>0</v>
      </c>
      <c r="K424">
        <v>1</v>
      </c>
      <c r="L424">
        <v>1</v>
      </c>
      <c r="M424">
        <v>3</v>
      </c>
    </row>
    <row r="425" spans="1:13" x14ac:dyDescent="0.3">
      <c r="A425" s="1">
        <v>45200</v>
      </c>
      <c r="B425" t="s">
        <v>10</v>
      </c>
      <c r="C425" t="str">
        <f>IFERROR(INDEX(자료실범례[],MATCH($B425,자료실범례[소장처명],0),2),"종합자료실")</f>
        <v>어린이자료실</v>
      </c>
      <c r="D425">
        <v>3</v>
      </c>
      <c r="E425">
        <v>1</v>
      </c>
      <c r="F425">
        <v>4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1</v>
      </c>
      <c r="M425">
        <v>5</v>
      </c>
    </row>
    <row r="426" spans="1:13" x14ac:dyDescent="0.3">
      <c r="A426" s="1">
        <v>45200</v>
      </c>
      <c r="B426" t="s">
        <v>11</v>
      </c>
      <c r="C426" t="str">
        <f>IFERROR(INDEX(자료실범례[],MATCH($B426,자료실범례[소장처명],0),2),"종합자료실")</f>
        <v>어린이자료실</v>
      </c>
      <c r="D426">
        <v>1</v>
      </c>
      <c r="E426">
        <v>2</v>
      </c>
      <c r="F426">
        <v>3</v>
      </c>
      <c r="G426">
        <v>0</v>
      </c>
      <c r="H426">
        <v>0</v>
      </c>
      <c r="I426">
        <v>0</v>
      </c>
      <c r="J426">
        <v>0</v>
      </c>
      <c r="K426">
        <v>2</v>
      </c>
      <c r="L426">
        <v>2</v>
      </c>
      <c r="M426">
        <v>5</v>
      </c>
    </row>
    <row r="427" spans="1:13" x14ac:dyDescent="0.3">
      <c r="A427" s="1">
        <v>45200</v>
      </c>
      <c r="B427" t="s">
        <v>12</v>
      </c>
      <c r="C427" t="str">
        <f>IFERROR(INDEX(자료실범례[],MATCH($B427,자료실범례[소장처명],0),2),"종합자료실")</f>
        <v>어린이자료실</v>
      </c>
      <c r="D427">
        <v>2</v>
      </c>
      <c r="E427">
        <v>1</v>
      </c>
      <c r="F427">
        <v>3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1</v>
      </c>
      <c r="M427">
        <v>4</v>
      </c>
    </row>
    <row r="428" spans="1:13" x14ac:dyDescent="0.3">
      <c r="A428" s="1">
        <v>45200</v>
      </c>
      <c r="B428" t="s">
        <v>13</v>
      </c>
      <c r="C428" t="str">
        <f>IFERROR(INDEX(자료실범례[],MATCH($B428,자료실범례[소장처명],0),2),"종합자료실")</f>
        <v>어린이자료실</v>
      </c>
      <c r="D428">
        <v>0</v>
      </c>
      <c r="E428">
        <v>1</v>
      </c>
      <c r="F428">
        <v>1</v>
      </c>
      <c r="G428">
        <v>0</v>
      </c>
      <c r="H428">
        <v>0</v>
      </c>
      <c r="I428">
        <v>0</v>
      </c>
      <c r="J428">
        <v>1</v>
      </c>
      <c r="K428">
        <v>2</v>
      </c>
      <c r="L428">
        <v>3</v>
      </c>
      <c r="M428">
        <v>4</v>
      </c>
    </row>
    <row r="429" spans="1:13" x14ac:dyDescent="0.3">
      <c r="A429" s="1">
        <v>45200</v>
      </c>
      <c r="B429" t="s">
        <v>15</v>
      </c>
      <c r="C429" t="str">
        <f>IFERROR(INDEX(자료실범례[],MATCH($B429,자료실범례[소장처명],0),2),"종합자료실")</f>
        <v>어린이자료실</v>
      </c>
      <c r="D429">
        <v>22</v>
      </c>
      <c r="E429">
        <v>14</v>
      </c>
      <c r="F429">
        <v>36</v>
      </c>
      <c r="G429">
        <v>3</v>
      </c>
      <c r="H429">
        <v>2</v>
      </c>
      <c r="I429">
        <v>5</v>
      </c>
      <c r="J429">
        <v>10</v>
      </c>
      <c r="K429">
        <v>31</v>
      </c>
      <c r="L429">
        <v>41</v>
      </c>
      <c r="M429">
        <v>82</v>
      </c>
    </row>
    <row r="430" spans="1:13" x14ac:dyDescent="0.3">
      <c r="A430" s="1">
        <v>45200</v>
      </c>
      <c r="B430" t="s">
        <v>16</v>
      </c>
      <c r="C430" t="str">
        <f>IFERROR(INDEX(자료실범례[],MATCH($B430,자료실범례[소장처명],0),2),"종합자료실")</f>
        <v>어린이자료실</v>
      </c>
      <c r="D430">
        <v>41</v>
      </c>
      <c r="E430">
        <v>39</v>
      </c>
      <c r="F430">
        <v>80</v>
      </c>
      <c r="G430">
        <v>4</v>
      </c>
      <c r="H430">
        <v>8</v>
      </c>
      <c r="I430">
        <v>12</v>
      </c>
      <c r="J430">
        <v>28</v>
      </c>
      <c r="K430">
        <v>78</v>
      </c>
      <c r="L430">
        <v>106</v>
      </c>
      <c r="M430">
        <v>198</v>
      </c>
    </row>
    <row r="431" spans="1:13" x14ac:dyDescent="0.3">
      <c r="A431" s="1">
        <v>45200</v>
      </c>
      <c r="B431" t="s">
        <v>17</v>
      </c>
      <c r="C431" t="str">
        <f>IFERROR(INDEX(자료실범례[],MATCH($B431,자료실범례[소장처명],0),2),"종합자료실")</f>
        <v>어린이자료실</v>
      </c>
      <c r="D431">
        <v>0</v>
      </c>
      <c r="E431">
        <v>1</v>
      </c>
      <c r="F431">
        <v>1</v>
      </c>
      <c r="G431">
        <v>0</v>
      </c>
      <c r="H431">
        <v>1</v>
      </c>
      <c r="I431">
        <v>1</v>
      </c>
      <c r="J431">
        <v>0</v>
      </c>
      <c r="K431">
        <v>0</v>
      </c>
      <c r="L431">
        <v>0</v>
      </c>
      <c r="M431">
        <v>2</v>
      </c>
    </row>
    <row r="432" spans="1:13" x14ac:dyDescent="0.3">
      <c r="A432" s="1">
        <v>45200</v>
      </c>
      <c r="B432" t="s">
        <v>18</v>
      </c>
      <c r="C432" t="str">
        <f>IFERROR(INDEX(자료실범례[],MATCH($B432,자료실범례[소장처명],0),2),"종합자료실")</f>
        <v>종합자료실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1</v>
      </c>
      <c r="M432">
        <v>1</v>
      </c>
    </row>
    <row r="433" spans="1:13" x14ac:dyDescent="0.3">
      <c r="A433" s="1">
        <v>45200</v>
      </c>
      <c r="B433" t="s">
        <v>20</v>
      </c>
      <c r="C433" t="str">
        <f>IFERROR(INDEX(자료실범례[],MATCH($B433,자료실범례[소장처명],0),2),"종합자료실")</f>
        <v>종합자료실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1</v>
      </c>
    </row>
    <row r="434" spans="1:13" x14ac:dyDescent="0.3">
      <c r="A434" s="1">
        <v>45200</v>
      </c>
      <c r="B434" t="s">
        <v>21</v>
      </c>
      <c r="C434" t="str">
        <f>IFERROR(INDEX(자료실범례[],MATCH($B434,자료실범례[소장처명],0),2),"종합자료실")</f>
        <v>종합자료실</v>
      </c>
      <c r="D434">
        <v>9</v>
      </c>
      <c r="E434">
        <v>7</v>
      </c>
      <c r="F434">
        <v>16</v>
      </c>
      <c r="G434">
        <v>6</v>
      </c>
      <c r="H434">
        <v>26</v>
      </c>
      <c r="I434">
        <v>32</v>
      </c>
      <c r="J434">
        <v>104</v>
      </c>
      <c r="K434">
        <v>206</v>
      </c>
      <c r="L434">
        <v>310</v>
      </c>
      <c r="M434">
        <v>358</v>
      </c>
    </row>
    <row r="435" spans="1:13" x14ac:dyDescent="0.3">
      <c r="A435" s="1">
        <v>45597</v>
      </c>
      <c r="B435" t="s">
        <v>198</v>
      </c>
      <c r="C435" t="str">
        <f>IFERROR(INDEX(자료실범례[],MATCH($B435,자료실범례[소장처명],0),2),"종합자료실")</f>
        <v>어린이자료실</v>
      </c>
      <c r="D435">
        <v>6</v>
      </c>
      <c r="E435">
        <v>2</v>
      </c>
      <c r="F435">
        <v>8</v>
      </c>
      <c r="G435">
        <v>0</v>
      </c>
      <c r="H435">
        <v>0</v>
      </c>
      <c r="I435">
        <v>0</v>
      </c>
      <c r="J435">
        <v>2</v>
      </c>
      <c r="K435">
        <v>4</v>
      </c>
      <c r="L435">
        <v>6</v>
      </c>
      <c r="M435">
        <v>14</v>
      </c>
    </row>
    <row r="436" spans="1:13" x14ac:dyDescent="0.3">
      <c r="A436" s="1">
        <v>45597</v>
      </c>
      <c r="B436" t="s">
        <v>197</v>
      </c>
      <c r="C436" t="str">
        <f>IFERROR(INDEX(자료실범례[],MATCH($B436,자료실범례[소장처명],0),2),"종합자료실")</f>
        <v>종합자료실</v>
      </c>
      <c r="D436">
        <v>1</v>
      </c>
      <c r="E436">
        <v>0</v>
      </c>
      <c r="F436">
        <v>1</v>
      </c>
      <c r="G436">
        <v>1</v>
      </c>
      <c r="H436">
        <v>2</v>
      </c>
      <c r="I436">
        <v>3</v>
      </c>
      <c r="J436">
        <v>1</v>
      </c>
      <c r="K436">
        <v>3</v>
      </c>
      <c r="L436">
        <v>4</v>
      </c>
      <c r="M436">
        <v>8</v>
      </c>
    </row>
    <row r="437" spans="1:13" x14ac:dyDescent="0.3">
      <c r="A437" s="1">
        <v>45597</v>
      </c>
      <c r="B437" t="s">
        <v>23</v>
      </c>
      <c r="C437" t="str">
        <f>IFERROR(INDEX(자료실범례[],MATCH($B437,자료실범례[소장처명],0),2),"종합자료실")</f>
        <v>종합자료실</v>
      </c>
      <c r="D437">
        <v>1</v>
      </c>
      <c r="E437">
        <v>1</v>
      </c>
      <c r="F437">
        <v>2</v>
      </c>
      <c r="G437">
        <v>0</v>
      </c>
      <c r="H437">
        <v>0</v>
      </c>
      <c r="I437">
        <v>0</v>
      </c>
      <c r="J437">
        <v>2</v>
      </c>
      <c r="K437">
        <v>12</v>
      </c>
      <c r="L437">
        <v>14</v>
      </c>
      <c r="M437">
        <v>16</v>
      </c>
    </row>
    <row r="438" spans="1:13" x14ac:dyDescent="0.3">
      <c r="A438" s="1">
        <v>45597</v>
      </c>
      <c r="B438" t="s">
        <v>0</v>
      </c>
      <c r="C438" t="str">
        <f>IFERROR(INDEX(자료실범례[],MATCH($B438,자료실범례[소장처명],0),2),"종합자료실")</f>
        <v>어린이자료실</v>
      </c>
      <c r="D438">
        <v>3</v>
      </c>
      <c r="E438">
        <v>0</v>
      </c>
      <c r="F438">
        <v>3</v>
      </c>
      <c r="G438">
        <v>0</v>
      </c>
      <c r="H438">
        <v>0</v>
      </c>
      <c r="I438">
        <v>0</v>
      </c>
      <c r="J438">
        <v>2</v>
      </c>
      <c r="K438">
        <v>2</v>
      </c>
      <c r="L438">
        <v>4</v>
      </c>
      <c r="M438">
        <v>7</v>
      </c>
    </row>
    <row r="439" spans="1:13" x14ac:dyDescent="0.3">
      <c r="A439" s="1">
        <v>45597</v>
      </c>
      <c r="B439" t="s">
        <v>1</v>
      </c>
      <c r="C439" t="str">
        <f>IFERROR(INDEX(자료실범례[],MATCH($B439,자료실범례[소장처명],0),2),"종합자료실")</f>
        <v>어린이자료실</v>
      </c>
      <c r="D439">
        <v>5</v>
      </c>
      <c r="E439">
        <v>0</v>
      </c>
      <c r="F439">
        <v>5</v>
      </c>
      <c r="G439">
        <v>0</v>
      </c>
      <c r="H439">
        <v>0</v>
      </c>
      <c r="I439">
        <v>0</v>
      </c>
      <c r="J439">
        <v>1</v>
      </c>
      <c r="K439">
        <v>3</v>
      </c>
      <c r="L439">
        <v>4</v>
      </c>
      <c r="M439">
        <v>9</v>
      </c>
    </row>
    <row r="440" spans="1:13" x14ac:dyDescent="0.3">
      <c r="A440" s="1">
        <v>45597</v>
      </c>
      <c r="B440" t="s">
        <v>2</v>
      </c>
      <c r="C440" t="str">
        <f>IFERROR(INDEX(자료실범례[],MATCH($B440,자료실범례[소장처명],0),2),"종합자료실")</f>
        <v>디지털자료실</v>
      </c>
      <c r="D440">
        <v>1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1</v>
      </c>
      <c r="K440">
        <v>1</v>
      </c>
      <c r="L440">
        <v>2</v>
      </c>
      <c r="M440">
        <v>3</v>
      </c>
    </row>
    <row r="441" spans="1:13" x14ac:dyDescent="0.3">
      <c r="A441" s="1">
        <v>45597</v>
      </c>
      <c r="B441" t="s">
        <v>4</v>
      </c>
      <c r="C441" t="str">
        <f>IFERROR(INDEX(자료실범례[],MATCH($B441,자료실범례[소장처명],0),2),"종합자료실")</f>
        <v>어린이자료실</v>
      </c>
      <c r="D441">
        <v>1</v>
      </c>
      <c r="E441">
        <v>2</v>
      </c>
      <c r="F441">
        <v>3</v>
      </c>
      <c r="G441">
        <v>0</v>
      </c>
      <c r="H441">
        <v>0</v>
      </c>
      <c r="I441">
        <v>0</v>
      </c>
      <c r="J441">
        <v>0</v>
      </c>
      <c r="K441">
        <v>5</v>
      </c>
      <c r="L441">
        <v>5</v>
      </c>
      <c r="M441">
        <v>8</v>
      </c>
    </row>
    <row r="442" spans="1:13" x14ac:dyDescent="0.3">
      <c r="A442" s="1">
        <v>45597</v>
      </c>
      <c r="B442" t="s">
        <v>5</v>
      </c>
      <c r="C442" t="str">
        <f>IFERROR(INDEX(자료실범례[],MATCH($B442,자료실범례[소장처명],0),2),"종합자료실")</f>
        <v>종합자료실</v>
      </c>
      <c r="D442">
        <v>1</v>
      </c>
      <c r="E442">
        <v>1</v>
      </c>
      <c r="F442">
        <v>2</v>
      </c>
      <c r="G442">
        <v>0</v>
      </c>
      <c r="H442">
        <v>2</v>
      </c>
      <c r="I442">
        <v>2</v>
      </c>
      <c r="J442">
        <v>4</v>
      </c>
      <c r="K442">
        <v>11</v>
      </c>
      <c r="L442">
        <v>15</v>
      </c>
      <c r="M442">
        <v>19</v>
      </c>
    </row>
    <row r="443" spans="1:13" x14ac:dyDescent="0.3">
      <c r="A443" s="1">
        <v>45597</v>
      </c>
      <c r="B443" t="s">
        <v>6</v>
      </c>
      <c r="C443" t="str">
        <f>IFERROR(INDEX(자료실범례[],MATCH($B443,자료실범례[소장처명],0),2),"종합자료실")</f>
        <v>종합자료실</v>
      </c>
      <c r="D443">
        <v>4</v>
      </c>
      <c r="E443">
        <v>7</v>
      </c>
      <c r="F443">
        <v>11</v>
      </c>
      <c r="G443">
        <v>2</v>
      </c>
      <c r="H443">
        <v>3</v>
      </c>
      <c r="I443">
        <v>5</v>
      </c>
      <c r="J443">
        <v>6</v>
      </c>
      <c r="K443">
        <v>9</v>
      </c>
      <c r="L443">
        <v>15</v>
      </c>
      <c r="M443">
        <v>31</v>
      </c>
    </row>
    <row r="444" spans="1:13" x14ac:dyDescent="0.3">
      <c r="A444" s="1">
        <v>45597</v>
      </c>
      <c r="B444" t="s">
        <v>7</v>
      </c>
      <c r="C444" t="str">
        <f>IFERROR(INDEX(자료실범례[],MATCH($B444,자료실범례[소장처명],0),2),"종합자료실")</f>
        <v>어린이자료실</v>
      </c>
      <c r="D444">
        <v>3</v>
      </c>
      <c r="E444">
        <v>3</v>
      </c>
      <c r="F444">
        <v>6</v>
      </c>
      <c r="G444">
        <v>1</v>
      </c>
      <c r="H444">
        <v>0</v>
      </c>
      <c r="I444">
        <v>1</v>
      </c>
      <c r="J444">
        <v>0</v>
      </c>
      <c r="K444">
        <v>4</v>
      </c>
      <c r="L444">
        <v>4</v>
      </c>
      <c r="M444">
        <v>11</v>
      </c>
    </row>
    <row r="445" spans="1:13" x14ac:dyDescent="0.3">
      <c r="A445" s="1">
        <v>45597</v>
      </c>
      <c r="B445" t="s">
        <v>8</v>
      </c>
      <c r="C445" t="str">
        <f>IFERROR(INDEX(자료실범례[],MATCH($B445,자료실범례[소장처명],0),2),"종합자료실")</f>
        <v>어린이자료실</v>
      </c>
      <c r="D445">
        <v>4</v>
      </c>
      <c r="E445">
        <v>1</v>
      </c>
      <c r="F445">
        <v>5</v>
      </c>
      <c r="G445">
        <v>1</v>
      </c>
      <c r="H445">
        <v>0</v>
      </c>
      <c r="I445">
        <v>1</v>
      </c>
      <c r="J445">
        <v>1</v>
      </c>
      <c r="K445">
        <v>2</v>
      </c>
      <c r="L445">
        <v>3</v>
      </c>
      <c r="M445">
        <v>9</v>
      </c>
    </row>
    <row r="446" spans="1:13" x14ac:dyDescent="0.3">
      <c r="A446" s="1">
        <v>45597</v>
      </c>
      <c r="B446" t="s">
        <v>9</v>
      </c>
      <c r="C446" t="str">
        <f>IFERROR(INDEX(자료실범례[],MATCH($B446,자료실범례[소장처명],0),2),"종합자료실")</f>
        <v>어린이자료실</v>
      </c>
      <c r="D446">
        <v>1</v>
      </c>
      <c r="E446">
        <v>0</v>
      </c>
      <c r="F446">
        <v>1</v>
      </c>
      <c r="G446">
        <v>1</v>
      </c>
      <c r="H446">
        <v>0</v>
      </c>
      <c r="I446">
        <v>1</v>
      </c>
      <c r="J446">
        <v>0</v>
      </c>
      <c r="K446">
        <v>1</v>
      </c>
      <c r="L446">
        <v>1</v>
      </c>
      <c r="M446">
        <v>3</v>
      </c>
    </row>
    <row r="447" spans="1:13" x14ac:dyDescent="0.3">
      <c r="A447" s="1">
        <v>45597</v>
      </c>
      <c r="B447" t="s">
        <v>10</v>
      </c>
      <c r="C447" t="str">
        <f>IFERROR(INDEX(자료실범례[],MATCH($B447,자료실범례[소장처명],0),2),"종합자료실")</f>
        <v>어린이자료실</v>
      </c>
      <c r="D447">
        <v>1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1</v>
      </c>
      <c r="K447">
        <v>3</v>
      </c>
      <c r="L447">
        <v>4</v>
      </c>
      <c r="M447">
        <v>5</v>
      </c>
    </row>
    <row r="448" spans="1:13" x14ac:dyDescent="0.3">
      <c r="A448" s="1">
        <v>45597</v>
      </c>
      <c r="B448" t="s">
        <v>11</v>
      </c>
      <c r="C448" t="str">
        <f>IFERROR(INDEX(자료실범례[],MATCH($B448,자료실범례[소장처명],0),2),"종합자료실")</f>
        <v>어린이자료실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1</v>
      </c>
      <c r="J448">
        <v>0</v>
      </c>
      <c r="K448">
        <v>2</v>
      </c>
      <c r="L448">
        <v>2</v>
      </c>
      <c r="M448">
        <v>3</v>
      </c>
    </row>
    <row r="449" spans="1:13" x14ac:dyDescent="0.3">
      <c r="A449" s="1">
        <v>45597</v>
      </c>
      <c r="B449" t="s">
        <v>12</v>
      </c>
      <c r="C449" t="str">
        <f>IFERROR(INDEX(자료실범례[],MATCH($B449,자료실범례[소장처명],0),2),"종합자료실")</f>
        <v>어린이자료실</v>
      </c>
      <c r="D449">
        <v>0</v>
      </c>
      <c r="E449">
        <v>0</v>
      </c>
      <c r="F449">
        <v>0</v>
      </c>
      <c r="G449">
        <v>0</v>
      </c>
      <c r="H449">
        <v>1</v>
      </c>
      <c r="I449">
        <v>1</v>
      </c>
      <c r="J449">
        <v>0</v>
      </c>
      <c r="K449">
        <v>2</v>
      </c>
      <c r="L449">
        <v>2</v>
      </c>
      <c r="M449">
        <v>3</v>
      </c>
    </row>
    <row r="450" spans="1:13" x14ac:dyDescent="0.3">
      <c r="A450" s="1">
        <v>45597</v>
      </c>
      <c r="B450" t="s">
        <v>13</v>
      </c>
      <c r="C450" t="str">
        <f>IFERROR(INDEX(자료실범례[],MATCH($B450,자료실범례[소장처명],0),2),"종합자료실")</f>
        <v>어린이자료실</v>
      </c>
      <c r="D450">
        <v>2</v>
      </c>
      <c r="E450">
        <v>1</v>
      </c>
      <c r="F450">
        <v>3</v>
      </c>
      <c r="G450">
        <v>0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4</v>
      </c>
    </row>
    <row r="451" spans="1:13" x14ac:dyDescent="0.3">
      <c r="A451" s="1">
        <v>45597</v>
      </c>
      <c r="B451" t="s">
        <v>14</v>
      </c>
      <c r="C451" t="str">
        <f>IFERROR(INDEX(자료실범례[],MATCH($B451,자료실범례[소장처명],0),2),"종합자료실")</f>
        <v>어린이자료실</v>
      </c>
      <c r="D451">
        <v>23</v>
      </c>
      <c r="E451">
        <v>24</v>
      </c>
      <c r="F451">
        <v>47</v>
      </c>
      <c r="G451">
        <v>3</v>
      </c>
      <c r="H451">
        <v>3</v>
      </c>
      <c r="I451">
        <v>6</v>
      </c>
      <c r="J451">
        <v>12</v>
      </c>
      <c r="K451">
        <v>46</v>
      </c>
      <c r="L451">
        <v>58</v>
      </c>
      <c r="M451">
        <v>111</v>
      </c>
    </row>
    <row r="452" spans="1:13" x14ac:dyDescent="0.3">
      <c r="A452" s="1">
        <v>45597</v>
      </c>
      <c r="B452" t="s">
        <v>15</v>
      </c>
      <c r="C452" t="str">
        <f>IFERROR(INDEX(자료실범례[],MATCH($B452,자료실범례[소장처명],0),2),"종합자료실")</f>
        <v>어린이자료실</v>
      </c>
      <c r="D452">
        <v>31</v>
      </c>
      <c r="E452">
        <v>20</v>
      </c>
      <c r="F452">
        <v>51</v>
      </c>
      <c r="G452">
        <v>2</v>
      </c>
      <c r="H452">
        <v>3</v>
      </c>
      <c r="I452">
        <v>5</v>
      </c>
      <c r="J452">
        <v>16</v>
      </c>
      <c r="K452">
        <v>28</v>
      </c>
      <c r="L452">
        <v>44</v>
      </c>
      <c r="M452">
        <v>100</v>
      </c>
    </row>
    <row r="453" spans="1:13" x14ac:dyDescent="0.3">
      <c r="A453" s="1">
        <v>45597</v>
      </c>
      <c r="B453" t="s">
        <v>16</v>
      </c>
      <c r="C453" t="str">
        <f>IFERROR(INDEX(자료실범례[],MATCH($B453,자료실범례[소장처명],0),2),"종합자료실")</f>
        <v>어린이자료실</v>
      </c>
      <c r="D453">
        <v>57</v>
      </c>
      <c r="E453">
        <v>53</v>
      </c>
      <c r="F453">
        <v>110</v>
      </c>
      <c r="G453">
        <v>2</v>
      </c>
      <c r="H453">
        <v>5</v>
      </c>
      <c r="I453">
        <v>7</v>
      </c>
      <c r="J453">
        <v>29</v>
      </c>
      <c r="K453">
        <v>95</v>
      </c>
      <c r="L453">
        <v>124</v>
      </c>
      <c r="M453">
        <v>241</v>
      </c>
    </row>
    <row r="454" spans="1:13" x14ac:dyDescent="0.3">
      <c r="A454" s="1">
        <v>45597</v>
      </c>
      <c r="B454" t="s">
        <v>17</v>
      </c>
      <c r="C454" t="str">
        <f>IFERROR(INDEX(자료실범례[],MATCH($B454,자료실범례[소장처명],0),2),"종합자료실")</f>
        <v>어린이자료실</v>
      </c>
      <c r="D454">
        <v>1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2</v>
      </c>
      <c r="L454">
        <v>2</v>
      </c>
      <c r="M454">
        <v>3</v>
      </c>
    </row>
    <row r="455" spans="1:13" x14ac:dyDescent="0.3">
      <c r="A455" s="1">
        <v>45597</v>
      </c>
      <c r="B455" t="s">
        <v>18</v>
      </c>
      <c r="C455" t="str">
        <f>IFERROR(INDEX(자료실범례[],MATCH($B455,자료실범례[소장처명],0),2),"종합자료실")</f>
        <v>종합자료실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1</v>
      </c>
      <c r="M455">
        <v>1</v>
      </c>
    </row>
    <row r="456" spans="1:13" x14ac:dyDescent="0.3">
      <c r="A456" s="1">
        <v>45597</v>
      </c>
      <c r="B456" t="s">
        <v>19</v>
      </c>
      <c r="C456" t="str">
        <f>IFERROR(INDEX(자료실범례[],MATCH($B456,자료실범례[소장처명],0),2),"종합자료실")</f>
        <v>종합자료실</v>
      </c>
      <c r="D456">
        <v>7</v>
      </c>
      <c r="E456">
        <v>2</v>
      </c>
      <c r="F456">
        <v>9</v>
      </c>
      <c r="G456">
        <v>3</v>
      </c>
      <c r="H456">
        <v>8</v>
      </c>
      <c r="I456">
        <v>11</v>
      </c>
      <c r="J456">
        <v>55</v>
      </c>
      <c r="K456">
        <v>93</v>
      </c>
      <c r="L456">
        <v>148</v>
      </c>
      <c r="M456">
        <v>168</v>
      </c>
    </row>
    <row r="457" spans="1:13" x14ac:dyDescent="0.3">
      <c r="A457" s="1">
        <v>45597</v>
      </c>
      <c r="B457" t="s">
        <v>21</v>
      </c>
      <c r="C457" t="str">
        <f>IFERROR(INDEX(자료실범례[],MATCH($B457,자료실범례[소장처명],0),2),"종합자료실")</f>
        <v>종합자료실</v>
      </c>
      <c r="D457">
        <v>11</v>
      </c>
      <c r="E457">
        <v>11</v>
      </c>
      <c r="F457">
        <v>22</v>
      </c>
      <c r="G457">
        <v>14</v>
      </c>
      <c r="H457">
        <v>24</v>
      </c>
      <c r="I457">
        <v>38</v>
      </c>
      <c r="J457">
        <v>113</v>
      </c>
      <c r="K457">
        <v>235</v>
      </c>
      <c r="L457">
        <v>348</v>
      </c>
      <c r="M457">
        <v>408</v>
      </c>
    </row>
    <row r="458" spans="1:13" x14ac:dyDescent="0.3">
      <c r="A458" s="1">
        <v>45231</v>
      </c>
      <c r="B458" t="s">
        <v>197</v>
      </c>
      <c r="C458" t="str">
        <f>IFERROR(INDEX(자료실범례[],MATCH($B458,자료실범례[소장처명],0),2),"종합자료실")</f>
        <v>종합자료실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4</v>
      </c>
      <c r="L458">
        <v>4</v>
      </c>
      <c r="M458">
        <v>4</v>
      </c>
    </row>
    <row r="459" spans="1:13" x14ac:dyDescent="0.3">
      <c r="A459" s="1">
        <v>45231</v>
      </c>
      <c r="B459" t="s">
        <v>0</v>
      </c>
      <c r="C459" t="str">
        <f>IFERROR(INDEX(자료실범례[],MATCH($B459,자료실범례[소장처명],0),2),"종합자료실")</f>
        <v>어린이자료실</v>
      </c>
      <c r="D459">
        <v>1</v>
      </c>
      <c r="E459">
        <v>1</v>
      </c>
      <c r="F459">
        <v>2</v>
      </c>
      <c r="G459">
        <v>0</v>
      </c>
      <c r="H459">
        <v>2</v>
      </c>
      <c r="I459">
        <v>2</v>
      </c>
      <c r="J459">
        <v>3</v>
      </c>
      <c r="K459">
        <v>4</v>
      </c>
      <c r="L459">
        <v>7</v>
      </c>
      <c r="M459">
        <v>11</v>
      </c>
    </row>
    <row r="460" spans="1:13" x14ac:dyDescent="0.3">
      <c r="A460" s="1">
        <v>45231</v>
      </c>
      <c r="B460" t="s">
        <v>1</v>
      </c>
      <c r="C460" t="str">
        <f>IFERROR(INDEX(자료실범례[],MATCH($B460,자료실범례[소장처명],0),2),"종합자료실")</f>
        <v>어린이자료실</v>
      </c>
      <c r="D460">
        <v>3</v>
      </c>
      <c r="E460">
        <v>1</v>
      </c>
      <c r="F460">
        <v>4</v>
      </c>
      <c r="G460">
        <v>0</v>
      </c>
      <c r="H460">
        <v>0</v>
      </c>
      <c r="I460">
        <v>0</v>
      </c>
      <c r="J460">
        <v>1</v>
      </c>
      <c r="K460">
        <v>2</v>
      </c>
      <c r="L460">
        <v>3</v>
      </c>
      <c r="M460">
        <v>7</v>
      </c>
    </row>
    <row r="461" spans="1:13" x14ac:dyDescent="0.3">
      <c r="A461" s="1">
        <v>45231</v>
      </c>
      <c r="B461" t="s">
        <v>2</v>
      </c>
      <c r="C461" t="str">
        <f>IFERROR(INDEX(자료실범례[],MATCH($B461,자료실범례[소장처명],0),2),"종합자료실")</f>
        <v>디지털자료실</v>
      </c>
      <c r="D461">
        <v>1</v>
      </c>
      <c r="E461">
        <v>0</v>
      </c>
      <c r="F461">
        <v>1</v>
      </c>
      <c r="G461">
        <v>0</v>
      </c>
      <c r="H461">
        <v>2</v>
      </c>
      <c r="I461">
        <v>2</v>
      </c>
      <c r="J461">
        <v>1</v>
      </c>
      <c r="K461">
        <v>2</v>
      </c>
      <c r="L461">
        <v>3</v>
      </c>
      <c r="M461">
        <v>6</v>
      </c>
    </row>
    <row r="462" spans="1:13" x14ac:dyDescent="0.3">
      <c r="A462" s="1">
        <v>45231</v>
      </c>
      <c r="B462" t="s">
        <v>4</v>
      </c>
      <c r="C462" t="str">
        <f>IFERROR(INDEX(자료실범례[],MATCH($B462,자료실범례[소장처명],0),2),"종합자료실")</f>
        <v>어린이자료실</v>
      </c>
      <c r="D462">
        <v>2</v>
      </c>
      <c r="E462">
        <v>1</v>
      </c>
      <c r="F462">
        <v>3</v>
      </c>
      <c r="G462">
        <v>1</v>
      </c>
      <c r="H462">
        <v>1</v>
      </c>
      <c r="I462">
        <v>2</v>
      </c>
      <c r="J462">
        <v>3</v>
      </c>
      <c r="K462">
        <v>2</v>
      </c>
      <c r="L462">
        <v>5</v>
      </c>
      <c r="M462">
        <v>10</v>
      </c>
    </row>
    <row r="463" spans="1:13" x14ac:dyDescent="0.3">
      <c r="A463" s="1">
        <v>45231</v>
      </c>
      <c r="B463" t="s">
        <v>5</v>
      </c>
      <c r="C463" t="str">
        <f>IFERROR(INDEX(자료실범례[],MATCH($B463,자료실범례[소장처명],0),2),"종합자료실")</f>
        <v>종합자료실</v>
      </c>
      <c r="D463">
        <v>0</v>
      </c>
      <c r="E463">
        <v>1</v>
      </c>
      <c r="F463">
        <v>1</v>
      </c>
      <c r="G463">
        <v>0</v>
      </c>
      <c r="H463">
        <v>3</v>
      </c>
      <c r="I463">
        <v>3</v>
      </c>
      <c r="J463">
        <v>10</v>
      </c>
      <c r="K463">
        <v>11</v>
      </c>
      <c r="L463">
        <v>21</v>
      </c>
      <c r="M463">
        <v>25</v>
      </c>
    </row>
    <row r="464" spans="1:13" x14ac:dyDescent="0.3">
      <c r="A464" s="1">
        <v>45231</v>
      </c>
      <c r="B464" t="s">
        <v>6</v>
      </c>
      <c r="C464" t="str">
        <f>IFERROR(INDEX(자료실범례[],MATCH($B464,자료실범례[소장처명],0),2),"종합자료실")</f>
        <v>종합자료실</v>
      </c>
      <c r="D464">
        <v>2</v>
      </c>
      <c r="E464">
        <v>5</v>
      </c>
      <c r="F464">
        <v>7</v>
      </c>
      <c r="G464">
        <v>1</v>
      </c>
      <c r="H464">
        <v>1</v>
      </c>
      <c r="I464">
        <v>2</v>
      </c>
      <c r="J464">
        <v>7</v>
      </c>
      <c r="K464">
        <v>17</v>
      </c>
      <c r="L464">
        <v>24</v>
      </c>
      <c r="M464">
        <v>33</v>
      </c>
    </row>
    <row r="465" spans="1:13" x14ac:dyDescent="0.3">
      <c r="A465" s="1">
        <v>45231</v>
      </c>
      <c r="B465" t="s">
        <v>7</v>
      </c>
      <c r="C465" t="str">
        <f>IFERROR(INDEX(자료실범례[],MATCH($B465,자료실범례[소장처명],0),2),"종합자료실")</f>
        <v>어린이자료실</v>
      </c>
      <c r="D465">
        <v>2</v>
      </c>
      <c r="E465">
        <v>0</v>
      </c>
      <c r="F465">
        <v>2</v>
      </c>
      <c r="G465">
        <v>0</v>
      </c>
      <c r="H465">
        <v>0</v>
      </c>
      <c r="I465">
        <v>0</v>
      </c>
      <c r="J465">
        <v>4</v>
      </c>
      <c r="K465">
        <v>5</v>
      </c>
      <c r="L465">
        <v>9</v>
      </c>
      <c r="M465">
        <v>11</v>
      </c>
    </row>
    <row r="466" spans="1:13" x14ac:dyDescent="0.3">
      <c r="A466" s="1">
        <v>45231</v>
      </c>
      <c r="B466" t="s">
        <v>8</v>
      </c>
      <c r="C466" t="str">
        <f>IFERROR(INDEX(자료실범례[],MATCH($B466,자료실범례[소장처명],0),2),"종합자료실")</f>
        <v>어린이자료실</v>
      </c>
      <c r="D466">
        <v>0</v>
      </c>
      <c r="E466">
        <v>2</v>
      </c>
      <c r="F466">
        <v>2</v>
      </c>
      <c r="G466">
        <v>0</v>
      </c>
      <c r="H466">
        <v>0</v>
      </c>
      <c r="I466">
        <v>0</v>
      </c>
      <c r="J466">
        <v>1</v>
      </c>
      <c r="K466">
        <v>5</v>
      </c>
      <c r="L466">
        <v>6</v>
      </c>
      <c r="M466">
        <v>8</v>
      </c>
    </row>
    <row r="467" spans="1:13" x14ac:dyDescent="0.3">
      <c r="A467" s="1">
        <v>45231</v>
      </c>
      <c r="B467" t="s">
        <v>9</v>
      </c>
      <c r="C467" t="str">
        <f>IFERROR(INDEX(자료실범례[],MATCH($B467,자료실범례[소장처명],0),2),"종합자료실")</f>
        <v>어린이자료실</v>
      </c>
      <c r="D467">
        <v>3</v>
      </c>
      <c r="E467">
        <v>1</v>
      </c>
      <c r="F467">
        <v>4</v>
      </c>
      <c r="G467">
        <v>0</v>
      </c>
      <c r="H467">
        <v>0</v>
      </c>
      <c r="I467">
        <v>0</v>
      </c>
      <c r="J467">
        <v>1</v>
      </c>
      <c r="K467">
        <v>5</v>
      </c>
      <c r="L467">
        <v>6</v>
      </c>
      <c r="M467">
        <v>10</v>
      </c>
    </row>
    <row r="468" spans="1:13" x14ac:dyDescent="0.3">
      <c r="A468" s="1">
        <v>45231</v>
      </c>
      <c r="B468" t="s">
        <v>10</v>
      </c>
      <c r="C468" t="str">
        <f>IFERROR(INDEX(자료실범례[],MATCH($B468,자료실범례[소장처명],0),2),"종합자료실")</f>
        <v>어린이자료실</v>
      </c>
      <c r="D468">
        <v>1</v>
      </c>
      <c r="E468">
        <v>1</v>
      </c>
      <c r="F468">
        <v>2</v>
      </c>
      <c r="G468">
        <v>0</v>
      </c>
      <c r="H468">
        <v>0</v>
      </c>
      <c r="I468">
        <v>0</v>
      </c>
      <c r="J468">
        <v>2</v>
      </c>
      <c r="K468">
        <v>6</v>
      </c>
      <c r="L468">
        <v>8</v>
      </c>
      <c r="M468">
        <v>10</v>
      </c>
    </row>
    <row r="469" spans="1:13" x14ac:dyDescent="0.3">
      <c r="A469" s="1">
        <v>45231</v>
      </c>
      <c r="B469" t="s">
        <v>11</v>
      </c>
      <c r="C469" t="str">
        <f>IFERROR(INDEX(자료실범례[],MATCH($B469,자료실범례[소장처명],0),2),"종합자료실")</f>
        <v>어린이자료실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1</v>
      </c>
      <c r="M469">
        <v>1</v>
      </c>
    </row>
    <row r="470" spans="1:13" x14ac:dyDescent="0.3">
      <c r="A470" s="1">
        <v>45231</v>
      </c>
      <c r="B470" t="s">
        <v>12</v>
      </c>
      <c r="C470" t="str">
        <f>IFERROR(INDEX(자료실범례[],MATCH($B470,자료실범례[소장처명],0),2),"종합자료실")</f>
        <v>어린이자료실</v>
      </c>
      <c r="D470">
        <v>2</v>
      </c>
      <c r="E470">
        <v>0</v>
      </c>
      <c r="F470">
        <v>2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1</v>
      </c>
      <c r="M470">
        <v>3</v>
      </c>
    </row>
    <row r="471" spans="1:13" x14ac:dyDescent="0.3">
      <c r="A471" s="1">
        <v>45231</v>
      </c>
      <c r="B471" t="s">
        <v>13</v>
      </c>
      <c r="C471" t="str">
        <f>IFERROR(INDEX(자료실범례[],MATCH($B471,자료실범례[소장처명],0),2),"종합자료실")</f>
        <v>어린이자료실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1</v>
      </c>
      <c r="L471">
        <v>2</v>
      </c>
      <c r="M471">
        <v>2</v>
      </c>
    </row>
    <row r="472" spans="1:13" x14ac:dyDescent="0.3">
      <c r="A472" s="1">
        <v>45231</v>
      </c>
      <c r="B472" t="s">
        <v>15</v>
      </c>
      <c r="C472" t="str">
        <f>IFERROR(INDEX(자료실범례[],MATCH($B472,자료실범례[소장처명],0),2),"종합자료실")</f>
        <v>어린이자료실</v>
      </c>
      <c r="D472">
        <v>21</v>
      </c>
      <c r="E472">
        <v>16</v>
      </c>
      <c r="F472">
        <v>37</v>
      </c>
      <c r="G472">
        <v>3</v>
      </c>
      <c r="H472">
        <v>2</v>
      </c>
      <c r="I472">
        <v>5</v>
      </c>
      <c r="J472">
        <v>10</v>
      </c>
      <c r="K472">
        <v>27</v>
      </c>
      <c r="L472">
        <v>37</v>
      </c>
      <c r="M472">
        <v>79</v>
      </c>
    </row>
    <row r="473" spans="1:13" x14ac:dyDescent="0.3">
      <c r="A473" s="1">
        <v>45231</v>
      </c>
      <c r="B473" t="s">
        <v>16</v>
      </c>
      <c r="C473" t="str">
        <f>IFERROR(INDEX(자료실범례[],MATCH($B473,자료실범례[소장처명],0),2),"종합자료실")</f>
        <v>어린이자료실</v>
      </c>
      <c r="D473">
        <v>40</v>
      </c>
      <c r="E473">
        <v>43</v>
      </c>
      <c r="F473">
        <v>83</v>
      </c>
      <c r="G473">
        <v>4</v>
      </c>
      <c r="H473">
        <v>5</v>
      </c>
      <c r="I473">
        <v>9</v>
      </c>
      <c r="J473">
        <v>29</v>
      </c>
      <c r="K473">
        <v>86</v>
      </c>
      <c r="L473">
        <v>115</v>
      </c>
      <c r="M473">
        <v>207</v>
      </c>
    </row>
    <row r="474" spans="1:13" x14ac:dyDescent="0.3">
      <c r="A474" s="1">
        <v>45231</v>
      </c>
      <c r="B474" t="s">
        <v>17</v>
      </c>
      <c r="C474" t="str">
        <f>IFERROR(INDEX(자료실범례[],MATCH($B474,자료실범례[소장처명],0),2),"종합자료실")</f>
        <v>어린이자료실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2</v>
      </c>
      <c r="K474">
        <v>1</v>
      </c>
      <c r="L474">
        <v>3</v>
      </c>
      <c r="M474">
        <v>3</v>
      </c>
    </row>
    <row r="475" spans="1:13" x14ac:dyDescent="0.3">
      <c r="A475" s="1">
        <v>45231</v>
      </c>
      <c r="B475" t="s">
        <v>18</v>
      </c>
      <c r="C475" t="str">
        <f>IFERROR(INDEX(자료실범례[],MATCH($B475,자료실범례[소장처명],0),2),"종합자료실")</f>
        <v>종합자료실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1</v>
      </c>
      <c r="L475">
        <v>2</v>
      </c>
      <c r="M475">
        <v>2</v>
      </c>
    </row>
    <row r="476" spans="1:13" x14ac:dyDescent="0.3">
      <c r="A476" s="1">
        <v>45231</v>
      </c>
      <c r="B476" t="s">
        <v>20</v>
      </c>
      <c r="C476" t="str">
        <f>IFERROR(INDEX(자료실범례[],MATCH($B476,자료실범례[소장처명],0),2),"종합자료실")</f>
        <v>종합자료실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3</v>
      </c>
      <c r="L476">
        <v>4</v>
      </c>
      <c r="M476">
        <v>4</v>
      </c>
    </row>
    <row r="477" spans="1:13" x14ac:dyDescent="0.3">
      <c r="A477" s="1">
        <v>45231</v>
      </c>
      <c r="B477" t="s">
        <v>21</v>
      </c>
      <c r="C477" t="str">
        <f>IFERROR(INDEX(자료실범례[],MATCH($B477,자료실범례[소장처명],0),2),"종합자료실")</f>
        <v>종합자료실</v>
      </c>
      <c r="D477">
        <v>14</v>
      </c>
      <c r="E477">
        <v>12</v>
      </c>
      <c r="F477">
        <v>26</v>
      </c>
      <c r="G477">
        <v>12</v>
      </c>
      <c r="H477">
        <v>29</v>
      </c>
      <c r="I477">
        <v>41</v>
      </c>
      <c r="J477">
        <v>117</v>
      </c>
      <c r="K477">
        <v>201</v>
      </c>
      <c r="L477">
        <v>318</v>
      </c>
      <c r="M477">
        <v>385</v>
      </c>
    </row>
  </sheetData>
  <phoneticPr fontId="18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P1280"/>
  <sheetViews>
    <sheetView topLeftCell="A1211" workbookViewId="0">
      <selection activeCell="C1229" sqref="C1229"/>
    </sheetView>
  </sheetViews>
  <sheetFormatPr defaultRowHeight="16.5" x14ac:dyDescent="0.3"/>
  <cols>
    <col min="1" max="1" width="11.125" bestFit="1" customWidth="1"/>
    <col min="2" max="2" width="24.25" customWidth="1"/>
    <col min="3" max="3" width="12.125" customWidth="1"/>
    <col min="4" max="4" width="10.25" customWidth="1"/>
    <col min="8" max="10" width="10.25" customWidth="1"/>
  </cols>
  <sheetData>
    <row r="1" spans="1:16" x14ac:dyDescent="0.3">
      <c r="A1" t="s">
        <v>52</v>
      </c>
      <c r="B1" t="s">
        <v>124</v>
      </c>
      <c r="C1" t="s">
        <v>75</v>
      </c>
      <c r="D1" t="s">
        <v>50</v>
      </c>
      <c r="E1" t="s">
        <v>55</v>
      </c>
      <c r="F1" t="s">
        <v>57</v>
      </c>
      <c r="G1" t="s">
        <v>59</v>
      </c>
      <c r="H1" t="s">
        <v>61</v>
      </c>
      <c r="I1" t="s">
        <v>63</v>
      </c>
      <c r="J1" t="s">
        <v>65</v>
      </c>
      <c r="K1" t="s">
        <v>67</v>
      </c>
      <c r="L1" t="s">
        <v>69</v>
      </c>
      <c r="M1" t="s">
        <v>71</v>
      </c>
      <c r="N1" t="s">
        <v>73</v>
      </c>
      <c r="O1" t="s">
        <v>26</v>
      </c>
      <c r="P1" t="s">
        <v>141</v>
      </c>
    </row>
    <row r="2" spans="1:16" x14ac:dyDescent="0.3">
      <c r="A2" s="1">
        <v>45292</v>
      </c>
      <c r="B2" t="s">
        <v>24</v>
      </c>
      <c r="C2" t="str">
        <f>IFERROR(INDEX(자료실범례[],MATCH($B2,자료실범례[소장처명],0),2),"종합자료실")</f>
        <v>종합자료실</v>
      </c>
      <c r="D2" t="s">
        <v>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1</v>
      </c>
    </row>
    <row r="3" spans="1:16" x14ac:dyDescent="0.3">
      <c r="A3" s="1">
        <v>45292</v>
      </c>
      <c r="B3" t="s">
        <v>21</v>
      </c>
      <c r="C3" t="str">
        <f>IFERROR(INDEX(자료실범례[],MATCH($B3,자료실범례[소장처명],0),2),"종합자료실")</f>
        <v>종합자료실</v>
      </c>
      <c r="D3" t="s">
        <v>28</v>
      </c>
      <c r="E3">
        <v>54</v>
      </c>
      <c r="F3">
        <v>159</v>
      </c>
      <c r="G3">
        <v>31</v>
      </c>
      <c r="H3">
        <v>308</v>
      </c>
      <c r="I3">
        <v>49</v>
      </c>
      <c r="J3">
        <v>144</v>
      </c>
      <c r="K3">
        <v>63</v>
      </c>
      <c r="L3">
        <v>65</v>
      </c>
      <c r="M3">
        <v>724</v>
      </c>
      <c r="N3">
        <v>116</v>
      </c>
      <c r="O3">
        <v>0</v>
      </c>
      <c r="P3">
        <v>1713</v>
      </c>
    </row>
    <row r="4" spans="1:16" x14ac:dyDescent="0.3">
      <c r="A4" s="1">
        <v>45292</v>
      </c>
      <c r="B4" t="s">
        <v>21</v>
      </c>
      <c r="C4" t="str">
        <f>IFERROR(INDEX(자료실범례[],MATCH($B4,자료실범례[소장처명],0),2),"종합자료실")</f>
        <v>종합자료실</v>
      </c>
      <c r="D4" t="s">
        <v>25</v>
      </c>
      <c r="E4">
        <v>63</v>
      </c>
      <c r="F4">
        <v>152</v>
      </c>
      <c r="G4">
        <v>14</v>
      </c>
      <c r="H4">
        <v>302</v>
      </c>
      <c r="I4">
        <v>60</v>
      </c>
      <c r="J4">
        <v>144</v>
      </c>
      <c r="K4">
        <v>50</v>
      </c>
      <c r="L4">
        <v>80</v>
      </c>
      <c r="M4">
        <v>645</v>
      </c>
      <c r="N4">
        <v>106</v>
      </c>
      <c r="O4">
        <v>0</v>
      </c>
      <c r="P4">
        <v>1616</v>
      </c>
    </row>
    <row r="5" spans="1:16" x14ac:dyDescent="0.3">
      <c r="A5" s="1">
        <v>45292</v>
      </c>
      <c r="B5" t="s">
        <v>21</v>
      </c>
      <c r="C5" t="str">
        <f>IFERROR(INDEX(자료실범례[],MATCH($B5,자료실범례[소장처명],0),2),"종합자료실")</f>
        <v>종합자료실</v>
      </c>
      <c r="D5" t="s">
        <v>31</v>
      </c>
      <c r="E5">
        <v>28</v>
      </c>
      <c r="F5">
        <v>42</v>
      </c>
      <c r="G5">
        <v>16</v>
      </c>
      <c r="H5">
        <v>83</v>
      </c>
      <c r="I5">
        <v>14</v>
      </c>
      <c r="J5">
        <v>40</v>
      </c>
      <c r="K5">
        <v>19</v>
      </c>
      <c r="L5">
        <v>24</v>
      </c>
      <c r="M5">
        <v>222</v>
      </c>
      <c r="N5">
        <v>19</v>
      </c>
      <c r="O5">
        <v>0</v>
      </c>
      <c r="P5">
        <v>507</v>
      </c>
    </row>
    <row r="6" spans="1:16" x14ac:dyDescent="0.3">
      <c r="A6" s="1">
        <v>45292</v>
      </c>
      <c r="B6" t="s">
        <v>16</v>
      </c>
      <c r="C6" t="str">
        <f>IFERROR(INDEX(자료실범례[],MATCH($B6,자료실범례[소장처명],0),2),"종합자료실")</f>
        <v>어린이자료실</v>
      </c>
      <c r="D6" t="s">
        <v>28</v>
      </c>
      <c r="E6">
        <v>21</v>
      </c>
      <c r="F6">
        <v>36</v>
      </c>
      <c r="G6">
        <v>2</v>
      </c>
      <c r="H6">
        <v>226</v>
      </c>
      <c r="I6">
        <v>170</v>
      </c>
      <c r="J6">
        <v>75</v>
      </c>
      <c r="K6">
        <v>41</v>
      </c>
      <c r="L6">
        <v>36</v>
      </c>
      <c r="M6">
        <v>1052</v>
      </c>
      <c r="N6">
        <v>87</v>
      </c>
      <c r="O6">
        <v>1</v>
      </c>
      <c r="P6">
        <v>1747</v>
      </c>
    </row>
    <row r="7" spans="1:16" x14ac:dyDescent="0.3">
      <c r="A7" s="1">
        <v>45292</v>
      </c>
      <c r="B7" t="s">
        <v>16</v>
      </c>
      <c r="C7" t="str">
        <f>IFERROR(INDEX(자료실범례[],MATCH($B7,자료실범례[소장처명],0),2),"종합자료실")</f>
        <v>어린이자료실</v>
      </c>
      <c r="D7" t="s">
        <v>25</v>
      </c>
      <c r="E7">
        <v>29</v>
      </c>
      <c r="F7">
        <v>30</v>
      </c>
      <c r="G7">
        <v>4</v>
      </c>
      <c r="H7">
        <v>199</v>
      </c>
      <c r="I7">
        <v>183</v>
      </c>
      <c r="J7">
        <v>69</v>
      </c>
      <c r="K7">
        <v>34</v>
      </c>
      <c r="L7">
        <v>40</v>
      </c>
      <c r="M7">
        <v>1089</v>
      </c>
      <c r="N7">
        <v>96</v>
      </c>
      <c r="O7">
        <v>1</v>
      </c>
      <c r="P7">
        <v>1774</v>
      </c>
    </row>
    <row r="8" spans="1:16" x14ac:dyDescent="0.3">
      <c r="A8" s="1">
        <v>45292</v>
      </c>
      <c r="B8" t="s">
        <v>16</v>
      </c>
      <c r="C8" t="str">
        <f>IFERROR(INDEX(자료실범례[],MATCH($B8,자료실범례[소장처명],0),2),"종합자료실")</f>
        <v>어린이자료실</v>
      </c>
      <c r="D8" t="s">
        <v>31</v>
      </c>
      <c r="E8">
        <v>7</v>
      </c>
      <c r="F8">
        <v>7</v>
      </c>
      <c r="G8">
        <v>0</v>
      </c>
      <c r="H8">
        <v>15</v>
      </c>
      <c r="I8">
        <v>19</v>
      </c>
      <c r="J8">
        <v>21</v>
      </c>
      <c r="K8">
        <v>10</v>
      </c>
      <c r="L8">
        <v>9</v>
      </c>
      <c r="M8">
        <v>177</v>
      </c>
      <c r="N8">
        <v>14</v>
      </c>
      <c r="O8">
        <v>0</v>
      </c>
      <c r="P8">
        <v>279</v>
      </c>
    </row>
    <row r="9" spans="1:16" x14ac:dyDescent="0.3">
      <c r="A9" s="1">
        <v>45292</v>
      </c>
      <c r="B9" t="s">
        <v>2</v>
      </c>
      <c r="C9" t="str">
        <f>IFERROR(INDEX(자료실범례[],MATCH($B9,자료실범례[소장처명],0),2),"종합자료실")</f>
        <v>디지털자료실</v>
      </c>
      <c r="D9" t="s">
        <v>28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37</v>
      </c>
      <c r="L9">
        <v>0</v>
      </c>
      <c r="M9">
        <v>0</v>
      </c>
      <c r="N9">
        <v>0</v>
      </c>
      <c r="O9">
        <v>0</v>
      </c>
      <c r="P9">
        <v>37</v>
      </c>
    </row>
    <row r="10" spans="1:16" x14ac:dyDescent="0.3">
      <c r="A10" s="1">
        <v>45292</v>
      </c>
      <c r="B10" t="s">
        <v>2</v>
      </c>
      <c r="C10" t="str">
        <f>IFERROR(INDEX(자료실범례[],MATCH($B10,자료실범례[소장처명],0),2),"종합자료실")</f>
        <v>디지털자료실</v>
      </c>
      <c r="D10" t="s">
        <v>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44</v>
      </c>
      <c r="L10">
        <v>0</v>
      </c>
      <c r="M10">
        <v>0</v>
      </c>
      <c r="N10">
        <v>0</v>
      </c>
      <c r="O10">
        <v>0</v>
      </c>
      <c r="P10">
        <v>44</v>
      </c>
    </row>
    <row r="11" spans="1:16" x14ac:dyDescent="0.3">
      <c r="A11" s="1">
        <v>45292</v>
      </c>
      <c r="B11" t="s">
        <v>19</v>
      </c>
      <c r="C11" t="str">
        <f>IFERROR(INDEX(자료실범례[],MATCH($B11,자료실범례[소장처명],0),2),"종합자료실")</f>
        <v>종합자료실</v>
      </c>
      <c r="D11" t="s">
        <v>28</v>
      </c>
      <c r="E11">
        <v>15</v>
      </c>
      <c r="F11">
        <v>63</v>
      </c>
      <c r="G11">
        <v>5</v>
      </c>
      <c r="H11">
        <v>74</v>
      </c>
      <c r="I11">
        <v>32</v>
      </c>
      <c r="J11">
        <v>45</v>
      </c>
      <c r="K11">
        <v>22</v>
      </c>
      <c r="L11">
        <v>10</v>
      </c>
      <c r="M11">
        <v>232</v>
      </c>
      <c r="N11">
        <v>16</v>
      </c>
      <c r="O11">
        <v>0</v>
      </c>
      <c r="P11">
        <v>514</v>
      </c>
    </row>
    <row r="12" spans="1:16" x14ac:dyDescent="0.3">
      <c r="A12" s="1">
        <v>45292</v>
      </c>
      <c r="B12" t="s">
        <v>19</v>
      </c>
      <c r="C12" t="str">
        <f>IFERROR(INDEX(자료실범례[],MATCH($B12,자료실범례[소장처명],0),2),"종합자료실")</f>
        <v>종합자료실</v>
      </c>
      <c r="D12" t="s">
        <v>25</v>
      </c>
      <c r="E12">
        <v>14</v>
      </c>
      <c r="F12">
        <v>61</v>
      </c>
      <c r="G12">
        <v>3</v>
      </c>
      <c r="H12">
        <v>72</v>
      </c>
      <c r="I12">
        <v>28</v>
      </c>
      <c r="J12">
        <v>50</v>
      </c>
      <c r="K12">
        <v>25</v>
      </c>
      <c r="L12">
        <v>9</v>
      </c>
      <c r="M12">
        <v>208</v>
      </c>
      <c r="N12">
        <v>18</v>
      </c>
      <c r="O12">
        <v>0</v>
      </c>
      <c r="P12">
        <v>488</v>
      </c>
    </row>
    <row r="13" spans="1:16" x14ac:dyDescent="0.3">
      <c r="A13" s="1">
        <v>45292</v>
      </c>
      <c r="B13" t="s">
        <v>19</v>
      </c>
      <c r="C13" t="str">
        <f>IFERROR(INDEX(자료실범례[],MATCH($B13,자료실범례[소장처명],0),2),"종합자료실")</f>
        <v>종합자료실</v>
      </c>
      <c r="D13" t="s">
        <v>31</v>
      </c>
      <c r="E13">
        <v>4</v>
      </c>
      <c r="F13">
        <v>22</v>
      </c>
      <c r="G13">
        <v>1</v>
      </c>
      <c r="H13">
        <v>29</v>
      </c>
      <c r="I13">
        <v>16</v>
      </c>
      <c r="J13">
        <v>23</v>
      </c>
      <c r="K13">
        <v>9</v>
      </c>
      <c r="L13">
        <v>4</v>
      </c>
      <c r="M13">
        <v>98</v>
      </c>
      <c r="N13">
        <v>13</v>
      </c>
      <c r="O13">
        <v>0</v>
      </c>
      <c r="P13">
        <v>219</v>
      </c>
    </row>
    <row r="14" spans="1:16" x14ac:dyDescent="0.3">
      <c r="A14" s="1">
        <v>45292</v>
      </c>
      <c r="B14" t="s">
        <v>14</v>
      </c>
      <c r="C14" t="str">
        <f>IFERROR(INDEX(자료실범례[],MATCH($B14,자료실범례[소장처명],0),2),"종합자료실")</f>
        <v>어린이자료실</v>
      </c>
      <c r="D14" t="s">
        <v>28</v>
      </c>
      <c r="E14">
        <v>3</v>
      </c>
      <c r="F14">
        <v>15</v>
      </c>
      <c r="G14">
        <v>10</v>
      </c>
      <c r="H14">
        <v>17</v>
      </c>
      <c r="I14">
        <v>42</v>
      </c>
      <c r="J14">
        <v>9</v>
      </c>
      <c r="K14">
        <v>9</v>
      </c>
      <c r="L14">
        <v>6</v>
      </c>
      <c r="M14">
        <v>326</v>
      </c>
      <c r="N14">
        <v>32</v>
      </c>
      <c r="O14">
        <v>0</v>
      </c>
      <c r="P14">
        <v>469</v>
      </c>
    </row>
    <row r="15" spans="1:16" x14ac:dyDescent="0.3">
      <c r="A15" s="1">
        <v>45292</v>
      </c>
      <c r="B15" t="s">
        <v>14</v>
      </c>
      <c r="C15" t="str">
        <f>IFERROR(INDEX(자료실범례[],MATCH($B15,자료실범례[소장처명],0),2),"종합자료실")</f>
        <v>어린이자료실</v>
      </c>
      <c r="D15" t="s">
        <v>25</v>
      </c>
      <c r="E15">
        <v>4</v>
      </c>
      <c r="F15">
        <v>20</v>
      </c>
      <c r="G15">
        <v>9</v>
      </c>
      <c r="H15">
        <v>18</v>
      </c>
      <c r="I15">
        <v>42</v>
      </c>
      <c r="J15">
        <v>10</v>
      </c>
      <c r="K15">
        <v>9</v>
      </c>
      <c r="L15">
        <v>5</v>
      </c>
      <c r="M15">
        <v>346</v>
      </c>
      <c r="N15">
        <v>36</v>
      </c>
      <c r="O15">
        <v>0</v>
      </c>
      <c r="P15">
        <v>499</v>
      </c>
    </row>
    <row r="16" spans="1:16" x14ac:dyDescent="0.3">
      <c r="A16" s="1">
        <v>45292</v>
      </c>
      <c r="B16" t="s">
        <v>14</v>
      </c>
      <c r="C16" t="str">
        <f>IFERROR(INDEX(자료실범례[],MATCH($B16,자료실범례[소장처명],0),2),"종합자료실")</f>
        <v>어린이자료실</v>
      </c>
      <c r="D16" t="s">
        <v>31</v>
      </c>
      <c r="E16">
        <v>0</v>
      </c>
      <c r="F16">
        <v>2</v>
      </c>
      <c r="G16">
        <v>3</v>
      </c>
      <c r="H16">
        <v>1</v>
      </c>
      <c r="I16">
        <v>5</v>
      </c>
      <c r="J16">
        <v>1</v>
      </c>
      <c r="K16">
        <v>1</v>
      </c>
      <c r="L16">
        <v>1</v>
      </c>
      <c r="M16">
        <v>63</v>
      </c>
      <c r="N16">
        <v>4</v>
      </c>
      <c r="O16">
        <v>0</v>
      </c>
      <c r="P16">
        <v>81</v>
      </c>
    </row>
    <row r="17" spans="1:16" x14ac:dyDescent="0.3">
      <c r="A17" s="1">
        <v>45292</v>
      </c>
      <c r="B17" t="s">
        <v>13</v>
      </c>
      <c r="C17" t="str">
        <f>IFERROR(INDEX(자료실범례[],MATCH($B17,자료실범례[소장처명],0),2),"종합자료실")</f>
        <v>어린이자료실</v>
      </c>
      <c r="D17" t="s">
        <v>28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</v>
      </c>
      <c r="N17">
        <v>0</v>
      </c>
      <c r="O17">
        <v>0</v>
      </c>
      <c r="P17">
        <v>4</v>
      </c>
    </row>
    <row r="18" spans="1:16" x14ac:dyDescent="0.3">
      <c r="A18" s="1">
        <v>45292</v>
      </c>
      <c r="B18" t="s">
        <v>13</v>
      </c>
      <c r="C18" t="str">
        <f>IFERROR(INDEX(자료실범례[],MATCH($B18,자료실범례[소장처명],0),2),"종합자료실")</f>
        <v>어린이자료실</v>
      </c>
      <c r="D18" t="s">
        <v>25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</v>
      </c>
      <c r="N18">
        <v>0</v>
      </c>
      <c r="O18">
        <v>0</v>
      </c>
      <c r="P18">
        <v>5</v>
      </c>
    </row>
    <row r="19" spans="1:16" x14ac:dyDescent="0.3">
      <c r="A19" s="1">
        <v>45292</v>
      </c>
      <c r="B19" t="s">
        <v>13</v>
      </c>
      <c r="C19" t="str">
        <f>IFERROR(INDEX(자료실범례[],MATCH($B19,자료실범례[소장처명],0),2),"종합자료실")</f>
        <v>어린이자료실</v>
      </c>
      <c r="D19" t="s">
        <v>31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1</v>
      </c>
    </row>
    <row r="20" spans="1:16" x14ac:dyDescent="0.3">
      <c r="A20" s="1">
        <v>45292</v>
      </c>
      <c r="B20" t="s">
        <v>15</v>
      </c>
      <c r="C20" t="str">
        <f>IFERROR(INDEX(자료실범례[],MATCH($B20,자료실범례[소장처명],0),2),"종합자료실")</f>
        <v>어린이자료실</v>
      </c>
      <c r="D20" t="s">
        <v>28</v>
      </c>
      <c r="E20">
        <v>14</v>
      </c>
      <c r="F20">
        <v>0</v>
      </c>
      <c r="G20">
        <v>18</v>
      </c>
      <c r="H20">
        <v>6</v>
      </c>
      <c r="I20">
        <v>249</v>
      </c>
      <c r="J20">
        <v>40</v>
      </c>
      <c r="K20">
        <v>0</v>
      </c>
      <c r="L20">
        <v>73</v>
      </c>
      <c r="M20">
        <v>96</v>
      </c>
      <c r="N20">
        <v>187</v>
      </c>
      <c r="O20">
        <v>0</v>
      </c>
      <c r="P20">
        <v>683</v>
      </c>
    </row>
    <row r="21" spans="1:16" x14ac:dyDescent="0.3">
      <c r="A21" s="1">
        <v>45292</v>
      </c>
      <c r="B21" t="s">
        <v>15</v>
      </c>
      <c r="C21" t="str">
        <f>IFERROR(INDEX(자료실범례[],MATCH($B21,자료실범례[소장처명],0),2),"종합자료실")</f>
        <v>어린이자료실</v>
      </c>
      <c r="D21" t="s">
        <v>25</v>
      </c>
      <c r="E21">
        <v>5</v>
      </c>
      <c r="F21">
        <v>0</v>
      </c>
      <c r="G21">
        <v>8</v>
      </c>
      <c r="H21">
        <v>5</v>
      </c>
      <c r="I21">
        <v>250</v>
      </c>
      <c r="J21">
        <v>46</v>
      </c>
      <c r="K21">
        <v>0</v>
      </c>
      <c r="L21">
        <v>76</v>
      </c>
      <c r="M21">
        <v>85</v>
      </c>
      <c r="N21">
        <v>196</v>
      </c>
      <c r="O21">
        <v>0</v>
      </c>
      <c r="P21">
        <v>671</v>
      </c>
    </row>
    <row r="22" spans="1:16" x14ac:dyDescent="0.3">
      <c r="A22" s="1">
        <v>45292</v>
      </c>
      <c r="B22" t="s">
        <v>15</v>
      </c>
      <c r="C22" t="str">
        <f>IFERROR(INDEX(자료실범례[],MATCH($B22,자료실범례[소장처명],0),2),"종합자료실")</f>
        <v>어린이자료실</v>
      </c>
      <c r="D22" t="s">
        <v>31</v>
      </c>
      <c r="E22">
        <v>4</v>
      </c>
      <c r="F22">
        <v>0</v>
      </c>
      <c r="G22">
        <v>6</v>
      </c>
      <c r="H22">
        <v>0</v>
      </c>
      <c r="I22">
        <v>18</v>
      </c>
      <c r="J22">
        <v>14</v>
      </c>
      <c r="K22">
        <v>0</v>
      </c>
      <c r="L22">
        <v>9</v>
      </c>
      <c r="M22">
        <v>10</v>
      </c>
      <c r="N22">
        <v>13</v>
      </c>
      <c r="O22">
        <v>0</v>
      </c>
      <c r="P22">
        <v>74</v>
      </c>
    </row>
    <row r="23" spans="1:16" x14ac:dyDescent="0.3">
      <c r="A23" s="1">
        <v>45292</v>
      </c>
      <c r="B23" t="s">
        <v>20</v>
      </c>
      <c r="C23" t="str">
        <f>IFERROR(INDEX(자료실범례[],MATCH($B23,자료실범례[소장처명],0),2),"종합자료실")</f>
        <v>종합자료실</v>
      </c>
      <c r="D23" t="s">
        <v>28</v>
      </c>
      <c r="E23">
        <v>0</v>
      </c>
      <c r="F23">
        <v>0</v>
      </c>
      <c r="G23">
        <v>0</v>
      </c>
      <c r="H23">
        <v>2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3</v>
      </c>
    </row>
    <row r="24" spans="1:16" x14ac:dyDescent="0.3">
      <c r="A24" s="1">
        <v>45292</v>
      </c>
      <c r="B24" t="s">
        <v>20</v>
      </c>
      <c r="C24" t="str">
        <f>IFERROR(INDEX(자료실범례[],MATCH($B24,자료실범례[소장처명],0),2),"종합자료실")</f>
        <v>종합자료실</v>
      </c>
      <c r="D24" t="s">
        <v>25</v>
      </c>
      <c r="E24">
        <v>0</v>
      </c>
      <c r="F24">
        <v>0</v>
      </c>
      <c r="G24">
        <v>0</v>
      </c>
      <c r="H24">
        <v>4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5</v>
      </c>
    </row>
    <row r="25" spans="1:16" x14ac:dyDescent="0.3">
      <c r="A25" s="1">
        <v>45292</v>
      </c>
      <c r="B25" t="s">
        <v>20</v>
      </c>
      <c r="C25" t="str">
        <f>IFERROR(INDEX(자료실범례[],MATCH($B25,자료실범례[소장처명],0),2),"종합자료실")</f>
        <v>종합자료실</v>
      </c>
      <c r="D25" t="s">
        <v>31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</row>
    <row r="26" spans="1:16" x14ac:dyDescent="0.3">
      <c r="A26" s="1">
        <v>45292</v>
      </c>
      <c r="B26" t="s">
        <v>3</v>
      </c>
      <c r="C26" t="str">
        <f>IFERROR(INDEX(자료실범례[],MATCH($B26,자료실범례[소장처명],0),2),"종합자료실")</f>
        <v>디지털자료실</v>
      </c>
      <c r="D26" t="s">
        <v>28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</v>
      </c>
      <c r="L26">
        <v>0</v>
      </c>
      <c r="M26">
        <v>0</v>
      </c>
      <c r="N26">
        <v>0</v>
      </c>
      <c r="O26">
        <v>0</v>
      </c>
      <c r="P26">
        <v>2</v>
      </c>
    </row>
    <row r="27" spans="1:16" x14ac:dyDescent="0.3">
      <c r="A27" s="1">
        <v>45292</v>
      </c>
      <c r="B27" t="s">
        <v>3</v>
      </c>
      <c r="C27" t="str">
        <f>IFERROR(INDEX(자료실범례[],MATCH($B27,자료실범례[소장처명],0),2),"종합자료실")</f>
        <v>디지털자료실</v>
      </c>
      <c r="D27" t="s">
        <v>25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1</v>
      </c>
    </row>
    <row r="28" spans="1:16" x14ac:dyDescent="0.3">
      <c r="A28" s="1">
        <v>45292</v>
      </c>
      <c r="B28" t="s">
        <v>4</v>
      </c>
      <c r="C28" t="str">
        <f>IFERROR(INDEX(자료실범례[],MATCH($B28,자료실범례[소장처명],0),2),"종합자료실")</f>
        <v>어린이자료실</v>
      </c>
      <c r="D28" t="s">
        <v>28</v>
      </c>
      <c r="E28">
        <v>0</v>
      </c>
      <c r="F28">
        <v>0</v>
      </c>
      <c r="G28">
        <v>0</v>
      </c>
      <c r="H28">
        <v>2</v>
      </c>
      <c r="I28">
        <v>0</v>
      </c>
      <c r="J28">
        <v>1</v>
      </c>
      <c r="K28">
        <v>0</v>
      </c>
      <c r="L28">
        <v>0</v>
      </c>
      <c r="M28">
        <v>3</v>
      </c>
      <c r="N28">
        <v>3</v>
      </c>
      <c r="O28">
        <v>0</v>
      </c>
      <c r="P28">
        <v>9</v>
      </c>
    </row>
    <row r="29" spans="1:16" x14ac:dyDescent="0.3">
      <c r="A29" s="1">
        <v>45292</v>
      </c>
      <c r="B29" t="s">
        <v>4</v>
      </c>
      <c r="C29" t="str">
        <f>IFERROR(INDEX(자료실범례[],MATCH($B29,자료실범례[소장처명],0),2),"종합자료실")</f>
        <v>어린이자료실</v>
      </c>
      <c r="D29" t="s">
        <v>25</v>
      </c>
      <c r="E29">
        <v>0</v>
      </c>
      <c r="F29">
        <v>0</v>
      </c>
      <c r="G29">
        <v>0</v>
      </c>
      <c r="H29">
        <v>2</v>
      </c>
      <c r="I29">
        <v>0</v>
      </c>
      <c r="J29">
        <v>1</v>
      </c>
      <c r="K29">
        <v>0</v>
      </c>
      <c r="L29">
        <v>0</v>
      </c>
      <c r="M29">
        <v>5</v>
      </c>
      <c r="N29">
        <v>2</v>
      </c>
      <c r="O29">
        <v>0</v>
      </c>
      <c r="P29">
        <v>10</v>
      </c>
    </row>
    <row r="30" spans="1:16" x14ac:dyDescent="0.3">
      <c r="A30" s="1">
        <v>45292</v>
      </c>
      <c r="B30" t="s">
        <v>4</v>
      </c>
      <c r="C30" t="str">
        <f>IFERROR(INDEX(자료실범례[],MATCH($B30,자료실범례[소장처명],0),2),"종합자료실")</f>
        <v>어린이자료실</v>
      </c>
      <c r="D30" t="s">
        <v>31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2</v>
      </c>
      <c r="N30">
        <v>0</v>
      </c>
      <c r="O30">
        <v>0</v>
      </c>
      <c r="P30">
        <v>3</v>
      </c>
    </row>
    <row r="31" spans="1:16" x14ac:dyDescent="0.3">
      <c r="A31" s="1">
        <v>45292</v>
      </c>
      <c r="B31" t="s">
        <v>5</v>
      </c>
      <c r="C31" t="str">
        <f>IFERROR(INDEX(자료실범례[],MATCH($B31,자료실범례[소장처명],0),2),"종합자료실")</f>
        <v>종합자료실</v>
      </c>
      <c r="D31" t="s">
        <v>28</v>
      </c>
      <c r="E31">
        <v>5</v>
      </c>
      <c r="F31">
        <v>4</v>
      </c>
      <c r="G31">
        <v>3</v>
      </c>
      <c r="H31">
        <v>6</v>
      </c>
      <c r="I31">
        <v>3</v>
      </c>
      <c r="J31">
        <v>5</v>
      </c>
      <c r="K31">
        <v>2</v>
      </c>
      <c r="L31">
        <v>0</v>
      </c>
      <c r="M31">
        <v>10</v>
      </c>
      <c r="N31">
        <v>0</v>
      </c>
      <c r="O31">
        <v>0</v>
      </c>
      <c r="P31">
        <v>38</v>
      </c>
    </row>
    <row r="32" spans="1:16" x14ac:dyDescent="0.3">
      <c r="A32" s="1">
        <v>45292</v>
      </c>
      <c r="B32" t="s">
        <v>5</v>
      </c>
      <c r="C32" t="str">
        <f>IFERROR(INDEX(자료실범례[],MATCH($B32,자료실범례[소장처명],0),2),"종합자료실")</f>
        <v>종합자료실</v>
      </c>
      <c r="D32" t="s">
        <v>25</v>
      </c>
      <c r="E32">
        <v>1</v>
      </c>
      <c r="F32">
        <v>3</v>
      </c>
      <c r="G32">
        <v>3</v>
      </c>
      <c r="H32">
        <v>7</v>
      </c>
      <c r="I32">
        <v>2</v>
      </c>
      <c r="J32">
        <v>4</v>
      </c>
      <c r="K32">
        <v>2</v>
      </c>
      <c r="L32">
        <v>0</v>
      </c>
      <c r="M32">
        <v>18</v>
      </c>
      <c r="N32">
        <v>0</v>
      </c>
      <c r="O32">
        <v>0</v>
      </c>
      <c r="P32">
        <v>40</v>
      </c>
    </row>
    <row r="33" spans="1:16" x14ac:dyDescent="0.3">
      <c r="A33" s="1">
        <v>45292</v>
      </c>
      <c r="B33" t="s">
        <v>5</v>
      </c>
      <c r="C33" t="str">
        <f>IFERROR(INDEX(자료실범례[],MATCH($B33,자료실범례[소장처명],0),2),"종합자료실")</f>
        <v>종합자료실</v>
      </c>
      <c r="D33" t="s">
        <v>31</v>
      </c>
      <c r="E33">
        <v>1</v>
      </c>
      <c r="F33">
        <v>2</v>
      </c>
      <c r="G33">
        <v>2</v>
      </c>
      <c r="H33">
        <v>3</v>
      </c>
      <c r="I33">
        <v>2</v>
      </c>
      <c r="J33">
        <v>5</v>
      </c>
      <c r="K33">
        <v>1</v>
      </c>
      <c r="L33">
        <v>0</v>
      </c>
      <c r="M33">
        <v>3</v>
      </c>
      <c r="N33">
        <v>0</v>
      </c>
      <c r="O33">
        <v>0</v>
      </c>
      <c r="P33">
        <v>19</v>
      </c>
    </row>
    <row r="34" spans="1:16" x14ac:dyDescent="0.3">
      <c r="A34" s="1">
        <v>45292</v>
      </c>
      <c r="B34" t="s">
        <v>7</v>
      </c>
      <c r="C34" t="str">
        <f>IFERROR(INDEX(자료실범례[],MATCH($B34,자료실범례[소장처명],0),2),"종합자료실")</f>
        <v>어린이자료실</v>
      </c>
      <c r="D34" t="s">
        <v>28</v>
      </c>
      <c r="E34">
        <v>1</v>
      </c>
      <c r="F34">
        <v>2</v>
      </c>
      <c r="G34">
        <v>0</v>
      </c>
      <c r="H34">
        <v>7</v>
      </c>
      <c r="I34">
        <v>1</v>
      </c>
      <c r="J34">
        <v>0</v>
      </c>
      <c r="K34">
        <v>0</v>
      </c>
      <c r="L34">
        <v>1</v>
      </c>
      <c r="M34">
        <v>44</v>
      </c>
      <c r="N34">
        <v>0</v>
      </c>
      <c r="O34">
        <v>0</v>
      </c>
      <c r="P34">
        <v>56</v>
      </c>
    </row>
    <row r="35" spans="1:16" x14ac:dyDescent="0.3">
      <c r="A35" s="1">
        <v>45292</v>
      </c>
      <c r="B35" t="s">
        <v>7</v>
      </c>
      <c r="C35" t="str">
        <f>IFERROR(INDEX(자료실범례[],MATCH($B35,자료실범례[소장처명],0),2),"종합자료실")</f>
        <v>어린이자료실</v>
      </c>
      <c r="D35" t="s">
        <v>25</v>
      </c>
      <c r="E35">
        <v>0</v>
      </c>
      <c r="F35">
        <v>2</v>
      </c>
      <c r="G35">
        <v>0</v>
      </c>
      <c r="H35">
        <v>2</v>
      </c>
      <c r="I35">
        <v>0</v>
      </c>
      <c r="J35">
        <v>0</v>
      </c>
      <c r="K35">
        <v>0</v>
      </c>
      <c r="L35">
        <v>1</v>
      </c>
      <c r="M35">
        <v>30</v>
      </c>
      <c r="N35">
        <v>0</v>
      </c>
      <c r="O35">
        <v>0</v>
      </c>
      <c r="P35">
        <v>35</v>
      </c>
    </row>
    <row r="36" spans="1:16" x14ac:dyDescent="0.3">
      <c r="A36" s="1">
        <v>45292</v>
      </c>
      <c r="B36" t="s">
        <v>7</v>
      </c>
      <c r="C36" t="str">
        <f>IFERROR(INDEX(자료실범례[],MATCH($B36,자료실범례[소장처명],0),2),"종합자료실")</f>
        <v>어린이자료실</v>
      </c>
      <c r="D36" t="s">
        <v>31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11</v>
      </c>
      <c r="N36">
        <v>0</v>
      </c>
      <c r="O36">
        <v>0</v>
      </c>
      <c r="P36">
        <v>11</v>
      </c>
    </row>
    <row r="37" spans="1:16" x14ac:dyDescent="0.3">
      <c r="A37" s="1">
        <v>45292</v>
      </c>
      <c r="B37" t="s">
        <v>8</v>
      </c>
      <c r="C37" t="str">
        <f>IFERROR(INDEX(자료실범례[],MATCH($B37,자료실범례[소장처명],0),2),"종합자료실")</f>
        <v>어린이자료실</v>
      </c>
      <c r="D37" t="s">
        <v>28</v>
      </c>
      <c r="E37">
        <v>0</v>
      </c>
      <c r="F37">
        <v>1</v>
      </c>
      <c r="G37">
        <v>0</v>
      </c>
      <c r="H37">
        <v>4</v>
      </c>
      <c r="I37">
        <v>0</v>
      </c>
      <c r="J37">
        <v>0</v>
      </c>
      <c r="K37">
        <v>0</v>
      </c>
      <c r="L37">
        <v>0</v>
      </c>
      <c r="M37">
        <v>23</v>
      </c>
      <c r="N37">
        <v>0</v>
      </c>
      <c r="O37">
        <v>0</v>
      </c>
      <c r="P37">
        <v>28</v>
      </c>
    </row>
    <row r="38" spans="1:16" x14ac:dyDescent="0.3">
      <c r="A38" s="1">
        <v>45292</v>
      </c>
      <c r="B38" t="s">
        <v>8</v>
      </c>
      <c r="C38" t="str">
        <f>IFERROR(INDEX(자료실범례[],MATCH($B38,자료실범례[소장처명],0),2),"종합자료실")</f>
        <v>어린이자료실</v>
      </c>
      <c r="D38" t="s">
        <v>25</v>
      </c>
      <c r="E38">
        <v>0</v>
      </c>
      <c r="F38">
        <v>2</v>
      </c>
      <c r="G38">
        <v>0</v>
      </c>
      <c r="H38">
        <v>3</v>
      </c>
      <c r="I38">
        <v>0</v>
      </c>
      <c r="J38">
        <v>0</v>
      </c>
      <c r="K38">
        <v>0</v>
      </c>
      <c r="L38">
        <v>0</v>
      </c>
      <c r="M38">
        <v>28</v>
      </c>
      <c r="N38">
        <v>0</v>
      </c>
      <c r="O38">
        <v>0</v>
      </c>
      <c r="P38">
        <v>33</v>
      </c>
    </row>
    <row r="39" spans="1:16" x14ac:dyDescent="0.3">
      <c r="A39" s="1">
        <v>45292</v>
      </c>
      <c r="B39" t="s">
        <v>8</v>
      </c>
      <c r="C39" t="str">
        <f>IFERROR(INDEX(자료실범례[],MATCH($B39,자료실범례[소장처명],0),2),"종합자료실")</f>
        <v>어린이자료실</v>
      </c>
      <c r="D39" t="s">
        <v>31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6</v>
      </c>
      <c r="N39">
        <v>0</v>
      </c>
      <c r="O39">
        <v>0</v>
      </c>
      <c r="P39">
        <v>6</v>
      </c>
    </row>
    <row r="40" spans="1:16" x14ac:dyDescent="0.3">
      <c r="A40" s="1">
        <v>45292</v>
      </c>
      <c r="B40" t="s">
        <v>9</v>
      </c>
      <c r="C40" t="str">
        <f>IFERROR(INDEX(자료실범례[],MATCH($B40,자료실범례[소장처명],0),2),"종합자료실")</f>
        <v>어린이자료실</v>
      </c>
      <c r="D40" t="s">
        <v>28</v>
      </c>
      <c r="E40">
        <v>0</v>
      </c>
      <c r="F40">
        <v>1</v>
      </c>
      <c r="G40">
        <v>0</v>
      </c>
      <c r="H40">
        <v>8</v>
      </c>
      <c r="I40">
        <v>3</v>
      </c>
      <c r="J40">
        <v>2</v>
      </c>
      <c r="K40">
        <v>1</v>
      </c>
      <c r="L40">
        <v>0</v>
      </c>
      <c r="M40">
        <v>12</v>
      </c>
      <c r="N40">
        <v>2</v>
      </c>
      <c r="O40">
        <v>0</v>
      </c>
      <c r="P40">
        <v>29</v>
      </c>
    </row>
    <row r="41" spans="1:16" x14ac:dyDescent="0.3">
      <c r="A41" s="1">
        <v>45292</v>
      </c>
      <c r="B41" t="s">
        <v>9</v>
      </c>
      <c r="C41" t="str">
        <f>IFERROR(INDEX(자료실범례[],MATCH($B41,자료실범례[소장처명],0),2),"종합자료실")</f>
        <v>어린이자료실</v>
      </c>
      <c r="D41" t="s">
        <v>25</v>
      </c>
      <c r="E41">
        <v>0</v>
      </c>
      <c r="F41">
        <v>1</v>
      </c>
      <c r="G41">
        <v>0</v>
      </c>
      <c r="H41">
        <v>10</v>
      </c>
      <c r="I41">
        <v>5</v>
      </c>
      <c r="J41">
        <v>3</v>
      </c>
      <c r="K41">
        <v>1</v>
      </c>
      <c r="L41">
        <v>0</v>
      </c>
      <c r="M41">
        <v>22</v>
      </c>
      <c r="N41">
        <v>3</v>
      </c>
      <c r="O41">
        <v>0</v>
      </c>
      <c r="P41">
        <v>45</v>
      </c>
    </row>
    <row r="42" spans="1:16" x14ac:dyDescent="0.3">
      <c r="A42" s="1">
        <v>45292</v>
      </c>
      <c r="B42" t="s">
        <v>9</v>
      </c>
      <c r="C42" t="str">
        <f>IFERROR(INDEX(자료실범례[],MATCH($B42,자료실범례[소장처명],0),2),"종합자료실")</f>
        <v>어린이자료실</v>
      </c>
      <c r="D42" t="s">
        <v>31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</v>
      </c>
      <c r="N42">
        <v>0</v>
      </c>
      <c r="O42">
        <v>0</v>
      </c>
      <c r="P42">
        <v>4</v>
      </c>
    </row>
    <row r="43" spans="1:16" x14ac:dyDescent="0.3">
      <c r="A43" s="1">
        <v>45292</v>
      </c>
      <c r="B43" t="s">
        <v>10</v>
      </c>
      <c r="C43" t="str">
        <f>IFERROR(INDEX(자료실범례[],MATCH($B43,자료실범례[소장처명],0),2),"종합자료실")</f>
        <v>어린이자료실</v>
      </c>
      <c r="D43" t="s">
        <v>28</v>
      </c>
      <c r="E43">
        <v>0</v>
      </c>
      <c r="F43">
        <v>0</v>
      </c>
      <c r="G43">
        <v>0</v>
      </c>
      <c r="H43">
        <v>0</v>
      </c>
      <c r="I43">
        <v>6</v>
      </c>
      <c r="J43">
        <v>4</v>
      </c>
      <c r="K43">
        <v>1</v>
      </c>
      <c r="L43">
        <v>4</v>
      </c>
      <c r="M43">
        <v>15</v>
      </c>
      <c r="N43">
        <v>0</v>
      </c>
      <c r="O43">
        <v>0</v>
      </c>
      <c r="P43">
        <v>30</v>
      </c>
    </row>
    <row r="44" spans="1:16" x14ac:dyDescent="0.3">
      <c r="A44" s="1">
        <v>45292</v>
      </c>
      <c r="B44" t="s">
        <v>10</v>
      </c>
      <c r="C44" t="str">
        <f>IFERROR(INDEX(자료실범례[],MATCH($B44,자료실범례[소장처명],0),2),"종합자료실")</f>
        <v>어린이자료실</v>
      </c>
      <c r="D44" t="s">
        <v>25</v>
      </c>
      <c r="E44">
        <v>0</v>
      </c>
      <c r="F44">
        <v>0</v>
      </c>
      <c r="G44">
        <v>0</v>
      </c>
      <c r="H44">
        <v>0</v>
      </c>
      <c r="I44">
        <v>4</v>
      </c>
      <c r="J44">
        <v>3</v>
      </c>
      <c r="K44">
        <v>0</v>
      </c>
      <c r="L44">
        <v>0</v>
      </c>
      <c r="M44">
        <v>14</v>
      </c>
      <c r="N44">
        <v>0</v>
      </c>
      <c r="O44">
        <v>0</v>
      </c>
      <c r="P44">
        <v>21</v>
      </c>
    </row>
    <row r="45" spans="1:16" x14ac:dyDescent="0.3">
      <c r="A45" s="1">
        <v>45292</v>
      </c>
      <c r="B45" t="s">
        <v>10</v>
      </c>
      <c r="C45" t="str">
        <f>IFERROR(INDEX(자료실범례[],MATCH($B45,자료실범례[소장처명],0),2),"종합자료실")</f>
        <v>어린이자료실</v>
      </c>
      <c r="D45" t="s">
        <v>31</v>
      </c>
      <c r="E45">
        <v>0</v>
      </c>
      <c r="F45">
        <v>0</v>
      </c>
      <c r="G45">
        <v>0</v>
      </c>
      <c r="H45">
        <v>0</v>
      </c>
      <c r="I45">
        <v>5</v>
      </c>
      <c r="J45">
        <v>3</v>
      </c>
      <c r="K45">
        <v>1</v>
      </c>
      <c r="L45">
        <v>3</v>
      </c>
      <c r="M45">
        <v>8</v>
      </c>
      <c r="N45">
        <v>0</v>
      </c>
      <c r="O45">
        <v>0</v>
      </c>
      <c r="P45">
        <v>20</v>
      </c>
    </row>
    <row r="46" spans="1:16" x14ac:dyDescent="0.3">
      <c r="A46" s="1">
        <v>45292</v>
      </c>
      <c r="B46" t="s">
        <v>11</v>
      </c>
      <c r="C46" t="str">
        <f>IFERROR(INDEX(자료실범례[],MATCH($B46,자료실범례[소장처명],0),2),"종합자료실")</f>
        <v>어린이자료실</v>
      </c>
      <c r="D46" t="s">
        <v>28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16</v>
      </c>
      <c r="N46">
        <v>0</v>
      </c>
      <c r="O46">
        <v>0</v>
      </c>
      <c r="P46">
        <v>17</v>
      </c>
    </row>
    <row r="47" spans="1:16" x14ac:dyDescent="0.3">
      <c r="A47" s="1">
        <v>45292</v>
      </c>
      <c r="B47" t="s">
        <v>11</v>
      </c>
      <c r="C47" t="str">
        <f>IFERROR(INDEX(자료실범례[],MATCH($B47,자료실범례[소장처명],0),2),"종합자료실")</f>
        <v>어린이자료실</v>
      </c>
      <c r="D47" t="s">
        <v>25</v>
      </c>
      <c r="E47">
        <v>0</v>
      </c>
      <c r="F47">
        <v>0</v>
      </c>
      <c r="G47">
        <v>0</v>
      </c>
      <c r="H47">
        <v>1</v>
      </c>
      <c r="I47">
        <v>2</v>
      </c>
      <c r="J47">
        <v>0</v>
      </c>
      <c r="K47">
        <v>0</v>
      </c>
      <c r="L47">
        <v>0</v>
      </c>
      <c r="M47">
        <v>18</v>
      </c>
      <c r="N47">
        <v>0</v>
      </c>
      <c r="O47">
        <v>0</v>
      </c>
      <c r="P47">
        <v>21</v>
      </c>
    </row>
    <row r="48" spans="1:16" x14ac:dyDescent="0.3">
      <c r="A48" s="1">
        <v>45292</v>
      </c>
      <c r="B48" t="s">
        <v>11</v>
      </c>
      <c r="C48" t="str">
        <f>IFERROR(INDEX(자료실범례[],MATCH($B48,자료실범례[소장처명],0),2),"종합자료실")</f>
        <v>어린이자료실</v>
      </c>
      <c r="D48" t="s">
        <v>31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3</v>
      </c>
      <c r="N48">
        <v>0</v>
      </c>
      <c r="O48">
        <v>0</v>
      </c>
      <c r="P48">
        <v>4</v>
      </c>
    </row>
    <row r="49" spans="1:16" x14ac:dyDescent="0.3">
      <c r="A49" s="1">
        <v>45292</v>
      </c>
      <c r="B49" t="s">
        <v>12</v>
      </c>
      <c r="C49" t="str">
        <f>IFERROR(INDEX(자료실범례[],MATCH($B49,자료실범례[소장처명],0),2),"종합자료실")</f>
        <v>어린이자료실</v>
      </c>
      <c r="D49" t="s">
        <v>28</v>
      </c>
      <c r="E49">
        <v>0</v>
      </c>
      <c r="F49">
        <v>0</v>
      </c>
      <c r="G49">
        <v>0</v>
      </c>
      <c r="H49">
        <v>3</v>
      </c>
      <c r="I49">
        <v>1</v>
      </c>
      <c r="J49">
        <v>3</v>
      </c>
      <c r="K49">
        <v>0</v>
      </c>
      <c r="L49">
        <v>0</v>
      </c>
      <c r="M49">
        <v>7</v>
      </c>
      <c r="N49">
        <v>2</v>
      </c>
      <c r="O49">
        <v>0</v>
      </c>
      <c r="P49">
        <v>16</v>
      </c>
    </row>
    <row r="50" spans="1:16" x14ac:dyDescent="0.3">
      <c r="A50" s="1">
        <v>45292</v>
      </c>
      <c r="B50" t="s">
        <v>12</v>
      </c>
      <c r="C50" t="str">
        <f>IFERROR(INDEX(자료실범례[],MATCH($B50,자료실범례[소장처명],0),2),"종합자료실")</f>
        <v>어린이자료실</v>
      </c>
      <c r="D50" t="s">
        <v>25</v>
      </c>
      <c r="E50">
        <v>0</v>
      </c>
      <c r="F50">
        <v>1</v>
      </c>
      <c r="G50">
        <v>0</v>
      </c>
      <c r="H50">
        <v>3</v>
      </c>
      <c r="I50">
        <v>1</v>
      </c>
      <c r="J50">
        <v>4</v>
      </c>
      <c r="K50">
        <v>0</v>
      </c>
      <c r="L50">
        <v>0</v>
      </c>
      <c r="M50">
        <v>11</v>
      </c>
      <c r="N50">
        <v>2</v>
      </c>
      <c r="O50">
        <v>0</v>
      </c>
      <c r="P50">
        <v>22</v>
      </c>
    </row>
    <row r="51" spans="1:16" x14ac:dyDescent="0.3">
      <c r="A51" s="1">
        <v>45292</v>
      </c>
      <c r="B51" t="s">
        <v>0</v>
      </c>
      <c r="C51" t="str">
        <f>IFERROR(INDEX(자료실범례[],MATCH($B51,자료실범례[소장처명],0),2),"종합자료실")</f>
        <v>어린이자료실</v>
      </c>
      <c r="D51" t="s">
        <v>28</v>
      </c>
      <c r="E51">
        <v>0</v>
      </c>
      <c r="F51">
        <v>0</v>
      </c>
      <c r="G51">
        <v>0</v>
      </c>
      <c r="H51">
        <v>3</v>
      </c>
      <c r="I51">
        <v>0</v>
      </c>
      <c r="J51">
        <v>0</v>
      </c>
      <c r="K51">
        <v>0</v>
      </c>
      <c r="L51">
        <v>14</v>
      </c>
      <c r="M51">
        <v>30</v>
      </c>
      <c r="N51">
        <v>0</v>
      </c>
      <c r="O51">
        <v>0</v>
      </c>
      <c r="P51">
        <v>47</v>
      </c>
    </row>
    <row r="52" spans="1:16" x14ac:dyDescent="0.3">
      <c r="A52" s="1">
        <v>45292</v>
      </c>
      <c r="B52" t="s">
        <v>0</v>
      </c>
      <c r="C52" t="str">
        <f>IFERROR(INDEX(자료실범례[],MATCH($B52,자료실범례[소장처명],0),2),"종합자료실")</f>
        <v>어린이자료실</v>
      </c>
      <c r="D52" t="s">
        <v>25</v>
      </c>
      <c r="E52">
        <v>0</v>
      </c>
      <c r="F52">
        <v>0</v>
      </c>
      <c r="G52">
        <v>0</v>
      </c>
      <c r="H52">
        <v>2</v>
      </c>
      <c r="I52">
        <v>0</v>
      </c>
      <c r="J52">
        <v>0</v>
      </c>
      <c r="K52">
        <v>0</v>
      </c>
      <c r="L52">
        <v>11</v>
      </c>
      <c r="M52">
        <v>19</v>
      </c>
      <c r="N52">
        <v>0</v>
      </c>
      <c r="O52">
        <v>0</v>
      </c>
      <c r="P52">
        <v>32</v>
      </c>
    </row>
    <row r="53" spans="1:16" x14ac:dyDescent="0.3">
      <c r="A53" s="1">
        <v>45292</v>
      </c>
      <c r="B53" t="s">
        <v>0</v>
      </c>
      <c r="C53" t="str">
        <f>IFERROR(INDEX(자료실범례[],MATCH($B53,자료실범례[소장처명],0),2),"종합자료실")</f>
        <v>어린이자료실</v>
      </c>
      <c r="D53" t="s">
        <v>31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18</v>
      </c>
      <c r="N53">
        <v>0</v>
      </c>
      <c r="O53">
        <v>0</v>
      </c>
      <c r="P53">
        <v>18</v>
      </c>
    </row>
    <row r="54" spans="1:16" x14ac:dyDescent="0.3">
      <c r="A54" s="1">
        <v>45292</v>
      </c>
      <c r="B54" t="s">
        <v>1</v>
      </c>
      <c r="C54" t="str">
        <f>IFERROR(INDEX(자료실범례[],MATCH($B54,자료실범례[소장처명],0),2),"종합자료실")</f>
        <v>어린이자료실</v>
      </c>
      <c r="D54" t="s">
        <v>28</v>
      </c>
      <c r="E54">
        <v>0</v>
      </c>
      <c r="F54">
        <v>0</v>
      </c>
      <c r="G54">
        <v>0</v>
      </c>
      <c r="H54">
        <v>4</v>
      </c>
      <c r="I54">
        <v>0</v>
      </c>
      <c r="J54">
        <v>0</v>
      </c>
      <c r="K54">
        <v>0</v>
      </c>
      <c r="L54">
        <v>134</v>
      </c>
      <c r="M54">
        <v>3</v>
      </c>
      <c r="N54">
        <v>0</v>
      </c>
      <c r="O54">
        <v>0</v>
      </c>
      <c r="P54">
        <v>141</v>
      </c>
    </row>
    <row r="55" spans="1:16" x14ac:dyDescent="0.3">
      <c r="A55" s="1">
        <v>45292</v>
      </c>
      <c r="B55" t="s">
        <v>1</v>
      </c>
      <c r="C55" t="str">
        <f>IFERROR(INDEX(자료실범례[],MATCH($B55,자료실범례[소장처명],0),2),"종합자료실")</f>
        <v>어린이자료실</v>
      </c>
      <c r="D55" t="s">
        <v>25</v>
      </c>
      <c r="E55">
        <v>0</v>
      </c>
      <c r="F55">
        <v>0</v>
      </c>
      <c r="G55">
        <v>0</v>
      </c>
      <c r="H55">
        <v>4</v>
      </c>
      <c r="I55">
        <v>0</v>
      </c>
      <c r="J55">
        <v>0</v>
      </c>
      <c r="K55">
        <v>0</v>
      </c>
      <c r="L55">
        <v>105</v>
      </c>
      <c r="M55">
        <v>1</v>
      </c>
      <c r="N55">
        <v>0</v>
      </c>
      <c r="O55">
        <v>0</v>
      </c>
      <c r="P55">
        <v>110</v>
      </c>
    </row>
    <row r="56" spans="1:16" x14ac:dyDescent="0.3">
      <c r="A56" s="1">
        <v>45292</v>
      </c>
      <c r="B56" t="s">
        <v>1</v>
      </c>
      <c r="C56" t="str">
        <f>IFERROR(INDEX(자료실범례[],MATCH($B56,자료실범례[소장처명],0),2),"종합자료실")</f>
        <v>어린이자료실</v>
      </c>
      <c r="D56" t="s">
        <v>31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38</v>
      </c>
      <c r="M56">
        <v>0</v>
      </c>
      <c r="N56">
        <v>0</v>
      </c>
      <c r="O56">
        <v>0</v>
      </c>
      <c r="P56">
        <v>38</v>
      </c>
    </row>
    <row r="57" spans="1:16" x14ac:dyDescent="0.3">
      <c r="A57" s="1">
        <v>45292</v>
      </c>
      <c r="B57" t="s">
        <v>6</v>
      </c>
      <c r="C57" t="str">
        <f>IFERROR(INDEX(자료실범례[],MATCH($B57,자료실범례[소장처명],0),2),"종합자료실")</f>
        <v>종합자료실</v>
      </c>
      <c r="D57" t="s">
        <v>28</v>
      </c>
      <c r="E57">
        <v>3</v>
      </c>
      <c r="F57">
        <v>3</v>
      </c>
      <c r="G57">
        <v>1</v>
      </c>
      <c r="H57">
        <v>3</v>
      </c>
      <c r="I57">
        <v>4</v>
      </c>
      <c r="J57">
        <v>4</v>
      </c>
      <c r="K57">
        <v>2</v>
      </c>
      <c r="L57">
        <v>0</v>
      </c>
      <c r="M57">
        <v>21</v>
      </c>
      <c r="N57">
        <v>12</v>
      </c>
      <c r="O57">
        <v>0</v>
      </c>
      <c r="P57">
        <v>53</v>
      </c>
    </row>
    <row r="58" spans="1:16" x14ac:dyDescent="0.3">
      <c r="A58" s="1">
        <v>45292</v>
      </c>
      <c r="B58" t="s">
        <v>6</v>
      </c>
      <c r="C58" t="str">
        <f>IFERROR(INDEX(자료실범례[],MATCH($B58,자료실범례[소장처명],0),2),"종합자료실")</f>
        <v>종합자료실</v>
      </c>
      <c r="D58" t="s">
        <v>25</v>
      </c>
      <c r="E58">
        <v>1</v>
      </c>
      <c r="F58">
        <v>3</v>
      </c>
      <c r="G58">
        <v>1</v>
      </c>
      <c r="H58">
        <v>2</v>
      </c>
      <c r="I58">
        <v>4</v>
      </c>
      <c r="J58">
        <v>4</v>
      </c>
      <c r="K58">
        <v>1</v>
      </c>
      <c r="L58">
        <v>0</v>
      </c>
      <c r="M58">
        <v>19</v>
      </c>
      <c r="N58">
        <v>8</v>
      </c>
      <c r="O58">
        <v>0</v>
      </c>
      <c r="P58">
        <v>43</v>
      </c>
    </row>
    <row r="59" spans="1:16" x14ac:dyDescent="0.3">
      <c r="A59" s="1">
        <v>45292</v>
      </c>
      <c r="B59" t="s">
        <v>6</v>
      </c>
      <c r="C59" t="str">
        <f>IFERROR(INDEX(자료실범례[],MATCH($B59,자료실범례[소장처명],0),2),"종합자료실")</f>
        <v>종합자료실</v>
      </c>
      <c r="D59" t="s">
        <v>31</v>
      </c>
      <c r="E59">
        <v>0</v>
      </c>
      <c r="F59">
        <v>0</v>
      </c>
      <c r="G59">
        <v>0</v>
      </c>
      <c r="H59">
        <v>1</v>
      </c>
      <c r="I59">
        <v>1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3</v>
      </c>
    </row>
    <row r="60" spans="1:16" x14ac:dyDescent="0.3">
      <c r="A60" s="1">
        <v>45292</v>
      </c>
      <c r="B60" t="s">
        <v>18</v>
      </c>
      <c r="C60" t="str">
        <f>IFERROR(INDEX(자료실범례[],MATCH($B60,자료실범례[소장처명],0),2),"종합자료실")</f>
        <v>종합자료실</v>
      </c>
      <c r="D60" t="s">
        <v>28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10</v>
      </c>
      <c r="P60">
        <v>10</v>
      </c>
    </row>
    <row r="61" spans="1:16" x14ac:dyDescent="0.3">
      <c r="A61" s="1">
        <v>45292</v>
      </c>
      <c r="B61" t="s">
        <v>18</v>
      </c>
      <c r="C61" t="str">
        <f>IFERROR(INDEX(자료실범례[],MATCH($B61,자료실범례[소장처명],0),2),"종합자료실")</f>
        <v>종합자료실</v>
      </c>
      <c r="D61" t="s">
        <v>25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7</v>
      </c>
      <c r="P61">
        <v>7</v>
      </c>
    </row>
    <row r="62" spans="1:16" x14ac:dyDescent="0.3">
      <c r="A62" s="1">
        <v>45292</v>
      </c>
      <c r="B62" t="s">
        <v>17</v>
      </c>
      <c r="C62" t="str">
        <f>IFERROR(INDEX(자료실범례[],MATCH($B62,자료실범례[소장처명],0),2),"종합자료실")</f>
        <v>어린이자료실</v>
      </c>
      <c r="D62" t="s">
        <v>28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12</v>
      </c>
      <c r="P62">
        <v>12</v>
      </c>
    </row>
    <row r="63" spans="1:16" x14ac:dyDescent="0.3">
      <c r="A63" s="1">
        <v>45292</v>
      </c>
      <c r="B63" t="s">
        <v>17</v>
      </c>
      <c r="C63" t="str">
        <f>IFERROR(INDEX(자료실범례[],MATCH($B63,자료실범례[소장처명],0),2),"종합자료실")</f>
        <v>어린이자료실</v>
      </c>
      <c r="D63" t="s">
        <v>25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13</v>
      </c>
      <c r="P63">
        <v>13</v>
      </c>
    </row>
    <row r="64" spans="1:16" x14ac:dyDescent="0.3">
      <c r="A64" s="1">
        <v>45292</v>
      </c>
      <c r="B64" t="s">
        <v>17</v>
      </c>
      <c r="C64" t="str">
        <f>IFERROR(INDEX(자료실범례[],MATCH($B64,자료실범례[소장처명],0),2),"종합자료실")</f>
        <v>어린이자료실</v>
      </c>
      <c r="D64" t="s">
        <v>31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1</v>
      </c>
    </row>
    <row r="65" spans="1:16" x14ac:dyDescent="0.3">
      <c r="A65" s="1">
        <v>44927</v>
      </c>
      <c r="B65" t="s">
        <v>24</v>
      </c>
      <c r="C65" t="str">
        <f>IFERROR(INDEX(자료실범례[],MATCH($B65,자료실범례[소장처명],0),2),"종합자료실")</f>
        <v>종합자료실</v>
      </c>
      <c r="D65" t="s">
        <v>28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1</v>
      </c>
    </row>
    <row r="66" spans="1:16" x14ac:dyDescent="0.3">
      <c r="A66" s="1">
        <v>44927</v>
      </c>
      <c r="B66" t="s">
        <v>24</v>
      </c>
      <c r="C66" t="str">
        <f>IFERROR(INDEX(자료실범례[],MATCH($B66,자료실범례[소장처명],0),2),"종합자료실")</f>
        <v>종합자료실</v>
      </c>
      <c r="D66" t="s">
        <v>25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1</v>
      </c>
    </row>
    <row r="67" spans="1:16" x14ac:dyDescent="0.3">
      <c r="A67" s="1">
        <v>44927</v>
      </c>
      <c r="B67" t="s">
        <v>24</v>
      </c>
      <c r="C67" t="str">
        <f>IFERROR(INDEX(자료실범례[],MATCH($B67,자료실범례[소장처명],0),2),"종합자료실")</f>
        <v>종합자료실</v>
      </c>
      <c r="D67" t="s">
        <v>31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</v>
      </c>
      <c r="N67">
        <v>0</v>
      </c>
      <c r="O67">
        <v>0</v>
      </c>
      <c r="P67">
        <v>4</v>
      </c>
    </row>
    <row r="68" spans="1:16" x14ac:dyDescent="0.3">
      <c r="A68" s="1">
        <v>44927</v>
      </c>
      <c r="B68" t="s">
        <v>21</v>
      </c>
      <c r="C68" t="str">
        <f>IFERROR(INDEX(자료실범례[],MATCH($B68,자료실범례[소장처명],0),2),"종합자료실")</f>
        <v>종합자료실</v>
      </c>
      <c r="D68" t="s">
        <v>28</v>
      </c>
      <c r="E68">
        <v>86</v>
      </c>
      <c r="F68">
        <v>161</v>
      </c>
      <c r="G68">
        <v>24</v>
      </c>
      <c r="H68">
        <v>301</v>
      </c>
      <c r="I68">
        <v>67</v>
      </c>
      <c r="J68">
        <v>136</v>
      </c>
      <c r="K68">
        <v>61</v>
      </c>
      <c r="L68">
        <v>43</v>
      </c>
      <c r="M68">
        <v>681</v>
      </c>
      <c r="N68">
        <v>66</v>
      </c>
      <c r="O68">
        <v>0</v>
      </c>
      <c r="P68">
        <v>1626</v>
      </c>
    </row>
    <row r="69" spans="1:16" x14ac:dyDescent="0.3">
      <c r="A69" s="1">
        <v>44927</v>
      </c>
      <c r="B69" t="s">
        <v>21</v>
      </c>
      <c r="C69" t="str">
        <f>IFERROR(INDEX(자료실범례[],MATCH($B69,자료실범례[소장처명],0),2),"종합자료실")</f>
        <v>종합자료실</v>
      </c>
      <c r="D69" t="s">
        <v>25</v>
      </c>
      <c r="E69">
        <v>75</v>
      </c>
      <c r="F69">
        <v>140</v>
      </c>
      <c r="G69">
        <v>36</v>
      </c>
      <c r="H69">
        <v>321</v>
      </c>
      <c r="I69">
        <v>71</v>
      </c>
      <c r="J69">
        <v>136</v>
      </c>
      <c r="K69">
        <v>87</v>
      </c>
      <c r="L69">
        <v>30</v>
      </c>
      <c r="M69">
        <v>672</v>
      </c>
      <c r="N69">
        <v>59</v>
      </c>
      <c r="O69">
        <v>0</v>
      </c>
      <c r="P69">
        <v>1627</v>
      </c>
    </row>
    <row r="70" spans="1:16" x14ac:dyDescent="0.3">
      <c r="A70" s="1">
        <v>44927</v>
      </c>
      <c r="B70" t="s">
        <v>21</v>
      </c>
      <c r="C70" t="str">
        <f>IFERROR(INDEX(자료실범례[],MATCH($B70,자료실범례[소장처명],0),2),"종합자료실")</f>
        <v>종합자료실</v>
      </c>
      <c r="D70" t="s">
        <v>31</v>
      </c>
      <c r="E70">
        <v>37</v>
      </c>
      <c r="F70">
        <v>61</v>
      </c>
      <c r="G70">
        <v>11</v>
      </c>
      <c r="H70">
        <v>119</v>
      </c>
      <c r="I70">
        <v>22</v>
      </c>
      <c r="J70">
        <v>56</v>
      </c>
      <c r="K70">
        <v>24</v>
      </c>
      <c r="L70">
        <v>14</v>
      </c>
      <c r="M70">
        <v>185</v>
      </c>
      <c r="N70">
        <v>32</v>
      </c>
      <c r="O70">
        <v>0</v>
      </c>
      <c r="P70">
        <v>561</v>
      </c>
    </row>
    <row r="71" spans="1:16" x14ac:dyDescent="0.3">
      <c r="A71" s="1">
        <v>44927</v>
      </c>
      <c r="B71" t="s">
        <v>16</v>
      </c>
      <c r="C71" t="str">
        <f>IFERROR(INDEX(자료실범례[],MATCH($B71,자료실범례[소장처명],0),2),"종합자료실")</f>
        <v>어린이자료실</v>
      </c>
      <c r="D71" t="s">
        <v>28</v>
      </c>
      <c r="E71">
        <v>20</v>
      </c>
      <c r="F71">
        <v>12</v>
      </c>
      <c r="G71">
        <v>3</v>
      </c>
      <c r="H71">
        <v>109</v>
      </c>
      <c r="I71">
        <v>111</v>
      </c>
      <c r="J71">
        <v>41</v>
      </c>
      <c r="K71">
        <v>31</v>
      </c>
      <c r="L71">
        <v>21</v>
      </c>
      <c r="M71">
        <v>1194</v>
      </c>
      <c r="N71">
        <v>51</v>
      </c>
      <c r="O71">
        <v>0</v>
      </c>
      <c r="P71">
        <v>1593</v>
      </c>
    </row>
    <row r="72" spans="1:16" x14ac:dyDescent="0.3">
      <c r="A72" s="1">
        <v>44927</v>
      </c>
      <c r="B72" t="s">
        <v>16</v>
      </c>
      <c r="C72" t="str">
        <f>IFERROR(INDEX(자료실범례[],MATCH($B72,자료실범례[소장처명],0),2),"종합자료실")</f>
        <v>어린이자료실</v>
      </c>
      <c r="D72" t="s">
        <v>25</v>
      </c>
      <c r="E72">
        <v>24</v>
      </c>
      <c r="F72">
        <v>17</v>
      </c>
      <c r="G72">
        <v>3</v>
      </c>
      <c r="H72">
        <v>103</v>
      </c>
      <c r="I72">
        <v>142</v>
      </c>
      <c r="J72">
        <v>38</v>
      </c>
      <c r="K72">
        <v>34</v>
      </c>
      <c r="L72">
        <v>19</v>
      </c>
      <c r="M72">
        <v>1139</v>
      </c>
      <c r="N72">
        <v>61</v>
      </c>
      <c r="O72">
        <v>0</v>
      </c>
      <c r="P72">
        <v>1580</v>
      </c>
    </row>
    <row r="73" spans="1:16" x14ac:dyDescent="0.3">
      <c r="A73" s="1">
        <v>44927</v>
      </c>
      <c r="B73" t="s">
        <v>16</v>
      </c>
      <c r="C73" t="str">
        <f>IFERROR(INDEX(자료실범례[],MATCH($B73,자료실범례[소장처명],0),2),"종합자료실")</f>
        <v>어린이자료실</v>
      </c>
      <c r="D73" t="s">
        <v>31</v>
      </c>
      <c r="E73">
        <v>8</v>
      </c>
      <c r="F73">
        <v>1</v>
      </c>
      <c r="G73">
        <v>1</v>
      </c>
      <c r="H73">
        <v>11</v>
      </c>
      <c r="I73">
        <v>31</v>
      </c>
      <c r="J73">
        <v>13</v>
      </c>
      <c r="K73">
        <v>6</v>
      </c>
      <c r="L73">
        <v>1</v>
      </c>
      <c r="M73">
        <v>272</v>
      </c>
      <c r="N73">
        <v>22</v>
      </c>
      <c r="O73">
        <v>0</v>
      </c>
      <c r="P73">
        <v>366</v>
      </c>
    </row>
    <row r="74" spans="1:16" x14ac:dyDescent="0.3">
      <c r="A74" s="1">
        <v>44927</v>
      </c>
      <c r="B74" t="s">
        <v>2</v>
      </c>
      <c r="C74" t="str">
        <f>IFERROR(INDEX(자료실범례[],MATCH($B74,자료실범례[소장처명],0),2),"종합자료실")</f>
        <v>디지털자료실</v>
      </c>
      <c r="D74" t="s">
        <v>28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21</v>
      </c>
      <c r="L74">
        <v>0</v>
      </c>
      <c r="M74">
        <v>0</v>
      </c>
      <c r="N74">
        <v>0</v>
      </c>
      <c r="O74">
        <v>0</v>
      </c>
      <c r="P74">
        <v>21</v>
      </c>
    </row>
    <row r="75" spans="1:16" x14ac:dyDescent="0.3">
      <c r="A75" s="1">
        <v>44927</v>
      </c>
      <c r="B75" t="s">
        <v>2</v>
      </c>
      <c r="C75" t="str">
        <f>IFERROR(INDEX(자료실범례[],MATCH($B75,자료실범례[소장처명],0),2),"종합자료실")</f>
        <v>디지털자료실</v>
      </c>
      <c r="D75" t="s">
        <v>25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20</v>
      </c>
      <c r="L75">
        <v>0</v>
      </c>
      <c r="M75">
        <v>0</v>
      </c>
      <c r="N75">
        <v>0</v>
      </c>
      <c r="O75">
        <v>0</v>
      </c>
      <c r="P75">
        <v>20</v>
      </c>
    </row>
    <row r="76" spans="1:16" x14ac:dyDescent="0.3">
      <c r="A76" s="1">
        <v>44927</v>
      </c>
      <c r="B76" t="s">
        <v>13</v>
      </c>
      <c r="C76" t="str">
        <f>IFERROR(INDEX(자료실범례[],MATCH($B76,자료실범례[소장처명],0),2),"종합자료실")</f>
        <v>어린이자료실</v>
      </c>
      <c r="D76" t="s">
        <v>28</v>
      </c>
      <c r="E76">
        <v>0</v>
      </c>
      <c r="F76">
        <v>0</v>
      </c>
      <c r="G76">
        <v>0</v>
      </c>
      <c r="H76">
        <v>2</v>
      </c>
      <c r="I76">
        <v>0</v>
      </c>
      <c r="J76">
        <v>0</v>
      </c>
      <c r="K76">
        <v>0</v>
      </c>
      <c r="L76">
        <v>0</v>
      </c>
      <c r="M76">
        <v>10</v>
      </c>
      <c r="N76">
        <v>0</v>
      </c>
      <c r="O76">
        <v>0</v>
      </c>
      <c r="P76">
        <v>12</v>
      </c>
    </row>
    <row r="77" spans="1:16" x14ac:dyDescent="0.3">
      <c r="A77" s="1">
        <v>44927</v>
      </c>
      <c r="B77" t="s">
        <v>13</v>
      </c>
      <c r="C77" t="str">
        <f>IFERROR(INDEX(자료실범례[],MATCH($B77,자료실범례[소장처명],0),2),"종합자료실")</f>
        <v>어린이자료실</v>
      </c>
      <c r="D77" t="s">
        <v>25</v>
      </c>
      <c r="E77">
        <v>0</v>
      </c>
      <c r="F77">
        <v>0</v>
      </c>
      <c r="G77">
        <v>0</v>
      </c>
      <c r="H77">
        <v>3</v>
      </c>
      <c r="I77">
        <v>0</v>
      </c>
      <c r="J77">
        <v>0</v>
      </c>
      <c r="K77">
        <v>0</v>
      </c>
      <c r="L77">
        <v>0</v>
      </c>
      <c r="M77">
        <v>17</v>
      </c>
      <c r="N77">
        <v>1</v>
      </c>
      <c r="O77">
        <v>0</v>
      </c>
      <c r="P77">
        <v>21</v>
      </c>
    </row>
    <row r="78" spans="1:16" x14ac:dyDescent="0.3">
      <c r="A78" s="1">
        <v>44927</v>
      </c>
      <c r="B78" t="s">
        <v>13</v>
      </c>
      <c r="C78" t="str">
        <f>IFERROR(INDEX(자료실범례[],MATCH($B78,자료실범례[소장처명],0),2),"종합자료실")</f>
        <v>어린이자료실</v>
      </c>
      <c r="D78" t="s">
        <v>31</v>
      </c>
      <c r="E78">
        <v>0</v>
      </c>
      <c r="F78">
        <v>0</v>
      </c>
      <c r="G78">
        <v>0</v>
      </c>
      <c r="H78">
        <v>2</v>
      </c>
      <c r="I78">
        <v>0</v>
      </c>
      <c r="J78">
        <v>0</v>
      </c>
      <c r="K78">
        <v>0</v>
      </c>
      <c r="L78">
        <v>0</v>
      </c>
      <c r="M78">
        <v>3</v>
      </c>
      <c r="N78">
        <v>1</v>
      </c>
      <c r="O78">
        <v>0</v>
      </c>
      <c r="P78">
        <v>6</v>
      </c>
    </row>
    <row r="79" spans="1:16" x14ac:dyDescent="0.3">
      <c r="A79" s="1">
        <v>44927</v>
      </c>
      <c r="B79" t="s">
        <v>15</v>
      </c>
      <c r="C79" t="str">
        <f>IFERROR(INDEX(자료실범례[],MATCH($B79,자료실범례[소장처명],0),2),"종합자료실")</f>
        <v>어린이자료실</v>
      </c>
      <c r="D79" t="s">
        <v>28</v>
      </c>
      <c r="E79">
        <v>6</v>
      </c>
      <c r="F79">
        <v>0</v>
      </c>
      <c r="G79">
        <v>19</v>
      </c>
      <c r="H79">
        <v>5</v>
      </c>
      <c r="I79">
        <v>207</v>
      </c>
      <c r="J79">
        <v>46</v>
      </c>
      <c r="K79">
        <v>2</v>
      </c>
      <c r="L79">
        <v>81</v>
      </c>
      <c r="M79">
        <v>52</v>
      </c>
      <c r="N79">
        <v>130</v>
      </c>
      <c r="O79">
        <v>0</v>
      </c>
      <c r="P79">
        <v>548</v>
      </c>
    </row>
    <row r="80" spans="1:16" x14ac:dyDescent="0.3">
      <c r="A80" s="1">
        <v>44927</v>
      </c>
      <c r="B80" t="s">
        <v>15</v>
      </c>
      <c r="C80" t="str">
        <f>IFERROR(INDEX(자료실범례[],MATCH($B80,자료실범례[소장처명],0),2),"종합자료실")</f>
        <v>어린이자료실</v>
      </c>
      <c r="D80" t="s">
        <v>25</v>
      </c>
      <c r="E80">
        <v>2</v>
      </c>
      <c r="F80">
        <v>0</v>
      </c>
      <c r="G80">
        <v>20</v>
      </c>
      <c r="H80">
        <v>1</v>
      </c>
      <c r="I80">
        <v>219</v>
      </c>
      <c r="J80">
        <v>25</v>
      </c>
      <c r="K80">
        <v>4</v>
      </c>
      <c r="L80">
        <v>76</v>
      </c>
      <c r="M80">
        <v>47</v>
      </c>
      <c r="N80">
        <v>123</v>
      </c>
      <c r="O80">
        <v>0</v>
      </c>
      <c r="P80">
        <v>517</v>
      </c>
    </row>
    <row r="81" spans="1:16" x14ac:dyDescent="0.3">
      <c r="A81" s="1">
        <v>44927</v>
      </c>
      <c r="B81" t="s">
        <v>15</v>
      </c>
      <c r="C81" t="str">
        <f>IFERROR(INDEX(자료실범례[],MATCH($B81,자료실범례[소장처명],0),2),"종합자료실")</f>
        <v>어린이자료실</v>
      </c>
      <c r="D81" t="s">
        <v>31</v>
      </c>
      <c r="E81">
        <v>2</v>
      </c>
      <c r="F81">
        <v>0</v>
      </c>
      <c r="G81">
        <v>0</v>
      </c>
      <c r="H81">
        <v>3</v>
      </c>
      <c r="I81">
        <v>20</v>
      </c>
      <c r="J81">
        <v>0</v>
      </c>
      <c r="K81">
        <v>2</v>
      </c>
      <c r="L81">
        <v>5</v>
      </c>
      <c r="M81">
        <v>18</v>
      </c>
      <c r="N81">
        <v>23</v>
      </c>
      <c r="O81">
        <v>0</v>
      </c>
      <c r="P81">
        <v>73</v>
      </c>
    </row>
    <row r="82" spans="1:16" x14ac:dyDescent="0.3">
      <c r="A82" s="1">
        <v>44927</v>
      </c>
      <c r="B82" t="s">
        <v>20</v>
      </c>
      <c r="C82" t="str">
        <f>IFERROR(INDEX(자료실범례[],MATCH($B82,자료실범례[소장처명],0),2),"종합자료실")</f>
        <v>종합자료실</v>
      </c>
      <c r="D82" t="s">
        <v>28</v>
      </c>
      <c r="E82">
        <v>1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3</v>
      </c>
    </row>
    <row r="83" spans="1:16" x14ac:dyDescent="0.3">
      <c r="A83" s="1">
        <v>44927</v>
      </c>
      <c r="B83" t="s">
        <v>20</v>
      </c>
      <c r="C83" t="str">
        <f>IFERROR(INDEX(자료실범례[],MATCH($B83,자료실범례[소장처명],0),2),"종합자료실")</f>
        <v>종합자료실</v>
      </c>
      <c r="D83" t="s">
        <v>25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2</v>
      </c>
    </row>
    <row r="84" spans="1:16" x14ac:dyDescent="0.3">
      <c r="A84" s="1">
        <v>44927</v>
      </c>
      <c r="B84" t="s">
        <v>3</v>
      </c>
      <c r="C84" t="str">
        <f>IFERROR(INDEX(자료실범례[],MATCH($B84,자료실범례[소장처명],0),2),"종합자료실")</f>
        <v>디지털자료실</v>
      </c>
      <c r="D84" t="s">
        <v>28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3</v>
      </c>
      <c r="L84">
        <v>0</v>
      </c>
      <c r="M84">
        <v>0</v>
      </c>
      <c r="N84">
        <v>0</v>
      </c>
      <c r="O84">
        <v>0</v>
      </c>
      <c r="P84">
        <v>3</v>
      </c>
    </row>
    <row r="85" spans="1:16" x14ac:dyDescent="0.3">
      <c r="A85" s="1">
        <v>44927</v>
      </c>
      <c r="B85" t="s">
        <v>3</v>
      </c>
      <c r="C85" t="str">
        <f>IFERROR(INDEX(자료실범례[],MATCH($B85,자료실범례[소장처명],0),2),"종합자료실")</f>
        <v>디지털자료실</v>
      </c>
      <c r="D85" t="s">
        <v>25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1</v>
      </c>
    </row>
    <row r="86" spans="1:16" x14ac:dyDescent="0.3">
      <c r="A86" s="1">
        <v>44927</v>
      </c>
      <c r="B86" t="s">
        <v>4</v>
      </c>
      <c r="C86" t="str">
        <f>IFERROR(INDEX(자료실범례[],MATCH($B86,자료실범례[소장처명],0),2),"종합자료실")</f>
        <v>어린이자료실</v>
      </c>
      <c r="D86" t="s">
        <v>28</v>
      </c>
      <c r="E86">
        <v>0</v>
      </c>
      <c r="F86">
        <v>0</v>
      </c>
      <c r="G86">
        <v>0</v>
      </c>
      <c r="H86">
        <v>7</v>
      </c>
      <c r="I86">
        <v>1</v>
      </c>
      <c r="J86">
        <v>2</v>
      </c>
      <c r="K86">
        <v>0</v>
      </c>
      <c r="L86">
        <v>1</v>
      </c>
      <c r="M86">
        <v>17</v>
      </c>
      <c r="N86">
        <v>0</v>
      </c>
      <c r="O86">
        <v>0</v>
      </c>
      <c r="P86">
        <v>28</v>
      </c>
    </row>
    <row r="87" spans="1:16" x14ac:dyDescent="0.3">
      <c r="A87" s="1">
        <v>44927</v>
      </c>
      <c r="B87" t="s">
        <v>4</v>
      </c>
      <c r="C87" t="str">
        <f>IFERROR(INDEX(자료실범례[],MATCH($B87,자료실범례[소장처명],0),2),"종합자료실")</f>
        <v>어린이자료실</v>
      </c>
      <c r="D87" t="s">
        <v>25</v>
      </c>
      <c r="E87">
        <v>0</v>
      </c>
      <c r="F87">
        <v>0</v>
      </c>
      <c r="G87">
        <v>0</v>
      </c>
      <c r="H87">
        <v>5</v>
      </c>
      <c r="I87">
        <v>2</v>
      </c>
      <c r="J87">
        <v>2</v>
      </c>
      <c r="K87">
        <v>0</v>
      </c>
      <c r="L87">
        <v>1</v>
      </c>
      <c r="M87">
        <v>15</v>
      </c>
      <c r="N87">
        <v>1</v>
      </c>
      <c r="O87">
        <v>0</v>
      </c>
      <c r="P87">
        <v>26</v>
      </c>
    </row>
    <row r="88" spans="1:16" x14ac:dyDescent="0.3">
      <c r="A88" s="1">
        <v>44927</v>
      </c>
      <c r="B88" t="s">
        <v>4</v>
      </c>
      <c r="C88" t="str">
        <f>IFERROR(INDEX(자료실범례[],MATCH($B88,자료실범례[소장처명],0),2),"종합자료실")</f>
        <v>어린이자료실</v>
      </c>
      <c r="D88" t="s">
        <v>31</v>
      </c>
      <c r="E88">
        <v>0</v>
      </c>
      <c r="F88">
        <v>0</v>
      </c>
      <c r="G88">
        <v>0</v>
      </c>
      <c r="H88">
        <v>2</v>
      </c>
      <c r="I88">
        <v>1</v>
      </c>
      <c r="J88">
        <v>0</v>
      </c>
      <c r="K88">
        <v>0</v>
      </c>
      <c r="L88">
        <v>0</v>
      </c>
      <c r="M88">
        <v>4</v>
      </c>
      <c r="N88">
        <v>0</v>
      </c>
      <c r="O88">
        <v>0</v>
      </c>
      <c r="P88">
        <v>7</v>
      </c>
    </row>
    <row r="89" spans="1:16" x14ac:dyDescent="0.3">
      <c r="A89" s="1">
        <v>44927</v>
      </c>
      <c r="B89" t="s">
        <v>5</v>
      </c>
      <c r="C89" t="str">
        <f>IFERROR(INDEX(자료실범례[],MATCH($B89,자료실범례[소장처명],0),2),"종합자료실")</f>
        <v>종합자료실</v>
      </c>
      <c r="D89" t="s">
        <v>28</v>
      </c>
      <c r="E89">
        <v>0</v>
      </c>
      <c r="F89">
        <v>6</v>
      </c>
      <c r="G89">
        <v>3</v>
      </c>
      <c r="H89">
        <v>7</v>
      </c>
      <c r="I89">
        <v>0</v>
      </c>
      <c r="J89">
        <v>3</v>
      </c>
      <c r="K89">
        <v>3</v>
      </c>
      <c r="L89">
        <v>0</v>
      </c>
      <c r="M89">
        <v>5</v>
      </c>
      <c r="N89">
        <v>0</v>
      </c>
      <c r="O89">
        <v>0</v>
      </c>
      <c r="P89">
        <v>27</v>
      </c>
    </row>
    <row r="90" spans="1:16" x14ac:dyDescent="0.3">
      <c r="A90" s="1">
        <v>44927</v>
      </c>
      <c r="B90" t="s">
        <v>5</v>
      </c>
      <c r="C90" t="str">
        <f>IFERROR(INDEX(자료실범례[],MATCH($B90,자료실범례[소장처명],0),2),"종합자료실")</f>
        <v>종합자료실</v>
      </c>
      <c r="D90" t="s">
        <v>25</v>
      </c>
      <c r="E90">
        <v>0</v>
      </c>
      <c r="F90">
        <v>2</v>
      </c>
      <c r="G90">
        <v>1</v>
      </c>
      <c r="H90">
        <v>9</v>
      </c>
      <c r="I90">
        <v>0</v>
      </c>
      <c r="J90">
        <v>2</v>
      </c>
      <c r="K90">
        <v>1</v>
      </c>
      <c r="L90">
        <v>0</v>
      </c>
      <c r="M90">
        <v>10</v>
      </c>
      <c r="N90">
        <v>0</v>
      </c>
      <c r="O90">
        <v>0</v>
      </c>
      <c r="P90">
        <v>25</v>
      </c>
    </row>
    <row r="91" spans="1:16" x14ac:dyDescent="0.3">
      <c r="A91" s="1">
        <v>44927</v>
      </c>
      <c r="B91" t="s">
        <v>5</v>
      </c>
      <c r="C91" t="str">
        <f>IFERROR(INDEX(자료실범례[],MATCH($B91,자료실범례[소장처명],0),2),"종합자료실")</f>
        <v>종합자료실</v>
      </c>
      <c r="D91" t="s">
        <v>31</v>
      </c>
      <c r="E91">
        <v>0</v>
      </c>
      <c r="F91">
        <v>2</v>
      </c>
      <c r="G91">
        <v>2</v>
      </c>
      <c r="H91">
        <v>1</v>
      </c>
      <c r="I91">
        <v>0</v>
      </c>
      <c r="J91">
        <v>0</v>
      </c>
      <c r="K91">
        <v>2</v>
      </c>
      <c r="L91">
        <v>0</v>
      </c>
      <c r="M91">
        <v>1</v>
      </c>
      <c r="N91">
        <v>0</v>
      </c>
      <c r="O91">
        <v>0</v>
      </c>
      <c r="P91">
        <v>8</v>
      </c>
    </row>
    <row r="92" spans="1:16" x14ac:dyDescent="0.3">
      <c r="A92" s="1">
        <v>44927</v>
      </c>
      <c r="B92" t="s">
        <v>7</v>
      </c>
      <c r="C92" t="str">
        <f>IFERROR(INDEX(자료실범례[],MATCH($B92,자료실범례[소장처명],0),2),"종합자료실")</f>
        <v>어린이자료실</v>
      </c>
      <c r="D92" t="s">
        <v>28</v>
      </c>
      <c r="E92">
        <v>0</v>
      </c>
      <c r="F92">
        <v>2</v>
      </c>
      <c r="G92">
        <v>0</v>
      </c>
      <c r="H92">
        <v>2</v>
      </c>
      <c r="I92">
        <v>1</v>
      </c>
      <c r="J92">
        <v>2</v>
      </c>
      <c r="K92">
        <v>0</v>
      </c>
      <c r="L92">
        <v>1</v>
      </c>
      <c r="M92">
        <v>38</v>
      </c>
      <c r="N92">
        <v>1</v>
      </c>
      <c r="O92">
        <v>0</v>
      </c>
      <c r="P92">
        <v>47</v>
      </c>
    </row>
    <row r="93" spans="1:16" x14ac:dyDescent="0.3">
      <c r="A93" s="1">
        <v>44927</v>
      </c>
      <c r="B93" t="s">
        <v>7</v>
      </c>
      <c r="C93" t="str">
        <f>IFERROR(INDEX(자료실범례[],MATCH($B93,자료실범례[소장처명],0),2),"종합자료실")</f>
        <v>어린이자료실</v>
      </c>
      <c r="D93" t="s">
        <v>25</v>
      </c>
      <c r="E93">
        <v>0</v>
      </c>
      <c r="F93">
        <v>0</v>
      </c>
      <c r="G93">
        <v>0</v>
      </c>
      <c r="H93">
        <v>10</v>
      </c>
      <c r="I93">
        <v>1</v>
      </c>
      <c r="J93">
        <v>2</v>
      </c>
      <c r="K93">
        <v>0</v>
      </c>
      <c r="L93">
        <v>0</v>
      </c>
      <c r="M93">
        <v>25</v>
      </c>
      <c r="N93">
        <v>0</v>
      </c>
      <c r="O93">
        <v>0</v>
      </c>
      <c r="P93">
        <v>38</v>
      </c>
    </row>
    <row r="94" spans="1:16" x14ac:dyDescent="0.3">
      <c r="A94" s="1">
        <v>44927</v>
      </c>
      <c r="B94" t="s">
        <v>7</v>
      </c>
      <c r="C94" t="str">
        <f>IFERROR(INDEX(자료실범례[],MATCH($B94,자료실범례[소장처명],0),2),"종합자료실")</f>
        <v>어린이자료실</v>
      </c>
      <c r="D94" t="s">
        <v>31</v>
      </c>
      <c r="E94">
        <v>0</v>
      </c>
      <c r="F94">
        <v>1</v>
      </c>
      <c r="G94">
        <v>0</v>
      </c>
      <c r="H94">
        <v>1</v>
      </c>
      <c r="I94">
        <v>0</v>
      </c>
      <c r="J94">
        <v>1</v>
      </c>
      <c r="K94">
        <v>0</v>
      </c>
      <c r="L94">
        <v>1</v>
      </c>
      <c r="M94">
        <v>20</v>
      </c>
      <c r="N94">
        <v>1</v>
      </c>
      <c r="O94">
        <v>0</v>
      </c>
      <c r="P94">
        <v>25</v>
      </c>
    </row>
    <row r="95" spans="1:16" x14ac:dyDescent="0.3">
      <c r="A95" s="1">
        <v>44927</v>
      </c>
      <c r="B95" t="s">
        <v>8</v>
      </c>
      <c r="C95" t="str">
        <f>IFERROR(INDEX(자료실범례[],MATCH($B95,자료실범례[소장처명],0),2),"종합자료실")</f>
        <v>어린이자료실</v>
      </c>
      <c r="D95" t="s">
        <v>28</v>
      </c>
      <c r="E95">
        <v>0</v>
      </c>
      <c r="F95">
        <v>1</v>
      </c>
      <c r="G95">
        <v>0</v>
      </c>
      <c r="H95">
        <v>5</v>
      </c>
      <c r="I95">
        <v>0</v>
      </c>
      <c r="J95">
        <v>0</v>
      </c>
      <c r="K95">
        <v>0</v>
      </c>
      <c r="L95">
        <v>0</v>
      </c>
      <c r="M95">
        <v>53</v>
      </c>
      <c r="N95">
        <v>1</v>
      </c>
      <c r="O95">
        <v>0</v>
      </c>
      <c r="P95">
        <v>60</v>
      </c>
    </row>
    <row r="96" spans="1:16" x14ac:dyDescent="0.3">
      <c r="A96" s="1">
        <v>44927</v>
      </c>
      <c r="B96" t="s">
        <v>8</v>
      </c>
      <c r="C96" t="str">
        <f>IFERROR(INDEX(자료실범례[],MATCH($B96,자료실범례[소장처명],0),2),"종합자료실")</f>
        <v>어린이자료실</v>
      </c>
      <c r="D96" t="s">
        <v>25</v>
      </c>
      <c r="E96">
        <v>0</v>
      </c>
      <c r="F96">
        <v>0</v>
      </c>
      <c r="G96">
        <v>0</v>
      </c>
      <c r="H96">
        <v>4</v>
      </c>
      <c r="I96">
        <v>1</v>
      </c>
      <c r="J96">
        <v>0</v>
      </c>
      <c r="K96">
        <v>0</v>
      </c>
      <c r="L96">
        <v>0</v>
      </c>
      <c r="M96">
        <v>40</v>
      </c>
      <c r="N96">
        <v>1</v>
      </c>
      <c r="O96">
        <v>0</v>
      </c>
      <c r="P96">
        <v>46</v>
      </c>
    </row>
    <row r="97" spans="1:16" x14ac:dyDescent="0.3">
      <c r="A97" s="1">
        <v>44927</v>
      </c>
      <c r="B97" t="s">
        <v>8</v>
      </c>
      <c r="C97" t="str">
        <f>IFERROR(INDEX(자료실범례[],MATCH($B97,자료실범례[소장처명],0),2),"종합자료실")</f>
        <v>어린이자료실</v>
      </c>
      <c r="D97" t="s">
        <v>31</v>
      </c>
      <c r="E97">
        <v>0</v>
      </c>
      <c r="F97">
        <v>1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16</v>
      </c>
      <c r="N97">
        <v>0</v>
      </c>
      <c r="O97">
        <v>0</v>
      </c>
      <c r="P97">
        <v>18</v>
      </c>
    </row>
    <row r="98" spans="1:16" x14ac:dyDescent="0.3">
      <c r="A98" s="1">
        <v>44927</v>
      </c>
      <c r="B98" t="s">
        <v>9</v>
      </c>
      <c r="C98" t="str">
        <f>IFERROR(INDEX(자료실범례[],MATCH($B98,자료실범례[소장처명],0),2),"종합자료실")</f>
        <v>어린이자료실</v>
      </c>
      <c r="D98" t="s">
        <v>28</v>
      </c>
      <c r="E98">
        <v>0</v>
      </c>
      <c r="F98">
        <v>1</v>
      </c>
      <c r="G98">
        <v>1</v>
      </c>
      <c r="H98">
        <v>10</v>
      </c>
      <c r="I98">
        <v>2</v>
      </c>
      <c r="J98">
        <v>1</v>
      </c>
      <c r="K98">
        <v>0</v>
      </c>
      <c r="L98">
        <v>0</v>
      </c>
      <c r="M98">
        <v>17</v>
      </c>
      <c r="N98">
        <v>0</v>
      </c>
      <c r="O98">
        <v>0</v>
      </c>
      <c r="P98">
        <v>32</v>
      </c>
    </row>
    <row r="99" spans="1:16" x14ac:dyDescent="0.3">
      <c r="A99" s="1">
        <v>44927</v>
      </c>
      <c r="B99" t="s">
        <v>9</v>
      </c>
      <c r="C99" t="str">
        <f>IFERROR(INDEX(자료실범례[],MATCH($B99,자료실범례[소장처명],0),2),"종합자료실")</f>
        <v>어린이자료실</v>
      </c>
      <c r="D99" t="s">
        <v>25</v>
      </c>
      <c r="E99">
        <v>0</v>
      </c>
      <c r="F99">
        <v>1</v>
      </c>
      <c r="G99">
        <v>1</v>
      </c>
      <c r="H99">
        <v>4</v>
      </c>
      <c r="I99">
        <v>1</v>
      </c>
      <c r="J99">
        <v>0</v>
      </c>
      <c r="K99">
        <v>0</v>
      </c>
      <c r="L99">
        <v>0</v>
      </c>
      <c r="M99">
        <v>14</v>
      </c>
      <c r="N99">
        <v>0</v>
      </c>
      <c r="O99">
        <v>0</v>
      </c>
      <c r="P99">
        <v>21</v>
      </c>
    </row>
    <row r="100" spans="1:16" x14ac:dyDescent="0.3">
      <c r="A100" s="1">
        <v>44927</v>
      </c>
      <c r="B100" t="s">
        <v>9</v>
      </c>
      <c r="C100" t="str">
        <f>IFERROR(INDEX(자료실범례[],MATCH($B100,자료실범례[소장처명],0),2),"종합자료실")</f>
        <v>어린이자료실</v>
      </c>
      <c r="D100" t="s">
        <v>31</v>
      </c>
      <c r="E100">
        <v>0</v>
      </c>
      <c r="F100">
        <v>0</v>
      </c>
      <c r="G100">
        <v>0</v>
      </c>
      <c r="H100">
        <v>10</v>
      </c>
      <c r="I100">
        <v>0</v>
      </c>
      <c r="J100">
        <v>0</v>
      </c>
      <c r="K100">
        <v>0</v>
      </c>
      <c r="L100">
        <v>0</v>
      </c>
      <c r="M100">
        <v>6</v>
      </c>
      <c r="N100">
        <v>0</v>
      </c>
      <c r="O100">
        <v>0</v>
      </c>
      <c r="P100">
        <v>16</v>
      </c>
    </row>
    <row r="101" spans="1:16" x14ac:dyDescent="0.3">
      <c r="A101" s="1">
        <v>44927</v>
      </c>
      <c r="B101" t="s">
        <v>10</v>
      </c>
      <c r="C101" t="str">
        <f>IFERROR(INDEX(자료실범례[],MATCH($B101,자료실범례[소장처명],0),2),"종합자료실")</f>
        <v>어린이자료실</v>
      </c>
      <c r="D101" t="s">
        <v>28</v>
      </c>
      <c r="E101">
        <v>0</v>
      </c>
      <c r="F101">
        <v>0</v>
      </c>
      <c r="G101">
        <v>0</v>
      </c>
      <c r="H101">
        <v>5</v>
      </c>
      <c r="I101">
        <v>3</v>
      </c>
      <c r="J101">
        <v>2</v>
      </c>
      <c r="K101">
        <v>0</v>
      </c>
      <c r="L101">
        <v>0</v>
      </c>
      <c r="M101">
        <v>13</v>
      </c>
      <c r="N101">
        <v>0</v>
      </c>
      <c r="O101">
        <v>0</v>
      </c>
      <c r="P101">
        <v>23</v>
      </c>
    </row>
    <row r="102" spans="1:16" x14ac:dyDescent="0.3">
      <c r="A102" s="1">
        <v>44927</v>
      </c>
      <c r="B102" t="s">
        <v>10</v>
      </c>
      <c r="C102" t="str">
        <f>IFERROR(INDEX(자료실범례[],MATCH($B102,자료실범례[소장처명],0),2),"종합자료실")</f>
        <v>어린이자료실</v>
      </c>
      <c r="D102" t="s">
        <v>25</v>
      </c>
      <c r="E102">
        <v>0</v>
      </c>
      <c r="F102">
        <v>0</v>
      </c>
      <c r="G102">
        <v>0</v>
      </c>
      <c r="H102">
        <v>4</v>
      </c>
      <c r="I102">
        <v>3</v>
      </c>
      <c r="J102">
        <v>1</v>
      </c>
      <c r="K102">
        <v>0</v>
      </c>
      <c r="L102">
        <v>1</v>
      </c>
      <c r="M102">
        <v>15</v>
      </c>
      <c r="N102">
        <v>0</v>
      </c>
      <c r="O102">
        <v>0</v>
      </c>
      <c r="P102">
        <v>24</v>
      </c>
    </row>
    <row r="103" spans="1:16" x14ac:dyDescent="0.3">
      <c r="A103" s="1">
        <v>44927</v>
      </c>
      <c r="B103" t="s">
        <v>10</v>
      </c>
      <c r="C103" t="str">
        <f>IFERROR(INDEX(자료실범례[],MATCH($B103,자료실범례[소장처명],0),2),"종합자료실")</f>
        <v>어린이자료실</v>
      </c>
      <c r="D103" t="s">
        <v>31</v>
      </c>
      <c r="E103">
        <v>0</v>
      </c>
      <c r="F103">
        <v>0</v>
      </c>
      <c r="G103">
        <v>0</v>
      </c>
      <c r="H103">
        <v>2</v>
      </c>
      <c r="I103">
        <v>3</v>
      </c>
      <c r="J103">
        <v>1</v>
      </c>
      <c r="K103">
        <v>0</v>
      </c>
      <c r="L103">
        <v>0</v>
      </c>
      <c r="M103">
        <v>9</v>
      </c>
      <c r="N103">
        <v>0</v>
      </c>
      <c r="O103">
        <v>0</v>
      </c>
      <c r="P103">
        <v>15</v>
      </c>
    </row>
    <row r="104" spans="1:16" x14ac:dyDescent="0.3">
      <c r="A104" s="1">
        <v>44927</v>
      </c>
      <c r="B104" t="s">
        <v>11</v>
      </c>
      <c r="C104" t="str">
        <f>IFERROR(INDEX(자료실범례[],MATCH($B104,자료실범례[소장처명],0),2),"종합자료실")</f>
        <v>어린이자료실</v>
      </c>
      <c r="D104" t="s">
        <v>28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20</v>
      </c>
      <c r="N104">
        <v>4</v>
      </c>
      <c r="O104">
        <v>0</v>
      </c>
      <c r="P104">
        <v>24</v>
      </c>
    </row>
    <row r="105" spans="1:16" x14ac:dyDescent="0.3">
      <c r="A105" s="1">
        <v>44927</v>
      </c>
      <c r="B105" t="s">
        <v>11</v>
      </c>
      <c r="C105" t="str">
        <f>IFERROR(INDEX(자료실범례[],MATCH($B105,자료실범례[소장처명],0),2),"종합자료실")</f>
        <v>어린이자료실</v>
      </c>
      <c r="D105" t="s">
        <v>25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21</v>
      </c>
      <c r="N105">
        <v>5</v>
      </c>
      <c r="O105">
        <v>0</v>
      </c>
      <c r="P105">
        <v>27</v>
      </c>
    </row>
    <row r="106" spans="1:16" x14ac:dyDescent="0.3">
      <c r="A106" s="1">
        <v>44927</v>
      </c>
      <c r="B106" t="s">
        <v>11</v>
      </c>
      <c r="C106" t="str">
        <f>IFERROR(INDEX(자료실범례[],MATCH($B106,자료실범례[소장처명],0),2),"종합자료실")</f>
        <v>어린이자료실</v>
      </c>
      <c r="D106" t="s">
        <v>31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3</v>
      </c>
      <c r="N106">
        <v>0</v>
      </c>
      <c r="O106">
        <v>0</v>
      </c>
      <c r="P106">
        <v>3</v>
      </c>
    </row>
    <row r="107" spans="1:16" x14ac:dyDescent="0.3">
      <c r="A107" s="1">
        <v>44927</v>
      </c>
      <c r="B107" t="s">
        <v>12</v>
      </c>
      <c r="C107" t="str">
        <f>IFERROR(INDEX(자료실범례[],MATCH($B107,자료실범례[소장처명],0),2),"종합자료실")</f>
        <v>어린이자료실</v>
      </c>
      <c r="D107" t="s">
        <v>28</v>
      </c>
      <c r="E107">
        <v>0</v>
      </c>
      <c r="F107">
        <v>0</v>
      </c>
      <c r="G107">
        <v>0</v>
      </c>
      <c r="H107">
        <v>3</v>
      </c>
      <c r="I107">
        <v>1</v>
      </c>
      <c r="J107">
        <v>1</v>
      </c>
      <c r="K107">
        <v>0</v>
      </c>
      <c r="L107">
        <v>1</v>
      </c>
      <c r="M107">
        <v>14</v>
      </c>
      <c r="N107">
        <v>2</v>
      </c>
      <c r="O107">
        <v>0</v>
      </c>
      <c r="P107">
        <v>22</v>
      </c>
    </row>
    <row r="108" spans="1:16" x14ac:dyDescent="0.3">
      <c r="A108" s="1">
        <v>44927</v>
      </c>
      <c r="B108" t="s">
        <v>12</v>
      </c>
      <c r="C108" t="str">
        <f>IFERROR(INDEX(자료실범례[],MATCH($B108,자료실범례[소장처명],0),2),"종합자료실")</f>
        <v>어린이자료실</v>
      </c>
      <c r="D108" t="s">
        <v>25</v>
      </c>
      <c r="E108">
        <v>1</v>
      </c>
      <c r="F108">
        <v>0</v>
      </c>
      <c r="G108">
        <v>0</v>
      </c>
      <c r="H108">
        <v>3</v>
      </c>
      <c r="I108">
        <v>1</v>
      </c>
      <c r="J108">
        <v>0</v>
      </c>
      <c r="K108">
        <v>0</v>
      </c>
      <c r="L108">
        <v>1</v>
      </c>
      <c r="M108">
        <v>16</v>
      </c>
      <c r="N108">
        <v>0</v>
      </c>
      <c r="O108">
        <v>0</v>
      </c>
      <c r="P108">
        <v>22</v>
      </c>
    </row>
    <row r="109" spans="1:16" x14ac:dyDescent="0.3">
      <c r="A109" s="1">
        <v>44927</v>
      </c>
      <c r="B109" t="s">
        <v>12</v>
      </c>
      <c r="C109" t="str">
        <f>IFERROR(INDEX(자료실범례[],MATCH($B109,자료실범례[소장처명],0),2),"종합자료실")</f>
        <v>어린이자료실</v>
      </c>
      <c r="D109" t="s">
        <v>31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3</v>
      </c>
      <c r="N109">
        <v>0</v>
      </c>
      <c r="O109">
        <v>0</v>
      </c>
      <c r="P109">
        <v>5</v>
      </c>
    </row>
    <row r="110" spans="1:16" x14ac:dyDescent="0.3">
      <c r="A110" s="1">
        <v>44927</v>
      </c>
      <c r="B110" t="s">
        <v>0</v>
      </c>
      <c r="C110" t="str">
        <f>IFERROR(INDEX(자료실범례[],MATCH($B110,자료실범례[소장처명],0),2),"종합자료실")</f>
        <v>어린이자료실</v>
      </c>
      <c r="D110" t="s">
        <v>28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9</v>
      </c>
      <c r="M110">
        <v>9</v>
      </c>
      <c r="N110">
        <v>0</v>
      </c>
      <c r="O110">
        <v>0</v>
      </c>
      <c r="P110">
        <v>19</v>
      </c>
    </row>
    <row r="111" spans="1:16" x14ac:dyDescent="0.3">
      <c r="A111" s="1">
        <v>44927</v>
      </c>
      <c r="B111" t="s">
        <v>0</v>
      </c>
      <c r="C111" t="str">
        <f>IFERROR(INDEX(자료실범례[],MATCH($B111,자료실범례[소장처명],0),2),"종합자료실")</f>
        <v>어린이자료실</v>
      </c>
      <c r="D111" t="s">
        <v>25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7</v>
      </c>
      <c r="M111">
        <v>8</v>
      </c>
      <c r="N111">
        <v>0</v>
      </c>
      <c r="O111">
        <v>0</v>
      </c>
      <c r="P111">
        <v>16</v>
      </c>
    </row>
    <row r="112" spans="1:16" x14ac:dyDescent="0.3">
      <c r="A112" s="1">
        <v>44927</v>
      </c>
      <c r="B112" t="s">
        <v>0</v>
      </c>
      <c r="C112" t="str">
        <f>IFERROR(INDEX(자료실범례[],MATCH($B112,자료실범례[소장처명],0),2),"종합자료실")</f>
        <v>어린이자료실</v>
      </c>
      <c r="D112" t="s">
        <v>31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1</v>
      </c>
      <c r="L112">
        <v>1</v>
      </c>
      <c r="M112">
        <v>1</v>
      </c>
      <c r="N112">
        <v>0</v>
      </c>
      <c r="O112">
        <v>0</v>
      </c>
      <c r="P112">
        <v>4</v>
      </c>
    </row>
    <row r="113" spans="1:16" x14ac:dyDescent="0.3">
      <c r="A113" s="1">
        <v>44927</v>
      </c>
      <c r="B113" t="s">
        <v>1</v>
      </c>
      <c r="C113" t="str">
        <f>IFERROR(INDEX(자료실범례[],MATCH($B113,자료실범례[소장처명],0),2),"종합자료실")</f>
        <v>어린이자료실</v>
      </c>
      <c r="D113" t="s">
        <v>28</v>
      </c>
      <c r="E113">
        <v>0</v>
      </c>
      <c r="F113">
        <v>0</v>
      </c>
      <c r="G113">
        <v>0</v>
      </c>
      <c r="H113">
        <v>2</v>
      </c>
      <c r="I113">
        <v>0</v>
      </c>
      <c r="J113">
        <v>0</v>
      </c>
      <c r="K113">
        <v>0</v>
      </c>
      <c r="L113">
        <v>76</v>
      </c>
      <c r="M113">
        <v>2</v>
      </c>
      <c r="N113">
        <v>0</v>
      </c>
      <c r="O113">
        <v>0</v>
      </c>
      <c r="P113">
        <v>80</v>
      </c>
    </row>
    <row r="114" spans="1:16" x14ac:dyDescent="0.3">
      <c r="A114" s="1">
        <v>44927</v>
      </c>
      <c r="B114" t="s">
        <v>1</v>
      </c>
      <c r="C114" t="str">
        <f>IFERROR(INDEX(자료실범례[],MATCH($B114,자료실범례[소장처명],0),2),"종합자료실")</f>
        <v>어린이자료실</v>
      </c>
      <c r="D114" t="s">
        <v>25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1</v>
      </c>
      <c r="L114">
        <v>80</v>
      </c>
      <c r="M114">
        <v>2</v>
      </c>
      <c r="N114">
        <v>0</v>
      </c>
      <c r="O114">
        <v>0</v>
      </c>
      <c r="P114">
        <v>84</v>
      </c>
    </row>
    <row r="115" spans="1:16" x14ac:dyDescent="0.3">
      <c r="A115" s="1">
        <v>44927</v>
      </c>
      <c r="B115" t="s">
        <v>1</v>
      </c>
      <c r="C115" t="str">
        <f>IFERROR(INDEX(자료실범례[],MATCH($B115,자료실범례[소장처명],0),2),"종합자료실")</f>
        <v>어린이자료실</v>
      </c>
      <c r="D115" t="s">
        <v>31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18</v>
      </c>
      <c r="M115">
        <v>0</v>
      </c>
      <c r="N115">
        <v>0</v>
      </c>
      <c r="O115">
        <v>0</v>
      </c>
      <c r="P115">
        <v>18</v>
      </c>
    </row>
    <row r="116" spans="1:16" x14ac:dyDescent="0.3">
      <c r="A116" s="1">
        <v>44927</v>
      </c>
      <c r="B116" t="s">
        <v>6</v>
      </c>
      <c r="C116" t="str">
        <f>IFERROR(INDEX(자료실범례[],MATCH($B116,자료실범례[소장처명],0),2),"종합자료실")</f>
        <v>종합자료실</v>
      </c>
      <c r="D116" t="s">
        <v>28</v>
      </c>
      <c r="E116">
        <v>2</v>
      </c>
      <c r="F116">
        <v>3</v>
      </c>
      <c r="G116">
        <v>1</v>
      </c>
      <c r="H116">
        <v>2</v>
      </c>
      <c r="I116">
        <v>1</v>
      </c>
      <c r="J116">
        <v>2</v>
      </c>
      <c r="K116">
        <v>0</v>
      </c>
      <c r="L116">
        <v>0</v>
      </c>
      <c r="M116">
        <v>9</v>
      </c>
      <c r="N116">
        <v>0</v>
      </c>
      <c r="O116">
        <v>0</v>
      </c>
      <c r="P116">
        <v>20</v>
      </c>
    </row>
    <row r="117" spans="1:16" x14ac:dyDescent="0.3">
      <c r="A117" s="1">
        <v>44927</v>
      </c>
      <c r="B117" t="s">
        <v>6</v>
      </c>
      <c r="C117" t="str">
        <f>IFERROR(INDEX(자료실범례[],MATCH($B117,자료실범례[소장처명],0),2),"종합자료실")</f>
        <v>종합자료실</v>
      </c>
      <c r="D117" t="s">
        <v>25</v>
      </c>
      <c r="E117">
        <v>1</v>
      </c>
      <c r="F117">
        <v>2</v>
      </c>
      <c r="G117">
        <v>0</v>
      </c>
      <c r="H117">
        <v>1</v>
      </c>
      <c r="I117">
        <v>0</v>
      </c>
      <c r="J117">
        <v>2</v>
      </c>
      <c r="K117">
        <v>0</v>
      </c>
      <c r="L117">
        <v>0</v>
      </c>
      <c r="M117">
        <v>6</v>
      </c>
      <c r="N117">
        <v>1</v>
      </c>
      <c r="O117">
        <v>0</v>
      </c>
      <c r="P117">
        <v>13</v>
      </c>
    </row>
    <row r="118" spans="1:16" x14ac:dyDescent="0.3">
      <c r="A118" s="1">
        <v>44927</v>
      </c>
      <c r="B118" t="s">
        <v>6</v>
      </c>
      <c r="C118" t="str">
        <f>IFERROR(INDEX(자료실범례[],MATCH($B118,자료실범례[소장처명],0),2),"종합자료실")</f>
        <v>종합자료실</v>
      </c>
      <c r="D118" t="s">
        <v>31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</v>
      </c>
      <c r="N118">
        <v>0</v>
      </c>
      <c r="O118">
        <v>0</v>
      </c>
      <c r="P118">
        <v>2</v>
      </c>
    </row>
    <row r="119" spans="1:16" x14ac:dyDescent="0.3">
      <c r="A119" s="1">
        <v>44927</v>
      </c>
      <c r="B119" t="s">
        <v>18</v>
      </c>
      <c r="C119" t="str">
        <f>IFERROR(INDEX(자료실범례[],MATCH($B119,자료실범례[소장처명],0),2),"종합자료실")</f>
        <v>종합자료실</v>
      </c>
      <c r="D119" t="s">
        <v>28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16</v>
      </c>
      <c r="P119">
        <v>16</v>
      </c>
    </row>
    <row r="120" spans="1:16" x14ac:dyDescent="0.3">
      <c r="A120" s="1">
        <v>44927</v>
      </c>
      <c r="B120" t="s">
        <v>18</v>
      </c>
      <c r="C120" t="str">
        <f>IFERROR(INDEX(자료실범례[],MATCH($B120,자료실범례[소장처명],0),2),"종합자료실")</f>
        <v>종합자료실</v>
      </c>
      <c r="D120" t="s">
        <v>25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25</v>
      </c>
      <c r="P120">
        <v>25</v>
      </c>
    </row>
    <row r="121" spans="1:16" x14ac:dyDescent="0.3">
      <c r="A121" s="1">
        <v>44927</v>
      </c>
      <c r="B121" t="s">
        <v>18</v>
      </c>
      <c r="C121" t="str">
        <f>IFERROR(INDEX(자료실범례[],MATCH($B121,자료실범례[소장처명],0),2),"종합자료실")</f>
        <v>종합자료실</v>
      </c>
      <c r="D121" t="s">
        <v>31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2</v>
      </c>
      <c r="P121">
        <v>2</v>
      </c>
    </row>
    <row r="122" spans="1:16" x14ac:dyDescent="0.3">
      <c r="A122" s="1">
        <v>44927</v>
      </c>
      <c r="B122" t="s">
        <v>17</v>
      </c>
      <c r="C122" t="str">
        <f>IFERROR(INDEX(자료실범례[],MATCH($B122,자료실범례[소장처명],0),2),"종합자료실")</f>
        <v>어린이자료실</v>
      </c>
      <c r="D122" t="s">
        <v>28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9</v>
      </c>
      <c r="P122">
        <v>9</v>
      </c>
    </row>
    <row r="123" spans="1:16" x14ac:dyDescent="0.3">
      <c r="A123" s="1">
        <v>44927</v>
      </c>
      <c r="B123" t="s">
        <v>17</v>
      </c>
      <c r="C123" t="str">
        <f>IFERROR(INDEX(자료실범례[],MATCH($B123,자료실범례[소장처명],0),2),"종합자료실")</f>
        <v>어린이자료실</v>
      </c>
      <c r="D123" t="s">
        <v>25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9</v>
      </c>
      <c r="P123">
        <v>9</v>
      </c>
    </row>
    <row r="124" spans="1:16" x14ac:dyDescent="0.3">
      <c r="A124" s="1">
        <v>44927</v>
      </c>
      <c r="B124" t="s">
        <v>17</v>
      </c>
      <c r="C124" t="str">
        <f>IFERROR(INDEX(자료실범례[],MATCH($B124,자료실범례[소장처명],0),2),"종합자료실")</f>
        <v>어린이자료실</v>
      </c>
      <c r="D124" t="s">
        <v>31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1</v>
      </c>
    </row>
    <row r="125" spans="1:16" x14ac:dyDescent="0.3">
      <c r="A125" s="1">
        <v>45323</v>
      </c>
      <c r="B125" t="s">
        <v>24</v>
      </c>
      <c r="C125" t="str">
        <f>IFERROR(INDEX(자료실범례[],MATCH($B125,자료실범례[소장처명],0),2),"종합자료실")</f>
        <v>종합자료실</v>
      </c>
      <c r="D125" t="s">
        <v>28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1</v>
      </c>
    </row>
    <row r="126" spans="1:16" x14ac:dyDescent="0.3">
      <c r="A126" s="1">
        <v>45323</v>
      </c>
      <c r="B126" t="s">
        <v>21</v>
      </c>
      <c r="C126" t="str">
        <f>IFERROR(INDEX(자료실범례[],MATCH($B126,자료실범례[소장처명],0),2),"종합자료실")</f>
        <v>종합자료실</v>
      </c>
      <c r="D126" t="s">
        <v>28</v>
      </c>
      <c r="E126">
        <v>40</v>
      </c>
      <c r="F126">
        <v>102</v>
      </c>
      <c r="G126">
        <v>34</v>
      </c>
      <c r="H126">
        <v>259</v>
      </c>
      <c r="I126">
        <v>51</v>
      </c>
      <c r="J126">
        <v>97</v>
      </c>
      <c r="K126">
        <v>44</v>
      </c>
      <c r="L126">
        <v>30</v>
      </c>
      <c r="M126">
        <v>547</v>
      </c>
      <c r="N126">
        <v>86</v>
      </c>
      <c r="O126">
        <v>0</v>
      </c>
      <c r="P126">
        <v>1290</v>
      </c>
    </row>
    <row r="127" spans="1:16" x14ac:dyDescent="0.3">
      <c r="A127" s="1">
        <v>45323</v>
      </c>
      <c r="B127" t="s">
        <v>21</v>
      </c>
      <c r="C127" t="str">
        <f>IFERROR(INDEX(자료실범례[],MATCH($B127,자료실범례[소장처명],0),2),"종합자료실")</f>
        <v>종합자료실</v>
      </c>
      <c r="D127" t="s">
        <v>25</v>
      </c>
      <c r="E127">
        <v>32</v>
      </c>
      <c r="F127">
        <v>126</v>
      </c>
      <c r="G127">
        <v>38</v>
      </c>
      <c r="H127">
        <v>289</v>
      </c>
      <c r="I127">
        <v>47</v>
      </c>
      <c r="J127">
        <v>116</v>
      </c>
      <c r="K127">
        <v>49</v>
      </c>
      <c r="L127">
        <v>40</v>
      </c>
      <c r="M127">
        <v>645</v>
      </c>
      <c r="N127">
        <v>115</v>
      </c>
      <c r="O127">
        <v>0</v>
      </c>
      <c r="P127">
        <v>1497</v>
      </c>
    </row>
    <row r="128" spans="1:16" x14ac:dyDescent="0.3">
      <c r="A128" s="1">
        <v>45323</v>
      </c>
      <c r="B128" t="s">
        <v>21</v>
      </c>
      <c r="C128" t="str">
        <f>IFERROR(INDEX(자료실범례[],MATCH($B128,자료실범례[소장처명],0),2),"종합자료실")</f>
        <v>종합자료실</v>
      </c>
      <c r="D128" t="s">
        <v>31</v>
      </c>
      <c r="E128">
        <v>16</v>
      </c>
      <c r="F128">
        <v>42</v>
      </c>
      <c r="G128">
        <v>5</v>
      </c>
      <c r="H128">
        <v>106</v>
      </c>
      <c r="I128">
        <v>10</v>
      </c>
      <c r="J128">
        <v>53</v>
      </c>
      <c r="K128">
        <v>23</v>
      </c>
      <c r="L128">
        <v>7</v>
      </c>
      <c r="M128">
        <v>142</v>
      </c>
      <c r="N128">
        <v>45</v>
      </c>
      <c r="O128">
        <v>0</v>
      </c>
      <c r="P128">
        <v>449</v>
      </c>
    </row>
    <row r="129" spans="1:16" x14ac:dyDescent="0.3">
      <c r="A129" s="1">
        <v>45323</v>
      </c>
      <c r="B129" t="s">
        <v>16</v>
      </c>
      <c r="C129" t="str">
        <f>IFERROR(INDEX(자료실범례[],MATCH($B129,자료실범례[소장처명],0),2),"종합자료실")</f>
        <v>어린이자료실</v>
      </c>
      <c r="D129" t="s">
        <v>28</v>
      </c>
      <c r="E129">
        <v>38</v>
      </c>
      <c r="F129">
        <v>12</v>
      </c>
      <c r="G129">
        <v>2</v>
      </c>
      <c r="H129">
        <v>205</v>
      </c>
      <c r="I129">
        <v>155</v>
      </c>
      <c r="J129">
        <v>22</v>
      </c>
      <c r="K129">
        <v>62</v>
      </c>
      <c r="L129">
        <v>22</v>
      </c>
      <c r="M129">
        <v>705</v>
      </c>
      <c r="N129">
        <v>44</v>
      </c>
      <c r="O129">
        <v>0</v>
      </c>
      <c r="P129">
        <v>1267</v>
      </c>
    </row>
    <row r="130" spans="1:16" x14ac:dyDescent="0.3">
      <c r="A130" s="1">
        <v>45323</v>
      </c>
      <c r="B130" t="s">
        <v>16</v>
      </c>
      <c r="C130" t="str">
        <f>IFERROR(INDEX(자료실범례[],MATCH($B130,자료실범례[소장처명],0),2),"종합자료실")</f>
        <v>어린이자료실</v>
      </c>
      <c r="D130" t="s">
        <v>25</v>
      </c>
      <c r="E130">
        <v>32</v>
      </c>
      <c r="F130">
        <v>22</v>
      </c>
      <c r="G130">
        <v>2</v>
      </c>
      <c r="H130">
        <v>205</v>
      </c>
      <c r="I130">
        <v>165</v>
      </c>
      <c r="J130">
        <v>29</v>
      </c>
      <c r="K130">
        <v>48</v>
      </c>
      <c r="L130">
        <v>25</v>
      </c>
      <c r="M130">
        <v>750</v>
      </c>
      <c r="N130">
        <v>50</v>
      </c>
      <c r="O130">
        <v>0</v>
      </c>
      <c r="P130">
        <v>1328</v>
      </c>
    </row>
    <row r="131" spans="1:16" x14ac:dyDescent="0.3">
      <c r="A131" s="1">
        <v>45323</v>
      </c>
      <c r="B131" t="s">
        <v>16</v>
      </c>
      <c r="C131" t="str">
        <f>IFERROR(INDEX(자료실범례[],MATCH($B131,자료실범례[소장처명],0),2),"종합자료실")</f>
        <v>어린이자료실</v>
      </c>
      <c r="D131" t="s">
        <v>31</v>
      </c>
      <c r="E131">
        <v>1</v>
      </c>
      <c r="F131">
        <v>4</v>
      </c>
      <c r="G131">
        <v>0</v>
      </c>
      <c r="H131">
        <v>18</v>
      </c>
      <c r="I131">
        <v>34</v>
      </c>
      <c r="J131">
        <v>4</v>
      </c>
      <c r="K131">
        <v>5</v>
      </c>
      <c r="L131">
        <v>9</v>
      </c>
      <c r="M131">
        <v>134</v>
      </c>
      <c r="N131">
        <v>4</v>
      </c>
      <c r="O131">
        <v>0</v>
      </c>
      <c r="P131">
        <v>213</v>
      </c>
    </row>
    <row r="132" spans="1:16" x14ac:dyDescent="0.3">
      <c r="A132" s="1">
        <v>45323</v>
      </c>
      <c r="B132" t="s">
        <v>2</v>
      </c>
      <c r="C132" t="str">
        <f>IFERROR(INDEX(자료실범례[],MATCH($B132,자료실범례[소장처명],0),2),"종합자료실")</f>
        <v>디지털자료실</v>
      </c>
      <c r="D132" t="s">
        <v>28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18</v>
      </c>
      <c r="L132">
        <v>0</v>
      </c>
      <c r="M132">
        <v>0</v>
      </c>
      <c r="N132">
        <v>0</v>
      </c>
      <c r="O132">
        <v>0</v>
      </c>
      <c r="P132">
        <v>18</v>
      </c>
    </row>
    <row r="133" spans="1:16" x14ac:dyDescent="0.3">
      <c r="A133" s="1">
        <v>45323</v>
      </c>
      <c r="B133" t="s">
        <v>2</v>
      </c>
      <c r="C133" t="str">
        <f>IFERROR(INDEX(자료실범례[],MATCH($B133,자료실범례[소장처명],0),2),"종합자료실")</f>
        <v>디지털자료실</v>
      </c>
      <c r="D133" t="s">
        <v>25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21</v>
      </c>
      <c r="L133">
        <v>0</v>
      </c>
      <c r="M133">
        <v>0</v>
      </c>
      <c r="N133">
        <v>0</v>
      </c>
      <c r="O133">
        <v>0</v>
      </c>
      <c r="P133">
        <v>21</v>
      </c>
    </row>
    <row r="134" spans="1:16" x14ac:dyDescent="0.3">
      <c r="A134" s="1">
        <v>45323</v>
      </c>
      <c r="B134" t="s">
        <v>19</v>
      </c>
      <c r="C134" t="str">
        <f>IFERROR(INDEX(자료실범례[],MATCH($B134,자료실범례[소장처명],0),2),"종합자료실")</f>
        <v>종합자료실</v>
      </c>
      <c r="D134" t="s">
        <v>28</v>
      </c>
      <c r="E134">
        <v>10</v>
      </c>
      <c r="F134">
        <v>48</v>
      </c>
      <c r="G134">
        <v>8</v>
      </c>
      <c r="H134">
        <v>76</v>
      </c>
      <c r="I134">
        <v>25</v>
      </c>
      <c r="J134">
        <v>45</v>
      </c>
      <c r="K134">
        <v>15</v>
      </c>
      <c r="L134">
        <v>3</v>
      </c>
      <c r="M134">
        <v>230</v>
      </c>
      <c r="N134">
        <v>24</v>
      </c>
      <c r="O134">
        <v>0</v>
      </c>
      <c r="P134">
        <v>484</v>
      </c>
    </row>
    <row r="135" spans="1:16" x14ac:dyDescent="0.3">
      <c r="A135" s="1">
        <v>45323</v>
      </c>
      <c r="B135" t="s">
        <v>19</v>
      </c>
      <c r="C135" t="str">
        <f>IFERROR(INDEX(자료실범례[],MATCH($B135,자료실범례[소장처명],0),2),"종합자료실")</f>
        <v>종합자료실</v>
      </c>
      <c r="D135" t="s">
        <v>25</v>
      </c>
      <c r="E135">
        <v>14</v>
      </c>
      <c r="F135">
        <v>52</v>
      </c>
      <c r="G135">
        <v>6</v>
      </c>
      <c r="H135">
        <v>77</v>
      </c>
      <c r="I135">
        <v>25</v>
      </c>
      <c r="J135">
        <v>43</v>
      </c>
      <c r="K135">
        <v>14</v>
      </c>
      <c r="L135">
        <v>7</v>
      </c>
      <c r="M135">
        <v>224</v>
      </c>
      <c r="N135">
        <v>15</v>
      </c>
      <c r="O135">
        <v>0</v>
      </c>
      <c r="P135">
        <v>477</v>
      </c>
    </row>
    <row r="136" spans="1:16" x14ac:dyDescent="0.3">
      <c r="A136" s="1">
        <v>45323</v>
      </c>
      <c r="B136" t="s">
        <v>19</v>
      </c>
      <c r="C136" t="str">
        <f>IFERROR(INDEX(자료실범례[],MATCH($B136,자료실범례[소장처명],0),2),"종합자료실")</f>
        <v>종합자료실</v>
      </c>
      <c r="D136" t="s">
        <v>31</v>
      </c>
      <c r="E136">
        <v>10</v>
      </c>
      <c r="F136">
        <v>23</v>
      </c>
      <c r="G136">
        <v>0</v>
      </c>
      <c r="H136">
        <v>37</v>
      </c>
      <c r="I136">
        <v>10</v>
      </c>
      <c r="J136">
        <v>23</v>
      </c>
      <c r="K136">
        <v>8</v>
      </c>
      <c r="L136">
        <v>2</v>
      </c>
      <c r="M136">
        <v>85</v>
      </c>
      <c r="N136">
        <v>12</v>
      </c>
      <c r="O136">
        <v>0</v>
      </c>
      <c r="P136">
        <v>210</v>
      </c>
    </row>
    <row r="137" spans="1:16" x14ac:dyDescent="0.3">
      <c r="A137" s="1">
        <v>45323</v>
      </c>
      <c r="B137" t="s">
        <v>14</v>
      </c>
      <c r="C137" t="str">
        <f>IFERROR(INDEX(자료실범례[],MATCH($B137,자료실범례[소장처명],0),2),"종합자료실")</f>
        <v>어린이자료실</v>
      </c>
      <c r="D137" t="s">
        <v>28</v>
      </c>
      <c r="E137">
        <v>3</v>
      </c>
      <c r="F137">
        <v>15</v>
      </c>
      <c r="G137">
        <v>3</v>
      </c>
      <c r="H137">
        <v>10</v>
      </c>
      <c r="I137">
        <v>27</v>
      </c>
      <c r="J137">
        <v>11</v>
      </c>
      <c r="K137">
        <v>2</v>
      </c>
      <c r="L137">
        <v>7</v>
      </c>
      <c r="M137">
        <v>200</v>
      </c>
      <c r="N137">
        <v>26</v>
      </c>
      <c r="O137">
        <v>0</v>
      </c>
      <c r="P137">
        <v>304</v>
      </c>
    </row>
    <row r="138" spans="1:16" x14ac:dyDescent="0.3">
      <c r="A138" s="1">
        <v>45323</v>
      </c>
      <c r="B138" t="s">
        <v>14</v>
      </c>
      <c r="C138" t="str">
        <f>IFERROR(INDEX(자료실범례[],MATCH($B138,자료실범례[소장처명],0),2),"종합자료실")</f>
        <v>어린이자료실</v>
      </c>
      <c r="D138" t="s">
        <v>25</v>
      </c>
      <c r="E138">
        <v>4</v>
      </c>
      <c r="F138">
        <v>12</v>
      </c>
      <c r="G138">
        <v>4</v>
      </c>
      <c r="H138">
        <v>10</v>
      </c>
      <c r="I138">
        <v>26</v>
      </c>
      <c r="J138">
        <v>7</v>
      </c>
      <c r="K138">
        <v>4</v>
      </c>
      <c r="L138">
        <v>7</v>
      </c>
      <c r="M138">
        <v>248</v>
      </c>
      <c r="N138">
        <v>21</v>
      </c>
      <c r="O138">
        <v>0</v>
      </c>
      <c r="P138">
        <v>343</v>
      </c>
    </row>
    <row r="139" spans="1:16" x14ac:dyDescent="0.3">
      <c r="A139" s="1">
        <v>45323</v>
      </c>
      <c r="B139" t="s">
        <v>14</v>
      </c>
      <c r="C139" t="str">
        <f>IFERROR(INDEX(자료실범례[],MATCH($B139,자료실범례[소장처명],0),2),"종합자료실")</f>
        <v>어린이자료실</v>
      </c>
      <c r="D139" t="s">
        <v>31</v>
      </c>
      <c r="E139">
        <v>2</v>
      </c>
      <c r="F139">
        <v>1</v>
      </c>
      <c r="G139">
        <v>6</v>
      </c>
      <c r="H139">
        <v>4</v>
      </c>
      <c r="I139">
        <v>3</v>
      </c>
      <c r="J139">
        <v>3</v>
      </c>
      <c r="K139">
        <v>2</v>
      </c>
      <c r="L139">
        <v>0</v>
      </c>
      <c r="M139">
        <v>69</v>
      </c>
      <c r="N139">
        <v>14</v>
      </c>
      <c r="O139">
        <v>0</v>
      </c>
      <c r="P139">
        <v>104</v>
      </c>
    </row>
    <row r="140" spans="1:16" x14ac:dyDescent="0.3">
      <c r="A140" s="1">
        <v>45323</v>
      </c>
      <c r="B140" t="s">
        <v>13</v>
      </c>
      <c r="C140" t="str">
        <f>IFERROR(INDEX(자료실범례[],MATCH($B140,자료실범례[소장처명],0),2),"종합자료실")</f>
        <v>어린이자료실</v>
      </c>
      <c r="D140" t="s">
        <v>28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4</v>
      </c>
      <c r="N140">
        <v>0</v>
      </c>
      <c r="O140">
        <v>0</v>
      </c>
      <c r="P140">
        <v>4</v>
      </c>
    </row>
    <row r="141" spans="1:16" x14ac:dyDescent="0.3">
      <c r="A141" s="1">
        <v>45323</v>
      </c>
      <c r="B141" t="s">
        <v>13</v>
      </c>
      <c r="C141" t="str">
        <f>IFERROR(INDEX(자료실범례[],MATCH($B141,자료실범례[소장처명],0),2),"종합자료실")</f>
        <v>어린이자료실</v>
      </c>
      <c r="D141" t="s">
        <v>25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</v>
      </c>
      <c r="N141">
        <v>0</v>
      </c>
      <c r="O141">
        <v>0</v>
      </c>
      <c r="P141">
        <v>2</v>
      </c>
    </row>
    <row r="142" spans="1:16" x14ac:dyDescent="0.3">
      <c r="A142" s="1">
        <v>45323</v>
      </c>
      <c r="B142" t="s">
        <v>15</v>
      </c>
      <c r="C142" t="str">
        <f>IFERROR(INDEX(자료실범례[],MATCH($B142,자료실범례[소장처명],0),2),"종합자료실")</f>
        <v>어린이자료실</v>
      </c>
      <c r="D142" t="s">
        <v>28</v>
      </c>
      <c r="E142">
        <v>1</v>
      </c>
      <c r="F142">
        <v>0</v>
      </c>
      <c r="G142">
        <v>27</v>
      </c>
      <c r="H142">
        <v>9</v>
      </c>
      <c r="I142">
        <v>184</v>
      </c>
      <c r="J142">
        <v>25</v>
      </c>
      <c r="K142">
        <v>2</v>
      </c>
      <c r="L142">
        <v>77</v>
      </c>
      <c r="M142">
        <v>32</v>
      </c>
      <c r="N142">
        <v>158</v>
      </c>
      <c r="O142">
        <v>0</v>
      </c>
      <c r="P142">
        <v>515</v>
      </c>
    </row>
    <row r="143" spans="1:16" x14ac:dyDescent="0.3">
      <c r="A143" s="1">
        <v>45323</v>
      </c>
      <c r="B143" t="s">
        <v>15</v>
      </c>
      <c r="C143" t="str">
        <f>IFERROR(INDEX(자료실범례[],MATCH($B143,자료실범례[소장처명],0),2),"종합자료실")</f>
        <v>어린이자료실</v>
      </c>
      <c r="D143" t="s">
        <v>25</v>
      </c>
      <c r="E143">
        <v>9</v>
      </c>
      <c r="F143">
        <v>0</v>
      </c>
      <c r="G143">
        <v>36</v>
      </c>
      <c r="H143">
        <v>8</v>
      </c>
      <c r="I143">
        <v>212</v>
      </c>
      <c r="J143">
        <v>21</v>
      </c>
      <c r="K143">
        <v>2</v>
      </c>
      <c r="L143">
        <v>71</v>
      </c>
      <c r="M143">
        <v>48</v>
      </c>
      <c r="N143">
        <v>131</v>
      </c>
      <c r="O143">
        <v>0</v>
      </c>
      <c r="P143">
        <v>538</v>
      </c>
    </row>
    <row r="144" spans="1:16" x14ac:dyDescent="0.3">
      <c r="A144" s="1">
        <v>45323</v>
      </c>
      <c r="B144" t="s">
        <v>15</v>
      </c>
      <c r="C144" t="str">
        <f>IFERROR(INDEX(자료실범례[],MATCH($B144,자료실범례[소장처명],0),2),"종합자료실")</f>
        <v>어린이자료실</v>
      </c>
      <c r="D144" t="s">
        <v>31</v>
      </c>
      <c r="E144">
        <v>0</v>
      </c>
      <c r="F144">
        <v>0</v>
      </c>
      <c r="G144">
        <v>0</v>
      </c>
      <c r="H144">
        <v>0</v>
      </c>
      <c r="I144">
        <v>23</v>
      </c>
      <c r="J144">
        <v>6</v>
      </c>
      <c r="K144">
        <v>0</v>
      </c>
      <c r="L144">
        <v>3</v>
      </c>
      <c r="M144">
        <v>0</v>
      </c>
      <c r="N144">
        <v>19</v>
      </c>
      <c r="O144">
        <v>0</v>
      </c>
      <c r="P144">
        <v>51</v>
      </c>
    </row>
    <row r="145" spans="1:16" x14ac:dyDescent="0.3">
      <c r="A145" s="1">
        <v>45323</v>
      </c>
      <c r="B145" t="s">
        <v>20</v>
      </c>
      <c r="C145" t="str">
        <f>IFERROR(INDEX(자료실범례[],MATCH($B145,자료실범례[소장처명],0),2),"종합자료실")</f>
        <v>종합자료실</v>
      </c>
      <c r="D145" t="s">
        <v>28</v>
      </c>
      <c r="E145">
        <v>1</v>
      </c>
      <c r="F145">
        <v>1</v>
      </c>
      <c r="G145">
        <v>0</v>
      </c>
      <c r="H145">
        <v>2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4</v>
      </c>
    </row>
    <row r="146" spans="1:16" x14ac:dyDescent="0.3">
      <c r="A146" s="1">
        <v>45323</v>
      </c>
      <c r="B146" t="s">
        <v>20</v>
      </c>
      <c r="C146" t="str">
        <f>IFERROR(INDEX(자료실범례[],MATCH($B146,자료실범례[소장처명],0),2),"종합자료실")</f>
        <v>종합자료실</v>
      </c>
      <c r="D146" t="s">
        <v>25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</row>
    <row r="147" spans="1:16" x14ac:dyDescent="0.3">
      <c r="A147" s="1">
        <v>45323</v>
      </c>
      <c r="B147" t="s">
        <v>20</v>
      </c>
      <c r="C147" t="str">
        <f>IFERROR(INDEX(자료실범례[],MATCH($B147,자료실범례[소장처명],0),2),"종합자료실")</f>
        <v>종합자료실</v>
      </c>
      <c r="D147" t="s">
        <v>31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</row>
    <row r="148" spans="1:16" x14ac:dyDescent="0.3">
      <c r="A148" s="1">
        <v>45323</v>
      </c>
      <c r="B148" t="s">
        <v>3</v>
      </c>
      <c r="C148" t="str">
        <f>IFERROR(INDEX(자료실범례[],MATCH($B148,자료실범례[소장처명],0),2),"종합자료실")</f>
        <v>디지털자료실</v>
      </c>
      <c r="D148" t="s">
        <v>25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1</v>
      </c>
    </row>
    <row r="149" spans="1:16" x14ac:dyDescent="0.3">
      <c r="A149" s="1">
        <v>45323</v>
      </c>
      <c r="B149" t="s">
        <v>4</v>
      </c>
      <c r="C149" t="str">
        <f>IFERROR(INDEX(자료실범례[],MATCH($B149,자료실범례[소장처명],0),2),"종합자료실")</f>
        <v>어린이자료실</v>
      </c>
      <c r="D149" t="s">
        <v>28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3</v>
      </c>
      <c r="N149">
        <v>0</v>
      </c>
      <c r="O149">
        <v>0</v>
      </c>
      <c r="P149">
        <v>4</v>
      </c>
    </row>
    <row r="150" spans="1:16" x14ac:dyDescent="0.3">
      <c r="A150" s="1">
        <v>45323</v>
      </c>
      <c r="B150" t="s">
        <v>4</v>
      </c>
      <c r="C150" t="str">
        <f>IFERROR(INDEX(자료실범례[],MATCH($B150,자료실범례[소장처명],0),2),"종합자료실")</f>
        <v>어린이자료실</v>
      </c>
      <c r="D150" t="s">
        <v>25</v>
      </c>
      <c r="E150">
        <v>0</v>
      </c>
      <c r="F150">
        <v>0</v>
      </c>
      <c r="G150">
        <v>0</v>
      </c>
      <c r="H150">
        <v>2</v>
      </c>
      <c r="I150">
        <v>0</v>
      </c>
      <c r="J150">
        <v>0</v>
      </c>
      <c r="K150">
        <v>0</v>
      </c>
      <c r="L150">
        <v>0</v>
      </c>
      <c r="M150">
        <v>3</v>
      </c>
      <c r="N150">
        <v>1</v>
      </c>
      <c r="O150">
        <v>0</v>
      </c>
      <c r="P150">
        <v>6</v>
      </c>
    </row>
    <row r="151" spans="1:16" x14ac:dyDescent="0.3">
      <c r="A151" s="1">
        <v>45323</v>
      </c>
      <c r="B151" t="s">
        <v>5</v>
      </c>
      <c r="C151" t="str">
        <f>IFERROR(INDEX(자료실범례[],MATCH($B151,자료실범례[소장처명],0),2),"종합자료실")</f>
        <v>종합자료실</v>
      </c>
      <c r="D151" t="s">
        <v>28</v>
      </c>
      <c r="E151">
        <v>2</v>
      </c>
      <c r="F151">
        <v>3</v>
      </c>
      <c r="G151">
        <v>2</v>
      </c>
      <c r="H151">
        <v>7</v>
      </c>
      <c r="I151">
        <v>1</v>
      </c>
      <c r="J151">
        <v>1</v>
      </c>
      <c r="K151">
        <v>1</v>
      </c>
      <c r="L151">
        <v>0</v>
      </c>
      <c r="M151">
        <v>12</v>
      </c>
      <c r="N151">
        <v>0</v>
      </c>
      <c r="O151">
        <v>0</v>
      </c>
      <c r="P151">
        <v>29</v>
      </c>
    </row>
    <row r="152" spans="1:16" x14ac:dyDescent="0.3">
      <c r="A152" s="1">
        <v>45323</v>
      </c>
      <c r="B152" t="s">
        <v>5</v>
      </c>
      <c r="C152" t="str">
        <f>IFERROR(INDEX(자료실범례[],MATCH($B152,자료실범례[소장처명],0),2),"종합자료실")</f>
        <v>종합자료실</v>
      </c>
      <c r="D152" t="s">
        <v>25</v>
      </c>
      <c r="E152">
        <v>5</v>
      </c>
      <c r="F152">
        <v>1</v>
      </c>
      <c r="G152">
        <v>3</v>
      </c>
      <c r="H152">
        <v>6</v>
      </c>
      <c r="I152">
        <v>2</v>
      </c>
      <c r="J152">
        <v>5</v>
      </c>
      <c r="K152">
        <v>0</v>
      </c>
      <c r="L152">
        <v>0</v>
      </c>
      <c r="M152">
        <v>13</v>
      </c>
      <c r="N152">
        <v>0</v>
      </c>
      <c r="O152">
        <v>0</v>
      </c>
      <c r="P152">
        <v>35</v>
      </c>
    </row>
    <row r="153" spans="1:16" x14ac:dyDescent="0.3">
      <c r="A153" s="1">
        <v>45323</v>
      </c>
      <c r="B153" t="s">
        <v>5</v>
      </c>
      <c r="C153" t="str">
        <f>IFERROR(INDEX(자료실범례[],MATCH($B153,자료실범례[소장처명],0),2),"종합자료실")</f>
        <v>종합자료실</v>
      </c>
      <c r="D153" t="s">
        <v>31</v>
      </c>
      <c r="E153">
        <v>0</v>
      </c>
      <c r="F153">
        <v>0</v>
      </c>
      <c r="G153">
        <v>0</v>
      </c>
      <c r="H153">
        <v>2</v>
      </c>
      <c r="I153">
        <v>0</v>
      </c>
      <c r="J153">
        <v>0</v>
      </c>
      <c r="K153">
        <v>1</v>
      </c>
      <c r="L153">
        <v>0</v>
      </c>
      <c r="M153">
        <v>8</v>
      </c>
      <c r="N153">
        <v>0</v>
      </c>
      <c r="O153">
        <v>0</v>
      </c>
      <c r="P153">
        <v>11</v>
      </c>
    </row>
    <row r="154" spans="1:16" x14ac:dyDescent="0.3">
      <c r="A154" s="1">
        <v>45323</v>
      </c>
      <c r="B154" t="s">
        <v>7</v>
      </c>
      <c r="C154" t="str">
        <f>IFERROR(INDEX(자료실범례[],MATCH($B154,자료실범례[소장처명],0),2),"종합자료실")</f>
        <v>어린이자료실</v>
      </c>
      <c r="D154" t="s">
        <v>28</v>
      </c>
      <c r="E154">
        <v>1</v>
      </c>
      <c r="F154">
        <v>1</v>
      </c>
      <c r="G154">
        <v>0</v>
      </c>
      <c r="H154">
        <v>13</v>
      </c>
      <c r="I154">
        <v>2</v>
      </c>
      <c r="J154">
        <v>1</v>
      </c>
      <c r="K154">
        <v>1</v>
      </c>
      <c r="L154">
        <v>3</v>
      </c>
      <c r="M154">
        <v>61</v>
      </c>
      <c r="N154">
        <v>1</v>
      </c>
      <c r="O154">
        <v>0</v>
      </c>
      <c r="P154">
        <v>84</v>
      </c>
    </row>
    <row r="155" spans="1:16" x14ac:dyDescent="0.3">
      <c r="A155" s="1">
        <v>45323</v>
      </c>
      <c r="B155" t="s">
        <v>7</v>
      </c>
      <c r="C155" t="str">
        <f>IFERROR(INDEX(자료실범례[],MATCH($B155,자료실범례[소장처명],0),2),"종합자료실")</f>
        <v>어린이자료실</v>
      </c>
      <c r="D155" t="s">
        <v>25</v>
      </c>
      <c r="E155">
        <v>2</v>
      </c>
      <c r="F155">
        <v>1</v>
      </c>
      <c r="G155">
        <v>0</v>
      </c>
      <c r="H155">
        <v>14</v>
      </c>
      <c r="I155">
        <v>2</v>
      </c>
      <c r="J155">
        <v>1</v>
      </c>
      <c r="K155">
        <v>0</v>
      </c>
      <c r="L155">
        <v>1</v>
      </c>
      <c r="M155">
        <v>47</v>
      </c>
      <c r="N155">
        <v>0</v>
      </c>
      <c r="O155">
        <v>0</v>
      </c>
      <c r="P155">
        <v>68</v>
      </c>
    </row>
    <row r="156" spans="1:16" x14ac:dyDescent="0.3">
      <c r="A156" s="1">
        <v>45323</v>
      </c>
      <c r="B156" t="s">
        <v>7</v>
      </c>
      <c r="C156" t="str">
        <f>IFERROR(INDEX(자료실범례[],MATCH($B156,자료실범례[소장처명],0),2),"종합자료실")</f>
        <v>어린이자료실</v>
      </c>
      <c r="D156" t="s">
        <v>31</v>
      </c>
      <c r="E156">
        <v>0</v>
      </c>
      <c r="F156">
        <v>0</v>
      </c>
      <c r="G156">
        <v>0</v>
      </c>
      <c r="H156">
        <v>2</v>
      </c>
      <c r="I156">
        <v>0</v>
      </c>
      <c r="J156">
        <v>0</v>
      </c>
      <c r="K156">
        <v>0</v>
      </c>
      <c r="L156">
        <v>0</v>
      </c>
      <c r="M156">
        <v>5</v>
      </c>
      <c r="N156">
        <v>0</v>
      </c>
      <c r="O156">
        <v>0</v>
      </c>
      <c r="P156">
        <v>7</v>
      </c>
    </row>
    <row r="157" spans="1:16" x14ac:dyDescent="0.3">
      <c r="A157" s="1">
        <v>45323</v>
      </c>
      <c r="B157" t="s">
        <v>8</v>
      </c>
      <c r="C157" t="str">
        <f>IFERROR(INDEX(자료실범례[],MATCH($B157,자료실범례[소장처명],0),2),"종합자료실")</f>
        <v>어린이자료실</v>
      </c>
      <c r="D157" t="s">
        <v>28</v>
      </c>
      <c r="E157">
        <v>0</v>
      </c>
      <c r="F157">
        <v>1</v>
      </c>
      <c r="G157">
        <v>0</v>
      </c>
      <c r="H157">
        <v>1</v>
      </c>
      <c r="I157">
        <v>0</v>
      </c>
      <c r="J157">
        <v>1</v>
      </c>
      <c r="K157">
        <v>0</v>
      </c>
      <c r="L157">
        <v>0</v>
      </c>
      <c r="M157">
        <v>22</v>
      </c>
      <c r="N157">
        <v>0</v>
      </c>
      <c r="O157">
        <v>0</v>
      </c>
      <c r="P157">
        <v>25</v>
      </c>
    </row>
    <row r="158" spans="1:16" x14ac:dyDescent="0.3">
      <c r="A158" s="1">
        <v>45323</v>
      </c>
      <c r="B158" t="s">
        <v>8</v>
      </c>
      <c r="C158" t="str">
        <f>IFERROR(INDEX(자료실범례[],MATCH($B158,자료실범례[소장처명],0),2),"종합자료실")</f>
        <v>어린이자료실</v>
      </c>
      <c r="D158" t="s">
        <v>25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15</v>
      </c>
      <c r="N158">
        <v>0</v>
      </c>
      <c r="O158">
        <v>0</v>
      </c>
      <c r="P158">
        <v>16</v>
      </c>
    </row>
    <row r="159" spans="1:16" x14ac:dyDescent="0.3">
      <c r="A159" s="1">
        <v>45323</v>
      </c>
      <c r="B159" t="s">
        <v>8</v>
      </c>
      <c r="C159" t="str">
        <f>IFERROR(INDEX(자료실범례[],MATCH($B159,자료실범례[소장처명],0),2),"종합자료실")</f>
        <v>어린이자료실</v>
      </c>
      <c r="D159" t="s">
        <v>31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6</v>
      </c>
      <c r="N159">
        <v>0</v>
      </c>
      <c r="O159">
        <v>0</v>
      </c>
      <c r="P159">
        <v>6</v>
      </c>
    </row>
    <row r="160" spans="1:16" x14ac:dyDescent="0.3">
      <c r="A160" s="1">
        <v>45323</v>
      </c>
      <c r="B160" t="s">
        <v>9</v>
      </c>
      <c r="C160" t="str">
        <f>IFERROR(INDEX(자료실범례[],MATCH($B160,자료실범례[소장처명],0),2),"종합자료실")</f>
        <v>어린이자료실</v>
      </c>
      <c r="D160" t="s">
        <v>28</v>
      </c>
      <c r="E160">
        <v>0</v>
      </c>
      <c r="F160">
        <v>0</v>
      </c>
      <c r="G160">
        <v>0</v>
      </c>
      <c r="H160">
        <v>3</v>
      </c>
      <c r="I160">
        <v>7</v>
      </c>
      <c r="J160">
        <v>0</v>
      </c>
      <c r="K160">
        <v>1</v>
      </c>
      <c r="L160">
        <v>0</v>
      </c>
      <c r="M160">
        <v>9</v>
      </c>
      <c r="N160">
        <v>1</v>
      </c>
      <c r="O160">
        <v>0</v>
      </c>
      <c r="P160">
        <v>21</v>
      </c>
    </row>
    <row r="161" spans="1:16" x14ac:dyDescent="0.3">
      <c r="A161" s="1">
        <v>45323</v>
      </c>
      <c r="B161" t="s">
        <v>9</v>
      </c>
      <c r="C161" t="str">
        <f>IFERROR(INDEX(자료실범례[],MATCH($B161,자료실범례[소장처명],0),2),"종합자료실")</f>
        <v>어린이자료실</v>
      </c>
      <c r="D161" t="s">
        <v>25</v>
      </c>
      <c r="E161">
        <v>0</v>
      </c>
      <c r="F161">
        <v>0</v>
      </c>
      <c r="G161">
        <v>0</v>
      </c>
      <c r="H161">
        <v>2</v>
      </c>
      <c r="I161">
        <v>2</v>
      </c>
      <c r="J161">
        <v>0</v>
      </c>
      <c r="K161">
        <v>1</v>
      </c>
      <c r="L161">
        <v>0</v>
      </c>
      <c r="M161">
        <v>8</v>
      </c>
      <c r="N161">
        <v>1</v>
      </c>
      <c r="O161">
        <v>0</v>
      </c>
      <c r="P161">
        <v>14</v>
      </c>
    </row>
    <row r="162" spans="1:16" x14ac:dyDescent="0.3">
      <c r="A162" s="1">
        <v>45323</v>
      </c>
      <c r="B162" t="s">
        <v>9</v>
      </c>
      <c r="C162" t="str">
        <f>IFERROR(INDEX(자료실범례[],MATCH($B162,자료실범례[소장처명],0),2),"종합자료실")</f>
        <v>어린이자료실</v>
      </c>
      <c r="D162" t="s">
        <v>31</v>
      </c>
      <c r="E162">
        <v>0</v>
      </c>
      <c r="F162">
        <v>0</v>
      </c>
      <c r="G162">
        <v>0</v>
      </c>
      <c r="H162">
        <v>2</v>
      </c>
      <c r="I162">
        <v>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4</v>
      </c>
    </row>
    <row r="163" spans="1:16" x14ac:dyDescent="0.3">
      <c r="A163" s="1">
        <v>45323</v>
      </c>
      <c r="B163" t="s">
        <v>10</v>
      </c>
      <c r="C163" t="str">
        <f>IFERROR(INDEX(자료실범례[],MATCH($B163,자료실범례[소장처명],0),2),"종합자료실")</f>
        <v>어린이자료실</v>
      </c>
      <c r="D163" t="s">
        <v>28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11</v>
      </c>
      <c r="N163">
        <v>0</v>
      </c>
      <c r="O163">
        <v>0</v>
      </c>
      <c r="P163">
        <v>11</v>
      </c>
    </row>
    <row r="164" spans="1:16" x14ac:dyDescent="0.3">
      <c r="A164" s="1">
        <v>45323</v>
      </c>
      <c r="B164" t="s">
        <v>10</v>
      </c>
      <c r="C164" t="str">
        <f>IFERROR(INDEX(자료실범례[],MATCH($B164,자료실범례[소장처명],0),2),"종합자료실")</f>
        <v>어린이자료실</v>
      </c>
      <c r="D164" t="s">
        <v>25</v>
      </c>
      <c r="E164">
        <v>0</v>
      </c>
      <c r="F164">
        <v>0</v>
      </c>
      <c r="G164">
        <v>0</v>
      </c>
      <c r="H164">
        <v>0</v>
      </c>
      <c r="I164">
        <v>3</v>
      </c>
      <c r="J164">
        <v>2</v>
      </c>
      <c r="K164">
        <v>1</v>
      </c>
      <c r="L164">
        <v>4</v>
      </c>
      <c r="M164">
        <v>17</v>
      </c>
      <c r="N164">
        <v>0</v>
      </c>
      <c r="O164">
        <v>0</v>
      </c>
      <c r="P164">
        <v>27</v>
      </c>
    </row>
    <row r="165" spans="1:16" x14ac:dyDescent="0.3">
      <c r="A165" s="1">
        <v>45323</v>
      </c>
      <c r="B165" t="s">
        <v>11</v>
      </c>
      <c r="C165" t="str">
        <f>IFERROR(INDEX(자료실범례[],MATCH($B165,자료실범례[소장처명],0),2),"종합자료실")</f>
        <v>어린이자료실</v>
      </c>
      <c r="D165" t="s">
        <v>28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3</v>
      </c>
      <c r="N165">
        <v>0</v>
      </c>
      <c r="O165">
        <v>0</v>
      </c>
      <c r="P165">
        <v>3</v>
      </c>
    </row>
    <row r="166" spans="1:16" x14ac:dyDescent="0.3">
      <c r="A166" s="1">
        <v>45323</v>
      </c>
      <c r="B166" t="s">
        <v>11</v>
      </c>
      <c r="C166" t="str">
        <f>IFERROR(INDEX(자료실범례[],MATCH($B166,자료실범례[소장처명],0),2),"종합자료실")</f>
        <v>어린이자료실</v>
      </c>
      <c r="D166" t="s">
        <v>25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6</v>
      </c>
      <c r="N166">
        <v>0</v>
      </c>
      <c r="O166">
        <v>0</v>
      </c>
      <c r="P166">
        <v>6</v>
      </c>
    </row>
    <row r="167" spans="1:16" x14ac:dyDescent="0.3">
      <c r="A167" s="1">
        <v>45323</v>
      </c>
      <c r="B167" t="s">
        <v>11</v>
      </c>
      <c r="C167" t="str">
        <f>IFERROR(INDEX(자료실범례[],MATCH($B167,자료실범례[소장처명],0),2),"종합자료실")</f>
        <v>어린이자료실</v>
      </c>
      <c r="D167" t="s">
        <v>31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3</v>
      </c>
      <c r="N167">
        <v>0</v>
      </c>
      <c r="O167">
        <v>0</v>
      </c>
      <c r="P167">
        <v>3</v>
      </c>
    </row>
    <row r="168" spans="1:16" x14ac:dyDescent="0.3">
      <c r="A168" s="1">
        <v>45323</v>
      </c>
      <c r="B168" t="s">
        <v>12</v>
      </c>
      <c r="C168" t="str">
        <f>IFERROR(INDEX(자료실범례[],MATCH($B168,자료실범례[소장처명],0),2),"종합자료실")</f>
        <v>어린이자료실</v>
      </c>
      <c r="D168" t="s">
        <v>28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4</v>
      </c>
      <c r="K168">
        <v>0</v>
      </c>
      <c r="L168">
        <v>0</v>
      </c>
      <c r="M168">
        <v>4</v>
      </c>
      <c r="N168">
        <v>2</v>
      </c>
      <c r="O168">
        <v>0</v>
      </c>
      <c r="P168">
        <v>11</v>
      </c>
    </row>
    <row r="169" spans="1:16" x14ac:dyDescent="0.3">
      <c r="A169" s="1">
        <v>45323</v>
      </c>
      <c r="B169" t="s">
        <v>12</v>
      </c>
      <c r="C169" t="str">
        <f>IFERROR(INDEX(자료실범례[],MATCH($B169,자료실범례[소장처명],0),2),"종합자료실")</f>
        <v>어린이자료실</v>
      </c>
      <c r="D169" t="s">
        <v>25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3</v>
      </c>
      <c r="N169">
        <v>1</v>
      </c>
      <c r="O169">
        <v>0</v>
      </c>
      <c r="P169">
        <v>5</v>
      </c>
    </row>
    <row r="170" spans="1:16" x14ac:dyDescent="0.3">
      <c r="A170" s="1">
        <v>45323</v>
      </c>
      <c r="B170" t="s">
        <v>12</v>
      </c>
      <c r="C170" t="str">
        <f>IFERROR(INDEX(자료실범례[],MATCH($B170,자료실범례[소장처명],0),2),"종합자료실")</f>
        <v>어린이자료실</v>
      </c>
      <c r="D170" t="s">
        <v>31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1</v>
      </c>
    </row>
    <row r="171" spans="1:16" x14ac:dyDescent="0.3">
      <c r="A171" s="1">
        <v>45323</v>
      </c>
      <c r="B171" t="s">
        <v>0</v>
      </c>
      <c r="C171" t="str">
        <f>IFERROR(INDEX(자료실범례[],MATCH($B171,자료실범례[소장처명],0),2),"종합자료실")</f>
        <v>어린이자료실</v>
      </c>
      <c r="D171" t="s">
        <v>28</v>
      </c>
      <c r="E171">
        <v>0</v>
      </c>
      <c r="F171">
        <v>0</v>
      </c>
      <c r="G171">
        <v>0</v>
      </c>
      <c r="H171">
        <v>2</v>
      </c>
      <c r="I171">
        <v>0</v>
      </c>
      <c r="J171">
        <v>0</v>
      </c>
      <c r="K171">
        <v>0</v>
      </c>
      <c r="L171">
        <v>1</v>
      </c>
      <c r="M171">
        <v>23</v>
      </c>
      <c r="N171">
        <v>0</v>
      </c>
      <c r="O171">
        <v>0</v>
      </c>
      <c r="P171">
        <v>26</v>
      </c>
    </row>
    <row r="172" spans="1:16" x14ac:dyDescent="0.3">
      <c r="A172" s="1">
        <v>45323</v>
      </c>
      <c r="B172" t="s">
        <v>0</v>
      </c>
      <c r="C172" t="str">
        <f>IFERROR(INDEX(자료실범례[],MATCH($B172,자료실범례[소장처명],0),2),"종합자료실")</f>
        <v>어린이자료실</v>
      </c>
      <c r="D172" t="s">
        <v>25</v>
      </c>
      <c r="E172">
        <v>0</v>
      </c>
      <c r="F172">
        <v>0</v>
      </c>
      <c r="G172">
        <v>0</v>
      </c>
      <c r="H172">
        <v>2</v>
      </c>
      <c r="I172">
        <v>0</v>
      </c>
      <c r="J172">
        <v>0</v>
      </c>
      <c r="K172">
        <v>0</v>
      </c>
      <c r="L172">
        <v>3</v>
      </c>
      <c r="M172">
        <v>20</v>
      </c>
      <c r="N172">
        <v>0</v>
      </c>
      <c r="O172">
        <v>0</v>
      </c>
      <c r="P172">
        <v>25</v>
      </c>
    </row>
    <row r="173" spans="1:16" x14ac:dyDescent="0.3">
      <c r="A173" s="1">
        <v>45323</v>
      </c>
      <c r="B173" t="s">
        <v>0</v>
      </c>
      <c r="C173" t="str">
        <f>IFERROR(INDEX(자료실범례[],MATCH($B173,자료실범례[소장처명],0),2),"종합자료실")</f>
        <v>어린이자료실</v>
      </c>
      <c r="D173" t="s">
        <v>31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</v>
      </c>
      <c r="M173">
        <v>1</v>
      </c>
      <c r="N173">
        <v>0</v>
      </c>
      <c r="O173">
        <v>0</v>
      </c>
      <c r="P173">
        <v>3</v>
      </c>
    </row>
    <row r="174" spans="1:16" x14ac:dyDescent="0.3">
      <c r="A174" s="1">
        <v>45323</v>
      </c>
      <c r="B174" t="s">
        <v>1</v>
      </c>
      <c r="C174" t="str">
        <f>IFERROR(INDEX(자료실범례[],MATCH($B174,자료실범례[소장처명],0),2),"종합자료실")</f>
        <v>어린이자료실</v>
      </c>
      <c r="D174" t="s">
        <v>28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92</v>
      </c>
      <c r="M174">
        <v>5</v>
      </c>
      <c r="N174">
        <v>0</v>
      </c>
      <c r="O174">
        <v>0</v>
      </c>
      <c r="P174">
        <v>97</v>
      </c>
    </row>
    <row r="175" spans="1:16" x14ac:dyDescent="0.3">
      <c r="A175" s="1">
        <v>45323</v>
      </c>
      <c r="B175" t="s">
        <v>1</v>
      </c>
      <c r="C175" t="str">
        <f>IFERROR(INDEX(자료실범례[],MATCH($B175,자료실범례[소장처명],0),2),"종합자료실")</f>
        <v>어린이자료실</v>
      </c>
      <c r="D175" t="s">
        <v>25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110</v>
      </c>
      <c r="M175">
        <v>3</v>
      </c>
      <c r="N175">
        <v>0</v>
      </c>
      <c r="O175">
        <v>0</v>
      </c>
      <c r="P175">
        <v>113</v>
      </c>
    </row>
    <row r="176" spans="1:16" x14ac:dyDescent="0.3">
      <c r="A176" s="1">
        <v>45323</v>
      </c>
      <c r="B176" t="s">
        <v>1</v>
      </c>
      <c r="C176" t="str">
        <f>IFERROR(INDEX(자료실범례[],MATCH($B176,자료실범례[소장처명],0),2),"종합자료실")</f>
        <v>어린이자료실</v>
      </c>
      <c r="D176" t="s">
        <v>31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40</v>
      </c>
      <c r="M176">
        <v>0</v>
      </c>
      <c r="N176">
        <v>0</v>
      </c>
      <c r="O176">
        <v>0</v>
      </c>
      <c r="P176">
        <v>40</v>
      </c>
    </row>
    <row r="177" spans="1:16" x14ac:dyDescent="0.3">
      <c r="A177" s="1">
        <v>45323</v>
      </c>
      <c r="B177" t="s">
        <v>6</v>
      </c>
      <c r="C177" t="str">
        <f>IFERROR(INDEX(자료실범례[],MATCH($B177,자료실범례[소장처명],0),2),"종합자료실")</f>
        <v>종합자료실</v>
      </c>
      <c r="D177" t="s">
        <v>28</v>
      </c>
      <c r="E177">
        <v>2</v>
      </c>
      <c r="F177">
        <v>1</v>
      </c>
      <c r="G177">
        <v>0</v>
      </c>
      <c r="H177">
        <v>0</v>
      </c>
      <c r="I177">
        <v>1</v>
      </c>
      <c r="J177">
        <v>3</v>
      </c>
      <c r="K177">
        <v>1</v>
      </c>
      <c r="L177">
        <v>0</v>
      </c>
      <c r="M177">
        <v>5</v>
      </c>
      <c r="N177">
        <v>8</v>
      </c>
      <c r="O177">
        <v>0</v>
      </c>
      <c r="P177">
        <v>21</v>
      </c>
    </row>
    <row r="178" spans="1:16" x14ac:dyDescent="0.3">
      <c r="A178" s="1">
        <v>45323</v>
      </c>
      <c r="B178" t="s">
        <v>6</v>
      </c>
      <c r="C178" t="str">
        <f>IFERROR(INDEX(자료실범례[],MATCH($B178,자료실범례[소장처명],0),2),"종합자료실")</f>
        <v>종합자료실</v>
      </c>
      <c r="D178" t="s">
        <v>25</v>
      </c>
      <c r="E178">
        <v>3</v>
      </c>
      <c r="F178">
        <v>1</v>
      </c>
      <c r="G178">
        <v>0</v>
      </c>
      <c r="H178">
        <v>1</v>
      </c>
      <c r="I178">
        <v>2</v>
      </c>
      <c r="J178">
        <v>3</v>
      </c>
      <c r="K178">
        <v>1</v>
      </c>
      <c r="L178">
        <v>0</v>
      </c>
      <c r="M178">
        <v>11</v>
      </c>
      <c r="N178">
        <v>10</v>
      </c>
      <c r="O178">
        <v>0</v>
      </c>
      <c r="P178">
        <v>32</v>
      </c>
    </row>
    <row r="179" spans="1:16" x14ac:dyDescent="0.3">
      <c r="A179" s="1">
        <v>45323</v>
      </c>
      <c r="B179" t="s">
        <v>6</v>
      </c>
      <c r="C179" t="str">
        <f>IFERROR(INDEX(자료실범례[],MATCH($B179,자료실범례[소장처명],0),2),"종합자료실")</f>
        <v>종합자료실</v>
      </c>
      <c r="D179" t="s">
        <v>31</v>
      </c>
      <c r="E179">
        <v>2</v>
      </c>
      <c r="F179">
        <v>1</v>
      </c>
      <c r="G179">
        <v>0</v>
      </c>
      <c r="H179">
        <v>0</v>
      </c>
      <c r="I179">
        <v>0</v>
      </c>
      <c r="J179">
        <v>1</v>
      </c>
      <c r="K179">
        <v>1</v>
      </c>
      <c r="L179">
        <v>0</v>
      </c>
      <c r="M179">
        <v>2</v>
      </c>
      <c r="N179">
        <v>3</v>
      </c>
      <c r="O179">
        <v>0</v>
      </c>
      <c r="P179">
        <v>10</v>
      </c>
    </row>
    <row r="180" spans="1:16" x14ac:dyDescent="0.3">
      <c r="A180" s="1">
        <v>45323</v>
      </c>
      <c r="B180" t="s">
        <v>18</v>
      </c>
      <c r="C180" t="str">
        <f>IFERROR(INDEX(자료실범례[],MATCH($B180,자료실범례[소장처명],0),2),"종합자료실")</f>
        <v>종합자료실</v>
      </c>
      <c r="D180" t="s">
        <v>28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8</v>
      </c>
      <c r="P180">
        <v>8</v>
      </c>
    </row>
    <row r="181" spans="1:16" x14ac:dyDescent="0.3">
      <c r="A181" s="1">
        <v>45323</v>
      </c>
      <c r="B181" t="s">
        <v>18</v>
      </c>
      <c r="C181" t="str">
        <f>IFERROR(INDEX(자료실범례[],MATCH($B181,자료실범례[소장처명],0),2),"종합자료실")</f>
        <v>종합자료실</v>
      </c>
      <c r="D181" t="s">
        <v>25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11</v>
      </c>
      <c r="P181">
        <v>11</v>
      </c>
    </row>
    <row r="182" spans="1:16" x14ac:dyDescent="0.3">
      <c r="A182" s="1">
        <v>45323</v>
      </c>
      <c r="B182" t="s">
        <v>18</v>
      </c>
      <c r="C182" t="str">
        <f>IFERROR(INDEX(자료실범례[],MATCH($B182,자료실범례[소장처명],0),2),"종합자료실")</f>
        <v>종합자료실</v>
      </c>
      <c r="D182" t="s">
        <v>31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</v>
      </c>
      <c r="P182">
        <v>2</v>
      </c>
    </row>
    <row r="183" spans="1:16" x14ac:dyDescent="0.3">
      <c r="A183" s="1">
        <v>45323</v>
      </c>
      <c r="B183" t="s">
        <v>17</v>
      </c>
      <c r="C183" t="str">
        <f>IFERROR(INDEX(자료실범례[],MATCH($B183,자료실범례[소장처명],0),2),"종합자료실")</f>
        <v>어린이자료실</v>
      </c>
      <c r="D183" t="s">
        <v>28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23</v>
      </c>
      <c r="P183">
        <v>23</v>
      </c>
    </row>
    <row r="184" spans="1:16" x14ac:dyDescent="0.3">
      <c r="A184" s="1">
        <v>45323</v>
      </c>
      <c r="B184" t="s">
        <v>17</v>
      </c>
      <c r="C184" t="str">
        <f>IFERROR(INDEX(자료실범례[],MATCH($B184,자료실범례[소장처명],0),2),"종합자료실")</f>
        <v>어린이자료실</v>
      </c>
      <c r="D184" t="s">
        <v>25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17</v>
      </c>
      <c r="P184">
        <v>17</v>
      </c>
    </row>
    <row r="185" spans="1:16" x14ac:dyDescent="0.3">
      <c r="A185" s="1">
        <v>45323</v>
      </c>
      <c r="B185" t="s">
        <v>17</v>
      </c>
      <c r="C185" t="str">
        <f>IFERROR(INDEX(자료실범례[],MATCH($B185,자료실범례[소장처명],0),2),"종합자료실")</f>
        <v>어린이자료실</v>
      </c>
      <c r="D185" t="s">
        <v>31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2</v>
      </c>
      <c r="P185">
        <v>2</v>
      </c>
    </row>
    <row r="186" spans="1:16" x14ac:dyDescent="0.3">
      <c r="A186" s="1">
        <v>44958</v>
      </c>
      <c r="B186" t="s">
        <v>24</v>
      </c>
      <c r="C186" t="str">
        <f>IFERROR(INDEX(자료실범례[],MATCH($B186,자료실범례[소장처명],0),2),"종합자료실")</f>
        <v>종합자료실</v>
      </c>
      <c r="D186" t="s">
        <v>28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1</v>
      </c>
    </row>
    <row r="187" spans="1:16" x14ac:dyDescent="0.3">
      <c r="A187" s="1">
        <v>44958</v>
      </c>
      <c r="B187" t="s">
        <v>24</v>
      </c>
      <c r="C187" t="str">
        <f>IFERROR(INDEX(자료실범례[],MATCH($B187,자료실범례[소장처명],0),2),"종합자료실")</f>
        <v>종합자료실</v>
      </c>
      <c r="D187" t="s">
        <v>25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3</v>
      </c>
      <c r="N187">
        <v>0</v>
      </c>
      <c r="O187">
        <v>0</v>
      </c>
      <c r="P187">
        <v>3</v>
      </c>
    </row>
    <row r="188" spans="1:16" x14ac:dyDescent="0.3">
      <c r="A188" s="1">
        <v>44958</v>
      </c>
      <c r="B188" t="s">
        <v>21</v>
      </c>
      <c r="C188" t="str">
        <f>IFERROR(INDEX(자료실범례[],MATCH($B188,자료실범례[소장처명],0),2),"종합자료실")</f>
        <v>종합자료실</v>
      </c>
      <c r="D188" t="s">
        <v>28</v>
      </c>
      <c r="E188">
        <v>77</v>
      </c>
      <c r="F188">
        <v>146</v>
      </c>
      <c r="G188">
        <v>33</v>
      </c>
      <c r="H188">
        <v>315</v>
      </c>
      <c r="I188">
        <v>43</v>
      </c>
      <c r="J188">
        <v>184</v>
      </c>
      <c r="K188">
        <v>64</v>
      </c>
      <c r="L188">
        <v>33</v>
      </c>
      <c r="M188">
        <v>675</v>
      </c>
      <c r="N188">
        <v>110</v>
      </c>
      <c r="O188">
        <v>2</v>
      </c>
      <c r="P188">
        <v>1682</v>
      </c>
    </row>
    <row r="189" spans="1:16" x14ac:dyDescent="0.3">
      <c r="A189" s="1">
        <v>44958</v>
      </c>
      <c r="B189" t="s">
        <v>21</v>
      </c>
      <c r="C189" t="str">
        <f>IFERROR(INDEX(자료실범례[],MATCH($B189,자료실범례[소장처명],0),2),"종합자료실")</f>
        <v>종합자료실</v>
      </c>
      <c r="D189" t="s">
        <v>25</v>
      </c>
      <c r="E189">
        <v>81</v>
      </c>
      <c r="F189">
        <v>157</v>
      </c>
      <c r="G189">
        <v>23</v>
      </c>
      <c r="H189">
        <v>275</v>
      </c>
      <c r="I189">
        <v>44</v>
      </c>
      <c r="J189">
        <v>162</v>
      </c>
      <c r="K189">
        <v>66</v>
      </c>
      <c r="L189">
        <v>47</v>
      </c>
      <c r="M189">
        <v>688</v>
      </c>
      <c r="N189">
        <v>102</v>
      </c>
      <c r="O189">
        <v>1</v>
      </c>
      <c r="P189">
        <v>1646</v>
      </c>
    </row>
    <row r="190" spans="1:16" x14ac:dyDescent="0.3">
      <c r="A190" s="1">
        <v>44958</v>
      </c>
      <c r="B190" t="s">
        <v>21</v>
      </c>
      <c r="C190" t="str">
        <f>IFERROR(INDEX(자료실범례[],MATCH($B190,자료실범례[소장처명],0),2),"종합자료실")</f>
        <v>종합자료실</v>
      </c>
      <c r="D190" t="s">
        <v>31</v>
      </c>
      <c r="E190">
        <v>28</v>
      </c>
      <c r="F190">
        <v>47</v>
      </c>
      <c r="G190">
        <v>10</v>
      </c>
      <c r="H190">
        <v>110</v>
      </c>
      <c r="I190">
        <v>15</v>
      </c>
      <c r="J190">
        <v>85</v>
      </c>
      <c r="K190">
        <v>19</v>
      </c>
      <c r="L190">
        <v>9</v>
      </c>
      <c r="M190">
        <v>167</v>
      </c>
      <c r="N190">
        <v>16</v>
      </c>
      <c r="O190">
        <v>0</v>
      </c>
      <c r="P190">
        <v>506</v>
      </c>
    </row>
    <row r="191" spans="1:16" x14ac:dyDescent="0.3">
      <c r="A191" s="1">
        <v>44958</v>
      </c>
      <c r="B191" t="s">
        <v>16</v>
      </c>
      <c r="C191" t="str">
        <f>IFERROR(INDEX(자료실범례[],MATCH($B191,자료실범례[소장처명],0),2),"종합자료실")</f>
        <v>어린이자료실</v>
      </c>
      <c r="D191" t="s">
        <v>28</v>
      </c>
      <c r="E191">
        <v>33</v>
      </c>
      <c r="F191">
        <v>10</v>
      </c>
      <c r="G191">
        <v>4</v>
      </c>
      <c r="H191">
        <v>104</v>
      </c>
      <c r="I191">
        <v>187</v>
      </c>
      <c r="J191">
        <v>56</v>
      </c>
      <c r="K191">
        <v>20</v>
      </c>
      <c r="L191">
        <v>38</v>
      </c>
      <c r="M191">
        <v>1092</v>
      </c>
      <c r="N191">
        <v>49</v>
      </c>
      <c r="O191">
        <v>0</v>
      </c>
      <c r="P191">
        <v>1593</v>
      </c>
    </row>
    <row r="192" spans="1:16" x14ac:dyDescent="0.3">
      <c r="A192" s="1">
        <v>44958</v>
      </c>
      <c r="B192" t="s">
        <v>16</v>
      </c>
      <c r="C192" t="str">
        <f>IFERROR(INDEX(자료실범례[],MATCH($B192,자료실범례[소장처명],0),2),"종합자료실")</f>
        <v>어린이자료실</v>
      </c>
      <c r="D192" t="s">
        <v>25</v>
      </c>
      <c r="E192">
        <v>29</v>
      </c>
      <c r="F192">
        <v>11</v>
      </c>
      <c r="G192">
        <v>4</v>
      </c>
      <c r="H192">
        <v>87</v>
      </c>
      <c r="I192">
        <v>139</v>
      </c>
      <c r="J192">
        <v>47</v>
      </c>
      <c r="K192">
        <v>19</v>
      </c>
      <c r="L192">
        <v>26</v>
      </c>
      <c r="M192">
        <v>1113</v>
      </c>
      <c r="N192">
        <v>59</v>
      </c>
      <c r="O192">
        <v>0</v>
      </c>
      <c r="P192">
        <v>1534</v>
      </c>
    </row>
    <row r="193" spans="1:16" x14ac:dyDescent="0.3">
      <c r="A193" s="1">
        <v>44958</v>
      </c>
      <c r="B193" t="s">
        <v>16</v>
      </c>
      <c r="C193" t="str">
        <f>IFERROR(INDEX(자료실범례[],MATCH($B193,자료실범례[소장처명],0),2),"종합자료실")</f>
        <v>어린이자료실</v>
      </c>
      <c r="D193" t="s">
        <v>31</v>
      </c>
      <c r="E193">
        <v>9</v>
      </c>
      <c r="F193">
        <v>2</v>
      </c>
      <c r="G193">
        <v>0</v>
      </c>
      <c r="H193">
        <v>19</v>
      </c>
      <c r="I193">
        <v>18</v>
      </c>
      <c r="J193">
        <v>13</v>
      </c>
      <c r="K193">
        <v>3</v>
      </c>
      <c r="L193">
        <v>6</v>
      </c>
      <c r="M193">
        <v>187</v>
      </c>
      <c r="N193">
        <v>8</v>
      </c>
      <c r="O193">
        <v>0</v>
      </c>
      <c r="P193">
        <v>265</v>
      </c>
    </row>
    <row r="194" spans="1:16" x14ac:dyDescent="0.3">
      <c r="A194" s="1">
        <v>44958</v>
      </c>
      <c r="B194" t="s">
        <v>2</v>
      </c>
      <c r="C194" t="str">
        <f>IFERROR(INDEX(자료실범례[],MATCH($B194,자료실범례[소장처명],0),2),"종합자료실")</f>
        <v>디지털자료실</v>
      </c>
      <c r="D194" t="s">
        <v>28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42</v>
      </c>
      <c r="L194">
        <v>0</v>
      </c>
      <c r="M194">
        <v>0</v>
      </c>
      <c r="N194">
        <v>0</v>
      </c>
      <c r="O194">
        <v>0</v>
      </c>
      <c r="P194">
        <v>43</v>
      </c>
    </row>
    <row r="195" spans="1:16" x14ac:dyDescent="0.3">
      <c r="A195" s="1">
        <v>44958</v>
      </c>
      <c r="B195" t="s">
        <v>2</v>
      </c>
      <c r="C195" t="str">
        <f>IFERROR(INDEX(자료실범례[],MATCH($B195,자료실범례[소장처명],0),2),"종합자료실")</f>
        <v>디지털자료실</v>
      </c>
      <c r="D195" t="s">
        <v>25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36</v>
      </c>
      <c r="L195">
        <v>0</v>
      </c>
      <c r="M195">
        <v>0</v>
      </c>
      <c r="N195">
        <v>0</v>
      </c>
      <c r="O195">
        <v>0</v>
      </c>
      <c r="P195">
        <v>37</v>
      </c>
    </row>
    <row r="196" spans="1:16" x14ac:dyDescent="0.3">
      <c r="A196" s="1">
        <v>44958</v>
      </c>
      <c r="B196" t="s">
        <v>13</v>
      </c>
      <c r="C196" t="str">
        <f>IFERROR(INDEX(자료실범례[],MATCH($B196,자료실범례[소장처명],0),2),"종합자료실")</f>
        <v>어린이자료실</v>
      </c>
      <c r="D196" t="s">
        <v>28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4</v>
      </c>
      <c r="K196">
        <v>0</v>
      </c>
      <c r="L196">
        <v>0</v>
      </c>
      <c r="M196">
        <v>13</v>
      </c>
      <c r="N196">
        <v>0</v>
      </c>
      <c r="O196">
        <v>0</v>
      </c>
      <c r="P196">
        <v>18</v>
      </c>
    </row>
    <row r="197" spans="1:16" x14ac:dyDescent="0.3">
      <c r="A197" s="1">
        <v>44958</v>
      </c>
      <c r="B197" t="s">
        <v>13</v>
      </c>
      <c r="C197" t="str">
        <f>IFERROR(INDEX(자료실범례[],MATCH($B197,자료실범례[소장처명],0),2),"종합자료실")</f>
        <v>어린이자료실</v>
      </c>
      <c r="D197" t="s">
        <v>25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4</v>
      </c>
      <c r="K197">
        <v>0</v>
      </c>
      <c r="L197">
        <v>0</v>
      </c>
      <c r="M197">
        <v>10</v>
      </c>
      <c r="N197">
        <v>0</v>
      </c>
      <c r="O197">
        <v>0</v>
      </c>
      <c r="P197">
        <v>15</v>
      </c>
    </row>
    <row r="198" spans="1:16" x14ac:dyDescent="0.3">
      <c r="A198" s="1">
        <v>44958</v>
      </c>
      <c r="B198" t="s">
        <v>15</v>
      </c>
      <c r="C198" t="str">
        <f>IFERROR(INDEX(자료실범례[],MATCH($B198,자료실범례[소장처명],0),2),"종합자료실")</f>
        <v>어린이자료실</v>
      </c>
      <c r="D198" t="s">
        <v>28</v>
      </c>
      <c r="E198">
        <v>6</v>
      </c>
      <c r="F198">
        <v>0</v>
      </c>
      <c r="G198">
        <v>17</v>
      </c>
      <c r="H198">
        <v>3</v>
      </c>
      <c r="I198">
        <v>224</v>
      </c>
      <c r="J198">
        <v>54</v>
      </c>
      <c r="K198">
        <v>2</v>
      </c>
      <c r="L198">
        <v>90</v>
      </c>
      <c r="M198">
        <v>23</v>
      </c>
      <c r="N198">
        <v>90</v>
      </c>
      <c r="O198">
        <v>0</v>
      </c>
      <c r="P198">
        <v>509</v>
      </c>
    </row>
    <row r="199" spans="1:16" x14ac:dyDescent="0.3">
      <c r="A199" s="1">
        <v>44958</v>
      </c>
      <c r="B199" t="s">
        <v>15</v>
      </c>
      <c r="C199" t="str">
        <f>IFERROR(INDEX(자료실범례[],MATCH($B199,자료실범례[소장처명],0),2),"종합자료실")</f>
        <v>어린이자료실</v>
      </c>
      <c r="D199" t="s">
        <v>25</v>
      </c>
      <c r="E199">
        <v>5</v>
      </c>
      <c r="F199">
        <v>0</v>
      </c>
      <c r="G199">
        <v>18</v>
      </c>
      <c r="H199">
        <v>6</v>
      </c>
      <c r="I199">
        <v>226</v>
      </c>
      <c r="J199">
        <v>72</v>
      </c>
      <c r="K199">
        <v>2</v>
      </c>
      <c r="L199">
        <v>78</v>
      </c>
      <c r="M199">
        <v>32</v>
      </c>
      <c r="N199">
        <v>108</v>
      </c>
      <c r="O199">
        <v>0</v>
      </c>
      <c r="P199">
        <v>547</v>
      </c>
    </row>
    <row r="200" spans="1:16" x14ac:dyDescent="0.3">
      <c r="A200" s="1">
        <v>44958</v>
      </c>
      <c r="B200" t="s">
        <v>15</v>
      </c>
      <c r="C200" t="str">
        <f>IFERROR(INDEX(자료실범례[],MATCH($B200,자료실범례[소장처명],0),2),"종합자료실")</f>
        <v>어린이자료실</v>
      </c>
      <c r="D200" t="s">
        <v>31</v>
      </c>
      <c r="E200">
        <v>1</v>
      </c>
      <c r="F200">
        <v>0</v>
      </c>
      <c r="G200">
        <v>3</v>
      </c>
      <c r="H200">
        <v>0</v>
      </c>
      <c r="I200">
        <v>26</v>
      </c>
      <c r="J200">
        <v>25</v>
      </c>
      <c r="K200">
        <v>0</v>
      </c>
      <c r="L200">
        <v>5</v>
      </c>
      <c r="M200">
        <v>5</v>
      </c>
      <c r="N200">
        <v>22</v>
      </c>
      <c r="O200">
        <v>0</v>
      </c>
      <c r="P200">
        <v>87</v>
      </c>
    </row>
    <row r="201" spans="1:16" x14ac:dyDescent="0.3">
      <c r="A201" s="1">
        <v>44958</v>
      </c>
      <c r="B201" t="s">
        <v>20</v>
      </c>
      <c r="C201" t="str">
        <f>IFERROR(INDEX(자료실범례[],MATCH($B201,자료실범례[소장처명],0),2),"종합자료실")</f>
        <v>종합자료실</v>
      </c>
      <c r="D201" t="s">
        <v>28</v>
      </c>
      <c r="E201">
        <v>0</v>
      </c>
      <c r="F201">
        <v>0</v>
      </c>
      <c r="G201">
        <v>0</v>
      </c>
      <c r="H201">
        <v>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2</v>
      </c>
    </row>
    <row r="202" spans="1:16" x14ac:dyDescent="0.3">
      <c r="A202" s="1">
        <v>44958</v>
      </c>
      <c r="B202" t="s">
        <v>20</v>
      </c>
      <c r="C202" t="str">
        <f>IFERROR(INDEX(자료실범례[],MATCH($B202,자료실범례[소장처명],0),2),"종합자료실")</f>
        <v>종합자료실</v>
      </c>
      <c r="D202" t="s">
        <v>25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</v>
      </c>
    </row>
    <row r="203" spans="1:16" x14ac:dyDescent="0.3">
      <c r="A203" s="1">
        <v>44958</v>
      </c>
      <c r="B203" t="s">
        <v>20</v>
      </c>
      <c r="C203" t="str">
        <f>IFERROR(INDEX(자료실범례[],MATCH($B203,자료실범례[소장처명],0),2),"종합자료실")</f>
        <v>종합자료실</v>
      </c>
      <c r="D203" t="s">
        <v>31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</row>
    <row r="204" spans="1:16" x14ac:dyDescent="0.3">
      <c r="A204" s="1">
        <v>44958</v>
      </c>
      <c r="B204" t="s">
        <v>3</v>
      </c>
      <c r="C204" t="str">
        <f>IFERROR(INDEX(자료실범례[],MATCH($B204,자료실범례[소장처명],0),2),"종합자료실")</f>
        <v>디지털자료실</v>
      </c>
      <c r="D204" t="s">
        <v>28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4</v>
      </c>
      <c r="L204">
        <v>0</v>
      </c>
      <c r="M204">
        <v>0</v>
      </c>
      <c r="N204">
        <v>0</v>
      </c>
      <c r="O204">
        <v>0</v>
      </c>
      <c r="P204">
        <v>4</v>
      </c>
    </row>
    <row r="205" spans="1:16" x14ac:dyDescent="0.3">
      <c r="A205" s="1">
        <v>44958</v>
      </c>
      <c r="B205" t="s">
        <v>3</v>
      </c>
      <c r="C205" t="str">
        <f>IFERROR(INDEX(자료실범례[],MATCH($B205,자료실범례[소장처명],0),2),"종합자료실")</f>
        <v>디지털자료실</v>
      </c>
      <c r="D205" t="s">
        <v>25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6</v>
      </c>
      <c r="L205">
        <v>0</v>
      </c>
      <c r="M205">
        <v>0</v>
      </c>
      <c r="N205">
        <v>0</v>
      </c>
      <c r="O205">
        <v>0</v>
      </c>
      <c r="P205">
        <v>6</v>
      </c>
    </row>
    <row r="206" spans="1:16" x14ac:dyDescent="0.3">
      <c r="A206" s="1">
        <v>44958</v>
      </c>
      <c r="B206" t="s">
        <v>4</v>
      </c>
      <c r="C206" t="str">
        <f>IFERROR(INDEX(자료실범례[],MATCH($B206,자료실범례[소장처명],0),2),"종합자료실")</f>
        <v>어린이자료실</v>
      </c>
      <c r="D206" t="s">
        <v>28</v>
      </c>
      <c r="E206">
        <v>0</v>
      </c>
      <c r="F206">
        <v>1</v>
      </c>
      <c r="G206">
        <v>0</v>
      </c>
      <c r="H206">
        <v>9</v>
      </c>
      <c r="I206">
        <v>3</v>
      </c>
      <c r="J206">
        <v>0</v>
      </c>
      <c r="K206">
        <v>0</v>
      </c>
      <c r="L206">
        <v>0</v>
      </c>
      <c r="M206">
        <v>10</v>
      </c>
      <c r="N206">
        <v>2</v>
      </c>
      <c r="O206">
        <v>0</v>
      </c>
      <c r="P206">
        <v>25</v>
      </c>
    </row>
    <row r="207" spans="1:16" x14ac:dyDescent="0.3">
      <c r="A207" s="1">
        <v>44958</v>
      </c>
      <c r="B207" t="s">
        <v>4</v>
      </c>
      <c r="C207" t="str">
        <f>IFERROR(INDEX(자료실범례[],MATCH($B207,자료실범례[소장처명],0),2),"종합자료실")</f>
        <v>어린이자료실</v>
      </c>
      <c r="D207" t="s">
        <v>25</v>
      </c>
      <c r="E207">
        <v>0</v>
      </c>
      <c r="F207">
        <v>1</v>
      </c>
      <c r="G207">
        <v>0</v>
      </c>
      <c r="H207">
        <v>7</v>
      </c>
      <c r="I207">
        <v>2</v>
      </c>
      <c r="J207">
        <v>0</v>
      </c>
      <c r="K207">
        <v>0</v>
      </c>
      <c r="L207">
        <v>0</v>
      </c>
      <c r="M207">
        <v>10</v>
      </c>
      <c r="N207">
        <v>1</v>
      </c>
      <c r="O207">
        <v>0</v>
      </c>
      <c r="P207">
        <v>21</v>
      </c>
    </row>
    <row r="208" spans="1:16" x14ac:dyDescent="0.3">
      <c r="A208" s="1">
        <v>44958</v>
      </c>
      <c r="B208" t="s">
        <v>4</v>
      </c>
      <c r="C208" t="str">
        <f>IFERROR(INDEX(자료실범례[],MATCH($B208,자료실범례[소장처명],0),2),"종합자료실")</f>
        <v>어린이자료실</v>
      </c>
      <c r="D208" t="s">
        <v>31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O208">
        <v>0</v>
      </c>
      <c r="P208">
        <v>3</v>
      </c>
    </row>
    <row r="209" spans="1:16" x14ac:dyDescent="0.3">
      <c r="A209" s="1">
        <v>44958</v>
      </c>
      <c r="B209" t="s">
        <v>5</v>
      </c>
      <c r="C209" t="str">
        <f>IFERROR(INDEX(자료실범례[],MATCH($B209,자료실범례[소장처명],0),2),"종합자료실")</f>
        <v>종합자료실</v>
      </c>
      <c r="D209" t="s">
        <v>28</v>
      </c>
      <c r="E209">
        <v>1</v>
      </c>
      <c r="F209">
        <v>5</v>
      </c>
      <c r="G209">
        <v>2</v>
      </c>
      <c r="H209">
        <v>4</v>
      </c>
      <c r="I209">
        <v>1</v>
      </c>
      <c r="J209">
        <v>4</v>
      </c>
      <c r="K209">
        <v>0</v>
      </c>
      <c r="L209">
        <v>1</v>
      </c>
      <c r="M209">
        <v>6</v>
      </c>
      <c r="N209">
        <v>2</v>
      </c>
      <c r="O209">
        <v>0</v>
      </c>
      <c r="P209">
        <v>26</v>
      </c>
    </row>
    <row r="210" spans="1:16" x14ac:dyDescent="0.3">
      <c r="A210" s="1">
        <v>44958</v>
      </c>
      <c r="B210" t="s">
        <v>5</v>
      </c>
      <c r="C210" t="str">
        <f>IFERROR(INDEX(자료실범례[],MATCH($B210,자료실범례[소장처명],0),2),"종합자료실")</f>
        <v>종합자료실</v>
      </c>
      <c r="D210" t="s">
        <v>25</v>
      </c>
      <c r="E210">
        <v>0</v>
      </c>
      <c r="F210">
        <v>7</v>
      </c>
      <c r="G210">
        <v>5</v>
      </c>
      <c r="H210">
        <v>2</v>
      </c>
      <c r="I210">
        <v>0</v>
      </c>
      <c r="J210">
        <v>4</v>
      </c>
      <c r="K210">
        <v>2</v>
      </c>
      <c r="L210">
        <v>0</v>
      </c>
      <c r="M210">
        <v>6</v>
      </c>
      <c r="N210">
        <v>0</v>
      </c>
      <c r="O210">
        <v>0</v>
      </c>
      <c r="P210">
        <v>26</v>
      </c>
    </row>
    <row r="211" spans="1:16" x14ac:dyDescent="0.3">
      <c r="A211" s="1">
        <v>44958</v>
      </c>
      <c r="B211" t="s">
        <v>5</v>
      </c>
      <c r="C211" t="str">
        <f>IFERROR(INDEX(자료실범례[],MATCH($B211,자료실범례[소장처명],0),2),"종합자료실")</f>
        <v>종합자료실</v>
      </c>
      <c r="D211" t="s">
        <v>31</v>
      </c>
      <c r="E211">
        <v>1</v>
      </c>
      <c r="F211">
        <v>3</v>
      </c>
      <c r="G211">
        <v>2</v>
      </c>
      <c r="H211">
        <v>2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1</v>
      </c>
      <c r="O211">
        <v>0</v>
      </c>
      <c r="P211">
        <v>10</v>
      </c>
    </row>
    <row r="212" spans="1:16" x14ac:dyDescent="0.3">
      <c r="A212" s="1">
        <v>44958</v>
      </c>
      <c r="B212" t="s">
        <v>7</v>
      </c>
      <c r="C212" t="str">
        <f>IFERROR(INDEX(자료실범례[],MATCH($B212,자료실범례[소장처명],0),2),"종합자료실")</f>
        <v>어린이자료실</v>
      </c>
      <c r="D212" t="s">
        <v>28</v>
      </c>
      <c r="E212">
        <v>0</v>
      </c>
      <c r="F212">
        <v>0</v>
      </c>
      <c r="G212">
        <v>0</v>
      </c>
      <c r="H212">
        <v>10</v>
      </c>
      <c r="I212">
        <v>2</v>
      </c>
      <c r="J212">
        <v>2</v>
      </c>
      <c r="K212">
        <v>1</v>
      </c>
      <c r="L212">
        <v>2</v>
      </c>
      <c r="M212">
        <v>20</v>
      </c>
      <c r="N212">
        <v>0</v>
      </c>
      <c r="O212">
        <v>0</v>
      </c>
      <c r="P212">
        <v>37</v>
      </c>
    </row>
    <row r="213" spans="1:16" x14ac:dyDescent="0.3">
      <c r="A213" s="1">
        <v>44958</v>
      </c>
      <c r="B213" t="s">
        <v>7</v>
      </c>
      <c r="C213" t="str">
        <f>IFERROR(INDEX(자료실범례[],MATCH($B213,자료실범례[소장처명],0),2),"종합자료실")</f>
        <v>어린이자료실</v>
      </c>
      <c r="D213" t="s">
        <v>25</v>
      </c>
      <c r="E213">
        <v>0</v>
      </c>
      <c r="F213">
        <v>2</v>
      </c>
      <c r="G213">
        <v>0</v>
      </c>
      <c r="H213">
        <v>9</v>
      </c>
      <c r="I213">
        <v>1</v>
      </c>
      <c r="J213">
        <v>1</v>
      </c>
      <c r="K213">
        <v>0</v>
      </c>
      <c r="L213">
        <v>2</v>
      </c>
      <c r="M213">
        <v>24</v>
      </c>
      <c r="N213">
        <v>1</v>
      </c>
      <c r="O213">
        <v>0</v>
      </c>
      <c r="P213">
        <v>40</v>
      </c>
    </row>
    <row r="214" spans="1:16" x14ac:dyDescent="0.3">
      <c r="A214" s="1">
        <v>44958</v>
      </c>
      <c r="B214" t="s">
        <v>7</v>
      </c>
      <c r="C214" t="str">
        <f>IFERROR(INDEX(자료실범례[],MATCH($B214,자료실범례[소장처명],0),2),"종합자료실")</f>
        <v>어린이자료실</v>
      </c>
      <c r="D214" t="s">
        <v>31</v>
      </c>
      <c r="E214">
        <v>0</v>
      </c>
      <c r="F214">
        <v>0</v>
      </c>
      <c r="G214">
        <v>0</v>
      </c>
      <c r="H214">
        <v>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3</v>
      </c>
    </row>
    <row r="215" spans="1:16" x14ac:dyDescent="0.3">
      <c r="A215" s="1">
        <v>44958</v>
      </c>
      <c r="B215" t="s">
        <v>8</v>
      </c>
      <c r="C215" t="str">
        <f>IFERROR(INDEX(자료실범례[],MATCH($B215,자료실범례[소장처명],0),2),"종합자료실")</f>
        <v>어린이자료실</v>
      </c>
      <c r="D215" t="s">
        <v>28</v>
      </c>
      <c r="E215">
        <v>0</v>
      </c>
      <c r="F215">
        <v>1</v>
      </c>
      <c r="G215">
        <v>0</v>
      </c>
      <c r="H215">
        <v>3</v>
      </c>
      <c r="I215">
        <v>1</v>
      </c>
      <c r="J215">
        <v>2</v>
      </c>
      <c r="K215">
        <v>0</v>
      </c>
      <c r="L215">
        <v>0</v>
      </c>
      <c r="M215">
        <v>40</v>
      </c>
      <c r="N215">
        <v>0</v>
      </c>
      <c r="O215">
        <v>0</v>
      </c>
      <c r="P215">
        <v>47</v>
      </c>
    </row>
    <row r="216" spans="1:16" x14ac:dyDescent="0.3">
      <c r="A216" s="1">
        <v>44958</v>
      </c>
      <c r="B216" t="s">
        <v>8</v>
      </c>
      <c r="C216" t="str">
        <f>IFERROR(INDEX(자료실범례[],MATCH($B216,자료실범례[소장처명],0),2),"종합자료실")</f>
        <v>어린이자료실</v>
      </c>
      <c r="D216" t="s">
        <v>25</v>
      </c>
      <c r="E216">
        <v>0</v>
      </c>
      <c r="F216">
        <v>1</v>
      </c>
      <c r="G216">
        <v>0</v>
      </c>
      <c r="H216">
        <v>3</v>
      </c>
      <c r="I216">
        <v>0</v>
      </c>
      <c r="J216">
        <v>0</v>
      </c>
      <c r="K216">
        <v>0</v>
      </c>
      <c r="L216">
        <v>0</v>
      </c>
      <c r="M216">
        <v>43</v>
      </c>
      <c r="N216">
        <v>0</v>
      </c>
      <c r="O216">
        <v>0</v>
      </c>
      <c r="P216">
        <v>47</v>
      </c>
    </row>
    <row r="217" spans="1:16" x14ac:dyDescent="0.3">
      <c r="A217" s="1">
        <v>44958</v>
      </c>
      <c r="B217" t="s">
        <v>8</v>
      </c>
      <c r="C217" t="str">
        <f>IFERROR(INDEX(자료실범례[],MATCH($B217,자료실범례[소장처명],0),2),"종합자료실")</f>
        <v>어린이자료실</v>
      </c>
      <c r="D217" t="s">
        <v>31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16</v>
      </c>
      <c r="N217">
        <v>0</v>
      </c>
      <c r="O217">
        <v>0</v>
      </c>
      <c r="P217">
        <v>16</v>
      </c>
    </row>
    <row r="218" spans="1:16" x14ac:dyDescent="0.3">
      <c r="A218" s="1">
        <v>44958</v>
      </c>
      <c r="B218" t="s">
        <v>9</v>
      </c>
      <c r="C218" t="str">
        <f>IFERROR(INDEX(자료실범례[],MATCH($B218,자료실범례[소장처명],0),2),"종합자료실")</f>
        <v>어린이자료실</v>
      </c>
      <c r="D218" t="s">
        <v>28</v>
      </c>
      <c r="E218">
        <v>0</v>
      </c>
      <c r="F218">
        <v>0</v>
      </c>
      <c r="G218">
        <v>0</v>
      </c>
      <c r="H218">
        <v>6</v>
      </c>
      <c r="I218">
        <v>8</v>
      </c>
      <c r="J218">
        <v>0</v>
      </c>
      <c r="K218">
        <v>0</v>
      </c>
      <c r="L218">
        <v>0</v>
      </c>
      <c r="M218">
        <v>13</v>
      </c>
      <c r="N218">
        <v>1</v>
      </c>
      <c r="O218">
        <v>0</v>
      </c>
      <c r="P218">
        <v>28</v>
      </c>
    </row>
    <row r="219" spans="1:16" x14ac:dyDescent="0.3">
      <c r="A219" s="1">
        <v>44958</v>
      </c>
      <c r="B219" t="s">
        <v>9</v>
      </c>
      <c r="C219" t="str">
        <f>IFERROR(INDEX(자료실범례[],MATCH($B219,자료실범례[소장처명],0),2),"종합자료실")</f>
        <v>어린이자료실</v>
      </c>
      <c r="D219" t="s">
        <v>25</v>
      </c>
      <c r="E219">
        <v>0</v>
      </c>
      <c r="F219">
        <v>0</v>
      </c>
      <c r="G219">
        <v>0</v>
      </c>
      <c r="H219">
        <v>11</v>
      </c>
      <c r="I219">
        <v>3</v>
      </c>
      <c r="J219">
        <v>1</v>
      </c>
      <c r="K219">
        <v>0</v>
      </c>
      <c r="L219">
        <v>0</v>
      </c>
      <c r="M219">
        <v>14</v>
      </c>
      <c r="N219">
        <v>0</v>
      </c>
      <c r="O219">
        <v>0</v>
      </c>
      <c r="P219">
        <v>29</v>
      </c>
    </row>
    <row r="220" spans="1:16" x14ac:dyDescent="0.3">
      <c r="A220" s="1">
        <v>44958</v>
      </c>
      <c r="B220" t="s">
        <v>9</v>
      </c>
      <c r="C220" t="str">
        <f>IFERROR(INDEX(자료실범례[],MATCH($B220,자료실범례[소장처명],0),2),"종합자료실")</f>
        <v>어린이자료실</v>
      </c>
      <c r="D220" t="s">
        <v>31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4</v>
      </c>
      <c r="N220">
        <v>0</v>
      </c>
      <c r="O220">
        <v>0</v>
      </c>
      <c r="P220">
        <v>5</v>
      </c>
    </row>
    <row r="221" spans="1:16" x14ac:dyDescent="0.3">
      <c r="A221" s="1">
        <v>44958</v>
      </c>
      <c r="B221" t="s">
        <v>10</v>
      </c>
      <c r="C221" t="str">
        <f>IFERROR(INDEX(자료실범례[],MATCH($B221,자료실범례[소장처명],0),2),"종합자료실")</f>
        <v>어린이자료실</v>
      </c>
      <c r="D221" t="s">
        <v>28</v>
      </c>
      <c r="E221">
        <v>0</v>
      </c>
      <c r="F221">
        <v>1</v>
      </c>
      <c r="G221">
        <v>0</v>
      </c>
      <c r="H221">
        <v>2</v>
      </c>
      <c r="I221">
        <v>7</v>
      </c>
      <c r="J221">
        <v>0</v>
      </c>
      <c r="K221">
        <v>0</v>
      </c>
      <c r="L221">
        <v>0</v>
      </c>
      <c r="M221">
        <v>10</v>
      </c>
      <c r="N221">
        <v>3</v>
      </c>
      <c r="O221">
        <v>0</v>
      </c>
      <c r="P221">
        <v>23</v>
      </c>
    </row>
    <row r="222" spans="1:16" x14ac:dyDescent="0.3">
      <c r="A222" s="1">
        <v>44958</v>
      </c>
      <c r="B222" t="s">
        <v>10</v>
      </c>
      <c r="C222" t="str">
        <f>IFERROR(INDEX(자료실범례[],MATCH($B222,자료실범례[소장처명],0),2),"종합자료실")</f>
        <v>어린이자료실</v>
      </c>
      <c r="D222" t="s">
        <v>25</v>
      </c>
      <c r="E222">
        <v>0</v>
      </c>
      <c r="F222">
        <v>0</v>
      </c>
      <c r="G222">
        <v>0</v>
      </c>
      <c r="H222">
        <v>3</v>
      </c>
      <c r="I222">
        <v>8</v>
      </c>
      <c r="J222">
        <v>1</v>
      </c>
      <c r="K222">
        <v>0</v>
      </c>
      <c r="L222">
        <v>0</v>
      </c>
      <c r="M222">
        <v>14</v>
      </c>
      <c r="N222">
        <v>2</v>
      </c>
      <c r="O222">
        <v>0</v>
      </c>
      <c r="P222">
        <v>28</v>
      </c>
    </row>
    <row r="223" spans="1:16" x14ac:dyDescent="0.3">
      <c r="A223" s="1">
        <v>44958</v>
      </c>
      <c r="B223" t="s">
        <v>10</v>
      </c>
      <c r="C223" t="str">
        <f>IFERROR(INDEX(자료실범례[],MATCH($B223,자료실범례[소장처명],0),2),"종합자료실")</f>
        <v>어린이자료실</v>
      </c>
      <c r="D223" t="s">
        <v>31</v>
      </c>
      <c r="E223">
        <v>0</v>
      </c>
      <c r="F223">
        <v>0</v>
      </c>
      <c r="G223">
        <v>0</v>
      </c>
      <c r="H223">
        <v>1</v>
      </c>
      <c r="I223">
        <v>1</v>
      </c>
      <c r="J223">
        <v>0</v>
      </c>
      <c r="K223">
        <v>0</v>
      </c>
      <c r="L223">
        <v>0</v>
      </c>
      <c r="M223">
        <v>4</v>
      </c>
      <c r="N223">
        <v>0</v>
      </c>
      <c r="O223">
        <v>0</v>
      </c>
      <c r="P223">
        <v>6</v>
      </c>
    </row>
    <row r="224" spans="1:16" x14ac:dyDescent="0.3">
      <c r="A224" s="1">
        <v>44958</v>
      </c>
      <c r="B224" t="s">
        <v>11</v>
      </c>
      <c r="C224" t="str">
        <f>IFERROR(INDEX(자료실범례[],MATCH($B224,자료실범례[소장처명],0),2),"종합자료실")</f>
        <v>어린이자료실</v>
      </c>
      <c r="D224" t="s">
        <v>28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15</v>
      </c>
      <c r="N224">
        <v>0</v>
      </c>
      <c r="O224">
        <v>0</v>
      </c>
      <c r="P224">
        <v>15</v>
      </c>
    </row>
    <row r="225" spans="1:16" x14ac:dyDescent="0.3">
      <c r="A225" s="1">
        <v>44958</v>
      </c>
      <c r="B225" t="s">
        <v>11</v>
      </c>
      <c r="C225" t="str">
        <f>IFERROR(INDEX(자료실범례[],MATCH($B225,자료실범례[소장처명],0),2),"종합자료실")</f>
        <v>어린이자료실</v>
      </c>
      <c r="D225" t="s">
        <v>25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10</v>
      </c>
      <c r="N225">
        <v>0</v>
      </c>
      <c r="O225">
        <v>0</v>
      </c>
      <c r="P225">
        <v>10</v>
      </c>
    </row>
    <row r="226" spans="1:16" x14ac:dyDescent="0.3">
      <c r="A226" s="1">
        <v>44958</v>
      </c>
      <c r="B226" t="s">
        <v>11</v>
      </c>
      <c r="C226" t="str">
        <f>IFERROR(INDEX(자료실범례[],MATCH($B226,자료실범례[소장처명],0),2),"종합자료실")</f>
        <v>어린이자료실</v>
      </c>
      <c r="D226" t="s">
        <v>31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2</v>
      </c>
      <c r="N226">
        <v>0</v>
      </c>
      <c r="O226">
        <v>0</v>
      </c>
      <c r="P226">
        <v>2</v>
      </c>
    </row>
    <row r="227" spans="1:16" x14ac:dyDescent="0.3">
      <c r="A227" s="1">
        <v>44958</v>
      </c>
      <c r="B227" t="s">
        <v>12</v>
      </c>
      <c r="C227" t="str">
        <f>IFERROR(INDEX(자료실범례[],MATCH($B227,자료실범례[소장처명],0),2),"종합자료실")</f>
        <v>어린이자료실</v>
      </c>
      <c r="D227" t="s">
        <v>28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3</v>
      </c>
      <c r="N227">
        <v>0</v>
      </c>
      <c r="O227">
        <v>0</v>
      </c>
      <c r="P227">
        <v>4</v>
      </c>
    </row>
    <row r="228" spans="1:16" x14ac:dyDescent="0.3">
      <c r="A228" s="1">
        <v>44958</v>
      </c>
      <c r="B228" t="s">
        <v>12</v>
      </c>
      <c r="C228" t="str">
        <f>IFERROR(INDEX(자료실범례[],MATCH($B228,자료실범례[소장처명],0),2),"종합자료실")</f>
        <v>어린이자료실</v>
      </c>
      <c r="D228" t="s">
        <v>25</v>
      </c>
      <c r="E228">
        <v>0</v>
      </c>
      <c r="F228">
        <v>0</v>
      </c>
      <c r="G228">
        <v>0</v>
      </c>
      <c r="H228">
        <v>1</v>
      </c>
      <c r="I228">
        <v>1</v>
      </c>
      <c r="J228">
        <v>2</v>
      </c>
      <c r="K228">
        <v>0</v>
      </c>
      <c r="L228">
        <v>0</v>
      </c>
      <c r="M228">
        <v>5</v>
      </c>
      <c r="N228">
        <v>2</v>
      </c>
      <c r="O228">
        <v>0</v>
      </c>
      <c r="P228">
        <v>11</v>
      </c>
    </row>
    <row r="229" spans="1:16" x14ac:dyDescent="0.3">
      <c r="A229" s="1">
        <v>44958</v>
      </c>
      <c r="B229" t="s">
        <v>0</v>
      </c>
      <c r="C229" t="str">
        <f>IFERROR(INDEX(자료실범례[],MATCH($B229,자료실범례[소장처명],0),2),"종합자료실")</f>
        <v>어린이자료실</v>
      </c>
      <c r="D229" t="s">
        <v>28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7</v>
      </c>
      <c r="M229">
        <v>25</v>
      </c>
      <c r="N229">
        <v>0</v>
      </c>
      <c r="O229">
        <v>0</v>
      </c>
      <c r="P229">
        <v>33</v>
      </c>
    </row>
    <row r="230" spans="1:16" x14ac:dyDescent="0.3">
      <c r="A230" s="1">
        <v>44958</v>
      </c>
      <c r="B230" t="s">
        <v>0</v>
      </c>
      <c r="C230" t="str">
        <f>IFERROR(INDEX(자료실범례[],MATCH($B230,자료실범례[소장처명],0),2),"종합자료실")</f>
        <v>어린이자료실</v>
      </c>
      <c r="D230" t="s">
        <v>25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9</v>
      </c>
      <c r="M230">
        <v>21</v>
      </c>
      <c r="N230">
        <v>0</v>
      </c>
      <c r="O230">
        <v>0</v>
      </c>
      <c r="P230">
        <v>31</v>
      </c>
    </row>
    <row r="231" spans="1:16" x14ac:dyDescent="0.3">
      <c r="A231" s="1">
        <v>44958</v>
      </c>
      <c r="B231" t="s">
        <v>0</v>
      </c>
      <c r="C231" t="str">
        <f>IFERROR(INDEX(자료실범례[],MATCH($B231,자료실범례[소장처명],0),2),"종합자료실")</f>
        <v>어린이자료실</v>
      </c>
      <c r="D231" t="s">
        <v>31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2</v>
      </c>
      <c r="M231">
        <v>3</v>
      </c>
      <c r="N231">
        <v>0</v>
      </c>
      <c r="O231">
        <v>0</v>
      </c>
      <c r="P231">
        <v>5</v>
      </c>
    </row>
    <row r="232" spans="1:16" x14ac:dyDescent="0.3">
      <c r="A232" s="1">
        <v>44958</v>
      </c>
      <c r="B232" t="s">
        <v>1</v>
      </c>
      <c r="C232" t="str">
        <f>IFERROR(INDEX(자료실범례[],MATCH($B232,자료실범례[소장처명],0),2),"종합자료실")</f>
        <v>어린이자료실</v>
      </c>
      <c r="D232" t="s">
        <v>28</v>
      </c>
      <c r="E232">
        <v>0</v>
      </c>
      <c r="F232">
        <v>0</v>
      </c>
      <c r="G232">
        <v>0</v>
      </c>
      <c r="H232">
        <v>2</v>
      </c>
      <c r="I232">
        <v>0</v>
      </c>
      <c r="J232">
        <v>0</v>
      </c>
      <c r="K232">
        <v>1</v>
      </c>
      <c r="L232">
        <v>85</v>
      </c>
      <c r="M232">
        <v>7</v>
      </c>
      <c r="N232">
        <v>0</v>
      </c>
      <c r="O232">
        <v>0</v>
      </c>
      <c r="P232">
        <v>95</v>
      </c>
    </row>
    <row r="233" spans="1:16" x14ac:dyDescent="0.3">
      <c r="A233" s="1">
        <v>44958</v>
      </c>
      <c r="B233" t="s">
        <v>1</v>
      </c>
      <c r="C233" t="str">
        <f>IFERROR(INDEX(자료실범례[],MATCH($B233,자료실범례[소장처명],0),2),"종합자료실")</f>
        <v>어린이자료실</v>
      </c>
      <c r="D233" t="s">
        <v>25</v>
      </c>
      <c r="E233">
        <v>0</v>
      </c>
      <c r="F233">
        <v>0</v>
      </c>
      <c r="G233">
        <v>0</v>
      </c>
      <c r="H233">
        <v>3</v>
      </c>
      <c r="I233">
        <v>0</v>
      </c>
      <c r="J233">
        <v>0</v>
      </c>
      <c r="K233">
        <v>0</v>
      </c>
      <c r="L233">
        <v>87</v>
      </c>
      <c r="M233">
        <v>9</v>
      </c>
      <c r="N233">
        <v>0</v>
      </c>
      <c r="O233">
        <v>0</v>
      </c>
      <c r="P233">
        <v>99</v>
      </c>
    </row>
    <row r="234" spans="1:16" x14ac:dyDescent="0.3">
      <c r="A234" s="1">
        <v>44958</v>
      </c>
      <c r="B234" t="s">
        <v>1</v>
      </c>
      <c r="C234" t="str">
        <f>IFERROR(INDEX(자료실범례[],MATCH($B234,자료실범례[소장처명],0),2),"종합자료실")</f>
        <v>어린이자료실</v>
      </c>
      <c r="D234" t="s">
        <v>31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5</v>
      </c>
      <c r="M234">
        <v>4</v>
      </c>
      <c r="N234">
        <v>0</v>
      </c>
      <c r="O234">
        <v>0</v>
      </c>
      <c r="P234">
        <v>9</v>
      </c>
    </row>
    <row r="235" spans="1:16" x14ac:dyDescent="0.3">
      <c r="A235" s="1">
        <v>44958</v>
      </c>
      <c r="B235" t="s">
        <v>6</v>
      </c>
      <c r="C235" t="str">
        <f>IFERROR(INDEX(자료실범례[],MATCH($B235,자료실범례[소장처명],0),2),"종합자료실")</f>
        <v>종합자료실</v>
      </c>
      <c r="D235" t="s">
        <v>28</v>
      </c>
      <c r="E235">
        <v>2</v>
      </c>
      <c r="F235">
        <v>1</v>
      </c>
      <c r="G235">
        <v>4</v>
      </c>
      <c r="H235">
        <v>2</v>
      </c>
      <c r="I235">
        <v>0</v>
      </c>
      <c r="J235">
        <v>1</v>
      </c>
      <c r="K235">
        <v>1</v>
      </c>
      <c r="L235">
        <v>0</v>
      </c>
      <c r="M235">
        <v>14</v>
      </c>
      <c r="N235">
        <v>1</v>
      </c>
      <c r="O235">
        <v>0</v>
      </c>
      <c r="P235">
        <v>26</v>
      </c>
    </row>
    <row r="236" spans="1:16" x14ac:dyDescent="0.3">
      <c r="A236" s="1">
        <v>44958</v>
      </c>
      <c r="B236" t="s">
        <v>6</v>
      </c>
      <c r="C236" t="str">
        <f>IFERROR(INDEX(자료실범례[],MATCH($B236,자료실범례[소장처명],0),2),"종합자료실")</f>
        <v>종합자료실</v>
      </c>
      <c r="D236" t="s">
        <v>25</v>
      </c>
      <c r="E236">
        <v>2</v>
      </c>
      <c r="F236">
        <v>2</v>
      </c>
      <c r="G236">
        <v>5</v>
      </c>
      <c r="H236">
        <v>2</v>
      </c>
      <c r="I236">
        <v>1</v>
      </c>
      <c r="J236">
        <v>1</v>
      </c>
      <c r="K236">
        <v>0</v>
      </c>
      <c r="L236">
        <v>0</v>
      </c>
      <c r="M236">
        <v>14</v>
      </c>
      <c r="N236">
        <v>0</v>
      </c>
      <c r="O236">
        <v>0</v>
      </c>
      <c r="P236">
        <v>27</v>
      </c>
    </row>
    <row r="237" spans="1:16" x14ac:dyDescent="0.3">
      <c r="A237" s="1">
        <v>44958</v>
      </c>
      <c r="B237" t="s">
        <v>6</v>
      </c>
      <c r="C237" t="str">
        <f>IFERROR(INDEX(자료실범례[],MATCH($B237,자료실범례[소장처명],0),2),"종합자료실")</f>
        <v>종합자료실</v>
      </c>
      <c r="D237" t="s">
        <v>31</v>
      </c>
      <c r="E237">
        <v>2</v>
      </c>
      <c r="F237">
        <v>1</v>
      </c>
      <c r="G237">
        <v>1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4</v>
      </c>
      <c r="N237">
        <v>0</v>
      </c>
      <c r="O237">
        <v>0</v>
      </c>
      <c r="P237">
        <v>9</v>
      </c>
    </row>
    <row r="238" spans="1:16" x14ac:dyDescent="0.3">
      <c r="A238" s="1">
        <v>44958</v>
      </c>
      <c r="B238" t="s">
        <v>18</v>
      </c>
      <c r="C238" t="str">
        <f>IFERROR(INDEX(자료실범례[],MATCH($B238,자료실범례[소장처명],0),2),"종합자료실")</f>
        <v>종합자료실</v>
      </c>
      <c r="D238" t="s">
        <v>28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2</v>
      </c>
      <c r="P238">
        <v>2</v>
      </c>
    </row>
    <row r="239" spans="1:16" x14ac:dyDescent="0.3">
      <c r="A239" s="1">
        <v>44958</v>
      </c>
      <c r="B239" t="s">
        <v>18</v>
      </c>
      <c r="C239" t="str">
        <f>IFERROR(INDEX(자료실범례[],MATCH($B239,자료실범례[소장처명],0),2),"종합자료실")</f>
        <v>종합자료실</v>
      </c>
      <c r="D239" t="s">
        <v>25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4</v>
      </c>
      <c r="P239">
        <v>4</v>
      </c>
    </row>
    <row r="240" spans="1:16" x14ac:dyDescent="0.3">
      <c r="A240" s="1">
        <v>44958</v>
      </c>
      <c r="B240" t="s">
        <v>18</v>
      </c>
      <c r="C240" t="str">
        <f>IFERROR(INDEX(자료실범례[],MATCH($B240,자료실범례[소장처명],0),2),"종합자료실")</f>
        <v>종합자료실</v>
      </c>
      <c r="D240" t="s">
        <v>31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1</v>
      </c>
    </row>
    <row r="241" spans="1:16" x14ac:dyDescent="0.3">
      <c r="A241" s="1">
        <v>44958</v>
      </c>
      <c r="B241" t="s">
        <v>17</v>
      </c>
      <c r="C241" t="str">
        <f>IFERROR(INDEX(자료실범례[],MATCH($B241,자료실범례[소장처명],0),2),"종합자료실")</f>
        <v>어린이자료실</v>
      </c>
      <c r="D241" t="s">
        <v>28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5</v>
      </c>
      <c r="P241">
        <v>5</v>
      </c>
    </row>
    <row r="242" spans="1:16" x14ac:dyDescent="0.3">
      <c r="A242" s="1">
        <v>44958</v>
      </c>
      <c r="B242" t="s">
        <v>17</v>
      </c>
      <c r="C242" t="str">
        <f>IFERROR(INDEX(자료실범례[],MATCH($B242,자료실범례[소장처명],0),2),"종합자료실")</f>
        <v>어린이자료실</v>
      </c>
      <c r="D242" t="s">
        <v>25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6</v>
      </c>
      <c r="P242">
        <v>6</v>
      </c>
    </row>
    <row r="243" spans="1:16" x14ac:dyDescent="0.3">
      <c r="A243" s="1">
        <v>44958</v>
      </c>
      <c r="B243" t="s">
        <v>24</v>
      </c>
      <c r="C243" t="str">
        <f>IFERROR(INDEX(자료실범례[],MATCH($B243,자료실범례[소장처명],0),2),"종합자료실")</f>
        <v>종합자료실</v>
      </c>
      <c r="D243" t="s">
        <v>28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</row>
    <row r="244" spans="1:16" x14ac:dyDescent="0.3">
      <c r="A244" s="1">
        <v>44958</v>
      </c>
      <c r="B244" t="s">
        <v>24</v>
      </c>
      <c r="C244" t="str">
        <f>IFERROR(INDEX(자료실범례[],MATCH($B244,자료실범례[소장처명],0),2),"종합자료실")</f>
        <v>종합자료실</v>
      </c>
      <c r="D244" t="s">
        <v>25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</row>
    <row r="245" spans="1:16" x14ac:dyDescent="0.3">
      <c r="A245" s="1">
        <v>45352</v>
      </c>
      <c r="B245" t="s">
        <v>24</v>
      </c>
      <c r="C245" t="str">
        <f>IFERROR(INDEX(자료실범례[],MATCH($B245,자료실범례[소장처명],0),2),"종합자료실")</f>
        <v>종합자료실</v>
      </c>
      <c r="D245" t="s">
        <v>25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1</v>
      </c>
    </row>
    <row r="246" spans="1:16" x14ac:dyDescent="0.3">
      <c r="A246" s="1">
        <v>45352</v>
      </c>
      <c r="B246" t="s">
        <v>21</v>
      </c>
      <c r="C246" t="str">
        <f>IFERROR(INDEX(자료실범례[],MATCH($B246,자료실범례[소장처명],0),2),"종합자료실")</f>
        <v>종합자료실</v>
      </c>
      <c r="D246" t="s">
        <v>28</v>
      </c>
      <c r="E246">
        <v>48</v>
      </c>
      <c r="F246">
        <v>141</v>
      </c>
      <c r="G246">
        <v>27</v>
      </c>
      <c r="H246">
        <v>208</v>
      </c>
      <c r="I246">
        <v>61</v>
      </c>
      <c r="J246">
        <v>147</v>
      </c>
      <c r="K246">
        <v>57</v>
      </c>
      <c r="L246">
        <v>40</v>
      </c>
      <c r="M246">
        <v>562</v>
      </c>
      <c r="N246">
        <v>72</v>
      </c>
      <c r="O246">
        <v>0</v>
      </c>
      <c r="P246">
        <v>1363</v>
      </c>
    </row>
    <row r="247" spans="1:16" x14ac:dyDescent="0.3">
      <c r="A247" s="1">
        <v>45352</v>
      </c>
      <c r="B247" t="s">
        <v>21</v>
      </c>
      <c r="C247" t="str">
        <f>IFERROR(INDEX(자료실범례[],MATCH($B247,자료실범례[소장처명],0),2),"종합자료실")</f>
        <v>종합자료실</v>
      </c>
      <c r="D247" t="s">
        <v>25</v>
      </c>
      <c r="E247">
        <v>51</v>
      </c>
      <c r="F247">
        <v>156</v>
      </c>
      <c r="G247">
        <v>31</v>
      </c>
      <c r="H247">
        <v>224</v>
      </c>
      <c r="I247">
        <v>58</v>
      </c>
      <c r="J247">
        <v>144</v>
      </c>
      <c r="K247">
        <v>61</v>
      </c>
      <c r="L247">
        <v>36</v>
      </c>
      <c r="M247">
        <v>677</v>
      </c>
      <c r="N247">
        <v>89</v>
      </c>
      <c r="O247">
        <v>0</v>
      </c>
      <c r="P247">
        <v>1527</v>
      </c>
    </row>
    <row r="248" spans="1:16" x14ac:dyDescent="0.3">
      <c r="A248" s="1">
        <v>45352</v>
      </c>
      <c r="B248" t="s">
        <v>21</v>
      </c>
      <c r="C248" t="str">
        <f>IFERROR(INDEX(자료실범례[],MATCH($B248,자료실범례[소장처명],0),2),"종합자료실")</f>
        <v>종합자료실</v>
      </c>
      <c r="D248" t="s">
        <v>31</v>
      </c>
      <c r="E248">
        <v>19</v>
      </c>
      <c r="F248">
        <v>57</v>
      </c>
      <c r="G248">
        <v>15</v>
      </c>
      <c r="H248">
        <v>83</v>
      </c>
      <c r="I248">
        <v>17</v>
      </c>
      <c r="J248">
        <v>60</v>
      </c>
      <c r="K248">
        <v>14</v>
      </c>
      <c r="L248">
        <v>8</v>
      </c>
      <c r="M248">
        <v>199</v>
      </c>
      <c r="N248">
        <v>29</v>
      </c>
      <c r="O248">
        <v>0</v>
      </c>
      <c r="P248">
        <v>501</v>
      </c>
    </row>
    <row r="249" spans="1:16" x14ac:dyDescent="0.3">
      <c r="A249" s="1">
        <v>45352</v>
      </c>
      <c r="B249" t="s">
        <v>16</v>
      </c>
      <c r="C249" t="str">
        <f>IFERROR(INDEX(자료실범례[],MATCH($B249,자료실범례[소장처명],0),2),"종합자료실")</f>
        <v>어린이자료실</v>
      </c>
      <c r="D249" t="s">
        <v>28</v>
      </c>
      <c r="E249">
        <v>47</v>
      </c>
      <c r="F249">
        <v>15</v>
      </c>
      <c r="G249">
        <v>3</v>
      </c>
      <c r="H249">
        <v>129</v>
      </c>
      <c r="I249">
        <v>163</v>
      </c>
      <c r="J249">
        <v>18</v>
      </c>
      <c r="K249">
        <v>55</v>
      </c>
      <c r="L249">
        <v>22</v>
      </c>
      <c r="M249">
        <v>725</v>
      </c>
      <c r="N249">
        <v>89</v>
      </c>
      <c r="O249">
        <v>2</v>
      </c>
      <c r="P249">
        <v>1268</v>
      </c>
    </row>
    <row r="250" spans="1:16" x14ac:dyDescent="0.3">
      <c r="A250" s="1">
        <v>45352</v>
      </c>
      <c r="B250" t="s">
        <v>16</v>
      </c>
      <c r="C250" t="str">
        <f>IFERROR(INDEX(자료실범례[],MATCH($B250,자료실범례[소장처명],0),2),"종합자료실")</f>
        <v>어린이자료실</v>
      </c>
      <c r="D250" t="s">
        <v>25</v>
      </c>
      <c r="E250">
        <v>39</v>
      </c>
      <c r="F250">
        <v>19</v>
      </c>
      <c r="G250">
        <v>3</v>
      </c>
      <c r="H250">
        <v>195</v>
      </c>
      <c r="I250">
        <v>168</v>
      </c>
      <c r="J250">
        <v>32</v>
      </c>
      <c r="K250">
        <v>68</v>
      </c>
      <c r="L250">
        <v>36</v>
      </c>
      <c r="M250">
        <v>776</v>
      </c>
      <c r="N250">
        <v>77</v>
      </c>
      <c r="O250">
        <v>0</v>
      </c>
      <c r="P250">
        <v>1413</v>
      </c>
    </row>
    <row r="251" spans="1:16" x14ac:dyDescent="0.3">
      <c r="A251" s="1">
        <v>45352</v>
      </c>
      <c r="B251" t="s">
        <v>16</v>
      </c>
      <c r="C251" t="str">
        <f>IFERROR(INDEX(자료실범례[],MATCH($B251,자료실범례[소장처명],0),2),"종합자료실")</f>
        <v>어린이자료실</v>
      </c>
      <c r="D251" t="s">
        <v>31</v>
      </c>
      <c r="E251">
        <v>8</v>
      </c>
      <c r="F251">
        <v>0</v>
      </c>
      <c r="G251">
        <v>1</v>
      </c>
      <c r="H251">
        <v>29</v>
      </c>
      <c r="I251">
        <v>29</v>
      </c>
      <c r="J251">
        <v>1</v>
      </c>
      <c r="K251">
        <v>12</v>
      </c>
      <c r="L251">
        <v>7</v>
      </c>
      <c r="M251">
        <v>116</v>
      </c>
      <c r="N251">
        <v>5</v>
      </c>
      <c r="O251">
        <v>0</v>
      </c>
      <c r="P251">
        <v>208</v>
      </c>
    </row>
    <row r="252" spans="1:16" x14ac:dyDescent="0.3">
      <c r="A252" s="1">
        <v>45352</v>
      </c>
      <c r="B252" t="s">
        <v>2</v>
      </c>
      <c r="C252" t="str">
        <f>IFERROR(INDEX(자료실범례[],MATCH($B252,자료실범례[소장처명],0),2),"종합자료실")</f>
        <v>디지털자료실</v>
      </c>
      <c r="D252" t="s">
        <v>28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19</v>
      </c>
      <c r="L252">
        <v>0</v>
      </c>
      <c r="M252">
        <v>0</v>
      </c>
      <c r="N252">
        <v>0</v>
      </c>
      <c r="O252">
        <v>0</v>
      </c>
      <c r="P252">
        <v>19</v>
      </c>
    </row>
    <row r="253" spans="1:16" x14ac:dyDescent="0.3">
      <c r="A253" s="1">
        <v>45352</v>
      </c>
      <c r="B253" t="s">
        <v>2</v>
      </c>
      <c r="C253" t="str">
        <f>IFERROR(INDEX(자료실범례[],MATCH($B253,자료실범례[소장처명],0),2),"종합자료실")</f>
        <v>디지털자료실</v>
      </c>
      <c r="D253" t="s">
        <v>25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18</v>
      </c>
      <c r="L253">
        <v>0</v>
      </c>
      <c r="M253">
        <v>0</v>
      </c>
      <c r="N253">
        <v>0</v>
      </c>
      <c r="O253">
        <v>0</v>
      </c>
      <c r="P253">
        <v>18</v>
      </c>
    </row>
    <row r="254" spans="1:16" x14ac:dyDescent="0.3">
      <c r="A254" s="1">
        <v>45352</v>
      </c>
      <c r="B254" t="s">
        <v>19</v>
      </c>
      <c r="C254" t="str">
        <f>IFERROR(INDEX(자료실범례[],MATCH($B254,자료실범례[소장처명],0),2),"종합자료실")</f>
        <v>종합자료실</v>
      </c>
      <c r="D254" t="s">
        <v>28</v>
      </c>
      <c r="E254">
        <v>11</v>
      </c>
      <c r="F254">
        <v>59</v>
      </c>
      <c r="G254">
        <v>5</v>
      </c>
      <c r="H254">
        <v>69</v>
      </c>
      <c r="I254">
        <v>19</v>
      </c>
      <c r="J254">
        <v>49</v>
      </c>
      <c r="K254">
        <v>15</v>
      </c>
      <c r="L254">
        <v>3</v>
      </c>
      <c r="M254">
        <v>166</v>
      </c>
      <c r="N254">
        <v>18</v>
      </c>
      <c r="O254">
        <v>0</v>
      </c>
      <c r="P254">
        <v>414</v>
      </c>
    </row>
    <row r="255" spans="1:16" x14ac:dyDescent="0.3">
      <c r="A255" s="1">
        <v>45352</v>
      </c>
      <c r="B255" t="s">
        <v>19</v>
      </c>
      <c r="C255" t="str">
        <f>IFERROR(INDEX(자료실범례[],MATCH($B255,자료실범례[소장처명],0),2),"종합자료실")</f>
        <v>종합자료실</v>
      </c>
      <c r="D255" t="s">
        <v>25</v>
      </c>
      <c r="E255">
        <v>6</v>
      </c>
      <c r="F255">
        <v>33</v>
      </c>
      <c r="G255">
        <v>4</v>
      </c>
      <c r="H255">
        <v>52</v>
      </c>
      <c r="I255">
        <v>19</v>
      </c>
      <c r="J255">
        <v>27</v>
      </c>
      <c r="K255">
        <v>10</v>
      </c>
      <c r="L255">
        <v>2</v>
      </c>
      <c r="M255">
        <v>127</v>
      </c>
      <c r="N255">
        <v>16</v>
      </c>
      <c r="O255">
        <v>0</v>
      </c>
      <c r="P255">
        <v>296</v>
      </c>
    </row>
    <row r="256" spans="1:16" x14ac:dyDescent="0.3">
      <c r="A256" s="1">
        <v>45352</v>
      </c>
      <c r="B256" t="s">
        <v>19</v>
      </c>
      <c r="C256" t="str">
        <f>IFERROR(INDEX(자료실범례[],MATCH($B256,자료실범례[소장처명],0),2),"종합자료실")</f>
        <v>종합자료실</v>
      </c>
      <c r="D256" t="s">
        <v>31</v>
      </c>
      <c r="E256">
        <v>2</v>
      </c>
      <c r="F256">
        <v>22</v>
      </c>
      <c r="G256">
        <v>3</v>
      </c>
      <c r="H256">
        <v>29</v>
      </c>
      <c r="I256">
        <v>9</v>
      </c>
      <c r="J256">
        <v>15</v>
      </c>
      <c r="K256">
        <v>6</v>
      </c>
      <c r="L256">
        <v>1</v>
      </c>
      <c r="M256">
        <v>64</v>
      </c>
      <c r="N256">
        <v>8</v>
      </c>
      <c r="O256">
        <v>0</v>
      </c>
      <c r="P256">
        <v>159</v>
      </c>
    </row>
    <row r="257" spans="1:16" x14ac:dyDescent="0.3">
      <c r="A257" s="1">
        <v>45352</v>
      </c>
      <c r="B257" t="s">
        <v>14</v>
      </c>
      <c r="C257" t="str">
        <f>IFERROR(INDEX(자료실범례[],MATCH($B257,자료실범례[소장처명],0),2),"종합자료실")</f>
        <v>어린이자료실</v>
      </c>
      <c r="D257" t="s">
        <v>28</v>
      </c>
      <c r="E257">
        <v>0</v>
      </c>
      <c r="F257">
        <v>6</v>
      </c>
      <c r="G257">
        <v>20</v>
      </c>
      <c r="H257">
        <v>11</v>
      </c>
      <c r="I257">
        <v>44</v>
      </c>
      <c r="J257">
        <v>15</v>
      </c>
      <c r="K257">
        <v>8</v>
      </c>
      <c r="L257">
        <v>8</v>
      </c>
      <c r="M257">
        <v>249</v>
      </c>
      <c r="N257">
        <v>47</v>
      </c>
      <c r="O257">
        <v>0</v>
      </c>
      <c r="P257">
        <v>408</v>
      </c>
    </row>
    <row r="258" spans="1:16" x14ac:dyDescent="0.3">
      <c r="A258" s="1">
        <v>45352</v>
      </c>
      <c r="B258" t="s">
        <v>14</v>
      </c>
      <c r="C258" t="str">
        <f>IFERROR(INDEX(자료실범례[],MATCH($B258,자료실범례[소장처명],0),2),"종합자료실")</f>
        <v>어린이자료실</v>
      </c>
      <c r="D258" t="s">
        <v>25</v>
      </c>
      <c r="E258">
        <v>0</v>
      </c>
      <c r="F258">
        <v>6</v>
      </c>
      <c r="G258">
        <v>15</v>
      </c>
      <c r="H258">
        <v>3</v>
      </c>
      <c r="I258">
        <v>36</v>
      </c>
      <c r="J258">
        <v>12</v>
      </c>
      <c r="K258">
        <v>5</v>
      </c>
      <c r="L258">
        <v>5</v>
      </c>
      <c r="M258">
        <v>175</v>
      </c>
      <c r="N258">
        <v>38</v>
      </c>
      <c r="O258">
        <v>0</v>
      </c>
      <c r="P258">
        <v>295</v>
      </c>
    </row>
    <row r="259" spans="1:16" x14ac:dyDescent="0.3">
      <c r="A259" s="1">
        <v>45352</v>
      </c>
      <c r="B259" t="s">
        <v>14</v>
      </c>
      <c r="C259" t="str">
        <f>IFERROR(INDEX(자료실범례[],MATCH($B259,자료실범례[소장처명],0),2),"종합자료실")</f>
        <v>어린이자료실</v>
      </c>
      <c r="D259" t="s">
        <v>31</v>
      </c>
      <c r="E259">
        <v>0</v>
      </c>
      <c r="F259">
        <v>2</v>
      </c>
      <c r="G259">
        <v>7</v>
      </c>
      <c r="H259">
        <v>3</v>
      </c>
      <c r="I259">
        <v>6</v>
      </c>
      <c r="J259">
        <v>3</v>
      </c>
      <c r="K259">
        <v>2</v>
      </c>
      <c r="L259">
        <v>0</v>
      </c>
      <c r="M259">
        <v>83</v>
      </c>
      <c r="N259">
        <v>9</v>
      </c>
      <c r="O259">
        <v>0</v>
      </c>
      <c r="P259">
        <v>115</v>
      </c>
    </row>
    <row r="260" spans="1:16" x14ac:dyDescent="0.3">
      <c r="A260" s="1">
        <v>45352</v>
      </c>
      <c r="B260" t="s">
        <v>197</v>
      </c>
      <c r="C260" t="str">
        <f>IFERROR(INDEX(자료실범례[],MATCH($B260,자료실범례[소장처명],0),2),"종합자료실")</f>
        <v>종합자료실</v>
      </c>
      <c r="D260" t="s">
        <v>28</v>
      </c>
      <c r="E260">
        <v>0</v>
      </c>
      <c r="F260">
        <v>5</v>
      </c>
      <c r="G260">
        <v>0</v>
      </c>
      <c r="H260">
        <v>7</v>
      </c>
      <c r="I260">
        <v>8</v>
      </c>
      <c r="J260">
        <v>5</v>
      </c>
      <c r="K260">
        <v>0</v>
      </c>
      <c r="L260">
        <v>0</v>
      </c>
      <c r="M260">
        <v>19</v>
      </c>
      <c r="N260">
        <v>2</v>
      </c>
      <c r="O260">
        <v>0</v>
      </c>
      <c r="P260">
        <v>46</v>
      </c>
    </row>
    <row r="261" spans="1:16" x14ac:dyDescent="0.3">
      <c r="A261" s="1">
        <v>45352</v>
      </c>
      <c r="B261" t="s">
        <v>197</v>
      </c>
      <c r="C261" t="str">
        <f>IFERROR(INDEX(자료실범례[],MATCH($B261,자료실범례[소장처명],0),2),"종합자료실")</f>
        <v>종합자료실</v>
      </c>
      <c r="D261" t="s">
        <v>25</v>
      </c>
      <c r="E261">
        <v>0</v>
      </c>
      <c r="F261">
        <v>2</v>
      </c>
      <c r="G261">
        <v>0</v>
      </c>
      <c r="H261">
        <v>2</v>
      </c>
      <c r="I261">
        <v>3</v>
      </c>
      <c r="J261">
        <v>3</v>
      </c>
      <c r="K261">
        <v>0</v>
      </c>
      <c r="L261">
        <v>0</v>
      </c>
      <c r="M261">
        <v>7</v>
      </c>
      <c r="N261">
        <v>2</v>
      </c>
      <c r="O261">
        <v>0</v>
      </c>
      <c r="P261">
        <v>19</v>
      </c>
    </row>
    <row r="262" spans="1:16" x14ac:dyDescent="0.3">
      <c r="A262" s="1">
        <v>45352</v>
      </c>
      <c r="B262" t="s">
        <v>197</v>
      </c>
      <c r="C262" t="str">
        <f>IFERROR(INDEX(자료실범례[],MATCH($B262,자료실범례[소장처명],0),2),"종합자료실")</f>
        <v>종합자료실</v>
      </c>
      <c r="D262" t="s">
        <v>31</v>
      </c>
      <c r="E262">
        <v>0</v>
      </c>
      <c r="F262">
        <v>1</v>
      </c>
      <c r="G262">
        <v>0</v>
      </c>
      <c r="H262">
        <v>3</v>
      </c>
      <c r="I262">
        <v>3</v>
      </c>
      <c r="J262">
        <v>2</v>
      </c>
      <c r="K262">
        <v>0</v>
      </c>
      <c r="L262">
        <v>0</v>
      </c>
      <c r="M262">
        <v>3</v>
      </c>
      <c r="N262">
        <v>1</v>
      </c>
      <c r="O262">
        <v>0</v>
      </c>
      <c r="P262">
        <v>13</v>
      </c>
    </row>
    <row r="263" spans="1:16" x14ac:dyDescent="0.3">
      <c r="A263" s="1">
        <v>45352</v>
      </c>
      <c r="B263" t="s">
        <v>198</v>
      </c>
      <c r="C263" t="str">
        <f>IFERROR(INDEX(자료실범례[],MATCH($B263,자료실범례[소장처명],0),2),"종합자료실")</f>
        <v>어린이자료실</v>
      </c>
      <c r="D263" t="s">
        <v>28</v>
      </c>
      <c r="E263">
        <v>0</v>
      </c>
      <c r="F263">
        <v>0</v>
      </c>
      <c r="G263">
        <v>0</v>
      </c>
      <c r="H263">
        <v>2</v>
      </c>
      <c r="I263">
        <v>0</v>
      </c>
      <c r="J263">
        <v>6</v>
      </c>
      <c r="K263">
        <v>4</v>
      </c>
      <c r="L263">
        <v>0</v>
      </c>
      <c r="M263">
        <v>35</v>
      </c>
      <c r="N263">
        <v>3</v>
      </c>
      <c r="O263">
        <v>0</v>
      </c>
      <c r="P263">
        <v>50</v>
      </c>
    </row>
    <row r="264" spans="1:16" x14ac:dyDescent="0.3">
      <c r="A264" s="1">
        <v>45352</v>
      </c>
      <c r="B264" t="s">
        <v>198</v>
      </c>
      <c r="C264" t="str">
        <f>IFERROR(INDEX(자료실범례[],MATCH($B264,자료실범례[소장처명],0),2),"종합자료실")</f>
        <v>어린이자료실</v>
      </c>
      <c r="D264" t="s">
        <v>25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3</v>
      </c>
      <c r="K264">
        <v>0</v>
      </c>
      <c r="L264">
        <v>0</v>
      </c>
      <c r="M264">
        <v>17</v>
      </c>
      <c r="N264">
        <v>2</v>
      </c>
      <c r="O264">
        <v>0</v>
      </c>
      <c r="P264">
        <v>22</v>
      </c>
    </row>
    <row r="265" spans="1:16" x14ac:dyDescent="0.3">
      <c r="A265" s="1">
        <v>45352</v>
      </c>
      <c r="B265" t="s">
        <v>198</v>
      </c>
      <c r="C265" t="str">
        <f>IFERROR(INDEX(자료실범례[],MATCH($B265,자료실범례[소장처명],0),2),"종합자료실")</f>
        <v>어린이자료실</v>
      </c>
      <c r="D265" t="s">
        <v>31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1</v>
      </c>
      <c r="L265">
        <v>0</v>
      </c>
      <c r="M265">
        <v>12</v>
      </c>
      <c r="N265">
        <v>1</v>
      </c>
      <c r="O265">
        <v>0</v>
      </c>
      <c r="P265">
        <v>15</v>
      </c>
    </row>
    <row r="266" spans="1:16" x14ac:dyDescent="0.3">
      <c r="A266" s="1">
        <v>45352</v>
      </c>
      <c r="B266" t="s">
        <v>13</v>
      </c>
      <c r="C266" t="str">
        <f>IFERROR(INDEX(자료실범례[],MATCH($B266,자료실범례[소장처명],0),2),"종합자료실")</f>
        <v>어린이자료실</v>
      </c>
      <c r="D266" t="s">
        <v>28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2</v>
      </c>
      <c r="N266">
        <v>0</v>
      </c>
      <c r="O266">
        <v>0</v>
      </c>
      <c r="P266">
        <v>3</v>
      </c>
    </row>
    <row r="267" spans="1:16" x14ac:dyDescent="0.3">
      <c r="A267" s="1">
        <v>45352</v>
      </c>
      <c r="B267" t="s">
        <v>13</v>
      </c>
      <c r="C267" t="str">
        <f>IFERROR(INDEX(자료실범례[],MATCH($B267,자료실범례[소장처명],0),2),"종합자료실")</f>
        <v>어린이자료실</v>
      </c>
      <c r="D267" t="s">
        <v>25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3</v>
      </c>
      <c r="N267">
        <v>0</v>
      </c>
      <c r="O267">
        <v>0</v>
      </c>
      <c r="P267">
        <v>4</v>
      </c>
    </row>
    <row r="268" spans="1:16" x14ac:dyDescent="0.3">
      <c r="A268" s="1">
        <v>45352</v>
      </c>
      <c r="B268" t="s">
        <v>15</v>
      </c>
      <c r="C268" t="str">
        <f>IFERROR(INDEX(자료실범례[],MATCH($B268,자료실범례[소장처명],0),2),"종합자료실")</f>
        <v>어린이자료실</v>
      </c>
      <c r="D268" t="s">
        <v>28</v>
      </c>
      <c r="E268">
        <v>4</v>
      </c>
      <c r="F268">
        <v>1</v>
      </c>
      <c r="G268">
        <v>12</v>
      </c>
      <c r="H268">
        <v>0</v>
      </c>
      <c r="I268">
        <v>129</v>
      </c>
      <c r="J268">
        <v>26</v>
      </c>
      <c r="K268">
        <v>2</v>
      </c>
      <c r="L268">
        <v>78</v>
      </c>
      <c r="M268">
        <v>23</v>
      </c>
      <c r="N268">
        <v>150</v>
      </c>
      <c r="O268">
        <v>0</v>
      </c>
      <c r="P268">
        <v>425</v>
      </c>
    </row>
    <row r="269" spans="1:16" x14ac:dyDescent="0.3">
      <c r="A269" s="1">
        <v>45352</v>
      </c>
      <c r="B269" t="s">
        <v>15</v>
      </c>
      <c r="C269" t="str">
        <f>IFERROR(INDEX(자료실범례[],MATCH($B269,자료실범례[소장처명],0),2),"종합자료실")</f>
        <v>어린이자료실</v>
      </c>
      <c r="D269" t="s">
        <v>25</v>
      </c>
      <c r="E269">
        <v>4</v>
      </c>
      <c r="F269">
        <v>4</v>
      </c>
      <c r="G269">
        <v>18</v>
      </c>
      <c r="H269">
        <v>3</v>
      </c>
      <c r="I269">
        <v>158</v>
      </c>
      <c r="J269">
        <v>31</v>
      </c>
      <c r="K269">
        <v>0</v>
      </c>
      <c r="L269">
        <v>65</v>
      </c>
      <c r="M269">
        <v>24</v>
      </c>
      <c r="N269">
        <v>187</v>
      </c>
      <c r="O269">
        <v>0</v>
      </c>
      <c r="P269">
        <v>494</v>
      </c>
    </row>
    <row r="270" spans="1:16" x14ac:dyDescent="0.3">
      <c r="A270" s="1">
        <v>45352</v>
      </c>
      <c r="B270" t="s">
        <v>15</v>
      </c>
      <c r="C270" t="str">
        <f>IFERROR(INDEX(자료실범례[],MATCH($B270,자료실범례[소장처명],0),2),"종합자료실")</f>
        <v>어린이자료실</v>
      </c>
      <c r="D270" t="s">
        <v>31</v>
      </c>
      <c r="E270">
        <v>1</v>
      </c>
      <c r="F270">
        <v>0</v>
      </c>
      <c r="G270">
        <v>0</v>
      </c>
      <c r="H270">
        <v>0</v>
      </c>
      <c r="I270">
        <v>5</v>
      </c>
      <c r="J270">
        <v>0</v>
      </c>
      <c r="K270">
        <v>0</v>
      </c>
      <c r="L270">
        <v>2</v>
      </c>
      <c r="M270">
        <v>1</v>
      </c>
      <c r="N270">
        <v>11</v>
      </c>
      <c r="O270">
        <v>0</v>
      </c>
      <c r="P270">
        <v>20</v>
      </c>
    </row>
    <row r="271" spans="1:16" x14ac:dyDescent="0.3">
      <c r="A271" s="1">
        <v>45352</v>
      </c>
      <c r="B271" t="s">
        <v>20</v>
      </c>
      <c r="C271" t="str">
        <f>IFERROR(INDEX(자료실범례[],MATCH($B271,자료실범례[소장처명],0),2),"종합자료실")</f>
        <v>종합자료실</v>
      </c>
      <c r="D271" t="s">
        <v>28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</row>
    <row r="272" spans="1:16" x14ac:dyDescent="0.3">
      <c r="A272" s="1">
        <v>45352</v>
      </c>
      <c r="B272" t="s">
        <v>20</v>
      </c>
      <c r="C272" t="str">
        <f>IFERROR(INDEX(자료실범례[],MATCH($B272,자료실범례[소장처명],0),2),"종합자료실")</f>
        <v>종합자료실</v>
      </c>
      <c r="D272" t="s">
        <v>25</v>
      </c>
      <c r="E272">
        <v>1</v>
      </c>
      <c r="F272">
        <v>1</v>
      </c>
      <c r="G272">
        <v>0</v>
      </c>
      <c r="H272">
        <v>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4</v>
      </c>
    </row>
    <row r="273" spans="1:16" x14ac:dyDescent="0.3">
      <c r="A273" s="1">
        <v>45352</v>
      </c>
      <c r="B273" t="s">
        <v>20</v>
      </c>
      <c r="C273" t="str">
        <f>IFERROR(INDEX(자료실범례[],MATCH($B273,자료실범례[소장처명],0),2),"종합자료실")</f>
        <v>종합자료실</v>
      </c>
      <c r="D273" t="s">
        <v>31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</row>
    <row r="274" spans="1:16" x14ac:dyDescent="0.3">
      <c r="A274" s="1">
        <v>45352</v>
      </c>
      <c r="B274" t="s">
        <v>3</v>
      </c>
      <c r="C274" t="str">
        <f>IFERROR(INDEX(자료실범례[],MATCH($B274,자료실범례[소장처명],0),2),"종합자료실")</f>
        <v>디지털자료실</v>
      </c>
      <c r="D274" t="s">
        <v>28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1</v>
      </c>
    </row>
    <row r="275" spans="1:16" x14ac:dyDescent="0.3">
      <c r="A275" s="1">
        <v>45352</v>
      </c>
      <c r="B275" t="s">
        <v>4</v>
      </c>
      <c r="C275" t="str">
        <f>IFERROR(INDEX(자료실범례[],MATCH($B275,자료실범례[소장처명],0),2),"종합자료실")</f>
        <v>어린이자료실</v>
      </c>
      <c r="D275" t="s">
        <v>28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4</v>
      </c>
      <c r="N275">
        <v>4</v>
      </c>
      <c r="O275">
        <v>0</v>
      </c>
      <c r="P275">
        <v>8</v>
      </c>
    </row>
    <row r="276" spans="1:16" x14ac:dyDescent="0.3">
      <c r="A276" s="1">
        <v>45352</v>
      </c>
      <c r="B276" t="s">
        <v>4</v>
      </c>
      <c r="C276" t="str">
        <f>IFERROR(INDEX(자료실범례[],MATCH($B276,자료실범례[소장처명],0),2),"종합자료실")</f>
        <v>어린이자료실</v>
      </c>
      <c r="D276" t="s">
        <v>25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4</v>
      </c>
      <c r="N276">
        <v>2</v>
      </c>
      <c r="O276">
        <v>0</v>
      </c>
      <c r="P276">
        <v>6</v>
      </c>
    </row>
    <row r="277" spans="1:16" x14ac:dyDescent="0.3">
      <c r="A277" s="1">
        <v>45352</v>
      </c>
      <c r="B277" t="s">
        <v>4</v>
      </c>
      <c r="C277" t="str">
        <f>IFERROR(INDEX(자료실범례[],MATCH($B277,자료실범례[소장처명],0),2),"종합자료실")</f>
        <v>어린이자료실</v>
      </c>
      <c r="D277" t="s">
        <v>31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1</v>
      </c>
    </row>
    <row r="278" spans="1:16" x14ac:dyDescent="0.3">
      <c r="A278" s="1">
        <v>45352</v>
      </c>
      <c r="B278" t="s">
        <v>5</v>
      </c>
      <c r="C278" t="str">
        <f>IFERROR(INDEX(자료실범례[],MATCH($B278,자료실범례[소장처명],0),2),"종합자료실")</f>
        <v>종합자료실</v>
      </c>
      <c r="D278" t="s">
        <v>28</v>
      </c>
      <c r="E278">
        <v>0</v>
      </c>
      <c r="F278">
        <v>4</v>
      </c>
      <c r="G278">
        <v>0</v>
      </c>
      <c r="H278">
        <v>18</v>
      </c>
      <c r="I278">
        <v>7</v>
      </c>
      <c r="J278">
        <v>4</v>
      </c>
      <c r="K278">
        <v>3</v>
      </c>
      <c r="L278">
        <v>1</v>
      </c>
      <c r="M278">
        <v>7</v>
      </c>
      <c r="N278">
        <v>0</v>
      </c>
      <c r="O278">
        <v>0</v>
      </c>
      <c r="P278">
        <v>44</v>
      </c>
    </row>
    <row r="279" spans="1:16" x14ac:dyDescent="0.3">
      <c r="A279" s="1">
        <v>45352</v>
      </c>
      <c r="B279" t="s">
        <v>5</v>
      </c>
      <c r="C279" t="str">
        <f>IFERROR(INDEX(자료실범례[],MATCH($B279,자료실범례[소장처명],0),2),"종합자료실")</f>
        <v>종합자료실</v>
      </c>
      <c r="D279" t="s">
        <v>25</v>
      </c>
      <c r="E279">
        <v>1</v>
      </c>
      <c r="F279">
        <v>4</v>
      </c>
      <c r="G279">
        <v>0</v>
      </c>
      <c r="H279">
        <v>19</v>
      </c>
      <c r="I279">
        <v>7</v>
      </c>
      <c r="J279">
        <v>3</v>
      </c>
      <c r="K279">
        <v>4</v>
      </c>
      <c r="L279">
        <v>1</v>
      </c>
      <c r="M279">
        <v>7</v>
      </c>
      <c r="N279">
        <v>0</v>
      </c>
      <c r="O279">
        <v>0</v>
      </c>
      <c r="P279">
        <v>46</v>
      </c>
    </row>
    <row r="280" spans="1:16" x14ac:dyDescent="0.3">
      <c r="A280" s="1">
        <v>45352</v>
      </c>
      <c r="B280" t="s">
        <v>5</v>
      </c>
      <c r="C280" t="str">
        <f>IFERROR(INDEX(자료실범례[],MATCH($B280,자료실범례[소장처명],0),2),"종합자료실")</f>
        <v>종합자료실</v>
      </c>
      <c r="D280" t="s">
        <v>31</v>
      </c>
      <c r="E280">
        <v>0</v>
      </c>
      <c r="F280">
        <v>3</v>
      </c>
      <c r="G280">
        <v>0</v>
      </c>
      <c r="H280">
        <v>9</v>
      </c>
      <c r="I280">
        <v>1</v>
      </c>
      <c r="J280">
        <v>2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15</v>
      </c>
    </row>
    <row r="281" spans="1:16" x14ac:dyDescent="0.3">
      <c r="A281" s="1">
        <v>45352</v>
      </c>
      <c r="B281" t="s">
        <v>7</v>
      </c>
      <c r="C281" t="str">
        <f>IFERROR(INDEX(자료실범례[],MATCH($B281,자료실범례[소장처명],0),2),"종합자료실")</f>
        <v>어린이자료실</v>
      </c>
      <c r="D281" t="s">
        <v>28</v>
      </c>
      <c r="E281">
        <v>0</v>
      </c>
      <c r="F281">
        <v>1</v>
      </c>
      <c r="G281">
        <v>0</v>
      </c>
      <c r="H281">
        <v>12</v>
      </c>
      <c r="I281">
        <v>2</v>
      </c>
      <c r="J281">
        <v>1</v>
      </c>
      <c r="K281">
        <v>0</v>
      </c>
      <c r="L281">
        <v>1</v>
      </c>
      <c r="M281">
        <v>86</v>
      </c>
      <c r="N281">
        <v>1</v>
      </c>
      <c r="O281">
        <v>0</v>
      </c>
      <c r="P281">
        <v>104</v>
      </c>
    </row>
    <row r="282" spans="1:16" x14ac:dyDescent="0.3">
      <c r="A282" s="1">
        <v>45352</v>
      </c>
      <c r="B282" t="s">
        <v>7</v>
      </c>
      <c r="C282" t="str">
        <f>IFERROR(INDEX(자료실범례[],MATCH($B282,자료실범례[소장처명],0),2),"종합자료실")</f>
        <v>어린이자료실</v>
      </c>
      <c r="D282" t="s">
        <v>25</v>
      </c>
      <c r="E282">
        <v>0</v>
      </c>
      <c r="F282">
        <v>0</v>
      </c>
      <c r="G282">
        <v>0</v>
      </c>
      <c r="H282">
        <v>10</v>
      </c>
      <c r="I282">
        <v>2</v>
      </c>
      <c r="J282">
        <v>0</v>
      </c>
      <c r="K282">
        <v>1</v>
      </c>
      <c r="L282">
        <v>3</v>
      </c>
      <c r="M282">
        <v>65</v>
      </c>
      <c r="N282">
        <v>1</v>
      </c>
      <c r="O282">
        <v>0</v>
      </c>
      <c r="P282">
        <v>82</v>
      </c>
    </row>
    <row r="283" spans="1:16" x14ac:dyDescent="0.3">
      <c r="A283" s="1">
        <v>45352</v>
      </c>
      <c r="B283" t="s">
        <v>7</v>
      </c>
      <c r="C283" t="str">
        <f>IFERROR(INDEX(자료실범례[],MATCH($B283,자료실범례[소장처명],0),2),"종합자료실")</f>
        <v>어린이자료실</v>
      </c>
      <c r="D283" t="s">
        <v>31</v>
      </c>
      <c r="E283">
        <v>0</v>
      </c>
      <c r="F283">
        <v>1</v>
      </c>
      <c r="G283">
        <v>0</v>
      </c>
      <c r="H283">
        <v>4</v>
      </c>
      <c r="I283">
        <v>0</v>
      </c>
      <c r="J283">
        <v>1</v>
      </c>
      <c r="K283">
        <v>0</v>
      </c>
      <c r="L283">
        <v>0</v>
      </c>
      <c r="M283">
        <v>13</v>
      </c>
      <c r="N283">
        <v>1</v>
      </c>
      <c r="O283">
        <v>0</v>
      </c>
      <c r="P283">
        <v>20</v>
      </c>
    </row>
    <row r="284" spans="1:16" x14ac:dyDescent="0.3">
      <c r="A284" s="1">
        <v>45352</v>
      </c>
      <c r="B284" t="s">
        <v>8</v>
      </c>
      <c r="C284" t="str">
        <f>IFERROR(INDEX(자료실범례[],MATCH($B284,자료실범례[소장처명],0),2),"종합자료실")</f>
        <v>어린이자료실</v>
      </c>
      <c r="D284" t="s">
        <v>28</v>
      </c>
      <c r="E284">
        <v>0</v>
      </c>
      <c r="F284">
        <v>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26</v>
      </c>
      <c r="N284">
        <v>0</v>
      </c>
      <c r="O284">
        <v>0</v>
      </c>
      <c r="P284">
        <v>28</v>
      </c>
    </row>
    <row r="285" spans="1:16" x14ac:dyDescent="0.3">
      <c r="A285" s="1">
        <v>45352</v>
      </c>
      <c r="B285" t="s">
        <v>8</v>
      </c>
      <c r="C285" t="str">
        <f>IFERROR(INDEX(자료실범례[],MATCH($B285,자료실범례[소장처명],0),2),"종합자료실")</f>
        <v>어린이자료실</v>
      </c>
      <c r="D285" t="s">
        <v>25</v>
      </c>
      <c r="E285">
        <v>0</v>
      </c>
      <c r="F285">
        <v>2</v>
      </c>
      <c r="G285">
        <v>0</v>
      </c>
      <c r="H285">
        <v>1</v>
      </c>
      <c r="I285">
        <v>3</v>
      </c>
      <c r="J285">
        <v>1</v>
      </c>
      <c r="K285">
        <v>0</v>
      </c>
      <c r="L285">
        <v>0</v>
      </c>
      <c r="M285">
        <v>18</v>
      </c>
      <c r="N285">
        <v>0</v>
      </c>
      <c r="O285">
        <v>0</v>
      </c>
      <c r="P285">
        <v>25</v>
      </c>
    </row>
    <row r="286" spans="1:16" x14ac:dyDescent="0.3">
      <c r="A286" s="1">
        <v>45352</v>
      </c>
      <c r="B286" t="s">
        <v>8</v>
      </c>
      <c r="C286" t="str">
        <f>IFERROR(INDEX(자료실범례[],MATCH($B286,자료실범례[소장처명],0),2),"종합자료실")</f>
        <v>어린이자료실</v>
      </c>
      <c r="D286" t="s">
        <v>31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9</v>
      </c>
      <c r="N286">
        <v>0</v>
      </c>
      <c r="O286">
        <v>0</v>
      </c>
      <c r="P286">
        <v>9</v>
      </c>
    </row>
    <row r="287" spans="1:16" x14ac:dyDescent="0.3">
      <c r="A287" s="1">
        <v>45352</v>
      </c>
      <c r="B287" t="s">
        <v>9</v>
      </c>
      <c r="C287" t="str">
        <f>IFERROR(INDEX(자료실범례[],MATCH($B287,자료실범례[소장처명],0),2),"종합자료실")</f>
        <v>어린이자료실</v>
      </c>
      <c r="D287" t="s">
        <v>28</v>
      </c>
      <c r="E287">
        <v>0</v>
      </c>
      <c r="F287">
        <v>0</v>
      </c>
      <c r="G287">
        <v>0</v>
      </c>
      <c r="H287">
        <v>6</v>
      </c>
      <c r="I287">
        <v>3</v>
      </c>
      <c r="J287">
        <v>1</v>
      </c>
      <c r="K287">
        <v>0</v>
      </c>
      <c r="L287">
        <v>0</v>
      </c>
      <c r="M287">
        <v>5</v>
      </c>
      <c r="N287">
        <v>0</v>
      </c>
      <c r="O287">
        <v>0</v>
      </c>
      <c r="P287">
        <v>15</v>
      </c>
    </row>
    <row r="288" spans="1:16" x14ac:dyDescent="0.3">
      <c r="A288" s="1">
        <v>45352</v>
      </c>
      <c r="B288" t="s">
        <v>9</v>
      </c>
      <c r="C288" t="str">
        <f>IFERROR(INDEX(자료실범례[],MATCH($B288,자료실범례[소장처명],0),2),"종합자료실")</f>
        <v>어린이자료실</v>
      </c>
      <c r="D288" t="s">
        <v>25</v>
      </c>
      <c r="E288">
        <v>0</v>
      </c>
      <c r="F288">
        <v>0</v>
      </c>
      <c r="G288">
        <v>0</v>
      </c>
      <c r="H288">
        <v>5</v>
      </c>
      <c r="I288">
        <v>8</v>
      </c>
      <c r="J288">
        <v>1</v>
      </c>
      <c r="K288">
        <v>0</v>
      </c>
      <c r="L288">
        <v>0</v>
      </c>
      <c r="M288">
        <v>6</v>
      </c>
      <c r="N288">
        <v>0</v>
      </c>
      <c r="O288">
        <v>0</v>
      </c>
      <c r="P288">
        <v>20</v>
      </c>
    </row>
    <row r="289" spans="1:16" x14ac:dyDescent="0.3">
      <c r="A289" s="1">
        <v>45352</v>
      </c>
      <c r="B289" t="s">
        <v>9</v>
      </c>
      <c r="C289" t="str">
        <f>IFERROR(INDEX(자료실범례[],MATCH($B289,자료실범례[소장처명],0),2),"종합자료실")</f>
        <v>어린이자료실</v>
      </c>
      <c r="D289" t="s">
        <v>31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</row>
    <row r="290" spans="1:16" x14ac:dyDescent="0.3">
      <c r="A290" s="1">
        <v>45352</v>
      </c>
      <c r="B290" t="s">
        <v>10</v>
      </c>
      <c r="C290" t="str">
        <f>IFERROR(INDEX(자료실범례[],MATCH($B290,자료실범례[소장처명],0),2),"종합자료실")</f>
        <v>어린이자료실</v>
      </c>
      <c r="D290" t="s">
        <v>28</v>
      </c>
      <c r="E290">
        <v>0</v>
      </c>
      <c r="F290">
        <v>0</v>
      </c>
      <c r="G290">
        <v>0</v>
      </c>
      <c r="H290">
        <v>3</v>
      </c>
      <c r="I290">
        <v>2</v>
      </c>
      <c r="J290">
        <v>1</v>
      </c>
      <c r="K290">
        <v>0</v>
      </c>
      <c r="L290">
        <v>1</v>
      </c>
      <c r="M290">
        <v>30</v>
      </c>
      <c r="N290">
        <v>0</v>
      </c>
      <c r="O290">
        <v>0</v>
      </c>
      <c r="P290">
        <v>37</v>
      </c>
    </row>
    <row r="291" spans="1:16" x14ac:dyDescent="0.3">
      <c r="A291" s="1">
        <v>45352</v>
      </c>
      <c r="B291" t="s">
        <v>10</v>
      </c>
      <c r="C291" t="str">
        <f>IFERROR(INDEX(자료실범례[],MATCH($B291,자료실범례[소장처명],0),2),"종합자료실")</f>
        <v>어린이자료실</v>
      </c>
      <c r="D291" t="s">
        <v>25</v>
      </c>
      <c r="E291">
        <v>0</v>
      </c>
      <c r="F291">
        <v>0</v>
      </c>
      <c r="G291">
        <v>0</v>
      </c>
      <c r="H291">
        <v>2</v>
      </c>
      <c r="I291">
        <v>2</v>
      </c>
      <c r="J291">
        <v>0</v>
      </c>
      <c r="K291">
        <v>0</v>
      </c>
      <c r="L291">
        <v>1</v>
      </c>
      <c r="M291">
        <v>16</v>
      </c>
      <c r="N291">
        <v>0</v>
      </c>
      <c r="O291">
        <v>0</v>
      </c>
      <c r="P291">
        <v>21</v>
      </c>
    </row>
    <row r="292" spans="1:16" x14ac:dyDescent="0.3">
      <c r="A292" s="1">
        <v>45352</v>
      </c>
      <c r="B292" t="s">
        <v>10</v>
      </c>
      <c r="C292" t="str">
        <f>IFERROR(INDEX(자료실범례[],MATCH($B292,자료실범례[소장처명],0),2),"종합자료실")</f>
        <v>어린이자료실</v>
      </c>
      <c r="D292" t="s">
        <v>31</v>
      </c>
      <c r="E292">
        <v>0</v>
      </c>
      <c r="F292">
        <v>0</v>
      </c>
      <c r="G292">
        <v>0</v>
      </c>
      <c r="H292">
        <v>2</v>
      </c>
      <c r="I292">
        <v>0</v>
      </c>
      <c r="J292">
        <v>1</v>
      </c>
      <c r="K292">
        <v>0</v>
      </c>
      <c r="L292">
        <v>0</v>
      </c>
      <c r="M292">
        <v>18</v>
      </c>
      <c r="N292">
        <v>0</v>
      </c>
      <c r="O292">
        <v>0</v>
      </c>
      <c r="P292">
        <v>21</v>
      </c>
    </row>
    <row r="293" spans="1:16" x14ac:dyDescent="0.3">
      <c r="A293" s="1">
        <v>45352</v>
      </c>
      <c r="B293" t="s">
        <v>11</v>
      </c>
      <c r="C293" t="str">
        <f>IFERROR(INDEX(자료실범례[],MATCH($B293,자료실범례[소장처명],0),2),"종합자료실")</f>
        <v>어린이자료실</v>
      </c>
      <c r="D293" t="s">
        <v>28</v>
      </c>
      <c r="E293">
        <v>1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</v>
      </c>
      <c r="N293">
        <v>1</v>
      </c>
      <c r="O293">
        <v>0</v>
      </c>
      <c r="P293">
        <v>16</v>
      </c>
    </row>
    <row r="294" spans="1:16" x14ac:dyDescent="0.3">
      <c r="A294" s="1">
        <v>45352</v>
      </c>
      <c r="B294" t="s">
        <v>11</v>
      </c>
      <c r="C294" t="str">
        <f>IFERROR(INDEX(자료실범례[],MATCH($B294,자료실범례[소장처명],0),2),"종합자료실")</f>
        <v>어린이자료실</v>
      </c>
      <c r="D294" t="s">
        <v>25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10</v>
      </c>
      <c r="N294">
        <v>0</v>
      </c>
      <c r="O294">
        <v>0</v>
      </c>
      <c r="P294">
        <v>11</v>
      </c>
    </row>
    <row r="295" spans="1:16" x14ac:dyDescent="0.3">
      <c r="A295" s="1">
        <v>45352</v>
      </c>
      <c r="B295" t="s">
        <v>11</v>
      </c>
      <c r="C295" t="str">
        <f>IFERROR(INDEX(자료실범례[],MATCH($B295,자료실범례[소장처명],0),2),"종합자료실")</f>
        <v>어린이자료실</v>
      </c>
      <c r="D295" t="s">
        <v>31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</v>
      </c>
      <c r="N295">
        <v>0</v>
      </c>
      <c r="O295">
        <v>0</v>
      </c>
      <c r="P295">
        <v>2</v>
      </c>
    </row>
    <row r="296" spans="1:16" x14ac:dyDescent="0.3">
      <c r="A296" s="1">
        <v>45352</v>
      </c>
      <c r="B296" t="s">
        <v>12</v>
      </c>
      <c r="C296" t="str">
        <f>IFERROR(INDEX(자료실범례[],MATCH($B296,자료실범례[소장처명],0),2),"종합자료실")</f>
        <v>어린이자료실</v>
      </c>
      <c r="D296" t="s">
        <v>28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4</v>
      </c>
      <c r="N296">
        <v>2</v>
      </c>
      <c r="O296">
        <v>0</v>
      </c>
      <c r="P296">
        <v>7</v>
      </c>
    </row>
    <row r="297" spans="1:16" x14ac:dyDescent="0.3">
      <c r="A297" s="1">
        <v>45352</v>
      </c>
      <c r="B297" t="s">
        <v>12</v>
      </c>
      <c r="C297" t="str">
        <f>IFERROR(INDEX(자료실범례[],MATCH($B297,자료실범례[소장처명],0),2),"종합자료실")</f>
        <v>어린이자료실</v>
      </c>
      <c r="D297" t="s">
        <v>25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4</v>
      </c>
      <c r="K297">
        <v>0</v>
      </c>
      <c r="L297">
        <v>0</v>
      </c>
      <c r="M297">
        <v>5</v>
      </c>
      <c r="N297">
        <v>1</v>
      </c>
      <c r="O297">
        <v>0</v>
      </c>
      <c r="P297">
        <v>11</v>
      </c>
    </row>
    <row r="298" spans="1:16" x14ac:dyDescent="0.3">
      <c r="A298" s="1">
        <v>45352</v>
      </c>
      <c r="B298" t="s">
        <v>0</v>
      </c>
      <c r="C298" t="str">
        <f>IFERROR(INDEX(자료실범례[],MATCH($B298,자료실범례[소장처명],0),2),"종합자료실")</f>
        <v>어린이자료실</v>
      </c>
      <c r="D298" t="s">
        <v>28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15</v>
      </c>
      <c r="M298">
        <v>27</v>
      </c>
      <c r="N298">
        <v>0</v>
      </c>
      <c r="O298">
        <v>0</v>
      </c>
      <c r="P298">
        <v>42</v>
      </c>
    </row>
    <row r="299" spans="1:16" x14ac:dyDescent="0.3">
      <c r="A299" s="1">
        <v>45352</v>
      </c>
      <c r="B299" t="s">
        <v>0</v>
      </c>
      <c r="C299" t="str">
        <f>IFERROR(INDEX(자료실범례[],MATCH($B299,자료실범례[소장처명],0),2),"종합자료실")</f>
        <v>어린이자료실</v>
      </c>
      <c r="D299" t="s">
        <v>25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14</v>
      </c>
      <c r="M299">
        <v>25</v>
      </c>
      <c r="N299">
        <v>0</v>
      </c>
      <c r="O299">
        <v>0</v>
      </c>
      <c r="P299">
        <v>40</v>
      </c>
    </row>
    <row r="300" spans="1:16" x14ac:dyDescent="0.3">
      <c r="A300" s="1">
        <v>45352</v>
      </c>
      <c r="B300" t="s">
        <v>0</v>
      </c>
      <c r="C300" t="str">
        <f>IFERROR(INDEX(자료실범례[],MATCH($B300,자료실범례[소장처명],0),2),"종합자료실")</f>
        <v>어린이자료실</v>
      </c>
      <c r="D300" t="s">
        <v>31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2</v>
      </c>
      <c r="M300">
        <v>7</v>
      </c>
      <c r="N300">
        <v>0</v>
      </c>
      <c r="O300">
        <v>0</v>
      </c>
      <c r="P300">
        <v>9</v>
      </c>
    </row>
    <row r="301" spans="1:16" x14ac:dyDescent="0.3">
      <c r="A301" s="1">
        <v>45352</v>
      </c>
      <c r="B301" t="s">
        <v>1</v>
      </c>
      <c r="C301" t="str">
        <f>IFERROR(INDEX(자료실범례[],MATCH($B301,자료실범례[소장처명],0),2),"종합자료실")</f>
        <v>어린이자료실</v>
      </c>
      <c r="D301" t="s">
        <v>28</v>
      </c>
      <c r="E301">
        <v>0</v>
      </c>
      <c r="F301">
        <v>0</v>
      </c>
      <c r="G301">
        <v>0</v>
      </c>
      <c r="H301">
        <v>2</v>
      </c>
      <c r="I301">
        <v>0</v>
      </c>
      <c r="J301">
        <v>0</v>
      </c>
      <c r="K301">
        <v>0</v>
      </c>
      <c r="L301">
        <v>41</v>
      </c>
      <c r="M301">
        <v>2</v>
      </c>
      <c r="N301">
        <v>0</v>
      </c>
      <c r="O301">
        <v>0</v>
      </c>
      <c r="P301">
        <v>45</v>
      </c>
    </row>
    <row r="302" spans="1:16" x14ac:dyDescent="0.3">
      <c r="A302" s="1">
        <v>45352</v>
      </c>
      <c r="B302" t="s">
        <v>1</v>
      </c>
      <c r="C302" t="str">
        <f>IFERROR(INDEX(자료실범례[],MATCH($B302,자료실범례[소장처명],0),2),"종합자료실")</f>
        <v>어린이자료실</v>
      </c>
      <c r="D302" t="s">
        <v>25</v>
      </c>
      <c r="E302">
        <v>0</v>
      </c>
      <c r="F302">
        <v>0</v>
      </c>
      <c r="G302">
        <v>0</v>
      </c>
      <c r="H302">
        <v>2</v>
      </c>
      <c r="I302">
        <v>0</v>
      </c>
      <c r="J302">
        <v>0</v>
      </c>
      <c r="K302">
        <v>0</v>
      </c>
      <c r="L302">
        <v>40</v>
      </c>
      <c r="M302">
        <v>5</v>
      </c>
      <c r="N302">
        <v>0</v>
      </c>
      <c r="O302">
        <v>0</v>
      </c>
      <c r="P302">
        <v>47</v>
      </c>
    </row>
    <row r="303" spans="1:16" x14ac:dyDescent="0.3">
      <c r="A303" s="1">
        <v>45352</v>
      </c>
      <c r="B303" t="s">
        <v>1</v>
      </c>
      <c r="C303" t="str">
        <f>IFERROR(INDEX(자료실범례[],MATCH($B303,자료실범례[소장처명],0),2),"종합자료실")</f>
        <v>어린이자료실</v>
      </c>
      <c r="D303" t="s">
        <v>31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19</v>
      </c>
      <c r="M303">
        <v>0</v>
      </c>
      <c r="N303">
        <v>0</v>
      </c>
      <c r="O303">
        <v>0</v>
      </c>
      <c r="P303">
        <v>19</v>
      </c>
    </row>
    <row r="304" spans="1:16" x14ac:dyDescent="0.3">
      <c r="A304" s="1">
        <v>45352</v>
      </c>
      <c r="B304" t="s">
        <v>6</v>
      </c>
      <c r="C304" t="str">
        <f>IFERROR(INDEX(자료실범례[],MATCH($B304,자료실범례[소장처명],0),2),"종합자료실")</f>
        <v>종합자료실</v>
      </c>
      <c r="D304" t="s">
        <v>28</v>
      </c>
      <c r="E304">
        <v>1</v>
      </c>
      <c r="F304">
        <v>2</v>
      </c>
      <c r="G304">
        <v>2</v>
      </c>
      <c r="H304">
        <v>3</v>
      </c>
      <c r="I304">
        <v>3</v>
      </c>
      <c r="J304">
        <v>4</v>
      </c>
      <c r="K304">
        <v>2</v>
      </c>
      <c r="L304">
        <v>1</v>
      </c>
      <c r="M304">
        <v>29</v>
      </c>
      <c r="N304">
        <v>1</v>
      </c>
      <c r="O304">
        <v>0</v>
      </c>
      <c r="P304">
        <v>48</v>
      </c>
    </row>
    <row r="305" spans="1:16" x14ac:dyDescent="0.3">
      <c r="A305" s="1">
        <v>45352</v>
      </c>
      <c r="B305" t="s">
        <v>6</v>
      </c>
      <c r="C305" t="str">
        <f>IFERROR(INDEX(자료실범례[],MATCH($B305,자료실범례[소장처명],0),2),"종합자료실")</f>
        <v>종합자료실</v>
      </c>
      <c r="D305" t="s">
        <v>25</v>
      </c>
      <c r="E305">
        <v>1</v>
      </c>
      <c r="F305">
        <v>2</v>
      </c>
      <c r="G305">
        <v>2</v>
      </c>
      <c r="H305">
        <v>1</v>
      </c>
      <c r="I305">
        <v>3</v>
      </c>
      <c r="J305">
        <v>3</v>
      </c>
      <c r="K305">
        <v>2</v>
      </c>
      <c r="L305">
        <v>1</v>
      </c>
      <c r="M305">
        <v>21</v>
      </c>
      <c r="N305">
        <v>1</v>
      </c>
      <c r="O305">
        <v>0</v>
      </c>
      <c r="P305">
        <v>37</v>
      </c>
    </row>
    <row r="306" spans="1:16" x14ac:dyDescent="0.3">
      <c r="A306" s="1">
        <v>45352</v>
      </c>
      <c r="B306" t="s">
        <v>6</v>
      </c>
      <c r="C306" t="str">
        <f>IFERROR(INDEX(자료실범례[],MATCH($B306,자료실범례[소장처명],0),2),"종합자료실")</f>
        <v>종합자료실</v>
      </c>
      <c r="D306" t="s">
        <v>31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3</v>
      </c>
      <c r="N306">
        <v>0</v>
      </c>
      <c r="O306">
        <v>0</v>
      </c>
      <c r="P306">
        <v>4</v>
      </c>
    </row>
    <row r="307" spans="1:16" x14ac:dyDescent="0.3">
      <c r="A307" s="1">
        <v>45352</v>
      </c>
      <c r="B307" t="s">
        <v>18</v>
      </c>
      <c r="C307" t="str">
        <f>IFERROR(INDEX(자료실범례[],MATCH($B307,자료실범례[소장처명],0),2),"종합자료실")</f>
        <v>종합자료실</v>
      </c>
      <c r="D307" t="s">
        <v>28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4</v>
      </c>
      <c r="P307">
        <v>4</v>
      </c>
    </row>
    <row r="308" spans="1:16" x14ac:dyDescent="0.3">
      <c r="A308" s="1">
        <v>45352</v>
      </c>
      <c r="B308" t="s">
        <v>18</v>
      </c>
      <c r="C308" t="str">
        <f>IFERROR(INDEX(자료실범례[],MATCH($B308,자료실범례[소장처명],0),2),"종합자료실")</f>
        <v>종합자료실</v>
      </c>
      <c r="D308" t="s">
        <v>25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5</v>
      </c>
      <c r="P308">
        <v>5</v>
      </c>
    </row>
    <row r="309" spans="1:16" x14ac:dyDescent="0.3">
      <c r="A309" s="1">
        <v>45352</v>
      </c>
      <c r="B309" t="s">
        <v>18</v>
      </c>
      <c r="C309" t="str">
        <f>IFERROR(INDEX(자료실범례[],MATCH($B309,자료실범례[소장처명],0),2),"종합자료실")</f>
        <v>종합자료실</v>
      </c>
      <c r="D309" t="s">
        <v>31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4</v>
      </c>
      <c r="P309">
        <v>4</v>
      </c>
    </row>
    <row r="310" spans="1:16" x14ac:dyDescent="0.3">
      <c r="A310" s="1">
        <v>45352</v>
      </c>
      <c r="B310" t="s">
        <v>17</v>
      </c>
      <c r="C310" t="str">
        <f>IFERROR(INDEX(자료실범례[],MATCH($B310,자료실범례[소장처명],0),2),"종합자료실")</f>
        <v>어린이자료실</v>
      </c>
      <c r="D310" t="s">
        <v>28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15</v>
      </c>
      <c r="P310">
        <v>15</v>
      </c>
    </row>
    <row r="311" spans="1:16" x14ac:dyDescent="0.3">
      <c r="A311" s="1">
        <v>45352</v>
      </c>
      <c r="B311" t="s">
        <v>17</v>
      </c>
      <c r="C311" t="str">
        <f>IFERROR(INDEX(자료실범례[],MATCH($B311,자료실범례[소장처명],0),2),"종합자료실")</f>
        <v>어린이자료실</v>
      </c>
      <c r="D311" t="s">
        <v>25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24</v>
      </c>
      <c r="P311">
        <v>24</v>
      </c>
    </row>
    <row r="312" spans="1:16" x14ac:dyDescent="0.3">
      <c r="A312" s="1">
        <v>44986</v>
      </c>
      <c r="B312" t="s">
        <v>24</v>
      </c>
      <c r="C312" t="str">
        <f>IFERROR(INDEX(자료실범례[],MATCH($B312,자료실범례[소장처명],0),2),"종합자료실")</f>
        <v>종합자료실</v>
      </c>
      <c r="D312" t="s">
        <v>28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8</v>
      </c>
      <c r="N312">
        <v>0</v>
      </c>
      <c r="O312">
        <v>0</v>
      </c>
      <c r="P312">
        <v>8</v>
      </c>
    </row>
    <row r="313" spans="1:16" x14ac:dyDescent="0.3">
      <c r="A313" s="1">
        <v>44986</v>
      </c>
      <c r="B313" t="s">
        <v>24</v>
      </c>
      <c r="C313" t="str">
        <f>IFERROR(INDEX(자료실범례[],MATCH($B313,자료실범례[소장처명],0),2),"종합자료실")</f>
        <v>종합자료실</v>
      </c>
      <c r="D313" t="s">
        <v>25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5</v>
      </c>
      <c r="N313">
        <v>0</v>
      </c>
      <c r="O313">
        <v>0</v>
      </c>
      <c r="P313">
        <v>5</v>
      </c>
    </row>
    <row r="314" spans="1:16" x14ac:dyDescent="0.3">
      <c r="A314" s="1">
        <v>44986</v>
      </c>
      <c r="B314" t="s">
        <v>21</v>
      </c>
      <c r="C314" t="str">
        <f>IFERROR(INDEX(자료실범례[],MATCH($B314,자료실범례[소장처명],0),2),"종합자료실")</f>
        <v>종합자료실</v>
      </c>
      <c r="D314" t="s">
        <v>28</v>
      </c>
      <c r="E314">
        <v>55</v>
      </c>
      <c r="F314">
        <v>160</v>
      </c>
      <c r="G314">
        <v>54</v>
      </c>
      <c r="H314">
        <v>332</v>
      </c>
      <c r="I314">
        <v>51</v>
      </c>
      <c r="J314">
        <v>220</v>
      </c>
      <c r="K314">
        <v>91</v>
      </c>
      <c r="L314">
        <v>47</v>
      </c>
      <c r="M314">
        <v>666</v>
      </c>
      <c r="N314">
        <v>101</v>
      </c>
      <c r="O314">
        <v>0</v>
      </c>
      <c r="P314">
        <v>1777</v>
      </c>
    </row>
    <row r="315" spans="1:16" x14ac:dyDescent="0.3">
      <c r="A315" s="1">
        <v>44986</v>
      </c>
      <c r="B315" t="s">
        <v>21</v>
      </c>
      <c r="C315" t="str">
        <f>IFERROR(INDEX(자료실범례[],MATCH($B315,자료실범례[소장처명],0),2),"종합자료실")</f>
        <v>종합자료실</v>
      </c>
      <c r="D315" t="s">
        <v>25</v>
      </c>
      <c r="E315">
        <v>58</v>
      </c>
      <c r="F315">
        <v>161</v>
      </c>
      <c r="G315">
        <v>48</v>
      </c>
      <c r="H315">
        <v>341</v>
      </c>
      <c r="I315">
        <v>45</v>
      </c>
      <c r="J315">
        <v>203</v>
      </c>
      <c r="K315">
        <v>82</v>
      </c>
      <c r="L315">
        <v>48</v>
      </c>
      <c r="M315">
        <v>704</v>
      </c>
      <c r="N315">
        <v>103</v>
      </c>
      <c r="O315">
        <v>1</v>
      </c>
      <c r="P315">
        <v>1794</v>
      </c>
    </row>
    <row r="316" spans="1:16" x14ac:dyDescent="0.3">
      <c r="A316" s="1">
        <v>44986</v>
      </c>
      <c r="B316" t="s">
        <v>21</v>
      </c>
      <c r="C316" t="str">
        <f>IFERROR(INDEX(자료실범례[],MATCH($B316,자료실범례[소장처명],0),2),"종합자료실")</f>
        <v>종합자료실</v>
      </c>
      <c r="D316" t="s">
        <v>31</v>
      </c>
      <c r="E316">
        <v>24</v>
      </c>
      <c r="F316">
        <v>59</v>
      </c>
      <c r="G316">
        <v>30</v>
      </c>
      <c r="H316">
        <v>143</v>
      </c>
      <c r="I316">
        <v>26</v>
      </c>
      <c r="J316">
        <v>77</v>
      </c>
      <c r="K316">
        <v>25</v>
      </c>
      <c r="L316">
        <v>21</v>
      </c>
      <c r="M316">
        <v>228</v>
      </c>
      <c r="N316">
        <v>39</v>
      </c>
      <c r="O316">
        <v>0</v>
      </c>
      <c r="P316">
        <v>672</v>
      </c>
    </row>
    <row r="317" spans="1:16" x14ac:dyDescent="0.3">
      <c r="A317" s="1">
        <v>44986</v>
      </c>
      <c r="B317" t="s">
        <v>16</v>
      </c>
      <c r="C317" t="str">
        <f>IFERROR(INDEX(자료실범례[],MATCH($B317,자료실범례[소장처명],0),2),"종합자료실")</f>
        <v>어린이자료실</v>
      </c>
      <c r="D317" t="s">
        <v>28</v>
      </c>
      <c r="E317">
        <v>27</v>
      </c>
      <c r="F317">
        <v>20</v>
      </c>
      <c r="G317">
        <v>3</v>
      </c>
      <c r="H317">
        <v>63</v>
      </c>
      <c r="I317">
        <v>192</v>
      </c>
      <c r="J317">
        <v>36</v>
      </c>
      <c r="K317">
        <v>25</v>
      </c>
      <c r="L317">
        <v>20</v>
      </c>
      <c r="M317">
        <v>959</v>
      </c>
      <c r="N317">
        <v>41</v>
      </c>
      <c r="O317">
        <v>0</v>
      </c>
      <c r="P317">
        <v>1386</v>
      </c>
    </row>
    <row r="318" spans="1:16" x14ac:dyDescent="0.3">
      <c r="A318" s="1">
        <v>44986</v>
      </c>
      <c r="B318" t="s">
        <v>16</v>
      </c>
      <c r="C318" t="str">
        <f>IFERROR(INDEX(자료실범례[],MATCH($B318,자료실범례[소장처명],0),2),"종합자료실")</f>
        <v>어린이자료실</v>
      </c>
      <c r="D318" t="s">
        <v>25</v>
      </c>
      <c r="E318">
        <v>23</v>
      </c>
      <c r="F318">
        <v>12</v>
      </c>
      <c r="G318">
        <v>3</v>
      </c>
      <c r="H318">
        <v>95</v>
      </c>
      <c r="I318">
        <v>185</v>
      </c>
      <c r="J318">
        <v>52</v>
      </c>
      <c r="K318">
        <v>29</v>
      </c>
      <c r="L318">
        <v>32</v>
      </c>
      <c r="M318">
        <v>1025</v>
      </c>
      <c r="N318">
        <v>43</v>
      </c>
      <c r="O318">
        <v>0</v>
      </c>
      <c r="P318">
        <v>1499</v>
      </c>
    </row>
    <row r="319" spans="1:16" x14ac:dyDescent="0.3">
      <c r="A319" s="1">
        <v>44986</v>
      </c>
      <c r="B319" t="s">
        <v>16</v>
      </c>
      <c r="C319" t="str">
        <f>IFERROR(INDEX(자료실범례[],MATCH($B319,자료실범례[소장처명],0),2),"종합자료실")</f>
        <v>어린이자료실</v>
      </c>
      <c r="D319" t="s">
        <v>31</v>
      </c>
      <c r="E319">
        <v>17</v>
      </c>
      <c r="F319">
        <v>2</v>
      </c>
      <c r="G319">
        <v>1</v>
      </c>
      <c r="H319">
        <v>21</v>
      </c>
      <c r="I319">
        <v>32</v>
      </c>
      <c r="J319">
        <v>3</v>
      </c>
      <c r="K319">
        <v>1</v>
      </c>
      <c r="L319">
        <v>2</v>
      </c>
      <c r="M319">
        <v>244</v>
      </c>
      <c r="N319">
        <v>8</v>
      </c>
      <c r="O319">
        <v>0</v>
      </c>
      <c r="P319">
        <v>331</v>
      </c>
    </row>
    <row r="320" spans="1:16" x14ac:dyDescent="0.3">
      <c r="A320" s="1">
        <v>44986</v>
      </c>
      <c r="B320" t="s">
        <v>2</v>
      </c>
      <c r="C320" t="str">
        <f>IFERROR(INDEX(자료실범례[],MATCH($B320,자료실범례[소장처명],0),2),"종합자료실")</f>
        <v>디지털자료실</v>
      </c>
      <c r="D320" t="s">
        <v>28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26</v>
      </c>
      <c r="L320">
        <v>0</v>
      </c>
      <c r="M320">
        <v>0</v>
      </c>
      <c r="N320">
        <v>0</v>
      </c>
      <c r="O320">
        <v>0</v>
      </c>
      <c r="P320">
        <v>26</v>
      </c>
    </row>
    <row r="321" spans="1:16" x14ac:dyDescent="0.3">
      <c r="A321" s="1">
        <v>44986</v>
      </c>
      <c r="B321" t="s">
        <v>2</v>
      </c>
      <c r="C321" t="str">
        <f>IFERROR(INDEX(자료실범례[],MATCH($B321,자료실범례[소장처명],0),2),"종합자료실")</f>
        <v>디지털자료실</v>
      </c>
      <c r="D321" t="s">
        <v>25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31</v>
      </c>
      <c r="L321">
        <v>0</v>
      </c>
      <c r="M321">
        <v>0</v>
      </c>
      <c r="N321">
        <v>0</v>
      </c>
      <c r="O321">
        <v>0</v>
      </c>
      <c r="P321">
        <v>31</v>
      </c>
    </row>
    <row r="322" spans="1:16" x14ac:dyDescent="0.3">
      <c r="A322" s="1">
        <v>44986</v>
      </c>
      <c r="B322" t="s">
        <v>13</v>
      </c>
      <c r="C322" t="str">
        <f>IFERROR(INDEX(자료실범례[],MATCH($B322,자료실범례[소장처명],0),2),"종합자료실")</f>
        <v>어린이자료실</v>
      </c>
      <c r="D322" t="s">
        <v>28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4</v>
      </c>
      <c r="N322">
        <v>0</v>
      </c>
      <c r="O322">
        <v>0</v>
      </c>
      <c r="P322">
        <v>4</v>
      </c>
    </row>
    <row r="323" spans="1:16" x14ac:dyDescent="0.3">
      <c r="A323" s="1">
        <v>44986</v>
      </c>
      <c r="B323" t="s">
        <v>13</v>
      </c>
      <c r="C323" t="str">
        <f>IFERROR(INDEX(자료실범례[],MATCH($B323,자료실범례[소장처명],0),2),"종합자료실")</f>
        <v>어린이자료실</v>
      </c>
      <c r="D323" t="s">
        <v>25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O323">
        <v>0</v>
      </c>
      <c r="P323">
        <v>2</v>
      </c>
    </row>
    <row r="324" spans="1:16" x14ac:dyDescent="0.3">
      <c r="A324" s="1">
        <v>44986</v>
      </c>
      <c r="B324" t="s">
        <v>13</v>
      </c>
      <c r="C324" t="str">
        <f>IFERROR(INDEX(자료실범례[],MATCH($B324,자료실범례[소장처명],0),2),"종합자료실")</f>
        <v>어린이자료실</v>
      </c>
      <c r="D324" t="s">
        <v>31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1</v>
      </c>
    </row>
    <row r="325" spans="1:16" x14ac:dyDescent="0.3">
      <c r="A325" s="1">
        <v>44986</v>
      </c>
      <c r="B325" t="s">
        <v>15</v>
      </c>
      <c r="C325" t="str">
        <f>IFERROR(INDEX(자료실범례[],MATCH($B325,자료실범례[소장처명],0),2),"종합자료실")</f>
        <v>어린이자료실</v>
      </c>
      <c r="D325" t="s">
        <v>28</v>
      </c>
      <c r="E325">
        <v>3</v>
      </c>
      <c r="F325">
        <v>0</v>
      </c>
      <c r="G325">
        <v>19</v>
      </c>
      <c r="H325">
        <v>2</v>
      </c>
      <c r="I325">
        <v>217</v>
      </c>
      <c r="J325">
        <v>52</v>
      </c>
      <c r="K325">
        <v>1</v>
      </c>
      <c r="L325">
        <v>77</v>
      </c>
      <c r="M325">
        <v>37</v>
      </c>
      <c r="N325">
        <v>125</v>
      </c>
      <c r="O325">
        <v>0</v>
      </c>
      <c r="P325">
        <v>533</v>
      </c>
    </row>
    <row r="326" spans="1:16" x14ac:dyDescent="0.3">
      <c r="A326" s="1">
        <v>44986</v>
      </c>
      <c r="B326" t="s">
        <v>15</v>
      </c>
      <c r="C326" t="str">
        <f>IFERROR(INDEX(자료실범례[],MATCH($B326,자료실범례[소장처명],0),2),"종합자료실")</f>
        <v>어린이자료실</v>
      </c>
      <c r="D326" t="s">
        <v>25</v>
      </c>
      <c r="E326">
        <v>8</v>
      </c>
      <c r="F326">
        <v>0</v>
      </c>
      <c r="G326">
        <v>18</v>
      </c>
      <c r="H326">
        <v>4</v>
      </c>
      <c r="I326">
        <v>216</v>
      </c>
      <c r="J326">
        <v>22</v>
      </c>
      <c r="K326">
        <v>0</v>
      </c>
      <c r="L326">
        <v>92</v>
      </c>
      <c r="M326">
        <v>31</v>
      </c>
      <c r="N326">
        <v>114</v>
      </c>
      <c r="O326">
        <v>0</v>
      </c>
      <c r="P326">
        <v>505</v>
      </c>
    </row>
    <row r="327" spans="1:16" x14ac:dyDescent="0.3">
      <c r="A327" s="1">
        <v>44986</v>
      </c>
      <c r="B327" t="s">
        <v>15</v>
      </c>
      <c r="C327" t="str">
        <f>IFERROR(INDEX(자료실범례[],MATCH($B327,자료실범례[소장처명],0),2),"종합자료실")</f>
        <v>어린이자료실</v>
      </c>
      <c r="D327" t="s">
        <v>31</v>
      </c>
      <c r="E327">
        <v>3</v>
      </c>
      <c r="F327">
        <v>0</v>
      </c>
      <c r="G327">
        <v>2</v>
      </c>
      <c r="H327">
        <v>0</v>
      </c>
      <c r="I327">
        <v>23</v>
      </c>
      <c r="J327">
        <v>17</v>
      </c>
      <c r="K327">
        <v>0</v>
      </c>
      <c r="L327">
        <v>5</v>
      </c>
      <c r="M327">
        <v>2</v>
      </c>
      <c r="N327">
        <v>5</v>
      </c>
      <c r="O327">
        <v>0</v>
      </c>
      <c r="P327">
        <v>57</v>
      </c>
    </row>
    <row r="328" spans="1:16" x14ac:dyDescent="0.3">
      <c r="A328" s="1">
        <v>44986</v>
      </c>
      <c r="B328" t="s">
        <v>20</v>
      </c>
      <c r="C328" t="str">
        <f>IFERROR(INDEX(자료실범례[],MATCH($B328,자료실범례[소장처명],0),2),"종합자료실")</f>
        <v>종합자료실</v>
      </c>
      <c r="D328" t="s">
        <v>28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</row>
    <row r="329" spans="1:16" x14ac:dyDescent="0.3">
      <c r="A329" s="1">
        <v>44986</v>
      </c>
      <c r="B329" t="s">
        <v>20</v>
      </c>
      <c r="C329" t="str">
        <f>IFERROR(INDEX(자료실범례[],MATCH($B329,자료실범례[소장처명],0),2),"종합자료실")</f>
        <v>종합자료실</v>
      </c>
      <c r="D329" t="s">
        <v>25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</row>
    <row r="330" spans="1:16" x14ac:dyDescent="0.3">
      <c r="A330" s="1">
        <v>44986</v>
      </c>
      <c r="B330" t="s">
        <v>20</v>
      </c>
      <c r="C330" t="str">
        <f>IFERROR(INDEX(자료실범례[],MATCH($B330,자료실범례[소장처명],0),2),"종합자료실")</f>
        <v>종합자료실</v>
      </c>
      <c r="D330" t="s">
        <v>31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</row>
    <row r="331" spans="1:16" x14ac:dyDescent="0.3">
      <c r="A331" s="1">
        <v>44986</v>
      </c>
      <c r="B331" t="s">
        <v>3</v>
      </c>
      <c r="C331" t="str">
        <f>IFERROR(INDEX(자료실범례[],MATCH($B331,자료실범례[소장처명],0),2),"종합자료실")</f>
        <v>디지털자료실</v>
      </c>
      <c r="D331" t="s">
        <v>28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9</v>
      </c>
      <c r="L331">
        <v>0</v>
      </c>
      <c r="M331">
        <v>0</v>
      </c>
      <c r="N331">
        <v>0</v>
      </c>
      <c r="O331">
        <v>0</v>
      </c>
      <c r="P331">
        <v>9</v>
      </c>
    </row>
    <row r="332" spans="1:16" x14ac:dyDescent="0.3">
      <c r="A332" s="1">
        <v>44986</v>
      </c>
      <c r="B332" t="s">
        <v>3</v>
      </c>
      <c r="C332" t="str">
        <f>IFERROR(INDEX(자료실범례[],MATCH($B332,자료실범례[소장처명],0),2),"종합자료실")</f>
        <v>디지털자료실</v>
      </c>
      <c r="D332" t="s">
        <v>25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7</v>
      </c>
      <c r="L332">
        <v>0</v>
      </c>
      <c r="M332">
        <v>0</v>
      </c>
      <c r="N332">
        <v>0</v>
      </c>
      <c r="O332">
        <v>0</v>
      </c>
      <c r="P332">
        <v>7</v>
      </c>
    </row>
    <row r="333" spans="1:16" x14ac:dyDescent="0.3">
      <c r="A333" s="1">
        <v>44986</v>
      </c>
      <c r="B333" t="s">
        <v>4</v>
      </c>
      <c r="C333" t="str">
        <f>IFERROR(INDEX(자료실범례[],MATCH($B333,자료실범례[소장처명],0),2),"종합자료실")</f>
        <v>어린이자료실</v>
      </c>
      <c r="D333" t="s">
        <v>28</v>
      </c>
      <c r="E333">
        <v>0</v>
      </c>
      <c r="F333">
        <v>1</v>
      </c>
      <c r="G333">
        <v>0</v>
      </c>
      <c r="H333">
        <v>3</v>
      </c>
      <c r="I333">
        <v>5</v>
      </c>
      <c r="J333">
        <v>0</v>
      </c>
      <c r="K333">
        <v>0</v>
      </c>
      <c r="L333">
        <v>1</v>
      </c>
      <c r="M333">
        <v>25</v>
      </c>
      <c r="N333">
        <v>0</v>
      </c>
      <c r="O333">
        <v>0</v>
      </c>
      <c r="P333">
        <v>35</v>
      </c>
    </row>
    <row r="334" spans="1:16" x14ac:dyDescent="0.3">
      <c r="A334" s="1">
        <v>44986</v>
      </c>
      <c r="B334" t="s">
        <v>4</v>
      </c>
      <c r="C334" t="str">
        <f>IFERROR(INDEX(자료실범례[],MATCH($B334,자료실범례[소장처명],0),2),"종합자료실")</f>
        <v>어린이자료실</v>
      </c>
      <c r="D334" t="s">
        <v>25</v>
      </c>
      <c r="E334">
        <v>0</v>
      </c>
      <c r="F334">
        <v>0</v>
      </c>
      <c r="G334">
        <v>0</v>
      </c>
      <c r="H334">
        <v>5</v>
      </c>
      <c r="I334">
        <v>3</v>
      </c>
      <c r="J334">
        <v>0</v>
      </c>
      <c r="K334">
        <v>0</v>
      </c>
      <c r="L334">
        <v>0</v>
      </c>
      <c r="M334">
        <v>18</v>
      </c>
      <c r="N334">
        <v>1</v>
      </c>
      <c r="O334">
        <v>0</v>
      </c>
      <c r="P334">
        <v>27</v>
      </c>
    </row>
    <row r="335" spans="1:16" x14ac:dyDescent="0.3">
      <c r="A335" s="1">
        <v>44986</v>
      </c>
      <c r="B335" t="s">
        <v>4</v>
      </c>
      <c r="C335" t="str">
        <f>IFERROR(INDEX(자료실범례[],MATCH($B335,자료실범례[소장처명],0),2),"종합자료실")</f>
        <v>어린이자료실</v>
      </c>
      <c r="D335" t="s">
        <v>31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3</v>
      </c>
      <c r="N335">
        <v>0</v>
      </c>
      <c r="O335">
        <v>0</v>
      </c>
      <c r="P335">
        <v>3</v>
      </c>
    </row>
    <row r="336" spans="1:16" x14ac:dyDescent="0.3">
      <c r="A336" s="1">
        <v>44986</v>
      </c>
      <c r="B336" t="s">
        <v>5</v>
      </c>
      <c r="C336" t="str">
        <f>IFERROR(INDEX(자료실범례[],MATCH($B336,자료실범례[소장처명],0),2),"종합자료실")</f>
        <v>종합자료실</v>
      </c>
      <c r="D336" t="s">
        <v>28</v>
      </c>
      <c r="E336">
        <v>0</v>
      </c>
      <c r="F336">
        <v>2</v>
      </c>
      <c r="G336">
        <v>1</v>
      </c>
      <c r="H336">
        <v>5</v>
      </c>
      <c r="I336">
        <v>0</v>
      </c>
      <c r="J336">
        <v>3</v>
      </c>
      <c r="K336">
        <v>0</v>
      </c>
      <c r="L336">
        <v>1</v>
      </c>
      <c r="M336">
        <v>12</v>
      </c>
      <c r="N336">
        <v>0</v>
      </c>
      <c r="O336">
        <v>0</v>
      </c>
      <c r="P336">
        <v>24</v>
      </c>
    </row>
    <row r="337" spans="1:16" x14ac:dyDescent="0.3">
      <c r="A337" s="1">
        <v>44986</v>
      </c>
      <c r="B337" t="s">
        <v>5</v>
      </c>
      <c r="C337" t="str">
        <f>IFERROR(INDEX(자료실범례[],MATCH($B337,자료실범례[소장처명],0),2),"종합자료실")</f>
        <v>종합자료실</v>
      </c>
      <c r="D337" t="s">
        <v>25</v>
      </c>
      <c r="E337">
        <v>1</v>
      </c>
      <c r="F337">
        <v>4</v>
      </c>
      <c r="G337">
        <v>1</v>
      </c>
      <c r="H337">
        <v>7</v>
      </c>
      <c r="I337">
        <v>1</v>
      </c>
      <c r="J337">
        <v>3</v>
      </c>
      <c r="K337">
        <v>0</v>
      </c>
      <c r="L337">
        <v>2</v>
      </c>
      <c r="M337">
        <v>5</v>
      </c>
      <c r="N337">
        <v>2</v>
      </c>
      <c r="O337">
        <v>0</v>
      </c>
      <c r="P337">
        <v>26</v>
      </c>
    </row>
    <row r="338" spans="1:16" x14ac:dyDescent="0.3">
      <c r="A338" s="1">
        <v>44986</v>
      </c>
      <c r="B338" t="s">
        <v>5</v>
      </c>
      <c r="C338" t="str">
        <f>IFERROR(INDEX(자료실범례[],MATCH($B338,자료실범례[소장처명],0),2),"종합자료실")</f>
        <v>종합자료실</v>
      </c>
      <c r="D338" t="s">
        <v>31</v>
      </c>
      <c r="E338">
        <v>0</v>
      </c>
      <c r="F338">
        <v>1</v>
      </c>
      <c r="G338">
        <v>0</v>
      </c>
      <c r="H338">
        <v>2</v>
      </c>
      <c r="I338">
        <v>0</v>
      </c>
      <c r="J338">
        <v>3</v>
      </c>
      <c r="K338">
        <v>0</v>
      </c>
      <c r="L338">
        <v>1</v>
      </c>
      <c r="M338">
        <v>4</v>
      </c>
      <c r="N338">
        <v>0</v>
      </c>
      <c r="O338">
        <v>0</v>
      </c>
      <c r="P338">
        <v>11</v>
      </c>
    </row>
    <row r="339" spans="1:16" x14ac:dyDescent="0.3">
      <c r="A339" s="1">
        <v>44986</v>
      </c>
      <c r="B339" t="s">
        <v>7</v>
      </c>
      <c r="C339" t="str">
        <f>IFERROR(INDEX(자료실범례[],MATCH($B339,자료실범례[소장처명],0),2),"종합자료실")</f>
        <v>어린이자료실</v>
      </c>
      <c r="D339" t="s">
        <v>28</v>
      </c>
      <c r="E339">
        <v>0</v>
      </c>
      <c r="F339">
        <v>1</v>
      </c>
      <c r="G339">
        <v>0</v>
      </c>
      <c r="H339">
        <v>13</v>
      </c>
      <c r="I339">
        <v>0</v>
      </c>
      <c r="J339">
        <v>2</v>
      </c>
      <c r="K339">
        <v>0</v>
      </c>
      <c r="L339">
        <v>3</v>
      </c>
      <c r="M339">
        <v>42</v>
      </c>
      <c r="N339">
        <v>2</v>
      </c>
      <c r="O339">
        <v>0</v>
      </c>
      <c r="P339">
        <v>63</v>
      </c>
    </row>
    <row r="340" spans="1:16" x14ac:dyDescent="0.3">
      <c r="A340" s="1">
        <v>44986</v>
      </c>
      <c r="B340" t="s">
        <v>7</v>
      </c>
      <c r="C340" t="str">
        <f>IFERROR(INDEX(자료실범례[],MATCH($B340,자료실범례[소장처명],0),2),"종합자료실")</f>
        <v>어린이자료실</v>
      </c>
      <c r="D340" t="s">
        <v>25</v>
      </c>
      <c r="E340">
        <v>0</v>
      </c>
      <c r="F340">
        <v>1</v>
      </c>
      <c r="G340">
        <v>0</v>
      </c>
      <c r="H340">
        <v>10</v>
      </c>
      <c r="I340">
        <v>1</v>
      </c>
      <c r="J340">
        <v>3</v>
      </c>
      <c r="K340">
        <v>1</v>
      </c>
      <c r="L340">
        <v>4</v>
      </c>
      <c r="M340">
        <v>41</v>
      </c>
      <c r="N340">
        <v>2</v>
      </c>
      <c r="O340">
        <v>0</v>
      </c>
      <c r="P340">
        <v>63</v>
      </c>
    </row>
    <row r="341" spans="1:16" x14ac:dyDescent="0.3">
      <c r="A341" s="1">
        <v>44986</v>
      </c>
      <c r="B341" t="s">
        <v>7</v>
      </c>
      <c r="C341" t="str">
        <f>IFERROR(INDEX(자료실범례[],MATCH($B341,자료실범례[소장처명],0),2),"종합자료실")</f>
        <v>어린이자료실</v>
      </c>
      <c r="D341" t="s">
        <v>31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2</v>
      </c>
    </row>
    <row r="342" spans="1:16" x14ac:dyDescent="0.3">
      <c r="A342" s="1">
        <v>44986</v>
      </c>
      <c r="B342" t="s">
        <v>8</v>
      </c>
      <c r="C342" t="str">
        <f>IFERROR(INDEX(자료실범례[],MATCH($B342,자료실범례[소장처명],0),2),"종합자료실")</f>
        <v>어린이자료실</v>
      </c>
      <c r="D342" t="s">
        <v>28</v>
      </c>
      <c r="E342">
        <v>0</v>
      </c>
      <c r="F342">
        <v>1</v>
      </c>
      <c r="G342">
        <v>0</v>
      </c>
      <c r="H342">
        <v>2</v>
      </c>
      <c r="I342">
        <v>0</v>
      </c>
      <c r="J342">
        <v>0</v>
      </c>
      <c r="K342">
        <v>0</v>
      </c>
      <c r="L342">
        <v>0</v>
      </c>
      <c r="M342">
        <v>34</v>
      </c>
      <c r="N342">
        <v>1</v>
      </c>
      <c r="O342">
        <v>0</v>
      </c>
      <c r="P342">
        <v>38</v>
      </c>
    </row>
    <row r="343" spans="1:16" x14ac:dyDescent="0.3">
      <c r="A343" s="1">
        <v>44986</v>
      </c>
      <c r="B343" t="s">
        <v>8</v>
      </c>
      <c r="C343" t="str">
        <f>IFERROR(INDEX(자료실범례[],MATCH($B343,자료실범례[소장처명],0),2),"종합자료실")</f>
        <v>어린이자료실</v>
      </c>
      <c r="D343" t="s">
        <v>25</v>
      </c>
      <c r="E343">
        <v>0</v>
      </c>
      <c r="F343">
        <v>1</v>
      </c>
      <c r="G343">
        <v>0</v>
      </c>
      <c r="H343">
        <v>3</v>
      </c>
      <c r="I343">
        <v>1</v>
      </c>
      <c r="J343">
        <v>2</v>
      </c>
      <c r="K343">
        <v>0</v>
      </c>
      <c r="L343">
        <v>0</v>
      </c>
      <c r="M343">
        <v>46</v>
      </c>
      <c r="N343">
        <v>1</v>
      </c>
      <c r="O343">
        <v>0</v>
      </c>
      <c r="P343">
        <v>54</v>
      </c>
    </row>
    <row r="344" spans="1:16" x14ac:dyDescent="0.3">
      <c r="A344" s="1">
        <v>44986</v>
      </c>
      <c r="B344" t="s">
        <v>8</v>
      </c>
      <c r="C344" t="str">
        <f>IFERROR(INDEX(자료실범례[],MATCH($B344,자료실범례[소장처명],0),2),"종합자료실")</f>
        <v>어린이자료실</v>
      </c>
      <c r="D344" t="s">
        <v>31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1</v>
      </c>
      <c r="K344">
        <v>0</v>
      </c>
      <c r="L344">
        <v>0</v>
      </c>
      <c r="M344">
        <v>8</v>
      </c>
      <c r="N344">
        <v>0</v>
      </c>
      <c r="O344">
        <v>0</v>
      </c>
      <c r="P344">
        <v>10</v>
      </c>
    </row>
    <row r="345" spans="1:16" x14ac:dyDescent="0.3">
      <c r="A345" s="1">
        <v>44986</v>
      </c>
      <c r="B345" t="s">
        <v>9</v>
      </c>
      <c r="C345" t="str">
        <f>IFERROR(INDEX(자료실범례[],MATCH($B345,자료실범례[소장처명],0),2),"종합자료실")</f>
        <v>어린이자료실</v>
      </c>
      <c r="D345" t="s">
        <v>28</v>
      </c>
      <c r="E345">
        <v>0</v>
      </c>
      <c r="F345">
        <v>0</v>
      </c>
      <c r="G345">
        <v>0</v>
      </c>
      <c r="H345">
        <v>1</v>
      </c>
      <c r="I345">
        <v>9</v>
      </c>
      <c r="J345">
        <v>0</v>
      </c>
      <c r="K345">
        <v>0</v>
      </c>
      <c r="L345">
        <v>0</v>
      </c>
      <c r="M345">
        <v>6</v>
      </c>
      <c r="N345">
        <v>0</v>
      </c>
      <c r="O345">
        <v>0</v>
      </c>
      <c r="P345">
        <v>16</v>
      </c>
    </row>
    <row r="346" spans="1:16" x14ac:dyDescent="0.3">
      <c r="A346" s="1">
        <v>44986</v>
      </c>
      <c r="B346" t="s">
        <v>9</v>
      </c>
      <c r="C346" t="str">
        <f>IFERROR(INDEX(자료실범례[],MATCH($B346,자료실범례[소장처명],0),2),"종합자료실")</f>
        <v>어린이자료실</v>
      </c>
      <c r="D346" t="s">
        <v>25</v>
      </c>
      <c r="E346">
        <v>0</v>
      </c>
      <c r="F346">
        <v>0</v>
      </c>
      <c r="G346">
        <v>0</v>
      </c>
      <c r="H346">
        <v>2</v>
      </c>
      <c r="I346">
        <v>9</v>
      </c>
      <c r="J346">
        <v>0</v>
      </c>
      <c r="K346">
        <v>0</v>
      </c>
      <c r="L346">
        <v>0</v>
      </c>
      <c r="M346">
        <v>10</v>
      </c>
      <c r="N346">
        <v>1</v>
      </c>
      <c r="O346">
        <v>0</v>
      </c>
      <c r="P346">
        <v>22</v>
      </c>
    </row>
    <row r="347" spans="1:16" x14ac:dyDescent="0.3">
      <c r="A347" s="1">
        <v>44986</v>
      </c>
      <c r="B347" t="s">
        <v>9</v>
      </c>
      <c r="C347" t="str">
        <f>IFERROR(INDEX(자료실범례[],MATCH($B347,자료실범례[소장처명],0),2),"종합자료실")</f>
        <v>어린이자료실</v>
      </c>
      <c r="D347" t="s">
        <v>31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1</v>
      </c>
    </row>
    <row r="348" spans="1:16" x14ac:dyDescent="0.3">
      <c r="A348" s="1">
        <v>44986</v>
      </c>
      <c r="B348" t="s">
        <v>10</v>
      </c>
      <c r="C348" t="str">
        <f>IFERROR(INDEX(자료실범례[],MATCH($B348,자료실범례[소장처명],0),2),"종합자료실")</f>
        <v>어린이자료실</v>
      </c>
      <c r="D348" t="s">
        <v>28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1</v>
      </c>
      <c r="K348">
        <v>0</v>
      </c>
      <c r="L348">
        <v>0</v>
      </c>
      <c r="M348">
        <v>5</v>
      </c>
      <c r="N348">
        <v>1</v>
      </c>
      <c r="O348">
        <v>0</v>
      </c>
      <c r="P348">
        <v>8</v>
      </c>
    </row>
    <row r="349" spans="1:16" x14ac:dyDescent="0.3">
      <c r="A349" s="1">
        <v>44986</v>
      </c>
      <c r="B349" t="s">
        <v>10</v>
      </c>
      <c r="C349" t="str">
        <f>IFERROR(INDEX(자료실범례[],MATCH($B349,자료실범례[소장처명],0),2),"종합자료실")</f>
        <v>어린이자료실</v>
      </c>
      <c r="D349" t="s">
        <v>25</v>
      </c>
      <c r="E349">
        <v>0</v>
      </c>
      <c r="F349">
        <v>1</v>
      </c>
      <c r="G349">
        <v>0</v>
      </c>
      <c r="H349">
        <v>2</v>
      </c>
      <c r="I349">
        <v>2</v>
      </c>
      <c r="J349">
        <v>1</v>
      </c>
      <c r="K349">
        <v>0</v>
      </c>
      <c r="L349">
        <v>0</v>
      </c>
      <c r="M349">
        <v>7</v>
      </c>
      <c r="N349">
        <v>2</v>
      </c>
      <c r="O349">
        <v>0</v>
      </c>
      <c r="P349">
        <v>15</v>
      </c>
    </row>
    <row r="350" spans="1:16" x14ac:dyDescent="0.3">
      <c r="A350" s="1">
        <v>44986</v>
      </c>
      <c r="B350" t="s">
        <v>10</v>
      </c>
      <c r="C350" t="str">
        <f>IFERROR(INDEX(자료실범례[],MATCH($B350,자료실범례[소장처명],0),2),"종합자료실")</f>
        <v>어린이자료실</v>
      </c>
      <c r="D350" t="s">
        <v>31</v>
      </c>
      <c r="E350">
        <v>0</v>
      </c>
      <c r="F350">
        <v>1</v>
      </c>
      <c r="G350">
        <v>0</v>
      </c>
      <c r="H350">
        <v>1</v>
      </c>
      <c r="I350">
        <v>1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4</v>
      </c>
    </row>
    <row r="351" spans="1:16" x14ac:dyDescent="0.3">
      <c r="A351" s="1">
        <v>44986</v>
      </c>
      <c r="B351" t="s">
        <v>11</v>
      </c>
      <c r="C351" t="str">
        <f>IFERROR(INDEX(자료실범례[],MATCH($B351,자료실범례[소장처명],0),2),"종합자료실")</f>
        <v>어린이자료실</v>
      </c>
      <c r="D351" t="s">
        <v>28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14</v>
      </c>
      <c r="N351">
        <v>0</v>
      </c>
      <c r="O351">
        <v>0</v>
      </c>
      <c r="P351">
        <v>14</v>
      </c>
    </row>
    <row r="352" spans="1:16" x14ac:dyDescent="0.3">
      <c r="A352" s="1">
        <v>44986</v>
      </c>
      <c r="B352" t="s">
        <v>11</v>
      </c>
      <c r="C352" t="str">
        <f>IFERROR(INDEX(자료실범례[],MATCH($B352,자료실범례[소장처명],0),2),"종합자료실")</f>
        <v>어린이자료실</v>
      </c>
      <c r="D352" t="s">
        <v>25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22</v>
      </c>
      <c r="N352">
        <v>0</v>
      </c>
      <c r="O352">
        <v>0</v>
      </c>
      <c r="P352">
        <v>22</v>
      </c>
    </row>
    <row r="353" spans="1:16" x14ac:dyDescent="0.3">
      <c r="A353" s="1">
        <v>44986</v>
      </c>
      <c r="B353" t="s">
        <v>11</v>
      </c>
      <c r="C353" t="str">
        <f>IFERROR(INDEX(자료실범례[],MATCH($B353,자료실범례[소장처명],0),2),"종합자료실")</f>
        <v>어린이자료실</v>
      </c>
      <c r="D353" t="s">
        <v>31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3</v>
      </c>
      <c r="N353">
        <v>0</v>
      </c>
      <c r="O353">
        <v>0</v>
      </c>
      <c r="P353">
        <v>3</v>
      </c>
    </row>
    <row r="354" spans="1:16" x14ac:dyDescent="0.3">
      <c r="A354" s="1">
        <v>44986</v>
      </c>
      <c r="B354" t="s">
        <v>12</v>
      </c>
      <c r="C354" t="str">
        <f>IFERROR(INDEX(자료실범례[],MATCH($B354,자료실범례[소장처명],0),2),"종합자료실")</f>
        <v>어린이자료실</v>
      </c>
      <c r="D354" t="s">
        <v>28</v>
      </c>
      <c r="E354">
        <v>0</v>
      </c>
      <c r="F354">
        <v>1</v>
      </c>
      <c r="G354">
        <v>0</v>
      </c>
      <c r="H354">
        <v>3</v>
      </c>
      <c r="I354">
        <v>2</v>
      </c>
      <c r="J354">
        <v>0</v>
      </c>
      <c r="K354">
        <v>0</v>
      </c>
      <c r="L354">
        <v>0</v>
      </c>
      <c r="M354">
        <v>6</v>
      </c>
      <c r="N354">
        <v>1</v>
      </c>
      <c r="O354">
        <v>0</v>
      </c>
      <c r="P354">
        <v>13</v>
      </c>
    </row>
    <row r="355" spans="1:16" x14ac:dyDescent="0.3">
      <c r="A355" s="1">
        <v>44986</v>
      </c>
      <c r="B355" t="s">
        <v>12</v>
      </c>
      <c r="C355" t="str">
        <f>IFERROR(INDEX(자료실범례[],MATCH($B355,자료실범례[소장처명],0),2),"종합자료실")</f>
        <v>어린이자료실</v>
      </c>
      <c r="D355" t="s">
        <v>25</v>
      </c>
      <c r="E355">
        <v>0</v>
      </c>
      <c r="F355">
        <v>1</v>
      </c>
      <c r="G355">
        <v>0</v>
      </c>
      <c r="H355">
        <v>3</v>
      </c>
      <c r="I355">
        <v>2</v>
      </c>
      <c r="J355">
        <v>0</v>
      </c>
      <c r="K355">
        <v>0</v>
      </c>
      <c r="L355">
        <v>0</v>
      </c>
      <c r="M355">
        <v>7</v>
      </c>
      <c r="N355">
        <v>1</v>
      </c>
      <c r="O355">
        <v>0</v>
      </c>
      <c r="P355">
        <v>14</v>
      </c>
    </row>
    <row r="356" spans="1:16" x14ac:dyDescent="0.3">
      <c r="A356" s="1">
        <v>44986</v>
      </c>
      <c r="B356" t="s">
        <v>12</v>
      </c>
      <c r="C356" t="str">
        <f>IFERROR(INDEX(자료실범례[],MATCH($B356,자료실범례[소장처명],0),2),"종합자료실")</f>
        <v>어린이자료실</v>
      </c>
      <c r="D356" t="s">
        <v>31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3</v>
      </c>
      <c r="N356">
        <v>0</v>
      </c>
      <c r="O356">
        <v>0</v>
      </c>
      <c r="P356">
        <v>3</v>
      </c>
    </row>
    <row r="357" spans="1:16" x14ac:dyDescent="0.3">
      <c r="A357" s="1">
        <v>44986</v>
      </c>
      <c r="B357" t="s">
        <v>0</v>
      </c>
      <c r="C357" t="str">
        <f>IFERROR(INDEX(자료실범례[],MATCH($B357,자료실범례[소장처명],0),2),"종합자료실")</f>
        <v>어린이자료실</v>
      </c>
      <c r="D357" t="s">
        <v>28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1</v>
      </c>
      <c r="K357">
        <v>0</v>
      </c>
      <c r="L357">
        <v>7</v>
      </c>
      <c r="M357">
        <v>5</v>
      </c>
      <c r="N357">
        <v>0</v>
      </c>
      <c r="O357">
        <v>0</v>
      </c>
      <c r="P357">
        <v>14</v>
      </c>
    </row>
    <row r="358" spans="1:16" x14ac:dyDescent="0.3">
      <c r="A358" s="1">
        <v>44986</v>
      </c>
      <c r="B358" t="s">
        <v>0</v>
      </c>
      <c r="C358" t="str">
        <f>IFERROR(INDEX(자료실범례[],MATCH($B358,자료실범례[소장처명],0),2),"종합자료실")</f>
        <v>어린이자료실</v>
      </c>
      <c r="D358" t="s">
        <v>25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1</v>
      </c>
      <c r="K358">
        <v>0</v>
      </c>
      <c r="L358">
        <v>7</v>
      </c>
      <c r="M358">
        <v>11</v>
      </c>
      <c r="N358">
        <v>0</v>
      </c>
      <c r="O358">
        <v>0</v>
      </c>
      <c r="P358">
        <v>20</v>
      </c>
    </row>
    <row r="359" spans="1:16" x14ac:dyDescent="0.3">
      <c r="A359" s="1">
        <v>44986</v>
      </c>
      <c r="B359" t="s">
        <v>0</v>
      </c>
      <c r="C359" t="str">
        <f>IFERROR(INDEX(자료실범례[],MATCH($B359,자료실범례[소장처명],0),2),"종합자료실")</f>
        <v>어린이자료실</v>
      </c>
      <c r="D359" t="s">
        <v>31</v>
      </c>
      <c r="E359">
        <v>0</v>
      </c>
      <c r="F359">
        <v>0</v>
      </c>
      <c r="G359">
        <v>0</v>
      </c>
      <c r="H359">
        <v>2</v>
      </c>
      <c r="I359">
        <v>0</v>
      </c>
      <c r="J359">
        <v>0</v>
      </c>
      <c r="K359">
        <v>0</v>
      </c>
      <c r="L359">
        <v>2</v>
      </c>
      <c r="M359">
        <v>5</v>
      </c>
      <c r="N359">
        <v>0</v>
      </c>
      <c r="O359">
        <v>0</v>
      </c>
      <c r="P359">
        <v>9</v>
      </c>
    </row>
    <row r="360" spans="1:16" x14ac:dyDescent="0.3">
      <c r="A360" s="1">
        <v>44986</v>
      </c>
      <c r="B360" t="s">
        <v>1</v>
      </c>
      <c r="C360" t="str">
        <f>IFERROR(INDEX(자료실범례[],MATCH($B360,자료실범례[소장처명],0),2),"종합자료실")</f>
        <v>어린이자료실</v>
      </c>
      <c r="D360" t="s">
        <v>28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71</v>
      </c>
      <c r="M360">
        <v>5</v>
      </c>
      <c r="N360">
        <v>0</v>
      </c>
      <c r="O360">
        <v>0</v>
      </c>
      <c r="P360">
        <v>76</v>
      </c>
    </row>
    <row r="361" spans="1:16" x14ac:dyDescent="0.3">
      <c r="A361" s="1">
        <v>44986</v>
      </c>
      <c r="B361" t="s">
        <v>1</v>
      </c>
      <c r="C361" t="str">
        <f>IFERROR(INDEX(자료실범례[],MATCH($B361,자료실범례[소장처명],0),2),"종합자료실")</f>
        <v>어린이자료실</v>
      </c>
      <c r="D361" t="s">
        <v>25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77</v>
      </c>
      <c r="M361">
        <v>9</v>
      </c>
      <c r="N361">
        <v>0</v>
      </c>
      <c r="O361">
        <v>0</v>
      </c>
      <c r="P361">
        <v>87</v>
      </c>
    </row>
    <row r="362" spans="1:16" x14ac:dyDescent="0.3">
      <c r="A362" s="1">
        <v>44986</v>
      </c>
      <c r="B362" t="s">
        <v>1</v>
      </c>
      <c r="C362" t="str">
        <f>IFERROR(INDEX(자료실범례[],MATCH($B362,자료실범례[소장처명],0),2),"종합자료실")</f>
        <v>어린이자료실</v>
      </c>
      <c r="D362" t="s">
        <v>31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26</v>
      </c>
      <c r="M362">
        <v>2</v>
      </c>
      <c r="N362">
        <v>0</v>
      </c>
      <c r="O362">
        <v>0</v>
      </c>
      <c r="P362">
        <v>28</v>
      </c>
    </row>
    <row r="363" spans="1:16" x14ac:dyDescent="0.3">
      <c r="A363" s="1">
        <v>44986</v>
      </c>
      <c r="B363" t="s">
        <v>6</v>
      </c>
      <c r="C363" t="str">
        <f>IFERROR(INDEX(자료실범례[],MATCH($B363,자료실범례[소장처명],0),2),"종합자료실")</f>
        <v>종합자료실</v>
      </c>
      <c r="D363" t="s">
        <v>28</v>
      </c>
      <c r="E363">
        <v>1</v>
      </c>
      <c r="F363">
        <v>1</v>
      </c>
      <c r="G363">
        <v>2</v>
      </c>
      <c r="H363">
        <v>2</v>
      </c>
      <c r="I363">
        <v>1</v>
      </c>
      <c r="J363">
        <v>1</v>
      </c>
      <c r="K363">
        <v>0</v>
      </c>
      <c r="L363">
        <v>1</v>
      </c>
      <c r="M363">
        <v>8</v>
      </c>
      <c r="N363">
        <v>0</v>
      </c>
      <c r="O363">
        <v>0</v>
      </c>
      <c r="P363">
        <v>17</v>
      </c>
    </row>
    <row r="364" spans="1:16" x14ac:dyDescent="0.3">
      <c r="A364" s="1">
        <v>44986</v>
      </c>
      <c r="B364" t="s">
        <v>6</v>
      </c>
      <c r="C364" t="str">
        <f>IFERROR(INDEX(자료실범례[],MATCH($B364,자료실범례[소장처명],0),2),"종합자료실")</f>
        <v>종합자료실</v>
      </c>
      <c r="D364" t="s">
        <v>25</v>
      </c>
      <c r="E364">
        <v>2</v>
      </c>
      <c r="F364">
        <v>2</v>
      </c>
      <c r="G364">
        <v>0</v>
      </c>
      <c r="H364">
        <v>2</v>
      </c>
      <c r="I364">
        <v>1</v>
      </c>
      <c r="J364">
        <v>1</v>
      </c>
      <c r="K364">
        <v>1</v>
      </c>
      <c r="L364">
        <v>1</v>
      </c>
      <c r="M364">
        <v>9</v>
      </c>
      <c r="N364">
        <v>1</v>
      </c>
      <c r="O364">
        <v>0</v>
      </c>
      <c r="P364">
        <v>20</v>
      </c>
    </row>
    <row r="365" spans="1:16" x14ac:dyDescent="0.3">
      <c r="A365" s="1">
        <v>44986</v>
      </c>
      <c r="B365" t="s">
        <v>6</v>
      </c>
      <c r="C365" t="str">
        <f>IFERROR(INDEX(자료실범례[],MATCH($B365,자료실범례[소장처명],0),2),"종합자료실")</f>
        <v>종합자료실</v>
      </c>
      <c r="D365" t="s">
        <v>31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</v>
      </c>
      <c r="N365">
        <v>1</v>
      </c>
      <c r="O365">
        <v>0</v>
      </c>
      <c r="P365">
        <v>3</v>
      </c>
    </row>
    <row r="366" spans="1:16" x14ac:dyDescent="0.3">
      <c r="A366" s="1">
        <v>44986</v>
      </c>
      <c r="B366" t="s">
        <v>18</v>
      </c>
      <c r="C366" t="str">
        <f>IFERROR(INDEX(자료실범례[],MATCH($B366,자료실범례[소장처명],0),2),"종합자료실")</f>
        <v>종합자료실</v>
      </c>
      <c r="D366" t="s">
        <v>28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12</v>
      </c>
      <c r="P366">
        <v>12</v>
      </c>
    </row>
    <row r="367" spans="1:16" x14ac:dyDescent="0.3">
      <c r="A367" s="1">
        <v>44986</v>
      </c>
      <c r="B367" t="s">
        <v>18</v>
      </c>
      <c r="C367" t="str">
        <f>IFERROR(INDEX(자료실범례[],MATCH($B367,자료실범례[소장처명],0),2),"종합자료실")</f>
        <v>종합자료실</v>
      </c>
      <c r="D367" t="s">
        <v>25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7</v>
      </c>
      <c r="P367">
        <v>7</v>
      </c>
    </row>
    <row r="368" spans="1:16" x14ac:dyDescent="0.3">
      <c r="A368" s="1">
        <v>44986</v>
      </c>
      <c r="B368" t="s">
        <v>17</v>
      </c>
      <c r="C368" t="str">
        <f>IFERROR(INDEX(자료실범례[],MATCH($B368,자료실범례[소장처명],0),2),"종합자료실")</f>
        <v>어린이자료실</v>
      </c>
      <c r="D368" t="s">
        <v>28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8</v>
      </c>
      <c r="P368">
        <v>8</v>
      </c>
    </row>
    <row r="369" spans="1:16" x14ac:dyDescent="0.3">
      <c r="A369" s="1">
        <v>44986</v>
      </c>
      <c r="B369" t="s">
        <v>17</v>
      </c>
      <c r="C369" t="str">
        <f>IFERROR(INDEX(자료실범례[],MATCH($B369,자료실범례[소장처명],0),2),"종합자료실")</f>
        <v>어린이자료실</v>
      </c>
      <c r="D369" t="s">
        <v>25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8</v>
      </c>
      <c r="P369">
        <v>8</v>
      </c>
    </row>
    <row r="370" spans="1:16" x14ac:dyDescent="0.3">
      <c r="A370" s="1">
        <v>45383</v>
      </c>
      <c r="B370" t="s">
        <v>24</v>
      </c>
      <c r="C370" t="str">
        <f>IFERROR(INDEX(자료실범례[],MATCH($B370,자료실범례[소장처명],0),2),"종합자료실")</f>
        <v>종합자료실</v>
      </c>
      <c r="D370" t="s">
        <v>28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1</v>
      </c>
    </row>
    <row r="371" spans="1:16" x14ac:dyDescent="0.3">
      <c r="A371" s="1">
        <v>45383</v>
      </c>
      <c r="B371" t="s">
        <v>24</v>
      </c>
      <c r="C371" t="str">
        <f>IFERROR(INDEX(자료실범례[],MATCH($B371,자료실범례[소장처명],0),2),"종합자료실")</f>
        <v>종합자료실</v>
      </c>
      <c r="D371" t="s">
        <v>25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1</v>
      </c>
    </row>
    <row r="372" spans="1:16" x14ac:dyDescent="0.3">
      <c r="A372" s="1">
        <v>45383</v>
      </c>
      <c r="B372" t="s">
        <v>21</v>
      </c>
      <c r="C372" t="str">
        <f>IFERROR(INDEX(자료실범례[],MATCH($B372,자료실범례[소장처명],0),2),"종합자료실")</f>
        <v>종합자료실</v>
      </c>
      <c r="D372" t="s">
        <v>28</v>
      </c>
      <c r="E372">
        <v>26</v>
      </c>
      <c r="F372">
        <v>96</v>
      </c>
      <c r="G372">
        <v>22</v>
      </c>
      <c r="H372">
        <v>222</v>
      </c>
      <c r="I372">
        <v>37</v>
      </c>
      <c r="J372">
        <v>116</v>
      </c>
      <c r="K372">
        <v>32</v>
      </c>
      <c r="L372">
        <v>28</v>
      </c>
      <c r="M372">
        <v>430</v>
      </c>
      <c r="N372">
        <v>71</v>
      </c>
      <c r="O372">
        <v>0</v>
      </c>
      <c r="P372">
        <v>1080</v>
      </c>
    </row>
    <row r="373" spans="1:16" x14ac:dyDescent="0.3">
      <c r="A373" s="1">
        <v>45383</v>
      </c>
      <c r="B373" t="s">
        <v>21</v>
      </c>
      <c r="C373" t="str">
        <f>IFERROR(INDEX(자료실범례[],MATCH($B373,자료실범례[소장처명],0),2),"종합자료실")</f>
        <v>종합자료실</v>
      </c>
      <c r="D373" t="s">
        <v>25</v>
      </c>
      <c r="E373">
        <v>33</v>
      </c>
      <c r="F373">
        <v>101</v>
      </c>
      <c r="G373">
        <v>20</v>
      </c>
      <c r="H373">
        <v>199</v>
      </c>
      <c r="I373">
        <v>46</v>
      </c>
      <c r="J373">
        <v>117</v>
      </c>
      <c r="K373">
        <v>40</v>
      </c>
      <c r="L373">
        <v>31</v>
      </c>
      <c r="M373">
        <v>450</v>
      </c>
      <c r="N373">
        <v>54</v>
      </c>
      <c r="O373">
        <v>0</v>
      </c>
      <c r="P373">
        <v>1091</v>
      </c>
    </row>
    <row r="374" spans="1:16" x14ac:dyDescent="0.3">
      <c r="A374" s="1">
        <v>45383</v>
      </c>
      <c r="B374" t="s">
        <v>21</v>
      </c>
      <c r="C374" t="str">
        <f>IFERROR(INDEX(자료실범례[],MATCH($B374,자료실범례[소장처명],0),2),"종합자료실")</f>
        <v>종합자료실</v>
      </c>
      <c r="D374" t="s">
        <v>31</v>
      </c>
      <c r="E374">
        <v>12</v>
      </c>
      <c r="F374">
        <v>37</v>
      </c>
      <c r="G374">
        <v>9</v>
      </c>
      <c r="H374">
        <v>70</v>
      </c>
      <c r="I374">
        <v>16</v>
      </c>
      <c r="J374">
        <v>56</v>
      </c>
      <c r="K374">
        <v>10</v>
      </c>
      <c r="L374">
        <v>8</v>
      </c>
      <c r="M374">
        <v>126</v>
      </c>
      <c r="N374">
        <v>13</v>
      </c>
      <c r="O374">
        <v>0</v>
      </c>
      <c r="P374">
        <v>357</v>
      </c>
    </row>
    <row r="375" spans="1:16" x14ac:dyDescent="0.3">
      <c r="A375" s="1">
        <v>45383</v>
      </c>
      <c r="B375" t="s">
        <v>16</v>
      </c>
      <c r="C375" t="str">
        <f>IFERROR(INDEX(자료실범례[],MATCH($B375,자료실범례[소장처명],0),2),"종합자료실")</f>
        <v>어린이자료실</v>
      </c>
      <c r="D375" t="s">
        <v>28</v>
      </c>
      <c r="E375">
        <v>20</v>
      </c>
      <c r="F375">
        <v>9</v>
      </c>
      <c r="G375">
        <v>4</v>
      </c>
      <c r="H375">
        <v>125</v>
      </c>
      <c r="I375">
        <v>157</v>
      </c>
      <c r="J375">
        <v>48</v>
      </c>
      <c r="K375">
        <v>14</v>
      </c>
      <c r="L375">
        <v>21</v>
      </c>
      <c r="M375">
        <v>621</v>
      </c>
      <c r="N375">
        <v>60</v>
      </c>
      <c r="O375">
        <v>0</v>
      </c>
      <c r="P375">
        <v>1079</v>
      </c>
    </row>
    <row r="376" spans="1:16" x14ac:dyDescent="0.3">
      <c r="A376" s="1">
        <v>45383</v>
      </c>
      <c r="B376" t="s">
        <v>16</v>
      </c>
      <c r="C376" t="str">
        <f>IFERROR(INDEX(자료실범례[],MATCH($B376,자료실범례[소장처명],0),2),"종합자료실")</f>
        <v>어린이자료실</v>
      </c>
      <c r="D376" t="s">
        <v>25</v>
      </c>
      <c r="E376">
        <v>27</v>
      </c>
      <c r="F376">
        <v>5</v>
      </c>
      <c r="G376">
        <v>4</v>
      </c>
      <c r="H376">
        <v>102</v>
      </c>
      <c r="I376">
        <v>150</v>
      </c>
      <c r="J376">
        <v>30</v>
      </c>
      <c r="K376">
        <v>31</v>
      </c>
      <c r="L376">
        <v>14</v>
      </c>
      <c r="M376">
        <v>602</v>
      </c>
      <c r="N376">
        <v>71</v>
      </c>
      <c r="O376">
        <v>2</v>
      </c>
      <c r="P376">
        <v>1038</v>
      </c>
    </row>
    <row r="377" spans="1:16" x14ac:dyDescent="0.3">
      <c r="A377" s="1">
        <v>45383</v>
      </c>
      <c r="B377" t="s">
        <v>16</v>
      </c>
      <c r="C377" t="str">
        <f>IFERROR(INDEX(자료실범례[],MATCH($B377,자료실범례[소장처명],0),2),"종합자료실")</f>
        <v>어린이자료실</v>
      </c>
      <c r="D377" t="s">
        <v>31</v>
      </c>
      <c r="E377">
        <v>7</v>
      </c>
      <c r="F377">
        <v>0</v>
      </c>
      <c r="G377">
        <v>2</v>
      </c>
      <c r="H377">
        <v>38</v>
      </c>
      <c r="I377">
        <v>13</v>
      </c>
      <c r="J377">
        <v>12</v>
      </c>
      <c r="K377">
        <v>4</v>
      </c>
      <c r="L377">
        <v>6</v>
      </c>
      <c r="M377">
        <v>149</v>
      </c>
      <c r="N377">
        <v>18</v>
      </c>
      <c r="O377">
        <v>0</v>
      </c>
      <c r="P377">
        <v>249</v>
      </c>
    </row>
    <row r="378" spans="1:16" x14ac:dyDescent="0.3">
      <c r="A378" s="1">
        <v>45383</v>
      </c>
      <c r="B378" t="s">
        <v>2</v>
      </c>
      <c r="C378" t="str">
        <f>IFERROR(INDEX(자료실범례[],MATCH($B378,자료실범례[소장처명],0),2),"종합자료실")</f>
        <v>디지털자료실</v>
      </c>
      <c r="D378" t="s">
        <v>28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7</v>
      </c>
      <c r="L378">
        <v>0</v>
      </c>
      <c r="M378">
        <v>0</v>
      </c>
      <c r="N378">
        <v>0</v>
      </c>
      <c r="O378">
        <v>0</v>
      </c>
      <c r="P378">
        <v>7</v>
      </c>
    </row>
    <row r="379" spans="1:16" x14ac:dyDescent="0.3">
      <c r="A379" s="1">
        <v>45383</v>
      </c>
      <c r="B379" t="s">
        <v>2</v>
      </c>
      <c r="C379" t="str">
        <f>IFERROR(INDEX(자료실범례[],MATCH($B379,자료실범례[소장처명],0),2),"종합자료실")</f>
        <v>디지털자료실</v>
      </c>
      <c r="D379" t="s">
        <v>25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6</v>
      </c>
      <c r="L379">
        <v>0</v>
      </c>
      <c r="M379">
        <v>0</v>
      </c>
      <c r="N379">
        <v>0</v>
      </c>
      <c r="O379">
        <v>0</v>
      </c>
      <c r="P379">
        <v>6</v>
      </c>
    </row>
    <row r="380" spans="1:16" x14ac:dyDescent="0.3">
      <c r="A380" s="1">
        <v>45383</v>
      </c>
      <c r="B380" t="s">
        <v>19</v>
      </c>
      <c r="C380" t="str">
        <f>IFERROR(INDEX(자료실범례[],MATCH($B380,자료실범례[소장처명],0),2),"종합자료실")</f>
        <v>종합자료실</v>
      </c>
      <c r="D380" t="s">
        <v>28</v>
      </c>
      <c r="E380">
        <v>19</v>
      </c>
      <c r="F380">
        <v>66</v>
      </c>
      <c r="G380">
        <v>7</v>
      </c>
      <c r="H380">
        <v>68</v>
      </c>
      <c r="I380">
        <v>12</v>
      </c>
      <c r="J380">
        <v>50</v>
      </c>
      <c r="K380">
        <v>17</v>
      </c>
      <c r="L380">
        <v>8</v>
      </c>
      <c r="M380">
        <v>155</v>
      </c>
      <c r="N380">
        <v>8</v>
      </c>
      <c r="O380">
        <v>0</v>
      </c>
      <c r="P380">
        <v>410</v>
      </c>
    </row>
    <row r="381" spans="1:16" x14ac:dyDescent="0.3">
      <c r="A381" s="1">
        <v>45383</v>
      </c>
      <c r="B381" t="s">
        <v>19</v>
      </c>
      <c r="C381" t="str">
        <f>IFERROR(INDEX(자료실범례[],MATCH($B381,자료실범례[소장처명],0),2),"종합자료실")</f>
        <v>종합자료실</v>
      </c>
      <c r="D381" t="s">
        <v>25</v>
      </c>
      <c r="E381">
        <v>13</v>
      </c>
      <c r="F381">
        <v>64</v>
      </c>
      <c r="G381">
        <v>5</v>
      </c>
      <c r="H381">
        <v>66</v>
      </c>
      <c r="I381">
        <v>11</v>
      </c>
      <c r="J381">
        <v>45</v>
      </c>
      <c r="K381">
        <v>13</v>
      </c>
      <c r="L381">
        <v>4</v>
      </c>
      <c r="M381">
        <v>158</v>
      </c>
      <c r="N381">
        <v>10</v>
      </c>
      <c r="O381">
        <v>0</v>
      </c>
      <c r="P381">
        <v>389</v>
      </c>
    </row>
    <row r="382" spans="1:16" x14ac:dyDescent="0.3">
      <c r="A382" s="1">
        <v>45383</v>
      </c>
      <c r="B382" t="s">
        <v>19</v>
      </c>
      <c r="C382" t="str">
        <f>IFERROR(INDEX(자료실범례[],MATCH($B382,자료실범례[소장처명],0),2),"종합자료실")</f>
        <v>종합자료실</v>
      </c>
      <c r="D382" t="s">
        <v>31</v>
      </c>
      <c r="E382">
        <v>12</v>
      </c>
      <c r="F382">
        <v>31</v>
      </c>
      <c r="G382">
        <v>3</v>
      </c>
      <c r="H382">
        <v>41</v>
      </c>
      <c r="I382">
        <v>9</v>
      </c>
      <c r="J382">
        <v>33</v>
      </c>
      <c r="K382">
        <v>7</v>
      </c>
      <c r="L382">
        <v>7</v>
      </c>
      <c r="M382">
        <v>85</v>
      </c>
      <c r="N382">
        <v>5</v>
      </c>
      <c r="O382">
        <v>0</v>
      </c>
      <c r="P382">
        <v>233</v>
      </c>
    </row>
    <row r="383" spans="1:16" x14ac:dyDescent="0.3">
      <c r="A383" s="1">
        <v>45383</v>
      </c>
      <c r="B383" t="s">
        <v>14</v>
      </c>
      <c r="C383" t="str">
        <f>IFERROR(INDEX(자료실범례[],MATCH($B383,자료실범례[소장처명],0),2),"종합자료실")</f>
        <v>어린이자료실</v>
      </c>
      <c r="D383" t="s">
        <v>28</v>
      </c>
      <c r="E383">
        <v>1</v>
      </c>
      <c r="F383">
        <v>7</v>
      </c>
      <c r="G383">
        <v>25</v>
      </c>
      <c r="H383">
        <v>11</v>
      </c>
      <c r="I383">
        <v>46</v>
      </c>
      <c r="J383">
        <v>14</v>
      </c>
      <c r="K383">
        <v>9</v>
      </c>
      <c r="L383">
        <v>2</v>
      </c>
      <c r="M383">
        <v>238</v>
      </c>
      <c r="N383">
        <v>49</v>
      </c>
      <c r="O383">
        <v>0</v>
      </c>
      <c r="P383">
        <v>402</v>
      </c>
    </row>
    <row r="384" spans="1:16" x14ac:dyDescent="0.3">
      <c r="A384" s="1">
        <v>45383</v>
      </c>
      <c r="B384" t="s">
        <v>14</v>
      </c>
      <c r="C384" t="str">
        <f>IFERROR(INDEX(자료실범례[],MATCH($B384,자료실범례[소장처명],0),2),"종합자료실")</f>
        <v>어린이자료실</v>
      </c>
      <c r="D384" t="s">
        <v>25</v>
      </c>
      <c r="E384">
        <v>2</v>
      </c>
      <c r="F384">
        <v>5</v>
      </c>
      <c r="G384">
        <v>22</v>
      </c>
      <c r="H384">
        <v>13</v>
      </c>
      <c r="I384">
        <v>32</v>
      </c>
      <c r="J384">
        <v>12</v>
      </c>
      <c r="K384">
        <v>8</v>
      </c>
      <c r="L384">
        <v>3</v>
      </c>
      <c r="M384">
        <v>229</v>
      </c>
      <c r="N384">
        <v>60</v>
      </c>
      <c r="O384">
        <v>0</v>
      </c>
      <c r="P384">
        <v>386</v>
      </c>
    </row>
    <row r="385" spans="1:16" x14ac:dyDescent="0.3">
      <c r="A385" s="1">
        <v>45383</v>
      </c>
      <c r="B385" t="s">
        <v>14</v>
      </c>
      <c r="C385" t="str">
        <f>IFERROR(INDEX(자료실범례[],MATCH($B385,자료실범례[소장처명],0),2),"종합자료실")</f>
        <v>어린이자료실</v>
      </c>
      <c r="D385" t="s">
        <v>31</v>
      </c>
      <c r="E385">
        <v>0</v>
      </c>
      <c r="F385">
        <v>3</v>
      </c>
      <c r="G385">
        <v>7</v>
      </c>
      <c r="H385">
        <v>1</v>
      </c>
      <c r="I385">
        <v>8</v>
      </c>
      <c r="J385">
        <v>5</v>
      </c>
      <c r="K385">
        <v>3</v>
      </c>
      <c r="L385">
        <v>0</v>
      </c>
      <c r="M385">
        <v>86</v>
      </c>
      <c r="N385">
        <v>21</v>
      </c>
      <c r="O385">
        <v>0</v>
      </c>
      <c r="P385">
        <v>134</v>
      </c>
    </row>
    <row r="386" spans="1:16" x14ac:dyDescent="0.3">
      <c r="A386" s="1">
        <v>45383</v>
      </c>
      <c r="B386" t="s">
        <v>197</v>
      </c>
      <c r="C386" t="str">
        <f>IFERROR(INDEX(자료실범례[],MATCH($B386,자료실범례[소장처명],0),2),"종합자료실")</f>
        <v>종합자료실</v>
      </c>
      <c r="D386" t="s">
        <v>28</v>
      </c>
      <c r="E386">
        <v>0</v>
      </c>
      <c r="F386">
        <v>1</v>
      </c>
      <c r="G386">
        <v>0</v>
      </c>
      <c r="H386">
        <v>3</v>
      </c>
      <c r="I386">
        <v>2</v>
      </c>
      <c r="J386">
        <v>3</v>
      </c>
      <c r="K386">
        <v>0</v>
      </c>
      <c r="L386">
        <v>0</v>
      </c>
      <c r="M386">
        <v>9</v>
      </c>
      <c r="N386">
        <v>0</v>
      </c>
      <c r="O386">
        <v>0</v>
      </c>
      <c r="P386">
        <v>18</v>
      </c>
    </row>
    <row r="387" spans="1:16" x14ac:dyDescent="0.3">
      <c r="A387" s="1">
        <v>45383</v>
      </c>
      <c r="B387" t="s">
        <v>197</v>
      </c>
      <c r="C387" t="str">
        <f>IFERROR(INDEX(자료실범례[],MATCH($B387,자료실범례[소장처명],0),2),"종합자료실")</f>
        <v>종합자료실</v>
      </c>
      <c r="D387" t="s">
        <v>25</v>
      </c>
      <c r="E387">
        <v>0</v>
      </c>
      <c r="F387">
        <v>3</v>
      </c>
      <c r="G387">
        <v>0</v>
      </c>
      <c r="H387">
        <v>6</v>
      </c>
      <c r="I387">
        <v>5</v>
      </c>
      <c r="J387">
        <v>4</v>
      </c>
      <c r="K387">
        <v>0</v>
      </c>
      <c r="L387">
        <v>0</v>
      </c>
      <c r="M387">
        <v>16</v>
      </c>
      <c r="N387">
        <v>1</v>
      </c>
      <c r="O387">
        <v>0</v>
      </c>
      <c r="P387">
        <v>35</v>
      </c>
    </row>
    <row r="388" spans="1:16" x14ac:dyDescent="0.3">
      <c r="A388" s="1">
        <v>45383</v>
      </c>
      <c r="B388" t="s">
        <v>197</v>
      </c>
      <c r="C388" t="str">
        <f>IFERROR(INDEX(자료실범례[],MATCH($B388,자료실범례[소장처명],0),2),"종합자료실")</f>
        <v>종합자료실</v>
      </c>
      <c r="D388" t="s">
        <v>31</v>
      </c>
      <c r="E388">
        <v>0</v>
      </c>
      <c r="F388">
        <v>0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7</v>
      </c>
      <c r="N388">
        <v>0</v>
      </c>
      <c r="O388">
        <v>0</v>
      </c>
      <c r="P388">
        <v>9</v>
      </c>
    </row>
    <row r="389" spans="1:16" x14ac:dyDescent="0.3">
      <c r="A389" s="1">
        <v>45383</v>
      </c>
      <c r="B389" t="s">
        <v>198</v>
      </c>
      <c r="C389" t="str">
        <f>IFERROR(INDEX(자료실범례[],MATCH($B389,자료실범례[소장처명],0),2),"종합자료실")</f>
        <v>어린이자료실</v>
      </c>
      <c r="D389" t="s">
        <v>28</v>
      </c>
      <c r="E389">
        <v>0</v>
      </c>
      <c r="F389">
        <v>0</v>
      </c>
      <c r="G389">
        <v>0</v>
      </c>
      <c r="H389">
        <v>4</v>
      </c>
      <c r="I389">
        <v>0</v>
      </c>
      <c r="J389">
        <v>2</v>
      </c>
      <c r="K389">
        <v>1</v>
      </c>
      <c r="L389">
        <v>0</v>
      </c>
      <c r="M389">
        <v>24</v>
      </c>
      <c r="N389">
        <v>0</v>
      </c>
      <c r="O389">
        <v>0</v>
      </c>
      <c r="P389">
        <v>31</v>
      </c>
    </row>
    <row r="390" spans="1:16" x14ac:dyDescent="0.3">
      <c r="A390" s="1">
        <v>45383</v>
      </c>
      <c r="B390" t="s">
        <v>198</v>
      </c>
      <c r="C390" t="str">
        <f>IFERROR(INDEX(자료실범례[],MATCH($B390,자료실범례[소장처명],0),2),"종합자료실")</f>
        <v>어린이자료실</v>
      </c>
      <c r="D390" t="s">
        <v>25</v>
      </c>
      <c r="E390">
        <v>0</v>
      </c>
      <c r="F390">
        <v>0</v>
      </c>
      <c r="G390">
        <v>0</v>
      </c>
      <c r="H390">
        <v>5</v>
      </c>
      <c r="I390">
        <v>0</v>
      </c>
      <c r="J390">
        <v>4</v>
      </c>
      <c r="K390">
        <v>5</v>
      </c>
      <c r="L390">
        <v>0</v>
      </c>
      <c r="M390">
        <v>32</v>
      </c>
      <c r="N390">
        <v>1</v>
      </c>
      <c r="O390">
        <v>0</v>
      </c>
      <c r="P390">
        <v>47</v>
      </c>
    </row>
    <row r="391" spans="1:16" x14ac:dyDescent="0.3">
      <c r="A391" s="1">
        <v>45383</v>
      </c>
      <c r="B391" t="s">
        <v>198</v>
      </c>
      <c r="C391" t="str">
        <f>IFERROR(INDEX(자료실범례[],MATCH($B391,자료실범례[소장처명],0),2),"종합자료실")</f>
        <v>어린이자료실</v>
      </c>
      <c r="D391" t="s">
        <v>31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2</v>
      </c>
      <c r="K391">
        <v>0</v>
      </c>
      <c r="L391">
        <v>0</v>
      </c>
      <c r="M391">
        <v>12</v>
      </c>
      <c r="N391">
        <v>0</v>
      </c>
      <c r="O391">
        <v>0</v>
      </c>
      <c r="P391">
        <v>14</v>
      </c>
    </row>
    <row r="392" spans="1:16" x14ac:dyDescent="0.3">
      <c r="A392" s="1">
        <v>45383</v>
      </c>
      <c r="B392" t="s">
        <v>13</v>
      </c>
      <c r="C392" t="str">
        <f>IFERROR(INDEX(자료실범례[],MATCH($B392,자료실범례[소장처명],0),2),"종합자료실")</f>
        <v>어린이자료실</v>
      </c>
      <c r="D392" t="s">
        <v>28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11</v>
      </c>
      <c r="N392">
        <v>0</v>
      </c>
      <c r="O392">
        <v>0</v>
      </c>
      <c r="P392">
        <v>11</v>
      </c>
    </row>
    <row r="393" spans="1:16" x14ac:dyDescent="0.3">
      <c r="A393" s="1">
        <v>45383</v>
      </c>
      <c r="B393" t="s">
        <v>13</v>
      </c>
      <c r="C393" t="str">
        <f>IFERROR(INDEX(자료실범례[],MATCH($B393,자료실범례[소장처명],0),2),"종합자료실")</f>
        <v>어린이자료실</v>
      </c>
      <c r="D393" t="s">
        <v>25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5</v>
      </c>
      <c r="N393">
        <v>0</v>
      </c>
      <c r="O393">
        <v>0</v>
      </c>
      <c r="P393">
        <v>5</v>
      </c>
    </row>
    <row r="394" spans="1:16" x14ac:dyDescent="0.3">
      <c r="A394" s="1">
        <v>45383</v>
      </c>
      <c r="B394" t="s">
        <v>13</v>
      </c>
      <c r="C394" t="str">
        <f>IFERROR(INDEX(자료실범례[],MATCH($B394,자료실범례[소장처명],0),2),"종합자료실")</f>
        <v>어린이자료실</v>
      </c>
      <c r="D394" t="s">
        <v>31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7</v>
      </c>
      <c r="N394">
        <v>0</v>
      </c>
      <c r="O394">
        <v>0</v>
      </c>
      <c r="P394">
        <v>7</v>
      </c>
    </row>
    <row r="395" spans="1:16" x14ac:dyDescent="0.3">
      <c r="A395" s="1">
        <v>45383</v>
      </c>
      <c r="B395" t="s">
        <v>15</v>
      </c>
      <c r="C395" t="str">
        <f>IFERROR(INDEX(자료실범례[],MATCH($B395,자료실범례[소장처명],0),2),"종합자료실")</f>
        <v>어린이자료실</v>
      </c>
      <c r="D395" t="s">
        <v>28</v>
      </c>
      <c r="E395">
        <v>1</v>
      </c>
      <c r="F395">
        <v>2</v>
      </c>
      <c r="G395">
        <v>13</v>
      </c>
      <c r="H395">
        <v>1</v>
      </c>
      <c r="I395">
        <v>153</v>
      </c>
      <c r="J395">
        <v>82</v>
      </c>
      <c r="K395">
        <v>4</v>
      </c>
      <c r="L395">
        <v>43</v>
      </c>
      <c r="M395">
        <v>26</v>
      </c>
      <c r="N395">
        <v>102</v>
      </c>
      <c r="O395">
        <v>0</v>
      </c>
      <c r="P395">
        <v>427</v>
      </c>
    </row>
    <row r="396" spans="1:16" x14ac:dyDescent="0.3">
      <c r="A396" s="1">
        <v>45383</v>
      </c>
      <c r="B396" t="s">
        <v>15</v>
      </c>
      <c r="C396" t="str">
        <f>IFERROR(INDEX(자료실범례[],MATCH($B396,자료실범례[소장처명],0),2),"종합자료실")</f>
        <v>어린이자료실</v>
      </c>
      <c r="D396" t="s">
        <v>25</v>
      </c>
      <c r="E396">
        <v>1</v>
      </c>
      <c r="F396">
        <v>2</v>
      </c>
      <c r="G396">
        <v>8</v>
      </c>
      <c r="H396">
        <v>0</v>
      </c>
      <c r="I396">
        <v>111</v>
      </c>
      <c r="J396">
        <v>73</v>
      </c>
      <c r="K396">
        <v>6</v>
      </c>
      <c r="L396">
        <v>64</v>
      </c>
      <c r="M396">
        <v>21</v>
      </c>
      <c r="N396">
        <v>117</v>
      </c>
      <c r="O396">
        <v>0</v>
      </c>
      <c r="P396">
        <v>403</v>
      </c>
    </row>
    <row r="397" spans="1:16" x14ac:dyDescent="0.3">
      <c r="A397" s="1">
        <v>45383</v>
      </c>
      <c r="B397" t="s">
        <v>15</v>
      </c>
      <c r="C397" t="str">
        <f>IFERROR(INDEX(자료실범례[],MATCH($B397,자료실범례[소장처명],0),2),"종합자료실")</f>
        <v>어린이자료실</v>
      </c>
      <c r="D397" t="s">
        <v>31</v>
      </c>
      <c r="E397">
        <v>0</v>
      </c>
      <c r="F397">
        <v>0</v>
      </c>
      <c r="G397">
        <v>4</v>
      </c>
      <c r="H397">
        <v>0</v>
      </c>
      <c r="I397">
        <v>10</v>
      </c>
      <c r="J397">
        <v>29</v>
      </c>
      <c r="K397">
        <v>0</v>
      </c>
      <c r="L397">
        <v>2</v>
      </c>
      <c r="M397">
        <v>15</v>
      </c>
      <c r="N397">
        <v>13</v>
      </c>
      <c r="O397">
        <v>0</v>
      </c>
      <c r="P397">
        <v>73</v>
      </c>
    </row>
    <row r="398" spans="1:16" x14ac:dyDescent="0.3">
      <c r="A398" s="1">
        <v>45383</v>
      </c>
      <c r="B398" t="s">
        <v>20</v>
      </c>
      <c r="C398" t="str">
        <f>IFERROR(INDEX(자료실범례[],MATCH($B398,자료실범례[소장처명],0),2),"종합자료실")</f>
        <v>종합자료실</v>
      </c>
      <c r="D398" t="s">
        <v>28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</row>
    <row r="399" spans="1:16" x14ac:dyDescent="0.3">
      <c r="A399" s="1">
        <v>45383</v>
      </c>
      <c r="B399" t="s">
        <v>20</v>
      </c>
      <c r="C399" t="str">
        <f>IFERROR(INDEX(자료실범례[],MATCH($B399,자료실범례[소장처명],0),2),"종합자료실")</f>
        <v>종합자료실</v>
      </c>
      <c r="D399" t="s">
        <v>25</v>
      </c>
      <c r="E399">
        <v>0</v>
      </c>
      <c r="F399">
        <v>0</v>
      </c>
      <c r="G399">
        <v>0</v>
      </c>
      <c r="H399">
        <v>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</v>
      </c>
    </row>
    <row r="400" spans="1:16" x14ac:dyDescent="0.3">
      <c r="A400" s="1">
        <v>45383</v>
      </c>
      <c r="B400" t="s">
        <v>3</v>
      </c>
      <c r="C400" t="str">
        <f>IFERROR(INDEX(자료실범례[],MATCH($B400,자료실범례[소장처명],0),2),"종합자료실")</f>
        <v>디지털자료실</v>
      </c>
      <c r="D400" t="s">
        <v>28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1</v>
      </c>
    </row>
    <row r="401" spans="1:16" x14ac:dyDescent="0.3">
      <c r="A401" s="1">
        <v>45383</v>
      </c>
      <c r="B401" t="s">
        <v>3</v>
      </c>
      <c r="C401" t="str">
        <f>IFERROR(INDEX(자료실범례[],MATCH($B401,자료실범례[소장처명],0),2),"종합자료실")</f>
        <v>디지털자료실</v>
      </c>
      <c r="D401" t="s">
        <v>25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</v>
      </c>
      <c r="L401">
        <v>0</v>
      </c>
      <c r="M401">
        <v>0</v>
      </c>
      <c r="N401">
        <v>0</v>
      </c>
      <c r="O401">
        <v>0</v>
      </c>
      <c r="P401">
        <v>2</v>
      </c>
    </row>
    <row r="402" spans="1:16" x14ac:dyDescent="0.3">
      <c r="A402" s="1">
        <v>45383</v>
      </c>
      <c r="B402" t="s">
        <v>4</v>
      </c>
      <c r="C402" t="str">
        <f>IFERROR(INDEX(자료실범례[],MATCH($B402,자료실범례[소장처명],0),2),"종합자료실")</f>
        <v>어린이자료실</v>
      </c>
      <c r="D402" t="s">
        <v>28</v>
      </c>
      <c r="E402">
        <v>0</v>
      </c>
      <c r="F402">
        <v>4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</v>
      </c>
      <c r="N402">
        <v>1</v>
      </c>
      <c r="O402">
        <v>0</v>
      </c>
      <c r="P402">
        <v>7</v>
      </c>
    </row>
    <row r="403" spans="1:16" x14ac:dyDescent="0.3">
      <c r="A403" s="1">
        <v>45383</v>
      </c>
      <c r="B403" t="s">
        <v>4</v>
      </c>
      <c r="C403" t="str">
        <f>IFERROR(INDEX(자료실범례[],MATCH($B403,자료실범례[소장처명],0),2),"종합자료실")</f>
        <v>어린이자료실</v>
      </c>
      <c r="D403" t="s">
        <v>25</v>
      </c>
      <c r="E403">
        <v>0</v>
      </c>
      <c r="F403">
        <v>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3</v>
      </c>
      <c r="O403">
        <v>0</v>
      </c>
      <c r="P403">
        <v>6</v>
      </c>
    </row>
    <row r="404" spans="1:16" x14ac:dyDescent="0.3">
      <c r="A404" s="1">
        <v>45383</v>
      </c>
      <c r="B404" t="s">
        <v>4</v>
      </c>
      <c r="C404" t="str">
        <f>IFERROR(INDEX(자료실범례[],MATCH($B404,자료실범례[소장처명],0),2),"종합자료실")</f>
        <v>어린이자료실</v>
      </c>
      <c r="D404" t="s">
        <v>31</v>
      </c>
      <c r="E404">
        <v>0</v>
      </c>
      <c r="F404">
        <v>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2</v>
      </c>
      <c r="N404">
        <v>2</v>
      </c>
      <c r="O404">
        <v>0</v>
      </c>
      <c r="P404">
        <v>6</v>
      </c>
    </row>
    <row r="405" spans="1:16" x14ac:dyDescent="0.3">
      <c r="A405" s="1">
        <v>45383</v>
      </c>
      <c r="B405" t="s">
        <v>5</v>
      </c>
      <c r="C405" t="str">
        <f>IFERROR(INDEX(자료실범례[],MATCH($B405,자료실범례[소장처명],0),2),"종합자료실")</f>
        <v>종합자료실</v>
      </c>
      <c r="D405" t="s">
        <v>28</v>
      </c>
      <c r="E405">
        <v>0</v>
      </c>
      <c r="F405">
        <v>6</v>
      </c>
      <c r="G405">
        <v>1</v>
      </c>
      <c r="H405">
        <v>4</v>
      </c>
      <c r="I405">
        <v>3</v>
      </c>
      <c r="J405">
        <v>3</v>
      </c>
      <c r="K405">
        <v>0</v>
      </c>
      <c r="L405">
        <v>0</v>
      </c>
      <c r="M405">
        <v>4</v>
      </c>
      <c r="N405">
        <v>0</v>
      </c>
      <c r="O405">
        <v>0</v>
      </c>
      <c r="P405">
        <v>21</v>
      </c>
    </row>
    <row r="406" spans="1:16" x14ac:dyDescent="0.3">
      <c r="A406" s="1">
        <v>45383</v>
      </c>
      <c r="B406" t="s">
        <v>5</v>
      </c>
      <c r="C406" t="str">
        <f>IFERROR(INDEX(자료실범례[],MATCH($B406,자료실범례[소장처명],0),2),"종합자료실")</f>
        <v>종합자료실</v>
      </c>
      <c r="D406" t="s">
        <v>25</v>
      </c>
      <c r="E406">
        <v>0</v>
      </c>
      <c r="F406">
        <v>5</v>
      </c>
      <c r="G406">
        <v>0</v>
      </c>
      <c r="H406">
        <v>10</v>
      </c>
      <c r="I406">
        <v>3</v>
      </c>
      <c r="J406">
        <v>2</v>
      </c>
      <c r="K406">
        <v>0</v>
      </c>
      <c r="L406">
        <v>0</v>
      </c>
      <c r="M406">
        <v>5</v>
      </c>
      <c r="N406">
        <v>0</v>
      </c>
      <c r="O406">
        <v>0</v>
      </c>
      <c r="P406">
        <v>25</v>
      </c>
    </row>
    <row r="407" spans="1:16" x14ac:dyDescent="0.3">
      <c r="A407" s="1">
        <v>45383</v>
      </c>
      <c r="B407" t="s">
        <v>5</v>
      </c>
      <c r="C407" t="str">
        <f>IFERROR(INDEX(자료실범례[],MATCH($B407,자료실범례[소장처명],0),2),"종합자료실")</f>
        <v>종합자료실</v>
      </c>
      <c r="D407" t="s">
        <v>31</v>
      </c>
      <c r="E407">
        <v>0</v>
      </c>
      <c r="F407">
        <v>1</v>
      </c>
      <c r="G407">
        <v>0</v>
      </c>
      <c r="H407">
        <v>1</v>
      </c>
      <c r="I407">
        <v>1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4</v>
      </c>
    </row>
    <row r="408" spans="1:16" x14ac:dyDescent="0.3">
      <c r="A408" s="1">
        <v>45383</v>
      </c>
      <c r="B408" t="s">
        <v>7</v>
      </c>
      <c r="C408" t="str">
        <f>IFERROR(INDEX(자료실범례[],MATCH($B408,자료실범례[소장처명],0),2),"종합자료실")</f>
        <v>어린이자료실</v>
      </c>
      <c r="D408" t="s">
        <v>28</v>
      </c>
      <c r="E408">
        <v>1</v>
      </c>
      <c r="F408">
        <v>2</v>
      </c>
      <c r="G408">
        <v>0</v>
      </c>
      <c r="H408">
        <v>11</v>
      </c>
      <c r="I408">
        <v>0</v>
      </c>
      <c r="J408">
        <v>4</v>
      </c>
      <c r="K408">
        <v>0</v>
      </c>
      <c r="L408">
        <v>1</v>
      </c>
      <c r="M408">
        <v>45</v>
      </c>
      <c r="N408">
        <v>2</v>
      </c>
      <c r="O408">
        <v>0</v>
      </c>
      <c r="P408">
        <v>66</v>
      </c>
    </row>
    <row r="409" spans="1:16" x14ac:dyDescent="0.3">
      <c r="A409" s="1">
        <v>45383</v>
      </c>
      <c r="B409" t="s">
        <v>7</v>
      </c>
      <c r="C409" t="str">
        <f>IFERROR(INDEX(자료실범례[],MATCH($B409,자료실범례[소장처명],0),2),"종합자료실")</f>
        <v>어린이자료실</v>
      </c>
      <c r="D409" t="s">
        <v>25</v>
      </c>
      <c r="E409">
        <v>1</v>
      </c>
      <c r="F409">
        <v>1</v>
      </c>
      <c r="G409">
        <v>0</v>
      </c>
      <c r="H409">
        <v>9</v>
      </c>
      <c r="I409">
        <v>0</v>
      </c>
      <c r="J409">
        <v>3</v>
      </c>
      <c r="K409">
        <v>0</v>
      </c>
      <c r="L409">
        <v>0</v>
      </c>
      <c r="M409">
        <v>73</v>
      </c>
      <c r="N409">
        <v>3</v>
      </c>
      <c r="O409">
        <v>0</v>
      </c>
      <c r="P409">
        <v>90</v>
      </c>
    </row>
    <row r="410" spans="1:16" x14ac:dyDescent="0.3">
      <c r="A410" s="1">
        <v>45383</v>
      </c>
      <c r="B410" t="s">
        <v>7</v>
      </c>
      <c r="C410" t="str">
        <f>IFERROR(INDEX(자료실범례[],MATCH($B410,자료실범례[소장처명],0),2),"종합자료실")</f>
        <v>어린이자료실</v>
      </c>
      <c r="D410" t="s">
        <v>31</v>
      </c>
      <c r="E410">
        <v>0</v>
      </c>
      <c r="F410">
        <v>1</v>
      </c>
      <c r="G410">
        <v>0</v>
      </c>
      <c r="H410">
        <v>3</v>
      </c>
      <c r="I410">
        <v>0</v>
      </c>
      <c r="J410">
        <v>0</v>
      </c>
      <c r="K410">
        <v>0</v>
      </c>
      <c r="L410">
        <v>0</v>
      </c>
      <c r="M410">
        <v>21</v>
      </c>
      <c r="N410">
        <v>0</v>
      </c>
      <c r="O410">
        <v>0</v>
      </c>
      <c r="P410">
        <v>25</v>
      </c>
    </row>
    <row r="411" spans="1:16" x14ac:dyDescent="0.3">
      <c r="A411" s="1">
        <v>45383</v>
      </c>
      <c r="B411" t="s">
        <v>8</v>
      </c>
      <c r="C411" t="str">
        <f>IFERROR(INDEX(자료실범례[],MATCH($B411,자료실범례[소장처명],0),2),"종합자료실")</f>
        <v>어린이자료실</v>
      </c>
      <c r="D411" t="s">
        <v>28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55</v>
      </c>
      <c r="N411">
        <v>0</v>
      </c>
      <c r="O411">
        <v>0</v>
      </c>
      <c r="P411">
        <v>55</v>
      </c>
    </row>
    <row r="412" spans="1:16" x14ac:dyDescent="0.3">
      <c r="A412" s="1">
        <v>45383</v>
      </c>
      <c r="B412" t="s">
        <v>8</v>
      </c>
      <c r="C412" t="str">
        <f>IFERROR(INDEX(자료실범례[],MATCH($B412,자료실범례[소장처명],0),2),"종합자료실")</f>
        <v>어린이자료실</v>
      </c>
      <c r="D412" t="s">
        <v>25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59</v>
      </c>
      <c r="N412">
        <v>0</v>
      </c>
      <c r="O412">
        <v>0</v>
      </c>
      <c r="P412">
        <v>60</v>
      </c>
    </row>
    <row r="413" spans="1:16" x14ac:dyDescent="0.3">
      <c r="A413" s="1">
        <v>45383</v>
      </c>
      <c r="B413" t="s">
        <v>8</v>
      </c>
      <c r="C413" t="str">
        <f>IFERROR(INDEX(자료실범례[],MATCH($B413,자료실범례[소장처명],0),2),"종합자료실")</f>
        <v>어린이자료실</v>
      </c>
      <c r="D413" t="s">
        <v>31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11</v>
      </c>
      <c r="N413">
        <v>0</v>
      </c>
      <c r="O413">
        <v>0</v>
      </c>
      <c r="P413">
        <v>11</v>
      </c>
    </row>
    <row r="414" spans="1:16" x14ac:dyDescent="0.3">
      <c r="A414" s="1">
        <v>45383</v>
      </c>
      <c r="B414" t="s">
        <v>9</v>
      </c>
      <c r="C414" t="str">
        <f>IFERROR(INDEX(자료실범례[],MATCH($B414,자료실범례[소장처명],0),2),"종합자료실")</f>
        <v>어린이자료실</v>
      </c>
      <c r="D414" t="s">
        <v>28</v>
      </c>
      <c r="E414">
        <v>0</v>
      </c>
      <c r="F414">
        <v>1</v>
      </c>
      <c r="G414">
        <v>0</v>
      </c>
      <c r="H414">
        <v>2</v>
      </c>
      <c r="I414">
        <v>0</v>
      </c>
      <c r="J414">
        <v>0</v>
      </c>
      <c r="K414">
        <v>0</v>
      </c>
      <c r="L414">
        <v>0</v>
      </c>
      <c r="M414">
        <v>9</v>
      </c>
      <c r="N414">
        <v>0</v>
      </c>
      <c r="O414">
        <v>0</v>
      </c>
      <c r="P414">
        <v>12</v>
      </c>
    </row>
    <row r="415" spans="1:16" x14ac:dyDescent="0.3">
      <c r="A415" s="1">
        <v>45383</v>
      </c>
      <c r="B415" t="s">
        <v>9</v>
      </c>
      <c r="C415" t="str">
        <f>IFERROR(INDEX(자료실범례[],MATCH($B415,자료실범례[소장처명],0),2),"종합자료실")</f>
        <v>어린이자료실</v>
      </c>
      <c r="D415" t="s">
        <v>25</v>
      </c>
      <c r="E415">
        <v>0</v>
      </c>
      <c r="F415">
        <v>0</v>
      </c>
      <c r="G415">
        <v>0</v>
      </c>
      <c r="H415">
        <v>5</v>
      </c>
      <c r="I415">
        <v>0</v>
      </c>
      <c r="J415">
        <v>0</v>
      </c>
      <c r="K415">
        <v>0</v>
      </c>
      <c r="L415">
        <v>0</v>
      </c>
      <c r="M415">
        <v>5</v>
      </c>
      <c r="N415">
        <v>0</v>
      </c>
      <c r="O415">
        <v>0</v>
      </c>
      <c r="P415">
        <v>10</v>
      </c>
    </row>
    <row r="416" spans="1:16" x14ac:dyDescent="0.3">
      <c r="A416" s="1">
        <v>45383</v>
      </c>
      <c r="B416" t="s">
        <v>10</v>
      </c>
      <c r="C416" t="str">
        <f>IFERROR(INDEX(자료실범례[],MATCH($B416,자료실범례[소장처명],0),2),"종합자료실")</f>
        <v>어린이자료실</v>
      </c>
      <c r="D416" t="s">
        <v>28</v>
      </c>
      <c r="E416">
        <v>0</v>
      </c>
      <c r="F416">
        <v>0</v>
      </c>
      <c r="G416">
        <v>0</v>
      </c>
      <c r="H416">
        <v>1</v>
      </c>
      <c r="I416">
        <v>1</v>
      </c>
      <c r="J416">
        <v>1</v>
      </c>
      <c r="K416">
        <v>0</v>
      </c>
      <c r="L416">
        <v>1</v>
      </c>
      <c r="M416">
        <v>33</v>
      </c>
      <c r="N416">
        <v>5</v>
      </c>
      <c r="O416">
        <v>0</v>
      </c>
      <c r="P416">
        <v>42</v>
      </c>
    </row>
    <row r="417" spans="1:16" x14ac:dyDescent="0.3">
      <c r="A417" s="1">
        <v>45383</v>
      </c>
      <c r="B417" t="s">
        <v>10</v>
      </c>
      <c r="C417" t="str">
        <f>IFERROR(INDEX(자료실범례[],MATCH($B417,자료실범례[소장처명],0),2),"종합자료실")</f>
        <v>어린이자료실</v>
      </c>
      <c r="D417" t="s">
        <v>25</v>
      </c>
      <c r="E417">
        <v>0</v>
      </c>
      <c r="F417">
        <v>0</v>
      </c>
      <c r="G417">
        <v>0</v>
      </c>
      <c r="H417">
        <v>2</v>
      </c>
      <c r="I417">
        <v>1</v>
      </c>
      <c r="J417">
        <v>1</v>
      </c>
      <c r="K417">
        <v>0</v>
      </c>
      <c r="L417">
        <v>0</v>
      </c>
      <c r="M417">
        <v>46</v>
      </c>
      <c r="N417">
        <v>0</v>
      </c>
      <c r="O417">
        <v>0</v>
      </c>
      <c r="P417">
        <v>50</v>
      </c>
    </row>
    <row r="418" spans="1:16" x14ac:dyDescent="0.3">
      <c r="A418" s="1">
        <v>45383</v>
      </c>
      <c r="B418" t="s">
        <v>10</v>
      </c>
      <c r="C418" t="str">
        <f>IFERROR(INDEX(자료실범례[],MATCH($B418,자료실범례[소장처명],0),2),"종합자료실")</f>
        <v>어린이자료실</v>
      </c>
      <c r="D418" t="s">
        <v>31</v>
      </c>
      <c r="E418">
        <v>0</v>
      </c>
      <c r="F418">
        <v>0</v>
      </c>
      <c r="G418">
        <v>0</v>
      </c>
      <c r="H418">
        <v>1</v>
      </c>
      <c r="I418">
        <v>1</v>
      </c>
      <c r="J418">
        <v>0</v>
      </c>
      <c r="K418">
        <v>0</v>
      </c>
      <c r="L418">
        <v>1</v>
      </c>
      <c r="M418">
        <v>23</v>
      </c>
      <c r="N418">
        <v>4</v>
      </c>
      <c r="O418">
        <v>0</v>
      </c>
      <c r="P418">
        <v>30</v>
      </c>
    </row>
    <row r="419" spans="1:16" x14ac:dyDescent="0.3">
      <c r="A419" s="1">
        <v>45383</v>
      </c>
      <c r="B419" t="s">
        <v>11</v>
      </c>
      <c r="C419" t="str">
        <f>IFERROR(INDEX(자료실범례[],MATCH($B419,자료실범례[소장처명],0),2),"종합자료실")</f>
        <v>어린이자료실</v>
      </c>
      <c r="D419" t="s">
        <v>28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6</v>
      </c>
      <c r="N419">
        <v>0</v>
      </c>
      <c r="O419">
        <v>0</v>
      </c>
      <c r="P419">
        <v>6</v>
      </c>
    </row>
    <row r="420" spans="1:16" x14ac:dyDescent="0.3">
      <c r="A420" s="1">
        <v>45383</v>
      </c>
      <c r="B420" t="s">
        <v>11</v>
      </c>
      <c r="C420" t="str">
        <f>IFERROR(INDEX(자료실범례[],MATCH($B420,자료실범례[소장처명],0),2),"종합자료실")</f>
        <v>어린이자료실</v>
      </c>
      <c r="D420" t="s">
        <v>25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8</v>
      </c>
      <c r="N420">
        <v>1</v>
      </c>
      <c r="O420">
        <v>0</v>
      </c>
      <c r="P420">
        <v>10</v>
      </c>
    </row>
    <row r="421" spans="1:16" x14ac:dyDescent="0.3">
      <c r="A421" s="1">
        <v>45383</v>
      </c>
      <c r="B421" t="s">
        <v>11</v>
      </c>
      <c r="C421" t="str">
        <f>IFERROR(INDEX(자료실범례[],MATCH($B421,자료실범례[소장처명],0),2),"종합자료실")</f>
        <v>어린이자료실</v>
      </c>
      <c r="D421" t="s">
        <v>31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4</v>
      </c>
      <c r="N421">
        <v>0</v>
      </c>
      <c r="O421">
        <v>0</v>
      </c>
      <c r="P421">
        <v>5</v>
      </c>
    </row>
    <row r="422" spans="1:16" x14ac:dyDescent="0.3">
      <c r="A422" s="1">
        <v>45383</v>
      </c>
      <c r="B422" t="s">
        <v>12</v>
      </c>
      <c r="C422" t="str">
        <f>IFERROR(INDEX(자료실범례[],MATCH($B422,자료실범례[소장처명],0),2),"종합자료실")</f>
        <v>어린이자료실</v>
      </c>
      <c r="D422" t="s">
        <v>25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2</v>
      </c>
      <c r="N422">
        <v>0</v>
      </c>
      <c r="O422">
        <v>0</v>
      </c>
      <c r="P422">
        <v>2</v>
      </c>
    </row>
    <row r="423" spans="1:16" x14ac:dyDescent="0.3">
      <c r="A423" s="1">
        <v>45383</v>
      </c>
      <c r="B423" t="s">
        <v>12</v>
      </c>
      <c r="C423" t="str">
        <f>IFERROR(INDEX(자료실범례[],MATCH($B423,자료실범례[소장처명],0),2),"종합자료실")</f>
        <v>어린이자료실</v>
      </c>
      <c r="D423" t="s">
        <v>31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2</v>
      </c>
      <c r="O423">
        <v>0</v>
      </c>
      <c r="P423">
        <v>2</v>
      </c>
    </row>
    <row r="424" spans="1:16" x14ac:dyDescent="0.3">
      <c r="A424" s="1">
        <v>45383</v>
      </c>
      <c r="B424" t="s">
        <v>0</v>
      </c>
      <c r="C424" t="str">
        <f>IFERROR(INDEX(자료실범례[],MATCH($B424,자료실범례[소장처명],0),2),"종합자료실")</f>
        <v>어린이자료실</v>
      </c>
      <c r="D424" t="s">
        <v>28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25</v>
      </c>
      <c r="N424">
        <v>1</v>
      </c>
      <c r="O424">
        <v>0</v>
      </c>
      <c r="P424">
        <v>27</v>
      </c>
    </row>
    <row r="425" spans="1:16" x14ac:dyDescent="0.3">
      <c r="A425" s="1">
        <v>45383</v>
      </c>
      <c r="B425" t="s">
        <v>0</v>
      </c>
      <c r="C425" t="str">
        <f>IFERROR(INDEX(자료실범례[],MATCH($B425,자료실범례[소장처명],0),2),"종합자료실")</f>
        <v>어린이자료실</v>
      </c>
      <c r="D425" t="s">
        <v>25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</v>
      </c>
      <c r="M425">
        <v>31</v>
      </c>
      <c r="N425">
        <v>1</v>
      </c>
      <c r="O425">
        <v>0</v>
      </c>
      <c r="P425">
        <v>34</v>
      </c>
    </row>
    <row r="426" spans="1:16" x14ac:dyDescent="0.3">
      <c r="A426" s="1">
        <v>45383</v>
      </c>
      <c r="B426" t="s">
        <v>0</v>
      </c>
      <c r="C426" t="str">
        <f>IFERROR(INDEX(자료실범례[],MATCH($B426,자료실범례[소장처명],0),2),"종합자료실")</f>
        <v>어린이자료실</v>
      </c>
      <c r="D426" t="s">
        <v>31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12</v>
      </c>
      <c r="N426">
        <v>1</v>
      </c>
      <c r="O426">
        <v>0</v>
      </c>
      <c r="P426">
        <v>14</v>
      </c>
    </row>
    <row r="427" spans="1:16" x14ac:dyDescent="0.3">
      <c r="A427" s="1">
        <v>45383</v>
      </c>
      <c r="B427" t="s">
        <v>1</v>
      </c>
      <c r="C427" t="str">
        <f>IFERROR(INDEX(자료실범례[],MATCH($B427,자료실범례[소장처명],0),2),"종합자료실")</f>
        <v>어린이자료실</v>
      </c>
      <c r="D427" t="s">
        <v>28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1</v>
      </c>
      <c r="L427">
        <v>82</v>
      </c>
      <c r="M427">
        <v>1</v>
      </c>
      <c r="N427">
        <v>0</v>
      </c>
      <c r="O427">
        <v>0</v>
      </c>
      <c r="P427">
        <v>85</v>
      </c>
    </row>
    <row r="428" spans="1:16" x14ac:dyDescent="0.3">
      <c r="A428" s="1">
        <v>45383</v>
      </c>
      <c r="B428" t="s">
        <v>1</v>
      </c>
      <c r="C428" t="str">
        <f>IFERROR(INDEX(자료실범례[],MATCH($B428,자료실범례[소장처명],0),2),"종합자료실")</f>
        <v>어린이자료실</v>
      </c>
      <c r="D428" t="s">
        <v>25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1</v>
      </c>
      <c r="L428">
        <v>38</v>
      </c>
      <c r="M428">
        <v>2</v>
      </c>
      <c r="N428">
        <v>0</v>
      </c>
      <c r="O428">
        <v>0</v>
      </c>
      <c r="P428">
        <v>42</v>
      </c>
    </row>
    <row r="429" spans="1:16" x14ac:dyDescent="0.3">
      <c r="A429" s="1">
        <v>45383</v>
      </c>
      <c r="B429" t="s">
        <v>1</v>
      </c>
      <c r="C429" t="str">
        <f>IFERROR(INDEX(자료실범례[],MATCH($B429,자료실범례[소장처명],0),2),"종합자료실")</f>
        <v>어린이자료실</v>
      </c>
      <c r="D429" t="s">
        <v>31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12</v>
      </c>
      <c r="M429">
        <v>0</v>
      </c>
      <c r="N429">
        <v>0</v>
      </c>
      <c r="O429">
        <v>0</v>
      </c>
      <c r="P429">
        <v>12</v>
      </c>
    </row>
    <row r="430" spans="1:16" x14ac:dyDescent="0.3">
      <c r="A430" s="1">
        <v>45383</v>
      </c>
      <c r="B430" t="s">
        <v>6</v>
      </c>
      <c r="C430" t="str">
        <f>IFERROR(INDEX(자료실범례[],MATCH($B430,자료실범례[소장처명],0),2),"종합자료실")</f>
        <v>종합자료실</v>
      </c>
      <c r="D430" t="s">
        <v>28</v>
      </c>
      <c r="E430">
        <v>2</v>
      </c>
      <c r="F430">
        <v>4</v>
      </c>
      <c r="G430">
        <v>1</v>
      </c>
      <c r="H430">
        <v>8</v>
      </c>
      <c r="I430">
        <v>6</v>
      </c>
      <c r="J430">
        <v>6</v>
      </c>
      <c r="K430">
        <v>0</v>
      </c>
      <c r="L430">
        <v>1</v>
      </c>
      <c r="M430">
        <v>36</v>
      </c>
      <c r="N430">
        <v>4</v>
      </c>
      <c r="O430">
        <v>0</v>
      </c>
      <c r="P430">
        <v>68</v>
      </c>
    </row>
    <row r="431" spans="1:16" x14ac:dyDescent="0.3">
      <c r="A431" s="1">
        <v>45383</v>
      </c>
      <c r="B431" t="s">
        <v>6</v>
      </c>
      <c r="C431" t="str">
        <f>IFERROR(INDEX(자료실범례[],MATCH($B431,자료실범례[소장처명],0),2),"종합자료실")</f>
        <v>종합자료실</v>
      </c>
      <c r="D431" t="s">
        <v>25</v>
      </c>
      <c r="E431">
        <v>1</v>
      </c>
      <c r="F431">
        <v>3</v>
      </c>
      <c r="G431">
        <v>1</v>
      </c>
      <c r="H431">
        <v>7</v>
      </c>
      <c r="I431">
        <v>5</v>
      </c>
      <c r="J431">
        <v>6</v>
      </c>
      <c r="K431">
        <v>0</v>
      </c>
      <c r="L431">
        <v>1</v>
      </c>
      <c r="M431">
        <v>38</v>
      </c>
      <c r="N431">
        <v>3</v>
      </c>
      <c r="O431">
        <v>0</v>
      </c>
      <c r="P431">
        <v>65</v>
      </c>
    </row>
    <row r="432" spans="1:16" x14ac:dyDescent="0.3">
      <c r="A432" s="1">
        <v>45383</v>
      </c>
      <c r="B432" t="s">
        <v>6</v>
      </c>
      <c r="C432" t="str">
        <f>IFERROR(INDEX(자료실범례[],MATCH($B432,자료실범례[소장처명],0),2),"종합자료실")</f>
        <v>종합자료실</v>
      </c>
      <c r="D432" t="s">
        <v>31</v>
      </c>
      <c r="E432">
        <v>0</v>
      </c>
      <c r="F432">
        <v>0</v>
      </c>
      <c r="G432">
        <v>0</v>
      </c>
      <c r="H432">
        <v>3</v>
      </c>
      <c r="I432">
        <v>0</v>
      </c>
      <c r="J432">
        <v>1</v>
      </c>
      <c r="K432">
        <v>0</v>
      </c>
      <c r="L432">
        <v>0</v>
      </c>
      <c r="M432">
        <v>3</v>
      </c>
      <c r="N432">
        <v>0</v>
      </c>
      <c r="O432">
        <v>0</v>
      </c>
      <c r="P432">
        <v>7</v>
      </c>
    </row>
    <row r="433" spans="1:16" x14ac:dyDescent="0.3">
      <c r="A433" s="1">
        <v>45383</v>
      </c>
      <c r="B433" t="s">
        <v>18</v>
      </c>
      <c r="C433" t="str">
        <f>IFERROR(INDEX(자료실범례[],MATCH($B433,자료실범례[소장처명],0),2),"종합자료실")</f>
        <v>종합자료실</v>
      </c>
      <c r="D433" t="s">
        <v>28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3</v>
      </c>
      <c r="P433">
        <v>3</v>
      </c>
    </row>
    <row r="434" spans="1:16" x14ac:dyDescent="0.3">
      <c r="A434" s="1">
        <v>45383</v>
      </c>
      <c r="B434" t="s">
        <v>18</v>
      </c>
      <c r="C434" t="str">
        <f>IFERROR(INDEX(자료실범례[],MATCH($B434,자료실범례[소장처명],0),2),"종합자료실")</f>
        <v>종합자료실</v>
      </c>
      <c r="D434" t="s">
        <v>25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3</v>
      </c>
    </row>
    <row r="435" spans="1:16" x14ac:dyDescent="0.3">
      <c r="A435" s="1">
        <v>45383</v>
      </c>
      <c r="B435" t="s">
        <v>18</v>
      </c>
      <c r="C435" t="str">
        <f>IFERROR(INDEX(자료실범례[],MATCH($B435,자료실범례[소장처명],0),2),"종합자료실")</f>
        <v>종합자료실</v>
      </c>
      <c r="D435" t="s">
        <v>31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3</v>
      </c>
    </row>
    <row r="436" spans="1:16" x14ac:dyDescent="0.3">
      <c r="A436" s="1">
        <v>45383</v>
      </c>
      <c r="B436" t="s">
        <v>17</v>
      </c>
      <c r="C436" t="str">
        <f>IFERROR(INDEX(자료실범례[],MATCH($B436,자료실범례[소장처명],0),2),"종합자료실")</f>
        <v>어린이자료실</v>
      </c>
      <c r="D436" t="s">
        <v>28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</v>
      </c>
      <c r="P436">
        <v>6</v>
      </c>
    </row>
    <row r="437" spans="1:16" x14ac:dyDescent="0.3">
      <c r="A437" s="1">
        <v>45383</v>
      </c>
      <c r="B437" t="s">
        <v>17</v>
      </c>
      <c r="C437" t="str">
        <f>IFERROR(INDEX(자료실범례[],MATCH($B437,자료실범례[소장처명],0),2),"종합자료실")</f>
        <v>어린이자료실</v>
      </c>
      <c r="D437" t="s">
        <v>25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6</v>
      </c>
      <c r="P437">
        <v>6</v>
      </c>
    </row>
    <row r="438" spans="1:16" x14ac:dyDescent="0.3">
      <c r="A438" s="1">
        <v>45017</v>
      </c>
      <c r="B438" t="s">
        <v>24</v>
      </c>
      <c r="C438" t="str">
        <f>IFERROR(INDEX(자료실범례[],MATCH($B438,자료실범례[소장처명],0),2),"종합자료실")</f>
        <v>종합자료실</v>
      </c>
      <c r="D438" t="s">
        <v>25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</v>
      </c>
      <c r="N438">
        <v>0</v>
      </c>
      <c r="O438">
        <v>0</v>
      </c>
      <c r="P438">
        <v>4</v>
      </c>
    </row>
    <row r="439" spans="1:16" x14ac:dyDescent="0.3">
      <c r="A439" s="1">
        <v>45017</v>
      </c>
      <c r="B439" t="s">
        <v>21</v>
      </c>
      <c r="C439" t="str">
        <f>IFERROR(INDEX(자료실범례[],MATCH($B439,자료실범례[소장처명],0),2),"종합자료실")</f>
        <v>종합자료실</v>
      </c>
      <c r="D439" t="s">
        <v>28</v>
      </c>
      <c r="E439">
        <v>47</v>
      </c>
      <c r="F439">
        <v>163</v>
      </c>
      <c r="G439">
        <v>42</v>
      </c>
      <c r="H439">
        <v>298</v>
      </c>
      <c r="I439">
        <v>39</v>
      </c>
      <c r="J439">
        <v>167</v>
      </c>
      <c r="K439">
        <v>60</v>
      </c>
      <c r="L439">
        <v>38</v>
      </c>
      <c r="M439">
        <v>522</v>
      </c>
      <c r="N439">
        <v>80</v>
      </c>
      <c r="O439">
        <v>0</v>
      </c>
      <c r="P439">
        <v>1456</v>
      </c>
    </row>
    <row r="440" spans="1:16" x14ac:dyDescent="0.3">
      <c r="A440" s="1">
        <v>45017</v>
      </c>
      <c r="B440" t="s">
        <v>21</v>
      </c>
      <c r="C440" t="str">
        <f>IFERROR(INDEX(자료실범례[],MATCH($B440,자료실범례[소장처명],0),2),"종합자료실")</f>
        <v>종합자료실</v>
      </c>
      <c r="D440" t="s">
        <v>25</v>
      </c>
      <c r="E440">
        <v>53</v>
      </c>
      <c r="F440">
        <v>159</v>
      </c>
      <c r="G440">
        <v>42</v>
      </c>
      <c r="H440">
        <v>286</v>
      </c>
      <c r="I440">
        <v>50</v>
      </c>
      <c r="J440">
        <v>199</v>
      </c>
      <c r="K440">
        <v>77</v>
      </c>
      <c r="L440">
        <v>40</v>
      </c>
      <c r="M440">
        <v>579</v>
      </c>
      <c r="N440">
        <v>77</v>
      </c>
      <c r="O440">
        <v>0</v>
      </c>
      <c r="P440">
        <v>1562</v>
      </c>
    </row>
    <row r="441" spans="1:16" x14ac:dyDescent="0.3">
      <c r="A441" s="1">
        <v>45017</v>
      </c>
      <c r="B441" t="s">
        <v>21</v>
      </c>
      <c r="C441" t="str">
        <f>IFERROR(INDEX(자료실범례[],MATCH($B441,자료실범례[소장처명],0),2),"종합자료실")</f>
        <v>종합자료실</v>
      </c>
      <c r="D441" t="s">
        <v>31</v>
      </c>
      <c r="E441">
        <v>24</v>
      </c>
      <c r="F441">
        <v>52</v>
      </c>
      <c r="G441">
        <v>33</v>
      </c>
      <c r="H441">
        <v>104</v>
      </c>
      <c r="I441">
        <v>11</v>
      </c>
      <c r="J441">
        <v>68</v>
      </c>
      <c r="K441">
        <v>30</v>
      </c>
      <c r="L441">
        <v>16</v>
      </c>
      <c r="M441">
        <v>146</v>
      </c>
      <c r="N441">
        <v>27</v>
      </c>
      <c r="O441">
        <v>0</v>
      </c>
      <c r="P441">
        <v>511</v>
      </c>
    </row>
    <row r="442" spans="1:16" x14ac:dyDescent="0.3">
      <c r="A442" s="1">
        <v>45017</v>
      </c>
      <c r="B442" t="s">
        <v>16</v>
      </c>
      <c r="C442" t="str">
        <f>IFERROR(INDEX(자료실범례[],MATCH($B442,자료실범례[소장처명],0),2),"종합자료실")</f>
        <v>어린이자료실</v>
      </c>
      <c r="D442" t="s">
        <v>28</v>
      </c>
      <c r="E442">
        <v>20</v>
      </c>
      <c r="F442">
        <v>14</v>
      </c>
      <c r="G442">
        <v>5</v>
      </c>
      <c r="H442">
        <v>105</v>
      </c>
      <c r="I442">
        <v>160</v>
      </c>
      <c r="J442">
        <v>36</v>
      </c>
      <c r="K442">
        <v>13</v>
      </c>
      <c r="L442">
        <v>24</v>
      </c>
      <c r="M442">
        <v>915</v>
      </c>
      <c r="N442">
        <v>44</v>
      </c>
      <c r="O442">
        <v>0</v>
      </c>
      <c r="P442">
        <v>1336</v>
      </c>
    </row>
    <row r="443" spans="1:16" x14ac:dyDescent="0.3">
      <c r="A443" s="1">
        <v>45017</v>
      </c>
      <c r="B443" t="s">
        <v>16</v>
      </c>
      <c r="C443" t="str">
        <f>IFERROR(INDEX(자료실범례[],MATCH($B443,자료실범례[소장처명],0),2),"종합자료실")</f>
        <v>어린이자료실</v>
      </c>
      <c r="D443" t="s">
        <v>25</v>
      </c>
      <c r="E443">
        <v>25</v>
      </c>
      <c r="F443">
        <v>15</v>
      </c>
      <c r="G443">
        <v>1</v>
      </c>
      <c r="H443">
        <v>59</v>
      </c>
      <c r="I443">
        <v>185</v>
      </c>
      <c r="J443">
        <v>32</v>
      </c>
      <c r="K443">
        <v>21</v>
      </c>
      <c r="L443">
        <v>24</v>
      </c>
      <c r="M443">
        <v>949</v>
      </c>
      <c r="N443">
        <v>49</v>
      </c>
      <c r="O443">
        <v>0</v>
      </c>
      <c r="P443">
        <v>1360</v>
      </c>
    </row>
    <row r="444" spans="1:16" x14ac:dyDescent="0.3">
      <c r="A444" s="1">
        <v>45017</v>
      </c>
      <c r="B444" t="s">
        <v>16</v>
      </c>
      <c r="C444" t="str">
        <f>IFERROR(INDEX(자료실범례[],MATCH($B444,자료실범례[소장처명],0),2),"종합자료실")</f>
        <v>어린이자료실</v>
      </c>
      <c r="D444" t="s">
        <v>31</v>
      </c>
      <c r="E444">
        <v>10</v>
      </c>
      <c r="F444">
        <v>4</v>
      </c>
      <c r="G444">
        <v>2</v>
      </c>
      <c r="H444">
        <v>25</v>
      </c>
      <c r="I444">
        <v>48</v>
      </c>
      <c r="J444">
        <v>2</v>
      </c>
      <c r="K444">
        <v>1</v>
      </c>
      <c r="L444">
        <v>6</v>
      </c>
      <c r="M444">
        <v>181</v>
      </c>
      <c r="N444">
        <v>5</v>
      </c>
      <c r="O444">
        <v>0</v>
      </c>
      <c r="P444">
        <v>284</v>
      </c>
    </row>
    <row r="445" spans="1:16" x14ac:dyDescent="0.3">
      <c r="A445" s="1">
        <v>45017</v>
      </c>
      <c r="B445" t="s">
        <v>2</v>
      </c>
      <c r="C445" t="str">
        <f>IFERROR(INDEX(자료실범례[],MATCH($B445,자료실범례[소장처명],0),2),"종합자료실")</f>
        <v>디지털자료실</v>
      </c>
      <c r="D445" t="s">
        <v>28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15</v>
      </c>
      <c r="L445">
        <v>0</v>
      </c>
      <c r="M445">
        <v>0</v>
      </c>
      <c r="N445">
        <v>0</v>
      </c>
      <c r="O445">
        <v>0</v>
      </c>
      <c r="P445">
        <v>15</v>
      </c>
    </row>
    <row r="446" spans="1:16" x14ac:dyDescent="0.3">
      <c r="A446" s="1">
        <v>45017</v>
      </c>
      <c r="B446" t="s">
        <v>2</v>
      </c>
      <c r="C446" t="str">
        <f>IFERROR(INDEX(자료실범례[],MATCH($B446,자료실범례[소장처명],0),2),"종합자료실")</f>
        <v>디지털자료실</v>
      </c>
      <c r="D446" t="s">
        <v>25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15</v>
      </c>
      <c r="L446">
        <v>0</v>
      </c>
      <c r="M446">
        <v>0</v>
      </c>
      <c r="N446">
        <v>0</v>
      </c>
      <c r="O446">
        <v>0</v>
      </c>
      <c r="P446">
        <v>15</v>
      </c>
    </row>
    <row r="447" spans="1:16" x14ac:dyDescent="0.3">
      <c r="A447" s="1">
        <v>45017</v>
      </c>
      <c r="B447" t="s">
        <v>13</v>
      </c>
      <c r="C447" t="str">
        <f>IFERROR(INDEX(자료실범례[],MATCH($B447,자료실범례[소장처명],0),2),"종합자료실")</f>
        <v>어린이자료실</v>
      </c>
      <c r="D447" t="s">
        <v>28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11</v>
      </c>
      <c r="N447">
        <v>0</v>
      </c>
      <c r="O447">
        <v>0</v>
      </c>
      <c r="P447">
        <v>11</v>
      </c>
    </row>
    <row r="448" spans="1:16" x14ac:dyDescent="0.3">
      <c r="A448" s="1">
        <v>45017</v>
      </c>
      <c r="B448" t="s">
        <v>13</v>
      </c>
      <c r="C448" t="str">
        <f>IFERROR(INDEX(자료실범례[],MATCH($B448,자료실범례[소장처명],0),2),"종합자료실")</f>
        <v>어린이자료실</v>
      </c>
      <c r="D448" t="s">
        <v>25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12</v>
      </c>
      <c r="N448">
        <v>0</v>
      </c>
      <c r="O448">
        <v>0</v>
      </c>
      <c r="P448">
        <v>12</v>
      </c>
    </row>
    <row r="449" spans="1:16" x14ac:dyDescent="0.3">
      <c r="A449" s="1">
        <v>45017</v>
      </c>
      <c r="B449" t="s">
        <v>15</v>
      </c>
      <c r="C449" t="str">
        <f>IFERROR(INDEX(자료실범례[],MATCH($B449,자료실범례[소장처명],0),2),"종합자료실")</f>
        <v>어린이자료실</v>
      </c>
      <c r="D449" t="s">
        <v>28</v>
      </c>
      <c r="E449">
        <v>5</v>
      </c>
      <c r="F449">
        <v>0</v>
      </c>
      <c r="G449">
        <v>14</v>
      </c>
      <c r="H449">
        <v>5</v>
      </c>
      <c r="I449">
        <v>201</v>
      </c>
      <c r="J449">
        <v>38</v>
      </c>
      <c r="K449">
        <v>0</v>
      </c>
      <c r="L449">
        <v>99</v>
      </c>
      <c r="M449">
        <v>44</v>
      </c>
      <c r="N449">
        <v>147</v>
      </c>
      <c r="O449">
        <v>0</v>
      </c>
      <c r="P449">
        <v>553</v>
      </c>
    </row>
    <row r="450" spans="1:16" x14ac:dyDescent="0.3">
      <c r="A450" s="1">
        <v>45017</v>
      </c>
      <c r="B450" t="s">
        <v>15</v>
      </c>
      <c r="C450" t="str">
        <f>IFERROR(INDEX(자료실범례[],MATCH($B450,자료실범례[소장처명],0),2),"종합자료실")</f>
        <v>어린이자료실</v>
      </c>
      <c r="D450" t="s">
        <v>25</v>
      </c>
      <c r="E450">
        <v>5</v>
      </c>
      <c r="F450">
        <v>0</v>
      </c>
      <c r="G450">
        <v>14</v>
      </c>
      <c r="H450">
        <v>5</v>
      </c>
      <c r="I450">
        <v>210</v>
      </c>
      <c r="J450">
        <v>73</v>
      </c>
      <c r="K450">
        <v>1</v>
      </c>
      <c r="L450">
        <v>92</v>
      </c>
      <c r="M450">
        <v>48</v>
      </c>
      <c r="N450">
        <v>142</v>
      </c>
      <c r="O450">
        <v>0</v>
      </c>
      <c r="P450">
        <v>590</v>
      </c>
    </row>
    <row r="451" spans="1:16" x14ac:dyDescent="0.3">
      <c r="A451" s="1">
        <v>45017</v>
      </c>
      <c r="B451" t="s">
        <v>15</v>
      </c>
      <c r="C451" t="str">
        <f>IFERROR(INDEX(자료실범례[],MATCH($B451,자료실범례[소장처명],0),2),"종합자료실")</f>
        <v>어린이자료실</v>
      </c>
      <c r="D451" t="s">
        <v>31</v>
      </c>
      <c r="E451">
        <v>5</v>
      </c>
      <c r="F451">
        <v>0</v>
      </c>
      <c r="G451">
        <v>1</v>
      </c>
      <c r="H451">
        <v>3</v>
      </c>
      <c r="I451">
        <v>17</v>
      </c>
      <c r="J451">
        <v>1</v>
      </c>
      <c r="K451">
        <v>0</v>
      </c>
      <c r="L451">
        <v>2</v>
      </c>
      <c r="M451">
        <v>0</v>
      </c>
      <c r="N451">
        <v>22</v>
      </c>
      <c r="O451">
        <v>0</v>
      </c>
      <c r="P451">
        <v>51</v>
      </c>
    </row>
    <row r="452" spans="1:16" x14ac:dyDescent="0.3">
      <c r="A452" s="1">
        <v>45017</v>
      </c>
      <c r="B452" t="s">
        <v>20</v>
      </c>
      <c r="C452" t="str">
        <f>IFERROR(INDEX(자료실범례[],MATCH($B452,자료실범례[소장처명],0),2),"종합자료실")</f>
        <v>종합자료실</v>
      </c>
      <c r="D452" t="s">
        <v>28</v>
      </c>
      <c r="E452">
        <v>0</v>
      </c>
      <c r="F452">
        <v>0</v>
      </c>
      <c r="G452">
        <v>0</v>
      </c>
      <c r="H452">
        <v>2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2</v>
      </c>
    </row>
    <row r="453" spans="1:16" x14ac:dyDescent="0.3">
      <c r="A453" s="1">
        <v>45017</v>
      </c>
      <c r="B453" t="s">
        <v>20</v>
      </c>
      <c r="C453" t="str">
        <f>IFERROR(INDEX(자료실범례[],MATCH($B453,자료실범례[소장처명],0),2),"종합자료실")</f>
        <v>종합자료실</v>
      </c>
      <c r="D453" t="s">
        <v>25</v>
      </c>
      <c r="E453">
        <v>0</v>
      </c>
      <c r="F453">
        <v>0</v>
      </c>
      <c r="G453">
        <v>0</v>
      </c>
      <c r="H453">
        <v>3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3</v>
      </c>
    </row>
    <row r="454" spans="1:16" x14ac:dyDescent="0.3">
      <c r="A454" s="1">
        <v>45017</v>
      </c>
      <c r="B454" t="s">
        <v>20</v>
      </c>
      <c r="C454" t="str">
        <f>IFERROR(INDEX(자료실범례[],MATCH($B454,자료실범례[소장처명],0),2),"종합자료실")</f>
        <v>종합자료실</v>
      </c>
      <c r="D454" t="s">
        <v>31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</row>
    <row r="455" spans="1:16" x14ac:dyDescent="0.3">
      <c r="A455" s="1">
        <v>45017</v>
      </c>
      <c r="B455" t="s">
        <v>3</v>
      </c>
      <c r="C455" t="str">
        <f>IFERROR(INDEX(자료실범례[],MATCH($B455,자료실범례[소장처명],0),2),"종합자료실")</f>
        <v>디지털자료실</v>
      </c>
      <c r="D455" t="s">
        <v>28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1</v>
      </c>
    </row>
    <row r="456" spans="1:16" x14ac:dyDescent="0.3">
      <c r="A456" s="1">
        <v>45017</v>
      </c>
      <c r="B456" t="s">
        <v>3</v>
      </c>
      <c r="C456" t="str">
        <f>IFERROR(INDEX(자료실범례[],MATCH($B456,자료실범례[소장처명],0),2),"종합자료실")</f>
        <v>디지털자료실</v>
      </c>
      <c r="D456" t="s">
        <v>25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3</v>
      </c>
      <c r="L456">
        <v>0</v>
      </c>
      <c r="M456">
        <v>0</v>
      </c>
      <c r="N456">
        <v>0</v>
      </c>
      <c r="O456">
        <v>0</v>
      </c>
      <c r="P456">
        <v>3</v>
      </c>
    </row>
    <row r="457" spans="1:16" x14ac:dyDescent="0.3">
      <c r="A457" s="1">
        <v>45017</v>
      </c>
      <c r="B457" t="s">
        <v>4</v>
      </c>
      <c r="C457" t="str">
        <f>IFERROR(INDEX(자료실범례[],MATCH($B457,자료실범례[소장처명],0),2),"종합자료실")</f>
        <v>어린이자료실</v>
      </c>
      <c r="D457" t="s">
        <v>28</v>
      </c>
      <c r="E457">
        <v>0</v>
      </c>
      <c r="F457">
        <v>0</v>
      </c>
      <c r="G457">
        <v>0</v>
      </c>
      <c r="H457">
        <v>0</v>
      </c>
      <c r="I457">
        <v>3</v>
      </c>
      <c r="J457">
        <v>1</v>
      </c>
      <c r="K457">
        <v>0</v>
      </c>
      <c r="L457">
        <v>0</v>
      </c>
      <c r="M457">
        <v>29</v>
      </c>
      <c r="N457">
        <v>1</v>
      </c>
      <c r="O457">
        <v>0</v>
      </c>
      <c r="P457">
        <v>34</v>
      </c>
    </row>
    <row r="458" spans="1:16" x14ac:dyDescent="0.3">
      <c r="A458" s="1">
        <v>45017</v>
      </c>
      <c r="B458" t="s">
        <v>4</v>
      </c>
      <c r="C458" t="str">
        <f>IFERROR(INDEX(자료실범례[],MATCH($B458,자료실범례[소장처명],0),2),"종합자료실")</f>
        <v>어린이자료실</v>
      </c>
      <c r="D458" t="s">
        <v>25</v>
      </c>
      <c r="E458">
        <v>0</v>
      </c>
      <c r="F458">
        <v>1</v>
      </c>
      <c r="G458">
        <v>0</v>
      </c>
      <c r="H458">
        <v>3</v>
      </c>
      <c r="I458">
        <v>5</v>
      </c>
      <c r="J458">
        <v>0</v>
      </c>
      <c r="K458">
        <v>0</v>
      </c>
      <c r="L458">
        <v>1</v>
      </c>
      <c r="M458">
        <v>25</v>
      </c>
      <c r="N458">
        <v>0</v>
      </c>
      <c r="O458">
        <v>0</v>
      </c>
      <c r="P458">
        <v>35</v>
      </c>
    </row>
    <row r="459" spans="1:16" x14ac:dyDescent="0.3">
      <c r="A459" s="1">
        <v>45017</v>
      </c>
      <c r="B459" t="s">
        <v>4</v>
      </c>
      <c r="C459" t="str">
        <f>IFERROR(INDEX(자료실범례[],MATCH($B459,자료실범례[소장처명],0),2),"종합자료실")</f>
        <v>어린이자료실</v>
      </c>
      <c r="D459" t="s">
        <v>31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7</v>
      </c>
      <c r="N459">
        <v>0</v>
      </c>
      <c r="O459">
        <v>0</v>
      </c>
      <c r="P459">
        <v>8</v>
      </c>
    </row>
    <row r="460" spans="1:16" x14ac:dyDescent="0.3">
      <c r="A460" s="1">
        <v>45017</v>
      </c>
      <c r="B460" t="s">
        <v>5</v>
      </c>
      <c r="C460" t="str">
        <f>IFERROR(INDEX(자료실범례[],MATCH($B460,자료실범례[소장처명],0),2),"종합자료실")</f>
        <v>종합자료실</v>
      </c>
      <c r="D460" t="s">
        <v>28</v>
      </c>
      <c r="E460">
        <v>2</v>
      </c>
      <c r="F460">
        <v>4</v>
      </c>
      <c r="G460">
        <v>1</v>
      </c>
      <c r="H460">
        <v>3</v>
      </c>
      <c r="I460">
        <v>1</v>
      </c>
      <c r="J460">
        <v>0</v>
      </c>
      <c r="K460">
        <v>1</v>
      </c>
      <c r="L460">
        <v>0</v>
      </c>
      <c r="M460">
        <v>10</v>
      </c>
      <c r="N460">
        <v>2</v>
      </c>
      <c r="O460">
        <v>0</v>
      </c>
      <c r="P460">
        <v>24</v>
      </c>
    </row>
    <row r="461" spans="1:16" x14ac:dyDescent="0.3">
      <c r="A461" s="1">
        <v>45017</v>
      </c>
      <c r="B461" t="s">
        <v>5</v>
      </c>
      <c r="C461" t="str">
        <f>IFERROR(INDEX(자료실범례[],MATCH($B461,자료실범례[소장처명],0),2),"종합자료실")</f>
        <v>종합자료실</v>
      </c>
      <c r="D461" t="s">
        <v>25</v>
      </c>
      <c r="E461">
        <v>1</v>
      </c>
      <c r="F461">
        <v>4</v>
      </c>
      <c r="G461">
        <v>0</v>
      </c>
      <c r="H461">
        <v>2</v>
      </c>
      <c r="I461">
        <v>0</v>
      </c>
      <c r="J461">
        <v>2</v>
      </c>
      <c r="K461">
        <v>0</v>
      </c>
      <c r="L461">
        <v>0</v>
      </c>
      <c r="M461">
        <v>9</v>
      </c>
      <c r="N461">
        <v>0</v>
      </c>
      <c r="O461">
        <v>0</v>
      </c>
      <c r="P461">
        <v>18</v>
      </c>
    </row>
    <row r="462" spans="1:16" x14ac:dyDescent="0.3">
      <c r="A462" s="1">
        <v>45017</v>
      </c>
      <c r="B462" t="s">
        <v>5</v>
      </c>
      <c r="C462" t="str">
        <f>IFERROR(INDEX(자료실범례[],MATCH($B462,자료실범례[소장처명],0),2),"종합자료실")</f>
        <v>종합자료실</v>
      </c>
      <c r="D462" t="s">
        <v>31</v>
      </c>
      <c r="E462">
        <v>0</v>
      </c>
      <c r="F462">
        <v>2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5</v>
      </c>
      <c r="N462">
        <v>1</v>
      </c>
      <c r="O462">
        <v>0</v>
      </c>
      <c r="P462">
        <v>9</v>
      </c>
    </row>
    <row r="463" spans="1:16" x14ac:dyDescent="0.3">
      <c r="A463" s="1">
        <v>45017</v>
      </c>
      <c r="B463" t="s">
        <v>7</v>
      </c>
      <c r="C463" t="str">
        <f>IFERROR(INDEX(자료실범례[],MATCH($B463,자료실범례[소장처명],0),2),"종합자료실")</f>
        <v>어린이자료실</v>
      </c>
      <c r="D463" t="s">
        <v>28</v>
      </c>
      <c r="E463">
        <v>1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12</v>
      </c>
      <c r="N463">
        <v>1</v>
      </c>
      <c r="O463">
        <v>0</v>
      </c>
      <c r="P463">
        <v>15</v>
      </c>
    </row>
    <row r="464" spans="1:16" x14ac:dyDescent="0.3">
      <c r="A464" s="1">
        <v>45017</v>
      </c>
      <c r="B464" t="s">
        <v>7</v>
      </c>
      <c r="C464" t="str">
        <f>IFERROR(INDEX(자료실범례[],MATCH($B464,자료실범례[소장처명],0),2),"종합자료실")</f>
        <v>어린이자료실</v>
      </c>
      <c r="D464" t="s">
        <v>25</v>
      </c>
      <c r="E464">
        <v>1</v>
      </c>
      <c r="F464">
        <v>0</v>
      </c>
      <c r="G464">
        <v>0</v>
      </c>
      <c r="H464">
        <v>6</v>
      </c>
      <c r="I464">
        <v>0</v>
      </c>
      <c r="J464">
        <v>1</v>
      </c>
      <c r="K464">
        <v>0</v>
      </c>
      <c r="L464">
        <v>0</v>
      </c>
      <c r="M464">
        <v>19</v>
      </c>
      <c r="N464">
        <v>1</v>
      </c>
      <c r="O464">
        <v>0</v>
      </c>
      <c r="P464">
        <v>28</v>
      </c>
    </row>
    <row r="465" spans="1:16" x14ac:dyDescent="0.3">
      <c r="A465" s="1">
        <v>45017</v>
      </c>
      <c r="B465" t="s">
        <v>8</v>
      </c>
      <c r="C465" t="str">
        <f>IFERROR(INDEX(자료실범례[],MATCH($B465,자료실범례[소장처명],0),2),"종합자료실")</f>
        <v>어린이자료실</v>
      </c>
      <c r="D465" t="s">
        <v>28</v>
      </c>
      <c r="E465">
        <v>0</v>
      </c>
      <c r="F465">
        <v>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41</v>
      </c>
      <c r="N465">
        <v>0</v>
      </c>
      <c r="O465">
        <v>0</v>
      </c>
      <c r="P465">
        <v>43</v>
      </c>
    </row>
    <row r="466" spans="1:16" x14ac:dyDescent="0.3">
      <c r="A466" s="1">
        <v>45017</v>
      </c>
      <c r="B466" t="s">
        <v>8</v>
      </c>
      <c r="C466" t="str">
        <f>IFERROR(INDEX(자료실범례[],MATCH($B466,자료실범례[소장처명],0),2),"종합자료실")</f>
        <v>어린이자료실</v>
      </c>
      <c r="D466" t="s">
        <v>25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24</v>
      </c>
      <c r="N466">
        <v>0</v>
      </c>
      <c r="O466">
        <v>0</v>
      </c>
      <c r="P466">
        <v>25</v>
      </c>
    </row>
    <row r="467" spans="1:16" x14ac:dyDescent="0.3">
      <c r="A467" s="1">
        <v>45017</v>
      </c>
      <c r="B467" t="s">
        <v>8</v>
      </c>
      <c r="C467" t="str">
        <f>IFERROR(INDEX(자료실범례[],MATCH($B467,자료실범례[소장처명],0),2),"종합자료실")</f>
        <v>어린이자료실</v>
      </c>
      <c r="D467" t="s">
        <v>31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1</v>
      </c>
    </row>
    <row r="468" spans="1:16" x14ac:dyDescent="0.3">
      <c r="A468" s="1">
        <v>45017</v>
      </c>
      <c r="B468" t="s">
        <v>9</v>
      </c>
      <c r="C468" t="str">
        <f>IFERROR(INDEX(자료실범례[],MATCH($B468,자료실범례[소장처명],0),2),"종합자료실")</f>
        <v>어린이자료실</v>
      </c>
      <c r="D468" t="s">
        <v>28</v>
      </c>
      <c r="E468">
        <v>0</v>
      </c>
      <c r="F468">
        <v>0</v>
      </c>
      <c r="G468">
        <v>0</v>
      </c>
      <c r="H468">
        <v>2</v>
      </c>
      <c r="I468">
        <v>1</v>
      </c>
      <c r="J468">
        <v>0</v>
      </c>
      <c r="K468">
        <v>0</v>
      </c>
      <c r="L468">
        <v>0</v>
      </c>
      <c r="M468">
        <v>11</v>
      </c>
      <c r="N468">
        <v>0</v>
      </c>
      <c r="O468">
        <v>0</v>
      </c>
      <c r="P468">
        <v>14</v>
      </c>
    </row>
    <row r="469" spans="1:16" x14ac:dyDescent="0.3">
      <c r="A469" s="1">
        <v>45017</v>
      </c>
      <c r="B469" t="s">
        <v>9</v>
      </c>
      <c r="C469" t="str">
        <f>IFERROR(INDEX(자료실범례[],MATCH($B469,자료실범례[소장처명],0),2),"종합자료실")</f>
        <v>어린이자료실</v>
      </c>
      <c r="D469" t="s">
        <v>25</v>
      </c>
      <c r="E469">
        <v>0</v>
      </c>
      <c r="F469">
        <v>0</v>
      </c>
      <c r="G469">
        <v>0</v>
      </c>
      <c r="H469">
        <v>0</v>
      </c>
      <c r="I469">
        <v>7</v>
      </c>
      <c r="J469">
        <v>0</v>
      </c>
      <c r="K469">
        <v>0</v>
      </c>
      <c r="L469">
        <v>0</v>
      </c>
      <c r="M469">
        <v>9</v>
      </c>
      <c r="N469">
        <v>0</v>
      </c>
      <c r="O469">
        <v>0</v>
      </c>
      <c r="P469">
        <v>16</v>
      </c>
    </row>
    <row r="470" spans="1:16" x14ac:dyDescent="0.3">
      <c r="A470" s="1">
        <v>45017</v>
      </c>
      <c r="B470" t="s">
        <v>10</v>
      </c>
      <c r="C470" t="str">
        <f>IFERROR(INDEX(자료실범례[],MATCH($B470,자료실범례[소장처명],0),2),"종합자료실")</f>
        <v>어린이자료실</v>
      </c>
      <c r="D470" t="s">
        <v>28</v>
      </c>
      <c r="E470">
        <v>0</v>
      </c>
      <c r="F470">
        <v>0</v>
      </c>
      <c r="G470">
        <v>0</v>
      </c>
      <c r="H470">
        <v>3</v>
      </c>
      <c r="I470">
        <v>2</v>
      </c>
      <c r="J470">
        <v>0</v>
      </c>
      <c r="K470">
        <v>0</v>
      </c>
      <c r="L470">
        <v>1</v>
      </c>
      <c r="M470">
        <v>5</v>
      </c>
      <c r="N470">
        <v>1</v>
      </c>
      <c r="O470">
        <v>0</v>
      </c>
      <c r="P470">
        <v>12</v>
      </c>
    </row>
    <row r="471" spans="1:16" x14ac:dyDescent="0.3">
      <c r="A471" s="1">
        <v>45017</v>
      </c>
      <c r="B471" t="s">
        <v>10</v>
      </c>
      <c r="C471" t="str">
        <f>IFERROR(INDEX(자료실범례[],MATCH($B471,자료실범례[소장처명],0),2),"종합자료실")</f>
        <v>어린이자료실</v>
      </c>
      <c r="D471" t="s">
        <v>25</v>
      </c>
      <c r="E471">
        <v>0</v>
      </c>
      <c r="F471">
        <v>0</v>
      </c>
      <c r="G471">
        <v>0</v>
      </c>
      <c r="H471">
        <v>2</v>
      </c>
      <c r="I471">
        <v>1</v>
      </c>
      <c r="J471">
        <v>0</v>
      </c>
      <c r="K471">
        <v>0</v>
      </c>
      <c r="L471">
        <v>1</v>
      </c>
      <c r="M471">
        <v>7</v>
      </c>
      <c r="N471">
        <v>1</v>
      </c>
      <c r="O471">
        <v>0</v>
      </c>
      <c r="P471">
        <v>12</v>
      </c>
    </row>
    <row r="472" spans="1:16" x14ac:dyDescent="0.3">
      <c r="A472" s="1">
        <v>45017</v>
      </c>
      <c r="B472" t="s">
        <v>10</v>
      </c>
      <c r="C472" t="str">
        <f>IFERROR(INDEX(자료실범례[],MATCH($B472,자료실범례[소장처명],0),2),"종합자료실")</f>
        <v>어린이자료실</v>
      </c>
      <c r="D472" t="s">
        <v>31</v>
      </c>
      <c r="E472">
        <v>0</v>
      </c>
      <c r="F472">
        <v>0</v>
      </c>
      <c r="G472">
        <v>0</v>
      </c>
      <c r="H472">
        <v>1</v>
      </c>
      <c r="I472">
        <v>1</v>
      </c>
      <c r="J472">
        <v>0</v>
      </c>
      <c r="K472">
        <v>0</v>
      </c>
      <c r="L472">
        <v>0</v>
      </c>
      <c r="M472">
        <v>2</v>
      </c>
      <c r="N472">
        <v>0</v>
      </c>
      <c r="O472">
        <v>0</v>
      </c>
      <c r="P472">
        <v>4</v>
      </c>
    </row>
    <row r="473" spans="1:16" x14ac:dyDescent="0.3">
      <c r="A473" s="1">
        <v>45017</v>
      </c>
      <c r="B473" t="s">
        <v>11</v>
      </c>
      <c r="C473" t="str">
        <f>IFERROR(INDEX(자료실범례[],MATCH($B473,자료실범례[소장처명],0),2),"종합자료실")</f>
        <v>어린이자료실</v>
      </c>
      <c r="D473" t="s">
        <v>28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16</v>
      </c>
      <c r="N473">
        <v>3</v>
      </c>
      <c r="O473">
        <v>0</v>
      </c>
      <c r="P473">
        <v>20</v>
      </c>
    </row>
    <row r="474" spans="1:16" x14ac:dyDescent="0.3">
      <c r="A474" s="1">
        <v>45017</v>
      </c>
      <c r="B474" t="s">
        <v>11</v>
      </c>
      <c r="C474" t="str">
        <f>IFERROR(INDEX(자료실범례[],MATCH($B474,자료실범례[소장처명],0),2),"종합자료실")</f>
        <v>어린이자료실</v>
      </c>
      <c r="D474" t="s">
        <v>25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11</v>
      </c>
      <c r="N474">
        <v>2</v>
      </c>
      <c r="O474">
        <v>0</v>
      </c>
      <c r="P474">
        <v>13</v>
      </c>
    </row>
    <row r="475" spans="1:16" x14ac:dyDescent="0.3">
      <c r="A475" s="1">
        <v>45017</v>
      </c>
      <c r="B475" t="s">
        <v>11</v>
      </c>
      <c r="C475" t="str">
        <f>IFERROR(INDEX(자료실범례[],MATCH($B475,자료실범례[소장처명],0),2),"종합자료실")</f>
        <v>어린이자료실</v>
      </c>
      <c r="D475" t="s">
        <v>31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0</v>
      </c>
      <c r="P475">
        <v>2</v>
      </c>
    </row>
    <row r="476" spans="1:16" x14ac:dyDescent="0.3">
      <c r="A476" s="1">
        <v>45017</v>
      </c>
      <c r="B476" t="s">
        <v>12</v>
      </c>
      <c r="C476" t="str">
        <f>IFERROR(INDEX(자료실범례[],MATCH($B476,자료실범례[소장처명],0),2),"종합자료실")</f>
        <v>어린이자료실</v>
      </c>
      <c r="D476" t="s">
        <v>28</v>
      </c>
      <c r="E476">
        <v>0</v>
      </c>
      <c r="F476">
        <v>0</v>
      </c>
      <c r="G476">
        <v>0</v>
      </c>
      <c r="H476">
        <v>9</v>
      </c>
      <c r="I476">
        <v>1</v>
      </c>
      <c r="J476">
        <v>1</v>
      </c>
      <c r="K476">
        <v>0</v>
      </c>
      <c r="L476">
        <v>0</v>
      </c>
      <c r="M476">
        <v>9</v>
      </c>
      <c r="N476">
        <v>0</v>
      </c>
      <c r="O476">
        <v>0</v>
      </c>
      <c r="P476">
        <v>20</v>
      </c>
    </row>
    <row r="477" spans="1:16" x14ac:dyDescent="0.3">
      <c r="A477" s="1">
        <v>45017</v>
      </c>
      <c r="B477" t="s">
        <v>12</v>
      </c>
      <c r="C477" t="str">
        <f>IFERROR(INDEX(자료실범례[],MATCH($B477,자료실범례[소장처명],0),2),"종합자료실")</f>
        <v>어린이자료실</v>
      </c>
      <c r="D477" t="s">
        <v>25</v>
      </c>
      <c r="E477">
        <v>0</v>
      </c>
      <c r="F477">
        <v>0</v>
      </c>
      <c r="G477">
        <v>0</v>
      </c>
      <c r="H477">
        <v>6</v>
      </c>
      <c r="I477">
        <v>0</v>
      </c>
      <c r="J477">
        <v>1</v>
      </c>
      <c r="K477">
        <v>0</v>
      </c>
      <c r="L477">
        <v>0</v>
      </c>
      <c r="M477">
        <v>4</v>
      </c>
      <c r="N477">
        <v>0</v>
      </c>
      <c r="O477">
        <v>0</v>
      </c>
      <c r="P477">
        <v>11</v>
      </c>
    </row>
    <row r="478" spans="1:16" x14ac:dyDescent="0.3">
      <c r="A478" s="1">
        <v>45017</v>
      </c>
      <c r="B478" t="s">
        <v>12</v>
      </c>
      <c r="C478" t="str">
        <f>IFERROR(INDEX(자료실범례[],MATCH($B478,자료실범례[소장처명],0),2),"종합자료실")</f>
        <v>어린이자료실</v>
      </c>
      <c r="D478" t="s">
        <v>31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4</v>
      </c>
      <c r="N478">
        <v>0</v>
      </c>
      <c r="O478">
        <v>0</v>
      </c>
      <c r="P478">
        <v>4</v>
      </c>
    </row>
    <row r="479" spans="1:16" x14ac:dyDescent="0.3">
      <c r="A479" s="1">
        <v>45017</v>
      </c>
      <c r="B479" t="s">
        <v>0</v>
      </c>
      <c r="C479" t="str">
        <f>IFERROR(INDEX(자료실범례[],MATCH($B479,자료실범례[소장처명],0),2),"종합자료실")</f>
        <v>어린이자료실</v>
      </c>
      <c r="D479" t="s">
        <v>28</v>
      </c>
      <c r="E479">
        <v>0</v>
      </c>
      <c r="F479">
        <v>0</v>
      </c>
      <c r="G479">
        <v>0</v>
      </c>
      <c r="H479">
        <v>1</v>
      </c>
      <c r="I479">
        <v>2</v>
      </c>
      <c r="J479">
        <v>2</v>
      </c>
      <c r="K479">
        <v>0</v>
      </c>
      <c r="L479">
        <v>10</v>
      </c>
      <c r="M479">
        <v>9</v>
      </c>
      <c r="N479">
        <v>0</v>
      </c>
      <c r="O479">
        <v>0</v>
      </c>
      <c r="P479">
        <v>24</v>
      </c>
    </row>
    <row r="480" spans="1:16" x14ac:dyDescent="0.3">
      <c r="A480" s="1">
        <v>45017</v>
      </c>
      <c r="B480" t="s">
        <v>0</v>
      </c>
      <c r="C480" t="str">
        <f>IFERROR(INDEX(자료실범례[],MATCH($B480,자료실범례[소장처명],0),2),"종합자료실")</f>
        <v>어린이자료실</v>
      </c>
      <c r="D480" t="s">
        <v>25</v>
      </c>
      <c r="E480">
        <v>0</v>
      </c>
      <c r="F480">
        <v>0</v>
      </c>
      <c r="G480">
        <v>0</v>
      </c>
      <c r="H480">
        <v>2</v>
      </c>
      <c r="I480">
        <v>1</v>
      </c>
      <c r="J480">
        <v>0</v>
      </c>
      <c r="K480">
        <v>0</v>
      </c>
      <c r="L480">
        <v>6</v>
      </c>
      <c r="M480">
        <v>5</v>
      </c>
      <c r="N480">
        <v>0</v>
      </c>
      <c r="O480">
        <v>0</v>
      </c>
      <c r="P480">
        <v>14</v>
      </c>
    </row>
    <row r="481" spans="1:16" x14ac:dyDescent="0.3">
      <c r="A481" s="1">
        <v>45017</v>
      </c>
      <c r="B481" t="s">
        <v>0</v>
      </c>
      <c r="C481" t="str">
        <f>IFERROR(INDEX(자료실범례[],MATCH($B481,자료실범례[소장처명],0),2),"종합자료실")</f>
        <v>어린이자료실</v>
      </c>
      <c r="D481" t="s">
        <v>31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2</v>
      </c>
      <c r="K481">
        <v>0</v>
      </c>
      <c r="L481">
        <v>7</v>
      </c>
      <c r="M481">
        <v>3</v>
      </c>
      <c r="N481">
        <v>0</v>
      </c>
      <c r="O481">
        <v>0</v>
      </c>
      <c r="P481">
        <v>13</v>
      </c>
    </row>
    <row r="482" spans="1:16" x14ac:dyDescent="0.3">
      <c r="A482" s="1">
        <v>45017</v>
      </c>
      <c r="B482" t="s">
        <v>1</v>
      </c>
      <c r="C482" t="str">
        <f>IFERROR(INDEX(자료실범례[],MATCH($B482,자료실범례[소장처명],0),2),"종합자료실")</f>
        <v>어린이자료실</v>
      </c>
      <c r="D482" t="s">
        <v>28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31</v>
      </c>
      <c r="M482">
        <v>1</v>
      </c>
      <c r="N482">
        <v>0</v>
      </c>
      <c r="O482">
        <v>0</v>
      </c>
      <c r="P482">
        <v>33</v>
      </c>
    </row>
    <row r="483" spans="1:16" x14ac:dyDescent="0.3">
      <c r="A483" s="1">
        <v>45017</v>
      </c>
      <c r="B483" t="s">
        <v>1</v>
      </c>
      <c r="C483" t="str">
        <f>IFERROR(INDEX(자료실범례[],MATCH($B483,자료실범례[소장처명],0),2),"종합자료실")</f>
        <v>어린이자료실</v>
      </c>
      <c r="D483" t="s">
        <v>25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38</v>
      </c>
      <c r="M483">
        <v>0</v>
      </c>
      <c r="N483">
        <v>0</v>
      </c>
      <c r="O483">
        <v>0</v>
      </c>
      <c r="P483">
        <v>38</v>
      </c>
    </row>
    <row r="484" spans="1:16" x14ac:dyDescent="0.3">
      <c r="A484" s="1">
        <v>45017</v>
      </c>
      <c r="B484" t="s">
        <v>1</v>
      </c>
      <c r="C484" t="str">
        <f>IFERROR(INDEX(자료실범례[],MATCH($B484,자료실범례[소장처명],0),2),"종합자료실")</f>
        <v>어린이자료실</v>
      </c>
      <c r="D484" t="s">
        <v>31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22</v>
      </c>
      <c r="M484">
        <v>1</v>
      </c>
      <c r="N484">
        <v>0</v>
      </c>
      <c r="O484">
        <v>0</v>
      </c>
      <c r="P484">
        <v>23</v>
      </c>
    </row>
    <row r="485" spans="1:16" x14ac:dyDescent="0.3">
      <c r="A485" s="1">
        <v>45017</v>
      </c>
      <c r="B485" t="s">
        <v>6</v>
      </c>
      <c r="C485" t="str">
        <f>IFERROR(INDEX(자료실범례[],MATCH($B485,자료실범례[소장처명],0),2),"종합자료실")</f>
        <v>종합자료실</v>
      </c>
      <c r="D485" t="s">
        <v>28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1</v>
      </c>
      <c r="M485">
        <v>7</v>
      </c>
      <c r="N485">
        <v>4</v>
      </c>
      <c r="O485">
        <v>0</v>
      </c>
      <c r="P485">
        <v>14</v>
      </c>
    </row>
    <row r="486" spans="1:16" x14ac:dyDescent="0.3">
      <c r="A486" s="1">
        <v>45017</v>
      </c>
      <c r="B486" t="s">
        <v>6</v>
      </c>
      <c r="C486" t="str">
        <f>IFERROR(INDEX(자료실범례[],MATCH($B486,자료실범례[소장처명],0),2),"종합자료실")</f>
        <v>종합자료실</v>
      </c>
      <c r="D486" t="s">
        <v>25</v>
      </c>
      <c r="E486">
        <v>0</v>
      </c>
      <c r="F486">
        <v>1</v>
      </c>
      <c r="G486">
        <v>2</v>
      </c>
      <c r="H486">
        <v>1</v>
      </c>
      <c r="I486">
        <v>0</v>
      </c>
      <c r="J486">
        <v>1</v>
      </c>
      <c r="K486">
        <v>0</v>
      </c>
      <c r="L486">
        <v>1</v>
      </c>
      <c r="M486">
        <v>8</v>
      </c>
      <c r="N486">
        <v>2</v>
      </c>
      <c r="O486">
        <v>0</v>
      </c>
      <c r="P486">
        <v>16</v>
      </c>
    </row>
    <row r="487" spans="1:16" x14ac:dyDescent="0.3">
      <c r="A487" s="1">
        <v>45017</v>
      </c>
      <c r="B487" t="s">
        <v>6</v>
      </c>
      <c r="C487" t="str">
        <f>IFERROR(INDEX(자료실범례[],MATCH($B487,자료실범례[소장처명],0),2),"종합자료실")</f>
        <v>종합자료실</v>
      </c>
      <c r="D487" t="s">
        <v>31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1</v>
      </c>
      <c r="K487">
        <v>0</v>
      </c>
      <c r="L487">
        <v>1</v>
      </c>
      <c r="M487">
        <v>1</v>
      </c>
      <c r="N487">
        <v>1</v>
      </c>
      <c r="O487">
        <v>0</v>
      </c>
      <c r="P487">
        <v>5</v>
      </c>
    </row>
    <row r="488" spans="1:16" x14ac:dyDescent="0.3">
      <c r="A488" s="1">
        <v>45017</v>
      </c>
      <c r="B488" t="s">
        <v>18</v>
      </c>
      <c r="C488" t="str">
        <f>IFERROR(INDEX(자료실범례[],MATCH($B488,자료실범례[소장처명],0),2),"종합자료실")</f>
        <v>종합자료실</v>
      </c>
      <c r="D488" t="s">
        <v>28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19</v>
      </c>
      <c r="P488">
        <v>19</v>
      </c>
    </row>
    <row r="489" spans="1:16" x14ac:dyDescent="0.3">
      <c r="A489" s="1">
        <v>45017</v>
      </c>
      <c r="B489" t="s">
        <v>18</v>
      </c>
      <c r="C489" t="str">
        <f>IFERROR(INDEX(자료실범례[],MATCH($B489,자료실범례[소장처명],0),2),"종합자료실")</f>
        <v>종합자료실</v>
      </c>
      <c r="D489" t="s">
        <v>25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22</v>
      </c>
      <c r="P489">
        <v>22</v>
      </c>
    </row>
    <row r="490" spans="1:16" x14ac:dyDescent="0.3">
      <c r="A490" s="1">
        <v>45017</v>
      </c>
      <c r="B490" t="s">
        <v>18</v>
      </c>
      <c r="C490" t="str">
        <f>IFERROR(INDEX(자료실범례[],MATCH($B490,자료실범례[소장처명],0),2),"종합자료실")</f>
        <v>종합자료실</v>
      </c>
      <c r="D490" t="s">
        <v>31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2</v>
      </c>
      <c r="P490">
        <v>2</v>
      </c>
    </row>
    <row r="491" spans="1:16" x14ac:dyDescent="0.3">
      <c r="A491" s="1">
        <v>45017</v>
      </c>
      <c r="B491" t="s">
        <v>17</v>
      </c>
      <c r="C491" t="str">
        <f>IFERROR(INDEX(자료실범례[],MATCH($B491,자료실범례[소장처명],0),2),"종합자료실")</f>
        <v>어린이자료실</v>
      </c>
      <c r="D491" t="s">
        <v>28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12</v>
      </c>
      <c r="P491">
        <v>12</v>
      </c>
    </row>
    <row r="492" spans="1:16" x14ac:dyDescent="0.3">
      <c r="A492" s="1">
        <v>45017</v>
      </c>
      <c r="B492" t="s">
        <v>17</v>
      </c>
      <c r="C492" t="str">
        <f>IFERROR(INDEX(자료실범례[],MATCH($B492,자료실범례[소장처명],0),2),"종합자료실")</f>
        <v>어린이자료실</v>
      </c>
      <c r="D492" t="s">
        <v>25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8</v>
      </c>
      <c r="P492">
        <v>8</v>
      </c>
    </row>
    <row r="493" spans="1:16" x14ac:dyDescent="0.3">
      <c r="A493" s="1">
        <v>45017</v>
      </c>
      <c r="B493" t="s">
        <v>17</v>
      </c>
      <c r="C493" t="str">
        <f>IFERROR(INDEX(자료실범례[],MATCH($B493,자료실범례[소장처명],0),2),"종합자료실")</f>
        <v>어린이자료실</v>
      </c>
      <c r="D493" t="s">
        <v>31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10</v>
      </c>
      <c r="P493">
        <v>10</v>
      </c>
    </row>
    <row r="494" spans="1:16" x14ac:dyDescent="0.3">
      <c r="A494" s="1">
        <v>45413</v>
      </c>
      <c r="B494" t="s">
        <v>21</v>
      </c>
      <c r="C494" t="str">
        <f>IFERROR(INDEX(자료실범례[],MATCH($B494,자료실범례[소장처명],0),2),"종합자료실")</f>
        <v>종합자료실</v>
      </c>
      <c r="D494" t="s">
        <v>28</v>
      </c>
      <c r="E494">
        <v>50</v>
      </c>
      <c r="F494">
        <v>114</v>
      </c>
      <c r="G494">
        <v>22</v>
      </c>
      <c r="H494">
        <v>227</v>
      </c>
      <c r="I494">
        <v>79</v>
      </c>
      <c r="J494">
        <v>113</v>
      </c>
      <c r="K494">
        <v>55</v>
      </c>
      <c r="L494">
        <v>34</v>
      </c>
      <c r="M494">
        <v>439</v>
      </c>
      <c r="N494">
        <v>92</v>
      </c>
      <c r="O494">
        <v>0</v>
      </c>
      <c r="P494">
        <v>1225</v>
      </c>
    </row>
    <row r="495" spans="1:16" x14ac:dyDescent="0.3">
      <c r="A495" s="1">
        <v>45413</v>
      </c>
      <c r="B495" t="s">
        <v>21</v>
      </c>
      <c r="C495" t="str">
        <f>IFERROR(INDEX(자료실범례[],MATCH($B495,자료실범례[소장처명],0),2),"종합자료실")</f>
        <v>종합자료실</v>
      </c>
      <c r="D495" t="s">
        <v>25</v>
      </c>
      <c r="E495">
        <v>49</v>
      </c>
      <c r="F495">
        <v>131</v>
      </c>
      <c r="G495">
        <v>27</v>
      </c>
      <c r="H495">
        <v>260</v>
      </c>
      <c r="I495">
        <v>70</v>
      </c>
      <c r="J495">
        <v>129</v>
      </c>
      <c r="K495">
        <v>60</v>
      </c>
      <c r="L495">
        <v>24</v>
      </c>
      <c r="M495">
        <v>497</v>
      </c>
      <c r="N495">
        <v>104</v>
      </c>
      <c r="O495">
        <v>0</v>
      </c>
      <c r="P495">
        <v>1351</v>
      </c>
    </row>
    <row r="496" spans="1:16" x14ac:dyDescent="0.3">
      <c r="A496" s="1">
        <v>45413</v>
      </c>
      <c r="B496" t="s">
        <v>21</v>
      </c>
      <c r="C496" t="str">
        <f>IFERROR(INDEX(자료실범례[],MATCH($B496,자료실범례[소장처명],0),2),"종합자료실")</f>
        <v>종합자료실</v>
      </c>
      <c r="D496" t="s">
        <v>31</v>
      </c>
      <c r="E496">
        <v>10</v>
      </c>
      <c r="F496">
        <v>39</v>
      </c>
      <c r="G496">
        <v>7</v>
      </c>
      <c r="H496">
        <v>114</v>
      </c>
      <c r="I496">
        <v>34</v>
      </c>
      <c r="J496">
        <v>37</v>
      </c>
      <c r="K496">
        <v>18</v>
      </c>
      <c r="L496">
        <v>14</v>
      </c>
      <c r="M496">
        <v>163</v>
      </c>
      <c r="N496">
        <v>19</v>
      </c>
      <c r="O496">
        <v>0</v>
      </c>
      <c r="P496">
        <v>455</v>
      </c>
    </row>
    <row r="497" spans="1:16" x14ac:dyDescent="0.3">
      <c r="A497" s="1">
        <v>45413</v>
      </c>
      <c r="B497" t="s">
        <v>16</v>
      </c>
      <c r="C497" t="str">
        <f>IFERROR(INDEX(자료실범례[],MATCH($B497,자료실범례[소장처명],0),2),"종합자료실")</f>
        <v>어린이자료실</v>
      </c>
      <c r="D497" t="s">
        <v>28</v>
      </c>
      <c r="E497">
        <v>11</v>
      </c>
      <c r="F497">
        <v>27</v>
      </c>
      <c r="G497">
        <v>6</v>
      </c>
      <c r="H497">
        <v>95</v>
      </c>
      <c r="I497">
        <v>122</v>
      </c>
      <c r="J497">
        <v>35</v>
      </c>
      <c r="K497">
        <v>23</v>
      </c>
      <c r="L497">
        <v>11</v>
      </c>
      <c r="M497">
        <v>597</v>
      </c>
      <c r="N497">
        <v>69</v>
      </c>
      <c r="O497">
        <v>0</v>
      </c>
      <c r="P497">
        <v>996</v>
      </c>
    </row>
    <row r="498" spans="1:16" x14ac:dyDescent="0.3">
      <c r="A498" s="1">
        <v>45413</v>
      </c>
      <c r="B498" t="s">
        <v>16</v>
      </c>
      <c r="C498" t="str">
        <f>IFERROR(INDEX(자료실범례[],MATCH($B498,자료실범례[소장처명],0),2),"종합자료실")</f>
        <v>어린이자료실</v>
      </c>
      <c r="D498" t="s">
        <v>25</v>
      </c>
      <c r="E498">
        <v>20</v>
      </c>
      <c r="F498">
        <v>23</v>
      </c>
      <c r="G498">
        <v>7</v>
      </c>
      <c r="H498">
        <v>111</v>
      </c>
      <c r="I498">
        <v>143</v>
      </c>
      <c r="J498">
        <v>48</v>
      </c>
      <c r="K498">
        <v>16</v>
      </c>
      <c r="L498">
        <v>26</v>
      </c>
      <c r="M498">
        <v>627</v>
      </c>
      <c r="N498">
        <v>76</v>
      </c>
      <c r="O498">
        <v>0</v>
      </c>
      <c r="P498">
        <v>1097</v>
      </c>
    </row>
    <row r="499" spans="1:16" x14ac:dyDescent="0.3">
      <c r="A499" s="1">
        <v>45413</v>
      </c>
      <c r="B499" t="s">
        <v>16</v>
      </c>
      <c r="C499" t="str">
        <f>IFERROR(INDEX(자료실범례[],MATCH($B499,자료실범례[소장처명],0),2),"종합자료실")</f>
        <v>어린이자료실</v>
      </c>
      <c r="D499" t="s">
        <v>31</v>
      </c>
      <c r="E499">
        <v>2</v>
      </c>
      <c r="F499">
        <v>2</v>
      </c>
      <c r="G499">
        <v>1</v>
      </c>
      <c r="H499">
        <v>9</v>
      </c>
      <c r="I499">
        <v>14</v>
      </c>
      <c r="J499">
        <v>3</v>
      </c>
      <c r="K499">
        <v>1</v>
      </c>
      <c r="L499">
        <v>3</v>
      </c>
      <c r="M499">
        <v>126</v>
      </c>
      <c r="N499">
        <v>4</v>
      </c>
      <c r="O499">
        <v>0</v>
      </c>
      <c r="P499">
        <v>165</v>
      </c>
    </row>
    <row r="500" spans="1:16" x14ac:dyDescent="0.3">
      <c r="A500" s="1">
        <v>45413</v>
      </c>
      <c r="B500" t="s">
        <v>2</v>
      </c>
      <c r="C500" t="str">
        <f>IFERROR(INDEX(자료실범례[],MATCH($B500,자료실범례[소장처명],0),2),"종합자료실")</f>
        <v>디지털자료실</v>
      </c>
      <c r="D500" t="s">
        <v>28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15</v>
      </c>
      <c r="L500">
        <v>0</v>
      </c>
      <c r="M500">
        <v>0</v>
      </c>
      <c r="N500">
        <v>0</v>
      </c>
      <c r="O500">
        <v>0</v>
      </c>
      <c r="P500">
        <v>16</v>
      </c>
    </row>
    <row r="501" spans="1:16" x14ac:dyDescent="0.3">
      <c r="A501" s="1">
        <v>45413</v>
      </c>
      <c r="B501" t="s">
        <v>2</v>
      </c>
      <c r="C501" t="str">
        <f>IFERROR(INDEX(자료실범례[],MATCH($B501,자료실범례[소장처명],0),2),"종합자료실")</f>
        <v>디지털자료실</v>
      </c>
      <c r="D501" t="s">
        <v>25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16</v>
      </c>
      <c r="L501">
        <v>0</v>
      </c>
      <c r="M501">
        <v>0</v>
      </c>
      <c r="N501">
        <v>0</v>
      </c>
      <c r="O501">
        <v>0</v>
      </c>
      <c r="P501">
        <v>17</v>
      </c>
    </row>
    <row r="502" spans="1:16" x14ac:dyDescent="0.3">
      <c r="A502" s="1">
        <v>45413</v>
      </c>
      <c r="B502" t="s">
        <v>19</v>
      </c>
      <c r="C502" t="str">
        <f>IFERROR(INDEX(자료실범례[],MATCH($B502,자료실범례[소장처명],0),2),"종합자료실")</f>
        <v>종합자료실</v>
      </c>
      <c r="D502" t="s">
        <v>28</v>
      </c>
      <c r="E502">
        <v>19</v>
      </c>
      <c r="F502">
        <v>75</v>
      </c>
      <c r="G502">
        <v>8</v>
      </c>
      <c r="H502">
        <v>89</v>
      </c>
      <c r="I502">
        <v>30</v>
      </c>
      <c r="J502">
        <v>36</v>
      </c>
      <c r="K502">
        <v>25</v>
      </c>
      <c r="L502">
        <v>9</v>
      </c>
      <c r="M502">
        <v>158</v>
      </c>
      <c r="N502">
        <v>11</v>
      </c>
      <c r="O502">
        <v>0</v>
      </c>
      <c r="P502">
        <v>460</v>
      </c>
    </row>
    <row r="503" spans="1:16" x14ac:dyDescent="0.3">
      <c r="A503" s="1">
        <v>45413</v>
      </c>
      <c r="B503" t="s">
        <v>19</v>
      </c>
      <c r="C503" t="str">
        <f>IFERROR(INDEX(자료실범례[],MATCH($B503,자료실범례[소장처명],0),2),"종합자료실")</f>
        <v>종합자료실</v>
      </c>
      <c r="D503" t="s">
        <v>25</v>
      </c>
      <c r="E503">
        <v>18</v>
      </c>
      <c r="F503">
        <v>62</v>
      </c>
      <c r="G503">
        <v>8</v>
      </c>
      <c r="H503">
        <v>63</v>
      </c>
      <c r="I503">
        <v>18</v>
      </c>
      <c r="J503">
        <v>39</v>
      </c>
      <c r="K503">
        <v>17</v>
      </c>
      <c r="L503">
        <v>7</v>
      </c>
      <c r="M503">
        <v>119</v>
      </c>
      <c r="N503">
        <v>10</v>
      </c>
      <c r="O503">
        <v>0</v>
      </c>
      <c r="P503">
        <v>361</v>
      </c>
    </row>
    <row r="504" spans="1:16" x14ac:dyDescent="0.3">
      <c r="A504" s="1">
        <v>45413</v>
      </c>
      <c r="B504" t="s">
        <v>19</v>
      </c>
      <c r="C504" t="str">
        <f>IFERROR(INDEX(자료실범례[],MATCH($B504,자료실범례[소장처명],0),2),"종합자료실")</f>
        <v>종합자료실</v>
      </c>
      <c r="D504" t="s">
        <v>31</v>
      </c>
      <c r="E504">
        <v>8</v>
      </c>
      <c r="F504">
        <v>26</v>
      </c>
      <c r="G504">
        <v>3</v>
      </c>
      <c r="H504">
        <v>32</v>
      </c>
      <c r="I504">
        <v>6</v>
      </c>
      <c r="J504">
        <v>17</v>
      </c>
      <c r="K504">
        <v>12</v>
      </c>
      <c r="L504">
        <v>5</v>
      </c>
      <c r="M504">
        <v>61</v>
      </c>
      <c r="N504">
        <v>5</v>
      </c>
      <c r="O504">
        <v>0</v>
      </c>
      <c r="P504">
        <v>175</v>
      </c>
    </row>
    <row r="505" spans="1:16" x14ac:dyDescent="0.3">
      <c r="A505" s="1">
        <v>45413</v>
      </c>
      <c r="B505" t="s">
        <v>14</v>
      </c>
      <c r="C505" t="str">
        <f>IFERROR(INDEX(자료실범례[],MATCH($B505,자료실범례[소장처명],0),2),"종합자료실")</f>
        <v>어린이자료실</v>
      </c>
      <c r="D505" t="s">
        <v>28</v>
      </c>
      <c r="E505">
        <v>2</v>
      </c>
      <c r="F505">
        <v>9</v>
      </c>
      <c r="G505">
        <v>14</v>
      </c>
      <c r="H505">
        <v>35</v>
      </c>
      <c r="I505">
        <v>43</v>
      </c>
      <c r="J505">
        <v>12</v>
      </c>
      <c r="K505">
        <v>8</v>
      </c>
      <c r="L505">
        <v>10</v>
      </c>
      <c r="M505">
        <v>254</v>
      </c>
      <c r="N505">
        <v>41</v>
      </c>
      <c r="O505">
        <v>0</v>
      </c>
      <c r="P505">
        <v>428</v>
      </c>
    </row>
    <row r="506" spans="1:16" x14ac:dyDescent="0.3">
      <c r="A506" s="1">
        <v>45413</v>
      </c>
      <c r="B506" t="s">
        <v>14</v>
      </c>
      <c r="C506" t="str">
        <f>IFERROR(INDEX(자료실범례[],MATCH($B506,자료실범례[소장처명],0),2),"종합자료실")</f>
        <v>어린이자료실</v>
      </c>
      <c r="D506" t="s">
        <v>25</v>
      </c>
      <c r="E506">
        <v>1</v>
      </c>
      <c r="F506">
        <v>9</v>
      </c>
      <c r="G506">
        <v>15</v>
      </c>
      <c r="H506">
        <v>21</v>
      </c>
      <c r="I506">
        <v>41</v>
      </c>
      <c r="J506">
        <v>11</v>
      </c>
      <c r="K506">
        <v>9</v>
      </c>
      <c r="L506">
        <v>10</v>
      </c>
      <c r="M506">
        <v>204</v>
      </c>
      <c r="N506">
        <v>28</v>
      </c>
      <c r="O506">
        <v>0</v>
      </c>
      <c r="P506">
        <v>349</v>
      </c>
    </row>
    <row r="507" spans="1:16" x14ac:dyDescent="0.3">
      <c r="A507" s="1">
        <v>45413</v>
      </c>
      <c r="B507" t="s">
        <v>14</v>
      </c>
      <c r="C507" t="str">
        <f>IFERROR(INDEX(자료실범례[],MATCH($B507,자료실범례[소장처명],0),2),"종합자료실")</f>
        <v>어린이자료실</v>
      </c>
      <c r="D507" t="s">
        <v>31</v>
      </c>
      <c r="E507">
        <v>0</v>
      </c>
      <c r="F507">
        <v>1</v>
      </c>
      <c r="G507">
        <v>3</v>
      </c>
      <c r="H507">
        <v>4</v>
      </c>
      <c r="I507">
        <v>10</v>
      </c>
      <c r="J507">
        <v>1</v>
      </c>
      <c r="K507">
        <v>0</v>
      </c>
      <c r="L507">
        <v>0</v>
      </c>
      <c r="M507">
        <v>49</v>
      </c>
      <c r="N507">
        <v>8</v>
      </c>
      <c r="O507">
        <v>0</v>
      </c>
      <c r="P507">
        <v>76</v>
      </c>
    </row>
    <row r="508" spans="1:16" x14ac:dyDescent="0.3">
      <c r="A508" s="1">
        <v>45413</v>
      </c>
      <c r="B508" t="s">
        <v>197</v>
      </c>
      <c r="C508" t="str">
        <f>IFERROR(INDEX(자료실범례[],MATCH($B508,자료실범례[소장처명],0),2),"종합자료실")</f>
        <v>종합자료실</v>
      </c>
      <c r="D508" t="s">
        <v>28</v>
      </c>
      <c r="E508">
        <v>0</v>
      </c>
      <c r="F508">
        <v>2</v>
      </c>
      <c r="G508">
        <v>0</v>
      </c>
      <c r="H508">
        <v>3</v>
      </c>
      <c r="I508">
        <v>2</v>
      </c>
      <c r="J508">
        <v>0</v>
      </c>
      <c r="K508">
        <v>0</v>
      </c>
      <c r="L508">
        <v>0</v>
      </c>
      <c r="M508">
        <v>9</v>
      </c>
      <c r="N508">
        <v>2</v>
      </c>
      <c r="O508">
        <v>0</v>
      </c>
      <c r="P508">
        <v>18</v>
      </c>
    </row>
    <row r="509" spans="1:16" x14ac:dyDescent="0.3">
      <c r="A509" s="1">
        <v>45413</v>
      </c>
      <c r="B509" t="s">
        <v>197</v>
      </c>
      <c r="C509" t="str">
        <f>IFERROR(INDEX(자료실범례[],MATCH($B509,자료실범례[소장처명],0),2),"종합자료실")</f>
        <v>종합자료실</v>
      </c>
      <c r="D509" t="s">
        <v>25</v>
      </c>
      <c r="E509">
        <v>0</v>
      </c>
      <c r="F509">
        <v>2</v>
      </c>
      <c r="G509">
        <v>0</v>
      </c>
      <c r="H509">
        <v>2</v>
      </c>
      <c r="I509">
        <v>2</v>
      </c>
      <c r="J509">
        <v>1</v>
      </c>
      <c r="K509">
        <v>0</v>
      </c>
      <c r="L509">
        <v>0</v>
      </c>
      <c r="M509">
        <v>11</v>
      </c>
      <c r="N509">
        <v>0</v>
      </c>
      <c r="O509">
        <v>0</v>
      </c>
      <c r="P509">
        <v>18</v>
      </c>
    </row>
    <row r="510" spans="1:16" x14ac:dyDescent="0.3">
      <c r="A510" s="1">
        <v>45413</v>
      </c>
      <c r="B510" t="s">
        <v>197</v>
      </c>
      <c r="C510" t="str">
        <f>IFERROR(INDEX(자료실범례[],MATCH($B510,자료실범례[소장처명],0),2),"종합자료실")</f>
        <v>종합자료실</v>
      </c>
      <c r="D510" t="s">
        <v>31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3</v>
      </c>
      <c r="N510">
        <v>0</v>
      </c>
      <c r="O510">
        <v>0</v>
      </c>
      <c r="P510">
        <v>3</v>
      </c>
    </row>
    <row r="511" spans="1:16" x14ac:dyDescent="0.3">
      <c r="A511" s="1">
        <v>45413</v>
      </c>
      <c r="B511" t="s">
        <v>198</v>
      </c>
      <c r="C511" t="str">
        <f>IFERROR(INDEX(자료실범례[],MATCH($B511,자료실범례[소장처명],0),2),"종합자료실")</f>
        <v>어린이자료실</v>
      </c>
      <c r="D511" t="s">
        <v>28</v>
      </c>
      <c r="E511">
        <v>0</v>
      </c>
      <c r="F511">
        <v>0</v>
      </c>
      <c r="G511">
        <v>0</v>
      </c>
      <c r="H511">
        <v>3</v>
      </c>
      <c r="I511">
        <v>0</v>
      </c>
      <c r="J511">
        <v>3</v>
      </c>
      <c r="K511">
        <v>2</v>
      </c>
      <c r="L511">
        <v>0</v>
      </c>
      <c r="M511">
        <v>28</v>
      </c>
      <c r="N511">
        <v>2</v>
      </c>
      <c r="O511">
        <v>0</v>
      </c>
      <c r="P511">
        <v>38</v>
      </c>
    </row>
    <row r="512" spans="1:16" x14ac:dyDescent="0.3">
      <c r="A512" s="1">
        <v>45413</v>
      </c>
      <c r="B512" t="s">
        <v>198</v>
      </c>
      <c r="C512" t="str">
        <f>IFERROR(INDEX(자료실범례[],MATCH($B512,자료실범례[소장처명],0),2),"종합자료실")</f>
        <v>어린이자료실</v>
      </c>
      <c r="D512" t="s">
        <v>25</v>
      </c>
      <c r="E512">
        <v>0</v>
      </c>
      <c r="F512">
        <v>0</v>
      </c>
      <c r="G512">
        <v>0</v>
      </c>
      <c r="H512">
        <v>3</v>
      </c>
      <c r="I512">
        <v>0</v>
      </c>
      <c r="J512">
        <v>2</v>
      </c>
      <c r="K512">
        <v>1</v>
      </c>
      <c r="L512">
        <v>0</v>
      </c>
      <c r="M512">
        <v>24</v>
      </c>
      <c r="N512">
        <v>1</v>
      </c>
      <c r="O512">
        <v>0</v>
      </c>
      <c r="P512">
        <v>31</v>
      </c>
    </row>
    <row r="513" spans="1:16" x14ac:dyDescent="0.3">
      <c r="A513" s="1">
        <v>45413</v>
      </c>
      <c r="B513" t="s">
        <v>198</v>
      </c>
      <c r="C513" t="str">
        <f>IFERROR(INDEX(자료실범례[],MATCH($B513,자료실범례[소장처명],0),2),"종합자료실")</f>
        <v>어린이자료실</v>
      </c>
      <c r="D513" t="s">
        <v>31</v>
      </c>
      <c r="E513">
        <v>0</v>
      </c>
      <c r="F513">
        <v>0</v>
      </c>
      <c r="G513">
        <v>0</v>
      </c>
      <c r="H513">
        <v>2</v>
      </c>
      <c r="I513">
        <v>0</v>
      </c>
      <c r="J513">
        <v>0</v>
      </c>
      <c r="K513">
        <v>0</v>
      </c>
      <c r="L513">
        <v>0</v>
      </c>
      <c r="M513">
        <v>8</v>
      </c>
      <c r="N513">
        <v>0</v>
      </c>
      <c r="O513">
        <v>0</v>
      </c>
      <c r="P513">
        <v>10</v>
      </c>
    </row>
    <row r="514" spans="1:16" x14ac:dyDescent="0.3">
      <c r="A514" s="1">
        <v>45413</v>
      </c>
      <c r="B514" t="s">
        <v>13</v>
      </c>
      <c r="C514" t="str">
        <f>IFERROR(INDEX(자료실범례[],MATCH($B514,자료실범례[소장처명],0),2),"종합자료실")</f>
        <v>어린이자료실</v>
      </c>
      <c r="D514" t="s">
        <v>28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2</v>
      </c>
      <c r="N514">
        <v>0</v>
      </c>
      <c r="O514">
        <v>0</v>
      </c>
      <c r="P514">
        <v>2</v>
      </c>
    </row>
    <row r="515" spans="1:16" x14ac:dyDescent="0.3">
      <c r="A515" s="1">
        <v>45413</v>
      </c>
      <c r="B515" t="s">
        <v>13</v>
      </c>
      <c r="C515" t="str">
        <f>IFERROR(INDEX(자료실범례[],MATCH($B515,자료실범례[소장처명],0),2),"종합자료실")</f>
        <v>어린이자료실</v>
      </c>
      <c r="D515" t="s">
        <v>25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7</v>
      </c>
      <c r="N515">
        <v>0</v>
      </c>
      <c r="O515">
        <v>0</v>
      </c>
      <c r="P515">
        <v>7</v>
      </c>
    </row>
    <row r="516" spans="1:16" x14ac:dyDescent="0.3">
      <c r="A516" s="1">
        <v>45413</v>
      </c>
      <c r="B516" t="s">
        <v>13</v>
      </c>
      <c r="C516" t="str">
        <f>IFERROR(INDEX(자료실범례[],MATCH($B516,자료실범례[소장처명],0),2),"종합자료실")</f>
        <v>어린이자료실</v>
      </c>
      <c r="D516" t="s">
        <v>31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2</v>
      </c>
      <c r="N516">
        <v>0</v>
      </c>
      <c r="O516">
        <v>0</v>
      </c>
      <c r="P516">
        <v>2</v>
      </c>
    </row>
    <row r="517" spans="1:16" x14ac:dyDescent="0.3">
      <c r="A517" s="1">
        <v>45413</v>
      </c>
      <c r="B517" t="s">
        <v>15</v>
      </c>
      <c r="C517" t="str">
        <f>IFERROR(INDEX(자료실범례[],MATCH($B517,자료실범례[소장처명],0),2),"종합자료실")</f>
        <v>어린이자료실</v>
      </c>
      <c r="D517" t="s">
        <v>28</v>
      </c>
      <c r="E517">
        <v>1</v>
      </c>
      <c r="F517">
        <v>1</v>
      </c>
      <c r="G517">
        <v>6</v>
      </c>
      <c r="H517">
        <v>4</v>
      </c>
      <c r="I517">
        <v>134</v>
      </c>
      <c r="J517">
        <v>16</v>
      </c>
      <c r="K517">
        <v>0</v>
      </c>
      <c r="L517">
        <v>75</v>
      </c>
      <c r="M517">
        <v>33</v>
      </c>
      <c r="N517">
        <v>133</v>
      </c>
      <c r="O517">
        <v>0</v>
      </c>
      <c r="P517">
        <v>403</v>
      </c>
    </row>
    <row r="518" spans="1:16" x14ac:dyDescent="0.3">
      <c r="A518" s="1">
        <v>45413</v>
      </c>
      <c r="B518" t="s">
        <v>15</v>
      </c>
      <c r="C518" t="str">
        <f>IFERROR(INDEX(자료실범례[],MATCH($B518,자료실범례[소장처명],0),2),"종합자료실")</f>
        <v>어린이자료실</v>
      </c>
      <c r="D518" t="s">
        <v>25</v>
      </c>
      <c r="E518">
        <v>1</v>
      </c>
      <c r="F518">
        <v>0</v>
      </c>
      <c r="G518">
        <v>11</v>
      </c>
      <c r="H518">
        <v>3</v>
      </c>
      <c r="I518">
        <v>171</v>
      </c>
      <c r="J518">
        <v>18</v>
      </c>
      <c r="K518">
        <v>0</v>
      </c>
      <c r="L518">
        <v>65</v>
      </c>
      <c r="M518">
        <v>41</v>
      </c>
      <c r="N518">
        <v>112</v>
      </c>
      <c r="O518">
        <v>0</v>
      </c>
      <c r="P518">
        <v>422</v>
      </c>
    </row>
    <row r="519" spans="1:16" x14ac:dyDescent="0.3">
      <c r="A519" s="1">
        <v>45413</v>
      </c>
      <c r="B519" t="s">
        <v>15</v>
      </c>
      <c r="C519" t="str">
        <f>IFERROR(INDEX(자료실범례[],MATCH($B519,자료실범례[소장처명],0),2),"종합자료실")</f>
        <v>어린이자료실</v>
      </c>
      <c r="D519" t="s">
        <v>31</v>
      </c>
      <c r="E519">
        <v>0</v>
      </c>
      <c r="F519">
        <v>0</v>
      </c>
      <c r="G519">
        <v>2</v>
      </c>
      <c r="H519">
        <v>0</v>
      </c>
      <c r="I519">
        <v>7</v>
      </c>
      <c r="J519">
        <v>0</v>
      </c>
      <c r="K519">
        <v>0</v>
      </c>
      <c r="L519">
        <v>0</v>
      </c>
      <c r="M519">
        <v>3</v>
      </c>
      <c r="N519">
        <v>0</v>
      </c>
      <c r="O519">
        <v>0</v>
      </c>
      <c r="P519">
        <v>12</v>
      </c>
    </row>
    <row r="520" spans="1:16" x14ac:dyDescent="0.3">
      <c r="A520" s="1">
        <v>45413</v>
      </c>
      <c r="B520" t="s">
        <v>4</v>
      </c>
      <c r="C520" t="str">
        <f>IFERROR(INDEX(자료실범례[],MATCH($B520,자료실범례[소장처명],0),2),"종합자료실")</f>
        <v>어린이자료실</v>
      </c>
      <c r="D520" t="s">
        <v>28</v>
      </c>
      <c r="E520">
        <v>0</v>
      </c>
      <c r="F520">
        <v>2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14</v>
      </c>
      <c r="N520">
        <v>0</v>
      </c>
      <c r="O520">
        <v>0</v>
      </c>
      <c r="P520">
        <v>17</v>
      </c>
    </row>
    <row r="521" spans="1:16" x14ac:dyDescent="0.3">
      <c r="A521" s="1">
        <v>45413</v>
      </c>
      <c r="B521" t="s">
        <v>4</v>
      </c>
      <c r="C521" t="str">
        <f>IFERROR(INDEX(자료실범례[],MATCH($B521,자료실범례[소장처명],0),2),"종합자료실")</f>
        <v>어린이자료실</v>
      </c>
      <c r="D521" t="s">
        <v>25</v>
      </c>
      <c r="E521">
        <v>0</v>
      </c>
      <c r="F521">
        <v>4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12</v>
      </c>
      <c r="N521">
        <v>0</v>
      </c>
      <c r="O521">
        <v>0</v>
      </c>
      <c r="P521">
        <v>17</v>
      </c>
    </row>
    <row r="522" spans="1:16" x14ac:dyDescent="0.3">
      <c r="A522" s="1">
        <v>45413</v>
      </c>
      <c r="B522" t="s">
        <v>4</v>
      </c>
      <c r="C522" t="str">
        <f>IFERROR(INDEX(자료실범례[],MATCH($B522,자료실범례[소장처명],0),2),"종합자료실")</f>
        <v>어린이자료실</v>
      </c>
      <c r="D522" t="s">
        <v>31</v>
      </c>
      <c r="E522">
        <v>0</v>
      </c>
      <c r="F522">
        <v>2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2</v>
      </c>
      <c r="N522">
        <v>0</v>
      </c>
      <c r="O522">
        <v>0</v>
      </c>
      <c r="P522">
        <v>5</v>
      </c>
    </row>
    <row r="523" spans="1:16" x14ac:dyDescent="0.3">
      <c r="A523" s="1">
        <v>45413</v>
      </c>
      <c r="B523" t="s">
        <v>5</v>
      </c>
      <c r="C523" t="str">
        <f>IFERROR(INDEX(자료실범례[],MATCH($B523,자료실범례[소장처명],0),2),"종합자료실")</f>
        <v>종합자료실</v>
      </c>
      <c r="D523" t="s">
        <v>28</v>
      </c>
      <c r="E523">
        <v>1</v>
      </c>
      <c r="F523">
        <v>2</v>
      </c>
      <c r="G523">
        <v>0</v>
      </c>
      <c r="H523">
        <v>6</v>
      </c>
      <c r="I523">
        <v>4</v>
      </c>
      <c r="J523">
        <v>8</v>
      </c>
      <c r="K523">
        <v>2</v>
      </c>
      <c r="L523">
        <v>1</v>
      </c>
      <c r="M523">
        <v>10</v>
      </c>
      <c r="N523">
        <v>0</v>
      </c>
      <c r="O523">
        <v>0</v>
      </c>
      <c r="P523">
        <v>34</v>
      </c>
    </row>
    <row r="524" spans="1:16" x14ac:dyDescent="0.3">
      <c r="A524" s="1">
        <v>45413</v>
      </c>
      <c r="B524" t="s">
        <v>5</v>
      </c>
      <c r="C524" t="str">
        <f>IFERROR(INDEX(자료실범례[],MATCH($B524,자료실범례[소장처명],0),2),"종합자료실")</f>
        <v>종합자료실</v>
      </c>
      <c r="D524" t="s">
        <v>25</v>
      </c>
      <c r="E524">
        <v>1</v>
      </c>
      <c r="F524">
        <v>5</v>
      </c>
      <c r="G524">
        <v>1</v>
      </c>
      <c r="H524">
        <v>3</v>
      </c>
      <c r="I524">
        <v>3</v>
      </c>
      <c r="J524">
        <v>2</v>
      </c>
      <c r="K524">
        <v>1</v>
      </c>
      <c r="L524">
        <v>1</v>
      </c>
      <c r="M524">
        <v>5</v>
      </c>
      <c r="N524">
        <v>0</v>
      </c>
      <c r="O524">
        <v>0</v>
      </c>
      <c r="P524">
        <v>22</v>
      </c>
    </row>
    <row r="525" spans="1:16" x14ac:dyDescent="0.3">
      <c r="A525" s="1">
        <v>45413</v>
      </c>
      <c r="B525" t="s">
        <v>5</v>
      </c>
      <c r="C525" t="str">
        <f>IFERROR(INDEX(자료실범례[],MATCH($B525,자료실범례[소장처명],0),2),"종합자료실")</f>
        <v>종합자료실</v>
      </c>
      <c r="D525" t="s">
        <v>31</v>
      </c>
      <c r="E525">
        <v>1</v>
      </c>
      <c r="F525">
        <v>3</v>
      </c>
      <c r="G525">
        <v>1</v>
      </c>
      <c r="H525">
        <v>4</v>
      </c>
      <c r="I525">
        <v>1</v>
      </c>
      <c r="J525">
        <v>8</v>
      </c>
      <c r="K525">
        <v>0</v>
      </c>
      <c r="L525">
        <v>1</v>
      </c>
      <c r="M525">
        <v>4</v>
      </c>
      <c r="N525">
        <v>0</v>
      </c>
      <c r="O525">
        <v>0</v>
      </c>
      <c r="P525">
        <v>23</v>
      </c>
    </row>
    <row r="526" spans="1:16" x14ac:dyDescent="0.3">
      <c r="A526" s="1">
        <v>45413</v>
      </c>
      <c r="B526" t="s">
        <v>7</v>
      </c>
      <c r="C526" t="str">
        <f>IFERROR(INDEX(자료실범례[],MATCH($B526,자료실범례[소장처명],0),2),"종합자료실")</f>
        <v>어린이자료실</v>
      </c>
      <c r="D526" t="s">
        <v>28</v>
      </c>
      <c r="E526">
        <v>0</v>
      </c>
      <c r="F526">
        <v>0</v>
      </c>
      <c r="G526">
        <v>0</v>
      </c>
      <c r="H526">
        <v>6</v>
      </c>
      <c r="I526">
        <v>2</v>
      </c>
      <c r="J526">
        <v>2</v>
      </c>
      <c r="K526">
        <v>0</v>
      </c>
      <c r="L526">
        <v>2</v>
      </c>
      <c r="M526">
        <v>33</v>
      </c>
      <c r="N526">
        <v>0</v>
      </c>
      <c r="O526">
        <v>0</v>
      </c>
      <c r="P526">
        <v>45</v>
      </c>
    </row>
    <row r="527" spans="1:16" x14ac:dyDescent="0.3">
      <c r="A527" s="1">
        <v>45413</v>
      </c>
      <c r="B527" t="s">
        <v>7</v>
      </c>
      <c r="C527" t="str">
        <f>IFERROR(INDEX(자료실범례[],MATCH($B527,자료실범례[소장처명],0),2),"종합자료실")</f>
        <v>어린이자료실</v>
      </c>
      <c r="D527" t="s">
        <v>25</v>
      </c>
      <c r="E527">
        <v>0</v>
      </c>
      <c r="F527">
        <v>1</v>
      </c>
      <c r="G527">
        <v>0</v>
      </c>
      <c r="H527">
        <v>12</v>
      </c>
      <c r="I527">
        <v>1</v>
      </c>
      <c r="J527">
        <v>2</v>
      </c>
      <c r="K527">
        <v>0</v>
      </c>
      <c r="L527">
        <v>3</v>
      </c>
      <c r="M527">
        <v>37</v>
      </c>
      <c r="N527">
        <v>0</v>
      </c>
      <c r="O527">
        <v>0</v>
      </c>
      <c r="P527">
        <v>56</v>
      </c>
    </row>
    <row r="528" spans="1:16" x14ac:dyDescent="0.3">
      <c r="A528" s="1">
        <v>45413</v>
      </c>
      <c r="B528" t="s">
        <v>7</v>
      </c>
      <c r="C528" t="str">
        <f>IFERROR(INDEX(자료실범례[],MATCH($B528,자료실범례[소장처명],0),2),"종합자료실")</f>
        <v>어린이자료실</v>
      </c>
      <c r="D528" t="s">
        <v>31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5</v>
      </c>
      <c r="N528">
        <v>0</v>
      </c>
      <c r="O528">
        <v>0</v>
      </c>
      <c r="P528">
        <v>6</v>
      </c>
    </row>
    <row r="529" spans="1:16" x14ac:dyDescent="0.3">
      <c r="A529" s="1">
        <v>45413</v>
      </c>
      <c r="B529" t="s">
        <v>8</v>
      </c>
      <c r="C529" t="str">
        <f>IFERROR(INDEX(자료실범례[],MATCH($B529,자료실범례[소장처명],0),2),"종합자료실")</f>
        <v>어린이자료실</v>
      </c>
      <c r="D529" t="s">
        <v>28</v>
      </c>
      <c r="E529">
        <v>0</v>
      </c>
      <c r="F529">
        <v>2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25</v>
      </c>
      <c r="N529">
        <v>0</v>
      </c>
      <c r="O529">
        <v>0</v>
      </c>
      <c r="P529">
        <v>27</v>
      </c>
    </row>
    <row r="530" spans="1:16" x14ac:dyDescent="0.3">
      <c r="A530" s="1">
        <v>45413</v>
      </c>
      <c r="B530" t="s">
        <v>8</v>
      </c>
      <c r="C530" t="str">
        <f>IFERROR(INDEX(자료실범례[],MATCH($B530,자료실범례[소장처명],0),2),"종합자료실")</f>
        <v>어린이자료실</v>
      </c>
      <c r="D530" t="s">
        <v>25</v>
      </c>
      <c r="E530">
        <v>0</v>
      </c>
      <c r="F530">
        <v>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32</v>
      </c>
      <c r="N530">
        <v>0</v>
      </c>
      <c r="O530">
        <v>0</v>
      </c>
      <c r="P530">
        <v>34</v>
      </c>
    </row>
    <row r="531" spans="1:16" x14ac:dyDescent="0.3">
      <c r="A531" s="1">
        <v>45413</v>
      </c>
      <c r="B531" t="s">
        <v>8</v>
      </c>
      <c r="C531" t="str">
        <f>IFERROR(INDEX(자료실범례[],MATCH($B531,자료실범례[소장처명],0),2),"종합자료실")</f>
        <v>어린이자료실</v>
      </c>
      <c r="D531" t="s">
        <v>31</v>
      </c>
      <c r="E531">
        <v>0</v>
      </c>
      <c r="F531">
        <v>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3</v>
      </c>
      <c r="N531">
        <v>0</v>
      </c>
      <c r="O531">
        <v>0</v>
      </c>
      <c r="P531">
        <v>5</v>
      </c>
    </row>
    <row r="532" spans="1:16" x14ac:dyDescent="0.3">
      <c r="A532" s="1">
        <v>45413</v>
      </c>
      <c r="B532" t="s">
        <v>9</v>
      </c>
      <c r="C532" t="str">
        <f>IFERROR(INDEX(자료실범례[],MATCH($B532,자료실범례[소장처명],0),2),"종합자료실")</f>
        <v>어린이자료실</v>
      </c>
      <c r="D532" t="s">
        <v>28</v>
      </c>
      <c r="E532">
        <v>0</v>
      </c>
      <c r="F532">
        <v>0</v>
      </c>
      <c r="G532">
        <v>0</v>
      </c>
      <c r="H532">
        <v>2</v>
      </c>
      <c r="I532">
        <v>5</v>
      </c>
      <c r="J532">
        <v>0</v>
      </c>
      <c r="K532">
        <v>0</v>
      </c>
      <c r="L532">
        <v>0</v>
      </c>
      <c r="M532">
        <v>3</v>
      </c>
      <c r="N532">
        <v>0</v>
      </c>
      <c r="O532">
        <v>0</v>
      </c>
      <c r="P532">
        <v>10</v>
      </c>
    </row>
    <row r="533" spans="1:16" x14ac:dyDescent="0.3">
      <c r="A533" s="1">
        <v>45413</v>
      </c>
      <c r="B533" t="s">
        <v>9</v>
      </c>
      <c r="C533" t="str">
        <f>IFERROR(INDEX(자료실범례[],MATCH($B533,자료실범례[소장처명],0),2),"종합자료실")</f>
        <v>어린이자료실</v>
      </c>
      <c r="D533" t="s">
        <v>25</v>
      </c>
      <c r="E533">
        <v>0</v>
      </c>
      <c r="F533">
        <v>1</v>
      </c>
      <c r="G533">
        <v>0</v>
      </c>
      <c r="H533">
        <v>1</v>
      </c>
      <c r="I533">
        <v>2</v>
      </c>
      <c r="J533">
        <v>0</v>
      </c>
      <c r="K533">
        <v>0</v>
      </c>
      <c r="L533">
        <v>0</v>
      </c>
      <c r="M533">
        <v>5</v>
      </c>
      <c r="N533">
        <v>0</v>
      </c>
      <c r="O533">
        <v>0</v>
      </c>
      <c r="P533">
        <v>9</v>
      </c>
    </row>
    <row r="534" spans="1:16" x14ac:dyDescent="0.3">
      <c r="A534" s="1">
        <v>45413</v>
      </c>
      <c r="B534" t="s">
        <v>9</v>
      </c>
      <c r="C534" t="str">
        <f>IFERROR(INDEX(자료실범례[],MATCH($B534,자료실범례[소장처명],0),2),"종합자료실")</f>
        <v>어린이자료실</v>
      </c>
      <c r="D534" t="s">
        <v>31</v>
      </c>
      <c r="E534">
        <v>0</v>
      </c>
      <c r="F534">
        <v>0</v>
      </c>
      <c r="G534">
        <v>0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2</v>
      </c>
    </row>
    <row r="535" spans="1:16" x14ac:dyDescent="0.3">
      <c r="A535" s="1">
        <v>45413</v>
      </c>
      <c r="B535" t="s">
        <v>10</v>
      </c>
      <c r="C535" t="str">
        <f>IFERROR(INDEX(자료실범례[],MATCH($B535,자료실범례[소장처명],0),2),"종합자료실")</f>
        <v>어린이자료실</v>
      </c>
      <c r="D535" t="s">
        <v>28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2</v>
      </c>
      <c r="M535">
        <v>8</v>
      </c>
      <c r="N535">
        <v>7</v>
      </c>
      <c r="O535">
        <v>0</v>
      </c>
      <c r="P535">
        <v>18</v>
      </c>
    </row>
    <row r="536" spans="1:16" x14ac:dyDescent="0.3">
      <c r="A536" s="1">
        <v>45413</v>
      </c>
      <c r="B536" t="s">
        <v>10</v>
      </c>
      <c r="C536" t="str">
        <f>IFERROR(INDEX(자료실범례[],MATCH($B536,자료실범례[소장처명],0),2),"종합자료실")</f>
        <v>어린이자료실</v>
      </c>
      <c r="D536" t="s">
        <v>25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1</v>
      </c>
      <c r="M536">
        <v>10</v>
      </c>
      <c r="N536">
        <v>7</v>
      </c>
      <c r="O536">
        <v>0</v>
      </c>
      <c r="P536">
        <v>19</v>
      </c>
    </row>
    <row r="537" spans="1:16" x14ac:dyDescent="0.3">
      <c r="A537" s="1">
        <v>45413</v>
      </c>
      <c r="B537" t="s">
        <v>10</v>
      </c>
      <c r="C537" t="str">
        <f>IFERROR(INDEX(자료실범례[],MATCH($B537,자료실범례[소장처명],0),2),"종합자료실")</f>
        <v>어린이자료실</v>
      </c>
      <c r="D537" t="s">
        <v>31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5</v>
      </c>
      <c r="N537">
        <v>7</v>
      </c>
      <c r="O537">
        <v>0</v>
      </c>
      <c r="P537">
        <v>13</v>
      </c>
    </row>
    <row r="538" spans="1:16" x14ac:dyDescent="0.3">
      <c r="A538" s="1">
        <v>45413</v>
      </c>
      <c r="B538" t="s">
        <v>11</v>
      </c>
      <c r="C538" t="str">
        <f>IFERROR(INDEX(자료실범례[],MATCH($B538,자료실범례[소장처명],0),2),"종합자료실")</f>
        <v>어린이자료실</v>
      </c>
      <c r="D538" t="s">
        <v>28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1</v>
      </c>
      <c r="K538">
        <v>1</v>
      </c>
      <c r="L538">
        <v>0</v>
      </c>
      <c r="M538">
        <v>16</v>
      </c>
      <c r="N538">
        <v>1</v>
      </c>
      <c r="O538">
        <v>0</v>
      </c>
      <c r="P538">
        <v>20</v>
      </c>
    </row>
    <row r="539" spans="1:16" x14ac:dyDescent="0.3">
      <c r="A539" s="1">
        <v>45413</v>
      </c>
      <c r="B539" t="s">
        <v>11</v>
      </c>
      <c r="C539" t="str">
        <f>IFERROR(INDEX(자료실범례[],MATCH($B539,자료실범례[소장처명],0),2),"종합자료실")</f>
        <v>어린이자료실</v>
      </c>
      <c r="D539" t="s">
        <v>25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9</v>
      </c>
      <c r="N539">
        <v>0</v>
      </c>
      <c r="O539">
        <v>0</v>
      </c>
      <c r="P539">
        <v>10</v>
      </c>
    </row>
    <row r="540" spans="1:16" x14ac:dyDescent="0.3">
      <c r="A540" s="1">
        <v>45413</v>
      </c>
      <c r="B540" t="s">
        <v>11</v>
      </c>
      <c r="C540" t="str">
        <f>IFERROR(INDEX(자료실범례[],MATCH($B540,자료실범례[소장처명],0),2),"종합자료실")</f>
        <v>어린이자료실</v>
      </c>
      <c r="D540" t="s">
        <v>31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8</v>
      </c>
      <c r="N540">
        <v>1</v>
      </c>
      <c r="O540">
        <v>0</v>
      </c>
      <c r="P540">
        <v>10</v>
      </c>
    </row>
    <row r="541" spans="1:16" x14ac:dyDescent="0.3">
      <c r="A541" s="1">
        <v>45413</v>
      </c>
      <c r="B541" t="s">
        <v>12</v>
      </c>
      <c r="C541" t="str">
        <f>IFERROR(INDEX(자료실범례[],MATCH($B541,자료실범례[소장처명],0),2),"종합자료실")</f>
        <v>어린이자료실</v>
      </c>
      <c r="D541" t="s">
        <v>28</v>
      </c>
      <c r="E541">
        <v>0</v>
      </c>
      <c r="F541">
        <v>0</v>
      </c>
      <c r="G541">
        <v>0</v>
      </c>
      <c r="H541">
        <v>3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2</v>
      </c>
      <c r="O541">
        <v>0</v>
      </c>
      <c r="P541">
        <v>6</v>
      </c>
    </row>
    <row r="542" spans="1:16" x14ac:dyDescent="0.3">
      <c r="A542" s="1">
        <v>45413</v>
      </c>
      <c r="B542" t="s">
        <v>12</v>
      </c>
      <c r="C542" t="str">
        <f>IFERROR(INDEX(자료실범례[],MATCH($B542,자료실범례[소장처명],0),2),"종합자료실")</f>
        <v>어린이자료실</v>
      </c>
      <c r="D542" t="s">
        <v>25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3</v>
      </c>
      <c r="O542">
        <v>0</v>
      </c>
      <c r="P542">
        <v>4</v>
      </c>
    </row>
    <row r="543" spans="1:16" x14ac:dyDescent="0.3">
      <c r="A543" s="1">
        <v>45413</v>
      </c>
      <c r="B543" t="s">
        <v>12</v>
      </c>
      <c r="C543" t="str">
        <f>IFERROR(INDEX(자료실범례[],MATCH($B543,자료실범례[소장처명],0),2),"종합자료실")</f>
        <v>어린이자료실</v>
      </c>
      <c r="D543" t="s">
        <v>31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</v>
      </c>
    </row>
    <row r="544" spans="1:16" x14ac:dyDescent="0.3">
      <c r="A544" s="1">
        <v>45413</v>
      </c>
      <c r="B544" t="s">
        <v>0</v>
      </c>
      <c r="C544" t="str">
        <f>IFERROR(INDEX(자료실범례[],MATCH($B544,자료실범례[소장처명],0),2),"종합자료실")</f>
        <v>어린이자료실</v>
      </c>
      <c r="D544" t="s">
        <v>28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14</v>
      </c>
      <c r="N544">
        <v>0</v>
      </c>
      <c r="O544">
        <v>0</v>
      </c>
      <c r="P544">
        <v>14</v>
      </c>
    </row>
    <row r="545" spans="1:16" x14ac:dyDescent="0.3">
      <c r="A545" s="1">
        <v>45413</v>
      </c>
      <c r="B545" t="s">
        <v>0</v>
      </c>
      <c r="C545" t="str">
        <f>IFERROR(INDEX(자료실범례[],MATCH($B545,자료실범례[소장처명],0),2),"종합자료실")</f>
        <v>어린이자료실</v>
      </c>
      <c r="D545" t="s">
        <v>25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18</v>
      </c>
      <c r="N545">
        <v>0</v>
      </c>
      <c r="O545">
        <v>0</v>
      </c>
      <c r="P545">
        <v>19</v>
      </c>
    </row>
    <row r="546" spans="1:16" x14ac:dyDescent="0.3">
      <c r="A546" s="1">
        <v>45413</v>
      </c>
      <c r="B546" t="s">
        <v>0</v>
      </c>
      <c r="C546" t="str">
        <f>IFERROR(INDEX(자료실범례[],MATCH($B546,자료실범례[소장처명],0),2),"종합자료실")</f>
        <v>어린이자료실</v>
      </c>
      <c r="D546" t="s">
        <v>31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6</v>
      </c>
      <c r="N546">
        <v>0</v>
      </c>
      <c r="O546">
        <v>0</v>
      </c>
      <c r="P546">
        <v>6</v>
      </c>
    </row>
    <row r="547" spans="1:16" x14ac:dyDescent="0.3">
      <c r="A547" s="1">
        <v>45413</v>
      </c>
      <c r="B547" t="s">
        <v>1</v>
      </c>
      <c r="C547" t="str">
        <f>IFERROR(INDEX(자료실범례[],MATCH($B547,자료실범례[소장처명],0),2),"종합자료실")</f>
        <v>어린이자료실</v>
      </c>
      <c r="D547" t="s">
        <v>28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29</v>
      </c>
      <c r="M547">
        <v>4</v>
      </c>
      <c r="N547">
        <v>0</v>
      </c>
      <c r="O547">
        <v>0</v>
      </c>
      <c r="P547">
        <v>33</v>
      </c>
    </row>
    <row r="548" spans="1:16" x14ac:dyDescent="0.3">
      <c r="A548" s="1">
        <v>45413</v>
      </c>
      <c r="B548" t="s">
        <v>1</v>
      </c>
      <c r="C548" t="str">
        <f>IFERROR(INDEX(자료실범례[],MATCH($B548,자료실범례[소장처명],0),2),"종합자료실")</f>
        <v>어린이자료실</v>
      </c>
      <c r="D548" t="s">
        <v>25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74</v>
      </c>
      <c r="M548">
        <v>3</v>
      </c>
      <c r="N548">
        <v>0</v>
      </c>
      <c r="O548">
        <v>0</v>
      </c>
      <c r="P548">
        <v>77</v>
      </c>
    </row>
    <row r="549" spans="1:16" x14ac:dyDescent="0.3">
      <c r="A549" s="1">
        <v>45413</v>
      </c>
      <c r="B549" t="s">
        <v>1</v>
      </c>
      <c r="C549" t="str">
        <f>IFERROR(INDEX(자료실범례[],MATCH($B549,자료실범례[소장처명],0),2),"종합자료실")</f>
        <v>어린이자료실</v>
      </c>
      <c r="D549" t="s">
        <v>31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50</v>
      </c>
      <c r="M549">
        <v>1</v>
      </c>
      <c r="N549">
        <v>0</v>
      </c>
      <c r="O549">
        <v>0</v>
      </c>
      <c r="P549">
        <v>51</v>
      </c>
    </row>
    <row r="550" spans="1:16" x14ac:dyDescent="0.3">
      <c r="A550" s="1">
        <v>45413</v>
      </c>
      <c r="B550" t="s">
        <v>6</v>
      </c>
      <c r="C550" t="str">
        <f>IFERROR(INDEX(자료실범례[],MATCH($B550,자료실범례[소장처명],0),2),"종합자료실")</f>
        <v>종합자료실</v>
      </c>
      <c r="D550" t="s">
        <v>28</v>
      </c>
      <c r="E550">
        <v>2</v>
      </c>
      <c r="F550">
        <v>1</v>
      </c>
      <c r="G550">
        <v>0</v>
      </c>
      <c r="H550">
        <v>8</v>
      </c>
      <c r="I550">
        <v>9</v>
      </c>
      <c r="J550">
        <v>4</v>
      </c>
      <c r="K550">
        <v>5</v>
      </c>
      <c r="L550">
        <v>3</v>
      </c>
      <c r="M550">
        <v>37</v>
      </c>
      <c r="N550">
        <v>2</v>
      </c>
      <c r="O550">
        <v>0</v>
      </c>
      <c r="P550">
        <v>71</v>
      </c>
    </row>
    <row r="551" spans="1:16" x14ac:dyDescent="0.3">
      <c r="A551" s="1">
        <v>45413</v>
      </c>
      <c r="B551" t="s">
        <v>6</v>
      </c>
      <c r="C551" t="str">
        <f>IFERROR(INDEX(자료실범례[],MATCH($B551,자료실범례[소장처명],0),2),"종합자료실")</f>
        <v>종합자료실</v>
      </c>
      <c r="D551" t="s">
        <v>25</v>
      </c>
      <c r="E551">
        <v>3</v>
      </c>
      <c r="F551">
        <v>2</v>
      </c>
      <c r="G551">
        <v>0</v>
      </c>
      <c r="H551">
        <v>9</v>
      </c>
      <c r="I551">
        <v>9</v>
      </c>
      <c r="J551">
        <v>5</v>
      </c>
      <c r="K551">
        <v>3</v>
      </c>
      <c r="L551">
        <v>3</v>
      </c>
      <c r="M551">
        <v>31</v>
      </c>
      <c r="N551">
        <v>3</v>
      </c>
      <c r="O551">
        <v>0</v>
      </c>
      <c r="P551">
        <v>68</v>
      </c>
    </row>
    <row r="552" spans="1:16" x14ac:dyDescent="0.3">
      <c r="A552" s="1">
        <v>45413</v>
      </c>
      <c r="B552" t="s">
        <v>6</v>
      </c>
      <c r="C552" t="str">
        <f>IFERROR(INDEX(자료실범례[],MATCH($B552,자료실범례[소장처명],0),2),"종합자료실")</f>
        <v>종합자료실</v>
      </c>
      <c r="D552" t="s">
        <v>31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5</v>
      </c>
      <c r="N552">
        <v>0</v>
      </c>
      <c r="O552">
        <v>0</v>
      </c>
      <c r="P552">
        <v>6</v>
      </c>
    </row>
    <row r="553" spans="1:16" x14ac:dyDescent="0.3">
      <c r="A553" s="1">
        <v>45413</v>
      </c>
      <c r="B553" t="s">
        <v>18</v>
      </c>
      <c r="C553" t="str">
        <f>IFERROR(INDEX(자료실범례[],MATCH($B553,자료실범례[소장처명],0),2),"종합자료실")</f>
        <v>종합자료실</v>
      </c>
      <c r="D553" t="s">
        <v>28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4</v>
      </c>
      <c r="P553">
        <v>4</v>
      </c>
    </row>
    <row r="554" spans="1:16" x14ac:dyDescent="0.3">
      <c r="A554" s="1">
        <v>45413</v>
      </c>
      <c r="B554" t="s">
        <v>18</v>
      </c>
      <c r="C554" t="str">
        <f>IFERROR(INDEX(자료실범례[],MATCH($B554,자료실범례[소장처명],0),2),"종합자료실")</f>
        <v>종합자료실</v>
      </c>
      <c r="D554" t="s">
        <v>25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4</v>
      </c>
      <c r="P554">
        <v>4</v>
      </c>
    </row>
    <row r="555" spans="1:16" x14ac:dyDescent="0.3">
      <c r="A555" s="1">
        <v>45413</v>
      </c>
      <c r="B555" t="s">
        <v>18</v>
      </c>
      <c r="C555" t="str">
        <f>IFERROR(INDEX(자료실범례[],MATCH($B555,자료실범례[소장처명],0),2),"종합자료실")</f>
        <v>종합자료실</v>
      </c>
      <c r="D555" t="s">
        <v>31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2</v>
      </c>
      <c r="P555">
        <v>2</v>
      </c>
    </row>
    <row r="556" spans="1:16" x14ac:dyDescent="0.3">
      <c r="A556" s="1">
        <v>45413</v>
      </c>
      <c r="B556" t="s">
        <v>17</v>
      </c>
      <c r="C556" t="str">
        <f>IFERROR(INDEX(자료실범례[],MATCH($B556,자료실범례[소장처명],0),2),"종합자료실")</f>
        <v>어린이자료실</v>
      </c>
      <c r="D556" t="s">
        <v>28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4</v>
      </c>
      <c r="P556">
        <v>4</v>
      </c>
    </row>
    <row r="557" spans="1:16" x14ac:dyDescent="0.3">
      <c r="A557" s="1">
        <v>45413</v>
      </c>
      <c r="B557" t="s">
        <v>17</v>
      </c>
      <c r="C557" t="str">
        <f>IFERROR(INDEX(자료실범례[],MATCH($B557,자료실범례[소장처명],0),2),"종합자료실")</f>
        <v>어린이자료실</v>
      </c>
      <c r="D557" t="s">
        <v>25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2</v>
      </c>
      <c r="P557">
        <v>2</v>
      </c>
    </row>
    <row r="558" spans="1:16" x14ac:dyDescent="0.3">
      <c r="A558" s="1">
        <v>45047</v>
      </c>
      <c r="B558" t="s">
        <v>21</v>
      </c>
      <c r="C558" t="str">
        <f>IFERROR(INDEX(자료실범례[],MATCH($B558,자료실범례[소장처명],0),2),"종합자료실")</f>
        <v>종합자료실</v>
      </c>
      <c r="D558" t="s">
        <v>28</v>
      </c>
      <c r="E558">
        <v>40</v>
      </c>
      <c r="F558">
        <v>120</v>
      </c>
      <c r="G558">
        <v>47</v>
      </c>
      <c r="H558">
        <v>259</v>
      </c>
      <c r="I558">
        <v>52</v>
      </c>
      <c r="J558">
        <v>145</v>
      </c>
      <c r="K558">
        <v>62</v>
      </c>
      <c r="L558">
        <v>32</v>
      </c>
      <c r="M558">
        <v>512</v>
      </c>
      <c r="N558">
        <v>101</v>
      </c>
      <c r="O558">
        <v>0</v>
      </c>
      <c r="P558">
        <v>1370</v>
      </c>
    </row>
    <row r="559" spans="1:16" x14ac:dyDescent="0.3">
      <c r="A559" s="1">
        <v>45047</v>
      </c>
      <c r="B559" t="s">
        <v>21</v>
      </c>
      <c r="C559" t="str">
        <f>IFERROR(INDEX(자료실범례[],MATCH($B559,자료실범례[소장처명],0),2),"종합자료실")</f>
        <v>종합자료실</v>
      </c>
      <c r="D559" t="s">
        <v>25</v>
      </c>
      <c r="E559">
        <v>51</v>
      </c>
      <c r="F559">
        <v>143</v>
      </c>
      <c r="G559">
        <v>42</v>
      </c>
      <c r="H559">
        <v>293</v>
      </c>
      <c r="I559">
        <v>46</v>
      </c>
      <c r="J559">
        <v>163</v>
      </c>
      <c r="K559">
        <v>58</v>
      </c>
      <c r="L559">
        <v>23</v>
      </c>
      <c r="M559">
        <v>534</v>
      </c>
      <c r="N559">
        <v>95</v>
      </c>
      <c r="O559">
        <v>0</v>
      </c>
      <c r="P559">
        <v>1448</v>
      </c>
    </row>
    <row r="560" spans="1:16" x14ac:dyDescent="0.3">
      <c r="A560" s="1">
        <v>45047</v>
      </c>
      <c r="B560" t="s">
        <v>21</v>
      </c>
      <c r="C560" t="str">
        <f>IFERROR(INDEX(자료실범례[],MATCH($B560,자료실범례[소장처명],0),2),"종합자료실")</f>
        <v>종합자료실</v>
      </c>
      <c r="D560" t="s">
        <v>31</v>
      </c>
      <c r="E560">
        <v>12</v>
      </c>
      <c r="F560">
        <v>65</v>
      </c>
      <c r="G560">
        <v>19</v>
      </c>
      <c r="H560">
        <v>138</v>
      </c>
      <c r="I560">
        <v>13</v>
      </c>
      <c r="J560">
        <v>45</v>
      </c>
      <c r="K560">
        <v>22</v>
      </c>
      <c r="L560">
        <v>17</v>
      </c>
      <c r="M560">
        <v>157</v>
      </c>
      <c r="N560">
        <v>39</v>
      </c>
      <c r="O560">
        <v>0</v>
      </c>
      <c r="P560">
        <v>527</v>
      </c>
    </row>
    <row r="561" spans="1:16" x14ac:dyDescent="0.3">
      <c r="A561" s="1">
        <v>45047</v>
      </c>
      <c r="B561" t="s">
        <v>16</v>
      </c>
      <c r="C561" t="str">
        <f>IFERROR(INDEX(자료실범례[],MATCH($B561,자료실범례[소장처명],0),2),"종합자료실")</f>
        <v>어린이자료실</v>
      </c>
      <c r="D561" t="s">
        <v>28</v>
      </c>
      <c r="E561">
        <v>20</v>
      </c>
      <c r="F561">
        <v>24</v>
      </c>
      <c r="G561">
        <v>3</v>
      </c>
      <c r="H561">
        <v>85</v>
      </c>
      <c r="I561">
        <v>128</v>
      </c>
      <c r="J561">
        <v>35</v>
      </c>
      <c r="K561">
        <v>25</v>
      </c>
      <c r="L561">
        <v>23</v>
      </c>
      <c r="M561">
        <v>833</v>
      </c>
      <c r="N561">
        <v>36</v>
      </c>
      <c r="O561">
        <v>0</v>
      </c>
      <c r="P561">
        <v>1212</v>
      </c>
    </row>
    <row r="562" spans="1:16" x14ac:dyDescent="0.3">
      <c r="A562" s="1">
        <v>45047</v>
      </c>
      <c r="B562" t="s">
        <v>16</v>
      </c>
      <c r="C562" t="str">
        <f>IFERROR(INDEX(자료실범례[],MATCH($B562,자료실범례[소장처명],0),2),"종합자료실")</f>
        <v>어린이자료실</v>
      </c>
      <c r="D562" t="s">
        <v>25</v>
      </c>
      <c r="E562">
        <v>19</v>
      </c>
      <c r="F562">
        <v>23</v>
      </c>
      <c r="G562">
        <v>6</v>
      </c>
      <c r="H562">
        <v>110</v>
      </c>
      <c r="I562">
        <v>141</v>
      </c>
      <c r="J562">
        <v>26</v>
      </c>
      <c r="K562">
        <v>10</v>
      </c>
      <c r="L562">
        <v>18</v>
      </c>
      <c r="M562">
        <v>864</v>
      </c>
      <c r="N562">
        <v>32</v>
      </c>
      <c r="O562">
        <v>0</v>
      </c>
      <c r="P562">
        <v>1249</v>
      </c>
    </row>
    <row r="563" spans="1:16" x14ac:dyDescent="0.3">
      <c r="A563" s="1">
        <v>45047</v>
      </c>
      <c r="B563" t="s">
        <v>16</v>
      </c>
      <c r="C563" t="str">
        <f>IFERROR(INDEX(자료실범례[],MATCH($B563,자료실범례[소장처명],0),2),"종합자료실")</f>
        <v>어린이자료실</v>
      </c>
      <c r="D563" t="s">
        <v>31</v>
      </c>
      <c r="E563">
        <v>5</v>
      </c>
      <c r="F563">
        <v>12</v>
      </c>
      <c r="G563">
        <v>2</v>
      </c>
      <c r="H563">
        <v>43</v>
      </c>
      <c r="I563">
        <v>39</v>
      </c>
      <c r="J563">
        <v>3</v>
      </c>
      <c r="K563">
        <v>2</v>
      </c>
      <c r="L563">
        <v>3</v>
      </c>
      <c r="M563">
        <v>217</v>
      </c>
      <c r="N563">
        <v>9</v>
      </c>
      <c r="O563">
        <v>0</v>
      </c>
      <c r="P563">
        <v>335</v>
      </c>
    </row>
    <row r="564" spans="1:16" x14ac:dyDescent="0.3">
      <c r="A564" s="1">
        <v>45047</v>
      </c>
      <c r="B564" t="s">
        <v>2</v>
      </c>
      <c r="C564" t="str">
        <f>IFERROR(INDEX(자료실범례[],MATCH($B564,자료실범례[소장처명],0),2),"종합자료실")</f>
        <v>디지털자료실</v>
      </c>
      <c r="D564" t="s">
        <v>28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14</v>
      </c>
      <c r="L564">
        <v>5</v>
      </c>
      <c r="M564">
        <v>0</v>
      </c>
      <c r="N564">
        <v>0</v>
      </c>
      <c r="O564">
        <v>0</v>
      </c>
      <c r="P564">
        <v>19</v>
      </c>
    </row>
    <row r="565" spans="1:16" x14ac:dyDescent="0.3">
      <c r="A565" s="1">
        <v>45047</v>
      </c>
      <c r="B565" t="s">
        <v>2</v>
      </c>
      <c r="C565" t="str">
        <f>IFERROR(INDEX(자료실범례[],MATCH($B565,자료실범례[소장처명],0),2),"종합자료실")</f>
        <v>디지털자료실</v>
      </c>
      <c r="D565" t="s">
        <v>25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15</v>
      </c>
      <c r="L565">
        <v>5</v>
      </c>
      <c r="M565">
        <v>0</v>
      </c>
      <c r="N565">
        <v>0</v>
      </c>
      <c r="O565">
        <v>0</v>
      </c>
      <c r="P565">
        <v>20</v>
      </c>
    </row>
    <row r="566" spans="1:16" x14ac:dyDescent="0.3">
      <c r="A566" s="1">
        <v>45047</v>
      </c>
      <c r="B566" t="s">
        <v>13</v>
      </c>
      <c r="C566" t="str">
        <f>IFERROR(INDEX(자료실범례[],MATCH($B566,자료실범례[소장처명],0),2),"종합자료실")</f>
        <v>어린이자료실</v>
      </c>
      <c r="D566" t="s">
        <v>25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3</v>
      </c>
      <c r="N566">
        <v>0</v>
      </c>
      <c r="O566">
        <v>0</v>
      </c>
      <c r="P566">
        <v>3</v>
      </c>
    </row>
    <row r="567" spans="1:16" x14ac:dyDescent="0.3">
      <c r="A567" s="1">
        <v>45047</v>
      </c>
      <c r="B567" t="s">
        <v>15</v>
      </c>
      <c r="C567" t="str">
        <f>IFERROR(INDEX(자료실범례[],MATCH($B567,자료실범례[소장처명],0),2),"종합자료실")</f>
        <v>어린이자료실</v>
      </c>
      <c r="D567" t="s">
        <v>28</v>
      </c>
      <c r="E567">
        <v>0</v>
      </c>
      <c r="F567">
        <v>0</v>
      </c>
      <c r="G567">
        <v>17</v>
      </c>
      <c r="H567">
        <v>3</v>
      </c>
      <c r="I567">
        <v>182</v>
      </c>
      <c r="J567">
        <v>39</v>
      </c>
      <c r="K567">
        <v>0</v>
      </c>
      <c r="L567">
        <v>55</v>
      </c>
      <c r="M567">
        <v>23</v>
      </c>
      <c r="N567">
        <v>121</v>
      </c>
      <c r="O567">
        <v>0</v>
      </c>
      <c r="P567">
        <v>440</v>
      </c>
    </row>
    <row r="568" spans="1:16" x14ac:dyDescent="0.3">
      <c r="A568" s="1">
        <v>45047</v>
      </c>
      <c r="B568" t="s">
        <v>15</v>
      </c>
      <c r="C568" t="str">
        <f>IFERROR(INDEX(자료실범례[],MATCH($B568,자료실범례[소장처명],0),2),"종합자료실")</f>
        <v>어린이자료실</v>
      </c>
      <c r="D568" t="s">
        <v>25</v>
      </c>
      <c r="E568">
        <v>0</v>
      </c>
      <c r="F568">
        <v>0</v>
      </c>
      <c r="G568">
        <v>23</v>
      </c>
      <c r="H568">
        <v>3</v>
      </c>
      <c r="I568">
        <v>189</v>
      </c>
      <c r="J568">
        <v>39</v>
      </c>
      <c r="K568">
        <v>0</v>
      </c>
      <c r="L568">
        <v>59</v>
      </c>
      <c r="M568">
        <v>25</v>
      </c>
      <c r="N568">
        <v>136</v>
      </c>
      <c r="O568">
        <v>0</v>
      </c>
      <c r="P568">
        <v>474</v>
      </c>
    </row>
    <row r="569" spans="1:16" x14ac:dyDescent="0.3">
      <c r="A569" s="1">
        <v>45047</v>
      </c>
      <c r="B569" t="s">
        <v>15</v>
      </c>
      <c r="C569" t="str">
        <f>IFERROR(INDEX(자료실범례[],MATCH($B569,자료실범례[소장처명],0),2),"종합자료실")</f>
        <v>어린이자료실</v>
      </c>
      <c r="D569" t="s">
        <v>31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2</v>
      </c>
      <c r="N569">
        <v>4</v>
      </c>
      <c r="O569">
        <v>0</v>
      </c>
      <c r="P569">
        <v>7</v>
      </c>
    </row>
    <row r="570" spans="1:16" x14ac:dyDescent="0.3">
      <c r="A570" s="1">
        <v>45047</v>
      </c>
      <c r="B570" t="s">
        <v>20</v>
      </c>
      <c r="C570" t="str">
        <f>IFERROR(INDEX(자료실범례[],MATCH($B570,자료실범례[소장처명],0),2),"종합자료실")</f>
        <v>종합자료실</v>
      </c>
      <c r="D570" t="s">
        <v>28</v>
      </c>
      <c r="E570">
        <v>1</v>
      </c>
      <c r="F570">
        <v>1</v>
      </c>
      <c r="G570">
        <v>0</v>
      </c>
      <c r="H570">
        <v>3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5</v>
      </c>
    </row>
    <row r="571" spans="1:16" x14ac:dyDescent="0.3">
      <c r="A571" s="1">
        <v>45047</v>
      </c>
      <c r="B571" t="s">
        <v>20</v>
      </c>
      <c r="C571" t="str">
        <f>IFERROR(INDEX(자료실범례[],MATCH($B571,자료실범례[소장처명],0),2),"종합자료실")</f>
        <v>종합자료실</v>
      </c>
      <c r="D571" t="s">
        <v>25</v>
      </c>
      <c r="E571">
        <v>0</v>
      </c>
      <c r="F571">
        <v>0</v>
      </c>
      <c r="G571">
        <v>0</v>
      </c>
      <c r="H571">
        <v>4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4</v>
      </c>
    </row>
    <row r="572" spans="1:16" x14ac:dyDescent="0.3">
      <c r="A572" s="1">
        <v>45047</v>
      </c>
      <c r="B572" t="s">
        <v>20</v>
      </c>
      <c r="C572" t="str">
        <f>IFERROR(INDEX(자료실범례[],MATCH($B572,자료실범례[소장처명],0),2),"종합자료실")</f>
        <v>종합자료실</v>
      </c>
      <c r="D572" t="s">
        <v>31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</v>
      </c>
    </row>
    <row r="573" spans="1:16" x14ac:dyDescent="0.3">
      <c r="A573" s="1">
        <v>45047</v>
      </c>
      <c r="B573" t="s">
        <v>4</v>
      </c>
      <c r="C573" t="str">
        <f>IFERROR(INDEX(자료실범례[],MATCH($B573,자료실범례[소장처명],0),2),"종합자료실")</f>
        <v>어린이자료실</v>
      </c>
      <c r="D573" t="s">
        <v>28</v>
      </c>
      <c r="E573">
        <v>0</v>
      </c>
      <c r="F573">
        <v>0</v>
      </c>
      <c r="G573">
        <v>0</v>
      </c>
      <c r="H573">
        <v>0</v>
      </c>
      <c r="I573">
        <v>5</v>
      </c>
      <c r="J573">
        <v>0</v>
      </c>
      <c r="K573">
        <v>0</v>
      </c>
      <c r="L573">
        <v>2</v>
      </c>
      <c r="M573">
        <v>27</v>
      </c>
      <c r="N573">
        <v>1</v>
      </c>
      <c r="O573">
        <v>0</v>
      </c>
      <c r="P573">
        <v>35</v>
      </c>
    </row>
    <row r="574" spans="1:16" x14ac:dyDescent="0.3">
      <c r="A574" s="1">
        <v>45047</v>
      </c>
      <c r="B574" t="s">
        <v>4</v>
      </c>
      <c r="C574" t="str">
        <f>IFERROR(INDEX(자료실범례[],MATCH($B574,자료실범례[소장처명],0),2),"종합자료실")</f>
        <v>어린이자료실</v>
      </c>
      <c r="D574" t="s">
        <v>25</v>
      </c>
      <c r="E574">
        <v>0</v>
      </c>
      <c r="F574">
        <v>0</v>
      </c>
      <c r="G574">
        <v>0</v>
      </c>
      <c r="H574">
        <v>0</v>
      </c>
      <c r="I574">
        <v>3</v>
      </c>
      <c r="J574">
        <v>1</v>
      </c>
      <c r="K574">
        <v>0</v>
      </c>
      <c r="L574">
        <v>1</v>
      </c>
      <c r="M574">
        <v>24</v>
      </c>
      <c r="N574">
        <v>1</v>
      </c>
      <c r="O574">
        <v>0</v>
      </c>
      <c r="P574">
        <v>30</v>
      </c>
    </row>
    <row r="575" spans="1:16" x14ac:dyDescent="0.3">
      <c r="A575" s="1">
        <v>45047</v>
      </c>
      <c r="B575" t="s">
        <v>4</v>
      </c>
      <c r="C575" t="str">
        <f>IFERROR(INDEX(자료실범례[],MATCH($B575,자료실범례[소장처명],0),2),"종합자료실")</f>
        <v>어린이자료실</v>
      </c>
      <c r="D575" t="s">
        <v>31</v>
      </c>
      <c r="E575">
        <v>0</v>
      </c>
      <c r="F575">
        <v>0</v>
      </c>
      <c r="G575">
        <v>0</v>
      </c>
      <c r="H575">
        <v>0</v>
      </c>
      <c r="I575">
        <v>2</v>
      </c>
      <c r="J575">
        <v>0</v>
      </c>
      <c r="K575">
        <v>0</v>
      </c>
      <c r="L575">
        <v>0</v>
      </c>
      <c r="M575">
        <v>3</v>
      </c>
      <c r="N575">
        <v>1</v>
      </c>
      <c r="O575">
        <v>0</v>
      </c>
      <c r="P575">
        <v>6</v>
      </c>
    </row>
    <row r="576" spans="1:16" x14ac:dyDescent="0.3">
      <c r="A576" s="1">
        <v>45047</v>
      </c>
      <c r="B576" t="s">
        <v>5</v>
      </c>
      <c r="C576" t="str">
        <f>IFERROR(INDEX(자료실범례[],MATCH($B576,자료실범례[소장처명],0),2),"종합자료실")</f>
        <v>종합자료실</v>
      </c>
      <c r="D576" t="s">
        <v>28</v>
      </c>
      <c r="E576">
        <v>0</v>
      </c>
      <c r="F576">
        <v>5</v>
      </c>
      <c r="G576">
        <v>0</v>
      </c>
      <c r="H576">
        <v>8</v>
      </c>
      <c r="I576">
        <v>3</v>
      </c>
      <c r="J576">
        <v>0</v>
      </c>
      <c r="K576">
        <v>2</v>
      </c>
      <c r="L576">
        <v>0</v>
      </c>
      <c r="M576">
        <v>3</v>
      </c>
      <c r="N576">
        <v>0</v>
      </c>
      <c r="O576">
        <v>0</v>
      </c>
      <c r="P576">
        <v>21</v>
      </c>
    </row>
    <row r="577" spans="1:16" x14ac:dyDescent="0.3">
      <c r="A577" s="1">
        <v>45047</v>
      </c>
      <c r="B577" t="s">
        <v>5</v>
      </c>
      <c r="C577" t="str">
        <f>IFERROR(INDEX(자료실범례[],MATCH($B577,자료실범례[소장처명],0),2),"종합자료실")</f>
        <v>종합자료실</v>
      </c>
      <c r="D577" t="s">
        <v>25</v>
      </c>
      <c r="E577">
        <v>1</v>
      </c>
      <c r="F577">
        <v>5</v>
      </c>
      <c r="G577">
        <v>1</v>
      </c>
      <c r="H577">
        <v>7</v>
      </c>
      <c r="I577">
        <v>3</v>
      </c>
      <c r="J577">
        <v>0</v>
      </c>
      <c r="K577">
        <v>1</v>
      </c>
      <c r="L577">
        <v>0</v>
      </c>
      <c r="M577">
        <v>9</v>
      </c>
      <c r="N577">
        <v>1</v>
      </c>
      <c r="O577">
        <v>0</v>
      </c>
      <c r="P577">
        <v>28</v>
      </c>
    </row>
    <row r="578" spans="1:16" x14ac:dyDescent="0.3">
      <c r="A578" s="1">
        <v>45047</v>
      </c>
      <c r="B578" t="s">
        <v>5</v>
      </c>
      <c r="C578" t="str">
        <f>IFERROR(INDEX(자료실범례[],MATCH($B578,자료실범례[소장처명],0),2),"종합자료실")</f>
        <v>종합자료실</v>
      </c>
      <c r="D578" t="s">
        <v>31</v>
      </c>
      <c r="E578">
        <v>0</v>
      </c>
      <c r="F578">
        <v>2</v>
      </c>
      <c r="G578">
        <v>1</v>
      </c>
      <c r="H578">
        <v>1</v>
      </c>
      <c r="I578">
        <v>0</v>
      </c>
      <c r="J578">
        <v>0</v>
      </c>
      <c r="K578">
        <v>1</v>
      </c>
      <c r="L578">
        <v>0</v>
      </c>
      <c r="M578">
        <v>1</v>
      </c>
      <c r="N578">
        <v>0</v>
      </c>
      <c r="O578">
        <v>0</v>
      </c>
      <c r="P578">
        <v>6</v>
      </c>
    </row>
    <row r="579" spans="1:16" x14ac:dyDescent="0.3">
      <c r="A579" s="1">
        <v>45047</v>
      </c>
      <c r="B579" t="s">
        <v>7</v>
      </c>
      <c r="C579" t="str">
        <f>IFERROR(INDEX(자료실범례[],MATCH($B579,자료실범례[소장처명],0),2),"종합자료실")</f>
        <v>어린이자료실</v>
      </c>
      <c r="D579" t="s">
        <v>28</v>
      </c>
      <c r="E579">
        <v>0</v>
      </c>
      <c r="F579">
        <v>0</v>
      </c>
      <c r="G579">
        <v>0</v>
      </c>
      <c r="H579">
        <v>4</v>
      </c>
      <c r="I579">
        <v>0</v>
      </c>
      <c r="J579">
        <v>2</v>
      </c>
      <c r="K579">
        <v>0</v>
      </c>
      <c r="L579">
        <v>2</v>
      </c>
      <c r="M579">
        <v>18</v>
      </c>
      <c r="N579">
        <v>0</v>
      </c>
      <c r="O579">
        <v>0</v>
      </c>
      <c r="P579">
        <v>26</v>
      </c>
    </row>
    <row r="580" spans="1:16" x14ac:dyDescent="0.3">
      <c r="A580" s="1">
        <v>45047</v>
      </c>
      <c r="B580" t="s">
        <v>7</v>
      </c>
      <c r="C580" t="str">
        <f>IFERROR(INDEX(자료실범례[],MATCH($B580,자료실범례[소장처명],0),2),"종합자료실")</f>
        <v>어린이자료실</v>
      </c>
      <c r="D580" t="s">
        <v>25</v>
      </c>
      <c r="E580">
        <v>0</v>
      </c>
      <c r="F580">
        <v>0</v>
      </c>
      <c r="G580">
        <v>0</v>
      </c>
      <c r="H580">
        <v>2</v>
      </c>
      <c r="I580">
        <v>0</v>
      </c>
      <c r="J580">
        <v>2</v>
      </c>
      <c r="K580">
        <v>0</v>
      </c>
      <c r="L580">
        <v>2</v>
      </c>
      <c r="M580">
        <v>15</v>
      </c>
      <c r="N580">
        <v>0</v>
      </c>
      <c r="O580">
        <v>0</v>
      </c>
      <c r="P580">
        <v>21</v>
      </c>
    </row>
    <row r="581" spans="1:16" x14ac:dyDescent="0.3">
      <c r="A581" s="1">
        <v>45047</v>
      </c>
      <c r="B581" t="s">
        <v>7</v>
      </c>
      <c r="C581" t="str">
        <f>IFERROR(INDEX(자료실범례[],MATCH($B581,자료실범례[소장처명],0),2),"종합자료실")</f>
        <v>어린이자료실</v>
      </c>
      <c r="D581" t="s">
        <v>31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</v>
      </c>
    </row>
    <row r="582" spans="1:16" x14ac:dyDescent="0.3">
      <c r="A582" s="1">
        <v>45047</v>
      </c>
      <c r="B582" t="s">
        <v>8</v>
      </c>
      <c r="C582" t="str">
        <f>IFERROR(INDEX(자료실범례[],MATCH($B582,자료실범례[소장처명],0),2),"종합자료실")</f>
        <v>어린이자료실</v>
      </c>
      <c r="D582" t="s">
        <v>28</v>
      </c>
      <c r="E582">
        <v>0</v>
      </c>
      <c r="F582">
        <v>0</v>
      </c>
      <c r="G582">
        <v>0</v>
      </c>
      <c r="H582">
        <v>1</v>
      </c>
      <c r="I582">
        <v>1</v>
      </c>
      <c r="J582">
        <v>0</v>
      </c>
      <c r="K582">
        <v>0</v>
      </c>
      <c r="L582">
        <v>0</v>
      </c>
      <c r="M582">
        <v>26</v>
      </c>
      <c r="N582">
        <v>3</v>
      </c>
      <c r="O582">
        <v>0</v>
      </c>
      <c r="P582">
        <v>31</v>
      </c>
    </row>
    <row r="583" spans="1:16" x14ac:dyDescent="0.3">
      <c r="A583" s="1">
        <v>45047</v>
      </c>
      <c r="B583" t="s">
        <v>8</v>
      </c>
      <c r="C583" t="str">
        <f>IFERROR(INDEX(자료실범례[],MATCH($B583,자료실범례[소장처명],0),2),"종합자료실")</f>
        <v>어린이자료실</v>
      </c>
      <c r="D583" t="s">
        <v>25</v>
      </c>
      <c r="E583">
        <v>0</v>
      </c>
      <c r="F583">
        <v>3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37</v>
      </c>
      <c r="N583">
        <v>2</v>
      </c>
      <c r="O583">
        <v>0</v>
      </c>
      <c r="P583">
        <v>43</v>
      </c>
    </row>
    <row r="584" spans="1:16" x14ac:dyDescent="0.3">
      <c r="A584" s="1">
        <v>45047</v>
      </c>
      <c r="B584" t="s">
        <v>8</v>
      </c>
      <c r="C584" t="str">
        <f>IFERROR(INDEX(자료실범례[],MATCH($B584,자료실범례[소장처명],0),2),"종합자료실")</f>
        <v>어린이자료실</v>
      </c>
      <c r="D584" t="s">
        <v>31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4</v>
      </c>
      <c r="N584">
        <v>0</v>
      </c>
      <c r="O584">
        <v>0</v>
      </c>
      <c r="P584">
        <v>5</v>
      </c>
    </row>
    <row r="585" spans="1:16" x14ac:dyDescent="0.3">
      <c r="A585" s="1">
        <v>45047</v>
      </c>
      <c r="B585" t="s">
        <v>9</v>
      </c>
      <c r="C585" t="str">
        <f>IFERROR(INDEX(자료실범례[],MATCH($B585,자료실범례[소장처명],0),2),"종합자료실")</f>
        <v>어린이자료실</v>
      </c>
      <c r="D585" t="s">
        <v>28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2</v>
      </c>
      <c r="K585">
        <v>0</v>
      </c>
      <c r="L585">
        <v>0</v>
      </c>
      <c r="M585">
        <v>6</v>
      </c>
      <c r="N585">
        <v>0</v>
      </c>
      <c r="O585">
        <v>0</v>
      </c>
      <c r="P585">
        <v>8</v>
      </c>
    </row>
    <row r="586" spans="1:16" x14ac:dyDescent="0.3">
      <c r="A586" s="1">
        <v>45047</v>
      </c>
      <c r="B586" t="s">
        <v>9</v>
      </c>
      <c r="C586" t="str">
        <f>IFERROR(INDEX(자료실범례[],MATCH($B586,자료실범례[소장처명],0),2),"종합자료실")</f>
        <v>어린이자료실</v>
      </c>
      <c r="D586" t="s">
        <v>25</v>
      </c>
      <c r="E586">
        <v>0</v>
      </c>
      <c r="F586">
        <v>0</v>
      </c>
      <c r="G586">
        <v>0</v>
      </c>
      <c r="H586">
        <v>2</v>
      </c>
      <c r="I586">
        <v>0</v>
      </c>
      <c r="J586">
        <v>0</v>
      </c>
      <c r="K586">
        <v>0</v>
      </c>
      <c r="L586">
        <v>0</v>
      </c>
      <c r="M586">
        <v>6</v>
      </c>
      <c r="N586">
        <v>0</v>
      </c>
      <c r="O586">
        <v>0</v>
      </c>
      <c r="P586">
        <v>8</v>
      </c>
    </row>
    <row r="587" spans="1:16" x14ac:dyDescent="0.3">
      <c r="A587" s="1">
        <v>45047</v>
      </c>
      <c r="B587" t="s">
        <v>9</v>
      </c>
      <c r="C587" t="str">
        <f>IFERROR(INDEX(자료실범례[],MATCH($B587,자료실범례[소장처명],0),2),"종합자료실")</f>
        <v>어린이자료실</v>
      </c>
      <c r="D587" t="s">
        <v>31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2</v>
      </c>
      <c r="K587">
        <v>0</v>
      </c>
      <c r="L587">
        <v>0</v>
      </c>
      <c r="M587">
        <v>4</v>
      </c>
      <c r="N587">
        <v>0</v>
      </c>
      <c r="O587">
        <v>0</v>
      </c>
      <c r="P587">
        <v>6</v>
      </c>
    </row>
    <row r="588" spans="1:16" x14ac:dyDescent="0.3">
      <c r="A588" s="1">
        <v>45047</v>
      </c>
      <c r="B588" t="s">
        <v>10</v>
      </c>
      <c r="C588" t="str">
        <f>IFERROR(INDEX(자료실범례[],MATCH($B588,자료실범례[소장처명],0),2),"종합자료실")</f>
        <v>어린이자료실</v>
      </c>
      <c r="D588" t="s">
        <v>28</v>
      </c>
      <c r="E588">
        <v>0</v>
      </c>
      <c r="F588">
        <v>0</v>
      </c>
      <c r="G588">
        <v>0</v>
      </c>
      <c r="H588">
        <v>0</v>
      </c>
      <c r="I588">
        <v>3</v>
      </c>
      <c r="J588">
        <v>0</v>
      </c>
      <c r="K588">
        <v>1</v>
      </c>
      <c r="L588">
        <v>0</v>
      </c>
      <c r="M588">
        <v>6</v>
      </c>
      <c r="N588">
        <v>0</v>
      </c>
      <c r="O588">
        <v>0</v>
      </c>
      <c r="P588">
        <v>10</v>
      </c>
    </row>
    <row r="589" spans="1:16" x14ac:dyDescent="0.3">
      <c r="A589" s="1">
        <v>45047</v>
      </c>
      <c r="B589" t="s">
        <v>10</v>
      </c>
      <c r="C589" t="str">
        <f>IFERROR(INDEX(자료실범례[],MATCH($B589,자료실범례[소장처명],0),2),"종합자료실")</f>
        <v>어린이자료실</v>
      </c>
      <c r="D589" t="s">
        <v>25</v>
      </c>
      <c r="E589">
        <v>0</v>
      </c>
      <c r="F589">
        <v>0</v>
      </c>
      <c r="G589">
        <v>0</v>
      </c>
      <c r="H589">
        <v>1</v>
      </c>
      <c r="I589">
        <v>2</v>
      </c>
      <c r="J589">
        <v>0</v>
      </c>
      <c r="K589">
        <v>0</v>
      </c>
      <c r="L589">
        <v>0</v>
      </c>
      <c r="M589">
        <v>3</v>
      </c>
      <c r="N589">
        <v>0</v>
      </c>
      <c r="O589">
        <v>0</v>
      </c>
      <c r="P589">
        <v>6</v>
      </c>
    </row>
    <row r="590" spans="1:16" x14ac:dyDescent="0.3">
      <c r="A590" s="1">
        <v>45047</v>
      </c>
      <c r="B590" t="s">
        <v>10</v>
      </c>
      <c r="C590" t="str">
        <f>IFERROR(INDEX(자료실범례[],MATCH($B590,자료실범례[소장처명],0),2),"종합자료실")</f>
        <v>어린이자료실</v>
      </c>
      <c r="D590" t="s">
        <v>31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1</v>
      </c>
      <c r="L590">
        <v>0</v>
      </c>
      <c r="M590">
        <v>4</v>
      </c>
      <c r="N590">
        <v>0</v>
      </c>
      <c r="O590">
        <v>0</v>
      </c>
      <c r="P590">
        <v>6</v>
      </c>
    </row>
    <row r="591" spans="1:16" x14ac:dyDescent="0.3">
      <c r="A591" s="1">
        <v>45047</v>
      </c>
      <c r="B591" t="s">
        <v>11</v>
      </c>
      <c r="C591" t="str">
        <f>IFERROR(INDEX(자료실범례[],MATCH($B591,자료실범례[소장처명],0),2),"종합자료실")</f>
        <v>어린이자료실</v>
      </c>
      <c r="D591" t="s">
        <v>28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10</v>
      </c>
      <c r="N591">
        <v>1</v>
      </c>
      <c r="O591">
        <v>0</v>
      </c>
      <c r="P591">
        <v>12</v>
      </c>
    </row>
    <row r="592" spans="1:16" x14ac:dyDescent="0.3">
      <c r="A592" s="1">
        <v>45047</v>
      </c>
      <c r="B592" t="s">
        <v>11</v>
      </c>
      <c r="C592" t="str">
        <f>IFERROR(INDEX(자료실범례[],MATCH($B592,자료실범례[소장처명],0),2),"종합자료실")</f>
        <v>어린이자료실</v>
      </c>
      <c r="D592" t="s">
        <v>25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14</v>
      </c>
      <c r="N592">
        <v>1</v>
      </c>
      <c r="O592">
        <v>0</v>
      </c>
      <c r="P592">
        <v>16</v>
      </c>
    </row>
    <row r="593" spans="1:16" x14ac:dyDescent="0.3">
      <c r="A593" s="1">
        <v>45047</v>
      </c>
      <c r="B593" t="s">
        <v>11</v>
      </c>
      <c r="C593" t="str">
        <f>IFERROR(INDEX(자료실범례[],MATCH($B593,자료실범례[소장처명],0),2),"종합자료실")</f>
        <v>어린이자료실</v>
      </c>
      <c r="D593" t="s">
        <v>31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4</v>
      </c>
      <c r="N593">
        <v>1</v>
      </c>
      <c r="O593">
        <v>0</v>
      </c>
      <c r="P593">
        <v>6</v>
      </c>
    </row>
    <row r="594" spans="1:16" x14ac:dyDescent="0.3">
      <c r="A594" s="1">
        <v>45047</v>
      </c>
      <c r="B594" t="s">
        <v>12</v>
      </c>
      <c r="C594" t="str">
        <f>IFERROR(INDEX(자료실범례[],MATCH($B594,자료실범례[소장처명],0),2),"종합자료실")</f>
        <v>어린이자료실</v>
      </c>
      <c r="D594" t="s">
        <v>28</v>
      </c>
      <c r="E594">
        <v>0</v>
      </c>
      <c r="F594">
        <v>1</v>
      </c>
      <c r="G594">
        <v>0</v>
      </c>
      <c r="H594">
        <v>2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0</v>
      </c>
      <c r="O594">
        <v>0</v>
      </c>
      <c r="P594">
        <v>4</v>
      </c>
    </row>
    <row r="595" spans="1:16" x14ac:dyDescent="0.3">
      <c r="A595" s="1">
        <v>45047</v>
      </c>
      <c r="B595" t="s">
        <v>12</v>
      </c>
      <c r="C595" t="str">
        <f>IFERROR(INDEX(자료실범례[],MATCH($B595,자료실범례[소장처명],0),2),"종합자료실")</f>
        <v>어린이자료실</v>
      </c>
      <c r="D595" t="s">
        <v>25</v>
      </c>
      <c r="E595">
        <v>0</v>
      </c>
      <c r="F595">
        <v>1</v>
      </c>
      <c r="G595">
        <v>0</v>
      </c>
      <c r="H595">
        <v>5</v>
      </c>
      <c r="I595">
        <v>1</v>
      </c>
      <c r="J595">
        <v>0</v>
      </c>
      <c r="K595">
        <v>0</v>
      </c>
      <c r="L595">
        <v>0</v>
      </c>
      <c r="M595">
        <v>6</v>
      </c>
      <c r="N595">
        <v>0</v>
      </c>
      <c r="O595">
        <v>0</v>
      </c>
      <c r="P595">
        <v>13</v>
      </c>
    </row>
    <row r="596" spans="1:16" x14ac:dyDescent="0.3">
      <c r="A596" s="1">
        <v>45047</v>
      </c>
      <c r="B596" t="s">
        <v>12</v>
      </c>
      <c r="C596" t="str">
        <f>IFERROR(INDEX(자료실범례[],MATCH($B596,자료실범례[소장처명],0),2),"종합자료실")</f>
        <v>어린이자료실</v>
      </c>
      <c r="D596" t="s">
        <v>31</v>
      </c>
      <c r="E596">
        <v>0</v>
      </c>
      <c r="F596">
        <v>0</v>
      </c>
      <c r="G596">
        <v>0</v>
      </c>
      <c r="H596">
        <v>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2</v>
      </c>
    </row>
    <row r="597" spans="1:16" x14ac:dyDescent="0.3">
      <c r="A597" s="1">
        <v>45047</v>
      </c>
      <c r="B597" t="s">
        <v>0</v>
      </c>
      <c r="C597" t="str">
        <f>IFERROR(INDEX(자료실범례[],MATCH($B597,자료실범례[소장처명],0),2),"종합자료실")</f>
        <v>어린이자료실</v>
      </c>
      <c r="D597" t="s">
        <v>28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3</v>
      </c>
      <c r="M597">
        <v>11</v>
      </c>
      <c r="N597">
        <v>0</v>
      </c>
      <c r="O597">
        <v>0</v>
      </c>
      <c r="P597">
        <v>15</v>
      </c>
    </row>
    <row r="598" spans="1:16" x14ac:dyDescent="0.3">
      <c r="A598" s="1">
        <v>45047</v>
      </c>
      <c r="B598" t="s">
        <v>0</v>
      </c>
      <c r="C598" t="str">
        <f>IFERROR(INDEX(자료실범례[],MATCH($B598,자료실범례[소장처명],0),2),"종합자료실")</f>
        <v>어린이자료실</v>
      </c>
      <c r="D598" t="s">
        <v>25</v>
      </c>
      <c r="E598">
        <v>0</v>
      </c>
      <c r="F598">
        <v>0</v>
      </c>
      <c r="G598">
        <v>0</v>
      </c>
      <c r="H598">
        <v>1</v>
      </c>
      <c r="I598">
        <v>1</v>
      </c>
      <c r="J598">
        <v>2</v>
      </c>
      <c r="K598">
        <v>0</v>
      </c>
      <c r="L598">
        <v>8</v>
      </c>
      <c r="M598">
        <v>11</v>
      </c>
      <c r="N598">
        <v>0</v>
      </c>
      <c r="O598">
        <v>0</v>
      </c>
      <c r="P598">
        <v>23</v>
      </c>
    </row>
    <row r="599" spans="1:16" x14ac:dyDescent="0.3">
      <c r="A599" s="1">
        <v>45047</v>
      </c>
      <c r="B599" t="s">
        <v>0</v>
      </c>
      <c r="C599" t="str">
        <f>IFERROR(INDEX(자료실범례[],MATCH($B599,자료실범례[소장처명],0),2),"종합자료실")</f>
        <v>어린이자료실</v>
      </c>
      <c r="D599" t="s">
        <v>31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2</v>
      </c>
    </row>
    <row r="600" spans="1:16" x14ac:dyDescent="0.3">
      <c r="A600" s="1">
        <v>45047</v>
      </c>
      <c r="B600" t="s">
        <v>1</v>
      </c>
      <c r="C600" t="str">
        <f>IFERROR(INDEX(자료실범례[],MATCH($B600,자료실범례[소장처명],0),2),"종합자료실")</f>
        <v>어린이자료실</v>
      </c>
      <c r="D600" t="s">
        <v>28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49</v>
      </c>
      <c r="M600">
        <v>0</v>
      </c>
      <c r="N600">
        <v>0</v>
      </c>
      <c r="O600">
        <v>0</v>
      </c>
      <c r="P600">
        <v>49</v>
      </c>
    </row>
    <row r="601" spans="1:16" x14ac:dyDescent="0.3">
      <c r="A601" s="1">
        <v>45047</v>
      </c>
      <c r="B601" t="s">
        <v>1</v>
      </c>
      <c r="C601" t="str">
        <f>IFERROR(INDEX(자료실범례[],MATCH($B601,자료실범례[소장처명],0),2),"종합자료실")</f>
        <v>어린이자료실</v>
      </c>
      <c r="D601" t="s">
        <v>25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51</v>
      </c>
      <c r="M601">
        <v>1</v>
      </c>
      <c r="N601">
        <v>0</v>
      </c>
      <c r="O601">
        <v>0</v>
      </c>
      <c r="P601">
        <v>53</v>
      </c>
    </row>
    <row r="602" spans="1:16" x14ac:dyDescent="0.3">
      <c r="A602" s="1">
        <v>45047</v>
      </c>
      <c r="B602" t="s">
        <v>1</v>
      </c>
      <c r="C602" t="str">
        <f>IFERROR(INDEX(자료실범례[],MATCH($B602,자료실범례[소장처명],0),2),"종합자료실")</f>
        <v>어린이자료실</v>
      </c>
      <c r="D602" t="s">
        <v>31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21</v>
      </c>
      <c r="M602">
        <v>0</v>
      </c>
      <c r="N602">
        <v>0</v>
      </c>
      <c r="O602">
        <v>0</v>
      </c>
      <c r="P602">
        <v>21</v>
      </c>
    </row>
    <row r="603" spans="1:16" x14ac:dyDescent="0.3">
      <c r="A603" s="1">
        <v>45047</v>
      </c>
      <c r="B603" t="s">
        <v>6</v>
      </c>
      <c r="C603" t="str">
        <f>IFERROR(INDEX(자료실범례[],MATCH($B603,자료실범례[소장처명],0),2),"종합자료실")</f>
        <v>종합자료실</v>
      </c>
      <c r="D603" t="s">
        <v>28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5</v>
      </c>
      <c r="N603">
        <v>1</v>
      </c>
      <c r="O603">
        <v>0</v>
      </c>
      <c r="P603">
        <v>7</v>
      </c>
    </row>
    <row r="604" spans="1:16" x14ac:dyDescent="0.3">
      <c r="A604" s="1">
        <v>45047</v>
      </c>
      <c r="B604" t="s">
        <v>6</v>
      </c>
      <c r="C604" t="str">
        <f>IFERROR(INDEX(자료실범례[],MATCH($B604,자료실범례[소장처명],0),2),"종합자료실")</f>
        <v>종합자료실</v>
      </c>
      <c r="D604" t="s">
        <v>25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10</v>
      </c>
      <c r="N604">
        <v>3</v>
      </c>
      <c r="O604">
        <v>0</v>
      </c>
      <c r="P604">
        <v>14</v>
      </c>
    </row>
    <row r="605" spans="1:16" x14ac:dyDescent="0.3">
      <c r="A605" s="1">
        <v>45047</v>
      </c>
      <c r="B605" t="s">
        <v>6</v>
      </c>
      <c r="C605" t="str">
        <f>IFERROR(INDEX(자료실범례[],MATCH($B605,자료실범례[소장처명],0),2),"종합자료실")</f>
        <v>종합자료실</v>
      </c>
      <c r="D605" t="s">
        <v>31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2</v>
      </c>
      <c r="N605">
        <v>1</v>
      </c>
      <c r="O605">
        <v>0</v>
      </c>
      <c r="P605">
        <v>3</v>
      </c>
    </row>
    <row r="606" spans="1:16" x14ac:dyDescent="0.3">
      <c r="A606" s="1">
        <v>45047</v>
      </c>
      <c r="B606" t="s">
        <v>18</v>
      </c>
      <c r="C606" t="str">
        <f>IFERROR(INDEX(자료실범례[],MATCH($B606,자료실범례[소장처명],0),2),"종합자료실")</f>
        <v>종합자료실</v>
      </c>
      <c r="D606" t="s">
        <v>28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3</v>
      </c>
      <c r="P606">
        <v>3</v>
      </c>
    </row>
    <row r="607" spans="1:16" x14ac:dyDescent="0.3">
      <c r="A607" s="1">
        <v>45047</v>
      </c>
      <c r="B607" t="s">
        <v>18</v>
      </c>
      <c r="C607" t="str">
        <f>IFERROR(INDEX(자료실범례[],MATCH($B607,자료실범례[소장처명],0),2),"종합자료실")</f>
        <v>종합자료실</v>
      </c>
      <c r="D607" t="s">
        <v>25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5</v>
      </c>
      <c r="P607">
        <v>5</v>
      </c>
    </row>
    <row r="608" spans="1:16" x14ac:dyDescent="0.3">
      <c r="A608" s="1">
        <v>45047</v>
      </c>
      <c r="B608" t="s">
        <v>18</v>
      </c>
      <c r="C608" t="str">
        <f>IFERROR(INDEX(자료실범례[],MATCH($B608,자료실범례[소장처명],0),2),"종합자료실")</f>
        <v>종합자료실</v>
      </c>
      <c r="D608" t="s">
        <v>31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2</v>
      </c>
      <c r="P608">
        <v>2</v>
      </c>
    </row>
    <row r="609" spans="1:16" x14ac:dyDescent="0.3">
      <c r="A609" s="1">
        <v>45047</v>
      </c>
      <c r="B609" t="s">
        <v>17</v>
      </c>
      <c r="C609" t="str">
        <f>IFERROR(INDEX(자료실범례[],MATCH($B609,자료실범례[소장처명],0),2),"종합자료실")</f>
        <v>어린이자료실</v>
      </c>
      <c r="D609" t="s">
        <v>28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</v>
      </c>
      <c r="P609">
        <v>2</v>
      </c>
    </row>
    <row r="610" spans="1:16" x14ac:dyDescent="0.3">
      <c r="A610" s="1">
        <v>45047</v>
      </c>
      <c r="B610" t="s">
        <v>17</v>
      </c>
      <c r="C610" t="str">
        <f>IFERROR(INDEX(자료실범례[],MATCH($B610,자료실범례[소장처명],0),2),"종합자료실")</f>
        <v>어린이자료실</v>
      </c>
      <c r="D610" t="s">
        <v>25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7</v>
      </c>
      <c r="P610">
        <v>7</v>
      </c>
    </row>
    <row r="611" spans="1:16" x14ac:dyDescent="0.3">
      <c r="A611" s="1">
        <v>45078</v>
      </c>
      <c r="B611" t="s">
        <v>21</v>
      </c>
      <c r="C611" s="9" t="str">
        <f>IFERROR(INDEX(자료실범례[],MATCH($B611,자료실범례[소장처명],0),2),"종합자료실")</f>
        <v>종합자료실</v>
      </c>
      <c r="D611" t="s">
        <v>28</v>
      </c>
      <c r="E611">
        <v>64</v>
      </c>
      <c r="F611">
        <v>142</v>
      </c>
      <c r="G611">
        <v>45</v>
      </c>
      <c r="H611">
        <v>261</v>
      </c>
      <c r="I611">
        <v>127</v>
      </c>
      <c r="J611">
        <v>141</v>
      </c>
      <c r="K611">
        <v>60</v>
      </c>
      <c r="L611">
        <v>35</v>
      </c>
      <c r="M611">
        <v>613</v>
      </c>
      <c r="N611">
        <v>140</v>
      </c>
      <c r="O611">
        <v>0</v>
      </c>
      <c r="P611">
        <v>1628</v>
      </c>
    </row>
    <row r="612" spans="1:16" x14ac:dyDescent="0.3">
      <c r="A612" s="1">
        <v>45078</v>
      </c>
      <c r="B612" t="s">
        <v>21</v>
      </c>
      <c r="C612" s="9" t="str">
        <f>IFERROR(INDEX(자료실범례[],MATCH($B612,자료실범례[소장처명],0),2),"종합자료실")</f>
        <v>종합자료실</v>
      </c>
      <c r="D612" t="s">
        <v>25</v>
      </c>
      <c r="E612">
        <v>48</v>
      </c>
      <c r="F612">
        <v>129</v>
      </c>
      <c r="G612">
        <v>45</v>
      </c>
      <c r="H612">
        <v>273</v>
      </c>
      <c r="I612">
        <v>100</v>
      </c>
      <c r="J612">
        <v>130</v>
      </c>
      <c r="K612">
        <v>59</v>
      </c>
      <c r="L612">
        <v>31</v>
      </c>
      <c r="M612">
        <v>526</v>
      </c>
      <c r="N612">
        <v>135</v>
      </c>
      <c r="O612">
        <v>0</v>
      </c>
      <c r="P612">
        <v>1476</v>
      </c>
    </row>
    <row r="613" spans="1:16" x14ac:dyDescent="0.3">
      <c r="A613" s="1">
        <v>45078</v>
      </c>
      <c r="B613" t="s">
        <v>21</v>
      </c>
      <c r="C613" s="9" t="str">
        <f>IFERROR(INDEX(자료실범례[],MATCH($B613,자료실범례[소장처명],0),2),"종합자료실")</f>
        <v>종합자료실</v>
      </c>
      <c r="D613" t="s">
        <v>31</v>
      </c>
      <c r="E613">
        <v>23</v>
      </c>
      <c r="F613">
        <v>37</v>
      </c>
      <c r="G613">
        <v>22</v>
      </c>
      <c r="H613">
        <v>83</v>
      </c>
      <c r="I613">
        <v>18</v>
      </c>
      <c r="J613">
        <v>40</v>
      </c>
      <c r="K613">
        <v>32</v>
      </c>
      <c r="L613">
        <v>11</v>
      </c>
      <c r="M613">
        <v>153</v>
      </c>
      <c r="N613">
        <v>47</v>
      </c>
      <c r="O613">
        <v>0</v>
      </c>
      <c r="P613">
        <v>466</v>
      </c>
    </row>
    <row r="614" spans="1:16" x14ac:dyDescent="0.3">
      <c r="A614" s="1">
        <v>45078</v>
      </c>
      <c r="B614" t="s">
        <v>16</v>
      </c>
      <c r="C614" s="9" t="str">
        <f>IFERROR(INDEX(자료실범례[],MATCH($B614,자료실범례[소장처명],0),2),"종합자료실")</f>
        <v>어린이자료실</v>
      </c>
      <c r="D614" t="s">
        <v>28</v>
      </c>
      <c r="E614">
        <v>23</v>
      </c>
      <c r="F614">
        <v>18</v>
      </c>
      <c r="G614">
        <v>3</v>
      </c>
      <c r="H614">
        <v>129</v>
      </c>
      <c r="I614">
        <v>122</v>
      </c>
      <c r="J614">
        <v>64</v>
      </c>
      <c r="K614">
        <v>21</v>
      </c>
      <c r="L614">
        <v>13</v>
      </c>
      <c r="M614">
        <v>928</v>
      </c>
      <c r="N614">
        <v>69</v>
      </c>
      <c r="O614">
        <v>1</v>
      </c>
      <c r="P614">
        <v>1391</v>
      </c>
    </row>
    <row r="615" spans="1:16" x14ac:dyDescent="0.3">
      <c r="A615" s="1">
        <v>45078</v>
      </c>
      <c r="B615" t="s">
        <v>16</v>
      </c>
      <c r="C615" s="9" t="str">
        <f>IFERROR(INDEX(자료실범례[],MATCH($B615,자료실범례[소장처명],0),2),"종합자료실")</f>
        <v>어린이자료실</v>
      </c>
      <c r="D615" t="s">
        <v>25</v>
      </c>
      <c r="E615">
        <v>25</v>
      </c>
      <c r="F615">
        <v>15</v>
      </c>
      <c r="G615">
        <v>4</v>
      </c>
      <c r="H615">
        <v>113</v>
      </c>
      <c r="I615">
        <v>119</v>
      </c>
      <c r="J615">
        <v>72</v>
      </c>
      <c r="K615">
        <v>24</v>
      </c>
      <c r="L615">
        <v>14</v>
      </c>
      <c r="M615">
        <v>840</v>
      </c>
      <c r="N615">
        <v>44</v>
      </c>
      <c r="O615">
        <v>1</v>
      </c>
      <c r="P615">
        <v>1271</v>
      </c>
    </row>
    <row r="616" spans="1:16" x14ac:dyDescent="0.3">
      <c r="A616" s="1">
        <v>45078</v>
      </c>
      <c r="B616" t="s">
        <v>16</v>
      </c>
      <c r="C616" s="9" t="str">
        <f>IFERROR(INDEX(자료실범례[],MATCH($B616,자료실범례[소장처명],0),2),"종합자료실")</f>
        <v>어린이자료실</v>
      </c>
      <c r="D616" t="s">
        <v>31</v>
      </c>
      <c r="E616">
        <v>5</v>
      </c>
      <c r="F616">
        <v>3</v>
      </c>
      <c r="G616">
        <v>0</v>
      </c>
      <c r="H616">
        <v>30</v>
      </c>
      <c r="I616">
        <v>39</v>
      </c>
      <c r="J616">
        <v>3</v>
      </c>
      <c r="K616">
        <v>3</v>
      </c>
      <c r="L616">
        <v>1</v>
      </c>
      <c r="M616">
        <v>216</v>
      </c>
      <c r="N616">
        <v>10</v>
      </c>
      <c r="O616">
        <v>0</v>
      </c>
      <c r="P616">
        <v>310</v>
      </c>
    </row>
    <row r="617" spans="1:16" x14ac:dyDescent="0.3">
      <c r="A617" s="1">
        <v>45078</v>
      </c>
      <c r="B617" t="s">
        <v>2</v>
      </c>
      <c r="C617" s="9" t="str">
        <f>IFERROR(INDEX(자료실범례[],MATCH($B617,자료실범례[소장처명],0),2),"종합자료실")</f>
        <v>디지털자료실</v>
      </c>
      <c r="D617" t="s">
        <v>28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23</v>
      </c>
      <c r="L617">
        <v>0</v>
      </c>
      <c r="M617">
        <v>0</v>
      </c>
      <c r="N617">
        <v>0</v>
      </c>
      <c r="O617">
        <v>0</v>
      </c>
      <c r="P617">
        <v>23</v>
      </c>
    </row>
    <row r="618" spans="1:16" x14ac:dyDescent="0.3">
      <c r="A618" s="1">
        <v>45078</v>
      </c>
      <c r="B618" t="s">
        <v>2</v>
      </c>
      <c r="C618" s="9" t="str">
        <f>IFERROR(INDEX(자료실범례[],MATCH($B618,자료실범례[소장처명],0),2),"종합자료실")</f>
        <v>디지털자료실</v>
      </c>
      <c r="D618" t="s">
        <v>25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15</v>
      </c>
      <c r="L618">
        <v>0</v>
      </c>
      <c r="M618">
        <v>0</v>
      </c>
      <c r="N618">
        <v>0</v>
      </c>
      <c r="O618">
        <v>0</v>
      </c>
      <c r="P618">
        <v>15</v>
      </c>
    </row>
    <row r="619" spans="1:16" x14ac:dyDescent="0.3">
      <c r="A619" s="1">
        <v>45078</v>
      </c>
      <c r="B619" t="s">
        <v>19</v>
      </c>
      <c r="C619" s="9" t="str">
        <f>IFERROR(INDEX(자료실범례[],MATCH($B619,자료실범례[소장처명],0),2),"종합자료실")</f>
        <v>종합자료실</v>
      </c>
      <c r="D619" t="s">
        <v>28</v>
      </c>
      <c r="E619">
        <v>0</v>
      </c>
      <c r="F619">
        <v>1</v>
      </c>
      <c r="G619">
        <v>0</v>
      </c>
      <c r="H619">
        <v>1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3</v>
      </c>
    </row>
    <row r="620" spans="1:16" x14ac:dyDescent="0.3">
      <c r="A620" s="1">
        <v>45078</v>
      </c>
      <c r="B620" t="s">
        <v>13</v>
      </c>
      <c r="C620" s="9" t="str">
        <f>IFERROR(INDEX(자료실범례[],MATCH($B620,자료실범례[소장처명],0),2),"종합자료실")</f>
        <v>어린이자료실</v>
      </c>
      <c r="D620" t="s">
        <v>28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1</v>
      </c>
      <c r="N620">
        <v>0</v>
      </c>
      <c r="O620">
        <v>0</v>
      </c>
      <c r="P620">
        <v>2</v>
      </c>
    </row>
    <row r="621" spans="1:16" x14ac:dyDescent="0.3">
      <c r="A621" s="1">
        <v>45078</v>
      </c>
      <c r="B621" t="s">
        <v>13</v>
      </c>
      <c r="C621" s="9" t="str">
        <f>IFERROR(INDEX(자료실범례[],MATCH($B621,자료실범례[소장처명],0),2),"종합자료실")</f>
        <v>어린이자료실</v>
      </c>
      <c r="D621" t="s">
        <v>25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1</v>
      </c>
      <c r="L621">
        <v>0</v>
      </c>
      <c r="M621">
        <v>2</v>
      </c>
      <c r="N621">
        <v>0</v>
      </c>
      <c r="O621">
        <v>0</v>
      </c>
      <c r="P621">
        <v>3</v>
      </c>
    </row>
    <row r="622" spans="1:16" x14ac:dyDescent="0.3">
      <c r="A622" s="1">
        <v>45078</v>
      </c>
      <c r="B622" t="s">
        <v>13</v>
      </c>
      <c r="C622" s="9" t="str">
        <f>IFERROR(INDEX(자료실범례[],MATCH($B622,자료실범례[소장처명],0),2),"종합자료실")</f>
        <v>어린이자료실</v>
      </c>
      <c r="D622" t="s">
        <v>31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1</v>
      </c>
    </row>
    <row r="623" spans="1:16" x14ac:dyDescent="0.3">
      <c r="A623" s="1">
        <v>45078</v>
      </c>
      <c r="B623" t="s">
        <v>15</v>
      </c>
      <c r="C623" s="9" t="str">
        <f>IFERROR(INDEX(자료실범례[],MATCH($B623,자료실범례[소장처명],0),2),"종합자료실")</f>
        <v>어린이자료실</v>
      </c>
      <c r="D623" t="s">
        <v>28</v>
      </c>
      <c r="E623">
        <v>4</v>
      </c>
      <c r="F623">
        <v>0</v>
      </c>
      <c r="G623">
        <v>7</v>
      </c>
      <c r="H623">
        <v>4</v>
      </c>
      <c r="I623">
        <v>171</v>
      </c>
      <c r="J623">
        <v>68</v>
      </c>
      <c r="K623">
        <v>2</v>
      </c>
      <c r="L623">
        <v>80</v>
      </c>
      <c r="M623">
        <v>13</v>
      </c>
      <c r="N623">
        <v>158</v>
      </c>
      <c r="O623">
        <v>0</v>
      </c>
      <c r="P623">
        <v>507</v>
      </c>
    </row>
    <row r="624" spans="1:16" x14ac:dyDescent="0.3">
      <c r="A624" s="1">
        <v>45078</v>
      </c>
      <c r="B624" t="s">
        <v>15</v>
      </c>
      <c r="C624" s="9" t="str">
        <f>IFERROR(INDEX(자료실범례[],MATCH($B624,자료실범례[소장처명],0),2),"종합자료실")</f>
        <v>어린이자료실</v>
      </c>
      <c r="D624" t="s">
        <v>25</v>
      </c>
      <c r="E624">
        <v>1</v>
      </c>
      <c r="F624">
        <v>0</v>
      </c>
      <c r="G624">
        <v>8</v>
      </c>
      <c r="H624">
        <v>3</v>
      </c>
      <c r="I624">
        <v>159</v>
      </c>
      <c r="J624">
        <v>55</v>
      </c>
      <c r="K624">
        <v>0</v>
      </c>
      <c r="L624">
        <v>81</v>
      </c>
      <c r="M624">
        <v>17</v>
      </c>
      <c r="N624">
        <v>138</v>
      </c>
      <c r="O624">
        <v>0</v>
      </c>
      <c r="P624">
        <v>462</v>
      </c>
    </row>
    <row r="625" spans="1:16" x14ac:dyDescent="0.3">
      <c r="A625" s="1">
        <v>45078</v>
      </c>
      <c r="B625" t="s">
        <v>15</v>
      </c>
      <c r="C625" s="9" t="str">
        <f>IFERROR(INDEX(자료실범례[],MATCH($B625,자료실범례[소장처명],0),2),"종합자료실")</f>
        <v>어린이자료실</v>
      </c>
      <c r="D625" t="s">
        <v>31</v>
      </c>
      <c r="E625">
        <v>1</v>
      </c>
      <c r="F625">
        <v>0</v>
      </c>
      <c r="G625">
        <v>0</v>
      </c>
      <c r="H625">
        <v>0</v>
      </c>
      <c r="I625">
        <v>9</v>
      </c>
      <c r="J625">
        <v>2</v>
      </c>
      <c r="K625">
        <v>0</v>
      </c>
      <c r="L625">
        <v>17</v>
      </c>
      <c r="M625">
        <v>0</v>
      </c>
      <c r="N625">
        <v>10</v>
      </c>
      <c r="O625">
        <v>0</v>
      </c>
      <c r="P625">
        <v>39</v>
      </c>
    </row>
    <row r="626" spans="1:16" x14ac:dyDescent="0.3">
      <c r="A626" s="1">
        <v>45078</v>
      </c>
      <c r="B626" t="s">
        <v>20</v>
      </c>
      <c r="C626" s="9" t="str">
        <f>IFERROR(INDEX(자료실범례[],MATCH($B626,자료실범례[소장처명],0),2),"종합자료실")</f>
        <v>종합자료실</v>
      </c>
      <c r="D626" t="s">
        <v>28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</v>
      </c>
    </row>
    <row r="627" spans="1:16" x14ac:dyDescent="0.3">
      <c r="A627" s="1">
        <v>45078</v>
      </c>
      <c r="B627" t="s">
        <v>20</v>
      </c>
      <c r="C627" s="9" t="str">
        <f>IFERROR(INDEX(자료실범례[],MATCH($B627,자료실범례[소장처명],0),2),"종합자료실")</f>
        <v>종합자료실</v>
      </c>
      <c r="D627" t="s">
        <v>25</v>
      </c>
      <c r="E627">
        <v>1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2</v>
      </c>
    </row>
    <row r="628" spans="1:16" x14ac:dyDescent="0.3">
      <c r="A628" s="1">
        <v>45078</v>
      </c>
      <c r="B628" t="s">
        <v>20</v>
      </c>
      <c r="C628" s="9" t="str">
        <f>IFERROR(INDEX(자료실범례[],MATCH($B628,자료실범례[소장처명],0),2),"종합자료실")</f>
        <v>종합자료실</v>
      </c>
      <c r="D628" t="s">
        <v>31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</v>
      </c>
    </row>
    <row r="629" spans="1:16" x14ac:dyDescent="0.3">
      <c r="A629" s="1">
        <v>45078</v>
      </c>
      <c r="B629" t="s">
        <v>3</v>
      </c>
      <c r="C629" s="9" t="str">
        <f>IFERROR(INDEX(자료실범례[],MATCH($B629,자료실범례[소장처명],0),2),"종합자료실")</f>
        <v>디지털자료실</v>
      </c>
      <c r="D629" t="s">
        <v>28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3</v>
      </c>
      <c r="L629">
        <v>0</v>
      </c>
      <c r="M629">
        <v>0</v>
      </c>
      <c r="N629">
        <v>0</v>
      </c>
      <c r="O629">
        <v>0</v>
      </c>
      <c r="P629">
        <v>3</v>
      </c>
    </row>
    <row r="630" spans="1:16" x14ac:dyDescent="0.3">
      <c r="A630" s="1">
        <v>45078</v>
      </c>
      <c r="B630" t="s">
        <v>3</v>
      </c>
      <c r="C630" s="9" t="str">
        <f>IFERROR(INDEX(자료실범례[],MATCH($B630,자료실범례[소장처명],0),2),"종합자료실")</f>
        <v>디지털자료실</v>
      </c>
      <c r="D630" t="s">
        <v>25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3</v>
      </c>
      <c r="L630">
        <v>0</v>
      </c>
      <c r="M630">
        <v>0</v>
      </c>
      <c r="N630">
        <v>0</v>
      </c>
      <c r="O630">
        <v>0</v>
      </c>
      <c r="P630">
        <v>3</v>
      </c>
    </row>
    <row r="631" spans="1:16" x14ac:dyDescent="0.3">
      <c r="A631" s="1">
        <v>45078</v>
      </c>
      <c r="B631" t="s">
        <v>4</v>
      </c>
      <c r="C631" s="9" t="str">
        <f>IFERROR(INDEX(자료실범례[],MATCH($B631,자료실범례[소장처명],0),2),"종합자료실")</f>
        <v>어린이자료실</v>
      </c>
      <c r="D631" t="s">
        <v>28</v>
      </c>
      <c r="E631">
        <v>0</v>
      </c>
      <c r="F631">
        <v>2</v>
      </c>
      <c r="G631">
        <v>0</v>
      </c>
      <c r="H631">
        <v>3</v>
      </c>
      <c r="I631">
        <v>1</v>
      </c>
      <c r="J631">
        <v>0</v>
      </c>
      <c r="K631">
        <v>0</v>
      </c>
      <c r="L631">
        <v>0</v>
      </c>
      <c r="M631">
        <v>20</v>
      </c>
      <c r="N631">
        <v>0</v>
      </c>
      <c r="O631">
        <v>0</v>
      </c>
      <c r="P631">
        <v>26</v>
      </c>
    </row>
    <row r="632" spans="1:16" x14ac:dyDescent="0.3">
      <c r="A632" s="1">
        <v>45078</v>
      </c>
      <c r="B632" t="s">
        <v>4</v>
      </c>
      <c r="C632" s="9" t="str">
        <f>IFERROR(INDEX(자료실범례[],MATCH($B632,자료실범례[소장처명],0),2),"종합자료실")</f>
        <v>어린이자료실</v>
      </c>
      <c r="D632" t="s">
        <v>25</v>
      </c>
      <c r="E632">
        <v>0</v>
      </c>
      <c r="F632">
        <v>0</v>
      </c>
      <c r="G632">
        <v>0</v>
      </c>
      <c r="H632">
        <v>0</v>
      </c>
      <c r="I632">
        <v>3</v>
      </c>
      <c r="J632">
        <v>0</v>
      </c>
      <c r="K632">
        <v>0</v>
      </c>
      <c r="L632">
        <v>1</v>
      </c>
      <c r="M632">
        <v>22</v>
      </c>
      <c r="N632">
        <v>1</v>
      </c>
      <c r="O632">
        <v>0</v>
      </c>
      <c r="P632">
        <v>27</v>
      </c>
    </row>
    <row r="633" spans="1:16" x14ac:dyDescent="0.3">
      <c r="A633" s="1">
        <v>45078</v>
      </c>
      <c r="B633" t="s">
        <v>4</v>
      </c>
      <c r="C633" s="9" t="str">
        <f>IFERROR(INDEX(자료실범례[],MATCH($B633,자료실범례[소장처명],0),2),"종합자료실")</f>
        <v>어린이자료실</v>
      </c>
      <c r="D633" t="s">
        <v>31</v>
      </c>
      <c r="E633">
        <v>0</v>
      </c>
      <c r="F633">
        <v>0</v>
      </c>
      <c r="G633">
        <v>0</v>
      </c>
      <c r="H633">
        <v>0</v>
      </c>
      <c r="I633">
        <v>2</v>
      </c>
      <c r="J633">
        <v>0</v>
      </c>
      <c r="K633">
        <v>0</v>
      </c>
      <c r="L633">
        <v>0</v>
      </c>
      <c r="M633">
        <v>11</v>
      </c>
      <c r="N633">
        <v>0</v>
      </c>
      <c r="O633">
        <v>0</v>
      </c>
      <c r="P633">
        <v>13</v>
      </c>
    </row>
    <row r="634" spans="1:16" x14ac:dyDescent="0.3">
      <c r="A634" s="1">
        <v>45078</v>
      </c>
      <c r="B634" t="s">
        <v>5</v>
      </c>
      <c r="C634" s="9" t="str">
        <f>IFERROR(INDEX(자료실범례[],MATCH($B634,자료실범례[소장처명],0),2),"종합자료실")</f>
        <v>종합자료실</v>
      </c>
      <c r="D634" t="s">
        <v>28</v>
      </c>
      <c r="E634">
        <v>1</v>
      </c>
      <c r="F634">
        <v>6</v>
      </c>
      <c r="G634">
        <v>1</v>
      </c>
      <c r="H634">
        <v>6</v>
      </c>
      <c r="I634">
        <v>4</v>
      </c>
      <c r="J634">
        <v>1</v>
      </c>
      <c r="K634">
        <v>1</v>
      </c>
      <c r="L634">
        <v>0</v>
      </c>
      <c r="M634">
        <v>8</v>
      </c>
      <c r="N634">
        <v>2</v>
      </c>
      <c r="O634">
        <v>0</v>
      </c>
      <c r="P634">
        <v>30</v>
      </c>
    </row>
    <row r="635" spans="1:16" x14ac:dyDescent="0.3">
      <c r="A635" s="1">
        <v>45078</v>
      </c>
      <c r="B635" t="s">
        <v>5</v>
      </c>
      <c r="C635" s="9" t="str">
        <f>IFERROR(INDEX(자료실범례[],MATCH($B635,자료실범례[소장처명],0),2),"종합자료실")</f>
        <v>종합자료실</v>
      </c>
      <c r="D635" t="s">
        <v>25</v>
      </c>
      <c r="E635">
        <v>1</v>
      </c>
      <c r="F635">
        <v>5</v>
      </c>
      <c r="G635">
        <v>1</v>
      </c>
      <c r="H635">
        <v>5</v>
      </c>
      <c r="I635">
        <v>3</v>
      </c>
      <c r="J635">
        <v>0</v>
      </c>
      <c r="K635">
        <v>2</v>
      </c>
      <c r="L635">
        <v>0</v>
      </c>
      <c r="M635">
        <v>8</v>
      </c>
      <c r="N635">
        <v>2</v>
      </c>
      <c r="O635">
        <v>0</v>
      </c>
      <c r="P635">
        <v>27</v>
      </c>
    </row>
    <row r="636" spans="1:16" x14ac:dyDescent="0.3">
      <c r="A636" s="1">
        <v>45078</v>
      </c>
      <c r="B636" t="s">
        <v>5</v>
      </c>
      <c r="C636" s="9" t="str">
        <f>IFERROR(INDEX(자료실범례[],MATCH($B636,자료실범례[소장처명],0),2),"종합자료실")</f>
        <v>종합자료실</v>
      </c>
      <c r="D636" t="s">
        <v>31</v>
      </c>
      <c r="E636">
        <v>0</v>
      </c>
      <c r="F636">
        <v>4</v>
      </c>
      <c r="G636">
        <v>0</v>
      </c>
      <c r="H636">
        <v>2</v>
      </c>
      <c r="I636">
        <v>1</v>
      </c>
      <c r="J636">
        <v>0</v>
      </c>
      <c r="K636">
        <v>1</v>
      </c>
      <c r="L636">
        <v>0</v>
      </c>
      <c r="M636">
        <v>2</v>
      </c>
      <c r="N636">
        <v>0</v>
      </c>
      <c r="O636">
        <v>0</v>
      </c>
      <c r="P636">
        <v>10</v>
      </c>
    </row>
    <row r="637" spans="1:16" x14ac:dyDescent="0.3">
      <c r="A637" s="1">
        <v>45078</v>
      </c>
      <c r="B637" t="s">
        <v>7</v>
      </c>
      <c r="C637" s="9" t="str">
        <f>IFERROR(INDEX(자료실범례[],MATCH($B637,자료실범례[소장처명],0),2),"종합자료실")</f>
        <v>어린이자료실</v>
      </c>
      <c r="D637" t="s">
        <v>28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2</v>
      </c>
      <c r="M637">
        <v>17</v>
      </c>
      <c r="N637">
        <v>0</v>
      </c>
      <c r="O637">
        <v>0</v>
      </c>
      <c r="P637">
        <v>20</v>
      </c>
    </row>
    <row r="638" spans="1:16" x14ac:dyDescent="0.3">
      <c r="A638" s="1">
        <v>45078</v>
      </c>
      <c r="B638" t="s">
        <v>7</v>
      </c>
      <c r="C638" s="9" t="str">
        <f>IFERROR(INDEX(자료실범례[],MATCH($B638,자료실범례[소장처명],0),2),"종합자료실")</f>
        <v>어린이자료실</v>
      </c>
      <c r="D638" t="s">
        <v>25</v>
      </c>
      <c r="E638">
        <v>0</v>
      </c>
      <c r="F638">
        <v>0</v>
      </c>
      <c r="G638">
        <v>0</v>
      </c>
      <c r="H638">
        <v>2</v>
      </c>
      <c r="I638">
        <v>0</v>
      </c>
      <c r="J638">
        <v>0</v>
      </c>
      <c r="K638">
        <v>0</v>
      </c>
      <c r="L638">
        <v>0</v>
      </c>
      <c r="M638">
        <v>15</v>
      </c>
      <c r="N638">
        <v>0</v>
      </c>
      <c r="O638">
        <v>0</v>
      </c>
      <c r="P638">
        <v>17</v>
      </c>
    </row>
    <row r="639" spans="1:16" x14ac:dyDescent="0.3">
      <c r="A639" s="1">
        <v>45078</v>
      </c>
      <c r="B639" t="s">
        <v>7</v>
      </c>
      <c r="C639" s="9" t="str">
        <f>IFERROR(INDEX(자료실범례[],MATCH($B639,자료실범례[소장처명],0),2),"종합자료실")</f>
        <v>어린이자료실</v>
      </c>
      <c r="D639" t="s">
        <v>31</v>
      </c>
      <c r="E639">
        <v>0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6</v>
      </c>
      <c r="N639">
        <v>0</v>
      </c>
      <c r="O639">
        <v>0</v>
      </c>
      <c r="P639">
        <v>7</v>
      </c>
    </row>
    <row r="640" spans="1:16" x14ac:dyDescent="0.3">
      <c r="A640" s="1">
        <v>45078</v>
      </c>
      <c r="B640" t="s">
        <v>8</v>
      </c>
      <c r="C640" s="9" t="str">
        <f>IFERROR(INDEX(자료실범례[],MATCH($B640,자료실범례[소장처명],0),2),"종합자료실")</f>
        <v>어린이자료실</v>
      </c>
      <c r="D640" t="s">
        <v>28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22</v>
      </c>
      <c r="N640">
        <v>1</v>
      </c>
      <c r="O640">
        <v>0</v>
      </c>
      <c r="P640">
        <v>23</v>
      </c>
    </row>
    <row r="641" spans="1:16" x14ac:dyDescent="0.3">
      <c r="A641" s="1">
        <v>45078</v>
      </c>
      <c r="B641" t="s">
        <v>8</v>
      </c>
      <c r="C641" s="9" t="str">
        <f>IFERROR(INDEX(자료실범례[],MATCH($B641,자료실범례[소장처명],0),2),"종합자료실")</f>
        <v>어린이자료실</v>
      </c>
      <c r="D641" t="s">
        <v>25</v>
      </c>
      <c r="E641">
        <v>0</v>
      </c>
      <c r="F641">
        <v>0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17</v>
      </c>
      <c r="N641">
        <v>1</v>
      </c>
      <c r="O641">
        <v>0</v>
      </c>
      <c r="P641">
        <v>19</v>
      </c>
    </row>
    <row r="642" spans="1:16" x14ac:dyDescent="0.3">
      <c r="A642" s="1">
        <v>45078</v>
      </c>
      <c r="B642" t="s">
        <v>8</v>
      </c>
      <c r="C642" s="9" t="str">
        <f>IFERROR(INDEX(자료실범례[],MATCH($B642,자료실범례[소장처명],0),2),"종합자료실")</f>
        <v>어린이자료실</v>
      </c>
      <c r="D642" t="s">
        <v>31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8</v>
      </c>
      <c r="N642">
        <v>0</v>
      </c>
      <c r="O642">
        <v>0</v>
      </c>
      <c r="P642">
        <v>8</v>
      </c>
    </row>
    <row r="643" spans="1:16" x14ac:dyDescent="0.3">
      <c r="A643" s="1">
        <v>45078</v>
      </c>
      <c r="B643" t="s">
        <v>9</v>
      </c>
      <c r="C643" s="9" t="str">
        <f>IFERROR(INDEX(자료실범례[],MATCH($B643,자료실범례[소장처명],0),2),"종합자료실")</f>
        <v>어린이자료실</v>
      </c>
      <c r="D643" t="s">
        <v>28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1</v>
      </c>
      <c r="K643">
        <v>0</v>
      </c>
      <c r="L643">
        <v>0</v>
      </c>
      <c r="M643">
        <v>6</v>
      </c>
      <c r="N643">
        <v>0</v>
      </c>
      <c r="O643">
        <v>0</v>
      </c>
      <c r="P643">
        <v>8</v>
      </c>
    </row>
    <row r="644" spans="1:16" x14ac:dyDescent="0.3">
      <c r="A644" s="1">
        <v>45078</v>
      </c>
      <c r="B644" t="s">
        <v>9</v>
      </c>
      <c r="C644" s="9" t="str">
        <f>IFERROR(INDEX(자료실범례[],MATCH($B644,자료실범례[소장처명],0),2),"종합자료실")</f>
        <v>어린이자료실</v>
      </c>
      <c r="D644" t="s">
        <v>25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2</v>
      </c>
      <c r="K644">
        <v>0</v>
      </c>
      <c r="L644">
        <v>0</v>
      </c>
      <c r="M644">
        <v>8</v>
      </c>
      <c r="N644">
        <v>0</v>
      </c>
      <c r="O644">
        <v>0</v>
      </c>
      <c r="P644">
        <v>10</v>
      </c>
    </row>
    <row r="645" spans="1:16" x14ac:dyDescent="0.3">
      <c r="A645" s="1">
        <v>45078</v>
      </c>
      <c r="B645" t="s">
        <v>9</v>
      </c>
      <c r="C645" s="9" t="str">
        <f>IFERROR(INDEX(자료실범례[],MATCH($B645,자료실범례[소장처명],0),2),"종합자료실")</f>
        <v>어린이자료실</v>
      </c>
      <c r="D645" t="s">
        <v>31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3</v>
      </c>
      <c r="N645">
        <v>0</v>
      </c>
      <c r="O645">
        <v>0</v>
      </c>
      <c r="P645">
        <v>3</v>
      </c>
    </row>
    <row r="646" spans="1:16" x14ac:dyDescent="0.3">
      <c r="A646" s="1">
        <v>45078</v>
      </c>
      <c r="B646" t="s">
        <v>10</v>
      </c>
      <c r="C646" s="9" t="str">
        <f>IFERROR(INDEX(자료실범례[],MATCH($B646,자료실범례[소장처명],0),2),"종합자료실")</f>
        <v>어린이자료실</v>
      </c>
      <c r="D646" t="s">
        <v>28</v>
      </c>
      <c r="E646">
        <v>0</v>
      </c>
      <c r="F646">
        <v>1</v>
      </c>
      <c r="G646">
        <v>0</v>
      </c>
      <c r="H646">
        <v>1</v>
      </c>
      <c r="I646">
        <v>2</v>
      </c>
      <c r="J646">
        <v>1</v>
      </c>
      <c r="K646">
        <v>0</v>
      </c>
      <c r="L646">
        <v>0</v>
      </c>
      <c r="M646">
        <v>12</v>
      </c>
      <c r="N646">
        <v>2</v>
      </c>
      <c r="O646">
        <v>0</v>
      </c>
      <c r="P646">
        <v>19</v>
      </c>
    </row>
    <row r="647" spans="1:16" x14ac:dyDescent="0.3">
      <c r="A647" s="1">
        <v>45078</v>
      </c>
      <c r="B647" t="s">
        <v>10</v>
      </c>
      <c r="C647" s="9" t="str">
        <f>IFERROR(INDEX(자료실범례[],MATCH($B647,자료실범례[소장처명],0),2),"종합자료실")</f>
        <v>어린이자료실</v>
      </c>
      <c r="D647" t="s">
        <v>25</v>
      </c>
      <c r="E647">
        <v>0</v>
      </c>
      <c r="F647">
        <v>0</v>
      </c>
      <c r="G647">
        <v>0</v>
      </c>
      <c r="H647">
        <v>1</v>
      </c>
      <c r="I647">
        <v>2</v>
      </c>
      <c r="J647">
        <v>0</v>
      </c>
      <c r="K647">
        <v>1</v>
      </c>
      <c r="L647">
        <v>0</v>
      </c>
      <c r="M647">
        <v>10</v>
      </c>
      <c r="N647">
        <v>0</v>
      </c>
      <c r="O647">
        <v>0</v>
      </c>
      <c r="P647">
        <v>14</v>
      </c>
    </row>
    <row r="648" spans="1:16" x14ac:dyDescent="0.3">
      <c r="A648" s="1">
        <v>45078</v>
      </c>
      <c r="B648" t="s">
        <v>10</v>
      </c>
      <c r="C648" s="9" t="str">
        <f>IFERROR(INDEX(자료실범례[],MATCH($B648,자료실범례[소장처명],0),2),"종합자료실")</f>
        <v>어린이자료실</v>
      </c>
      <c r="D648" t="s">
        <v>31</v>
      </c>
      <c r="E648">
        <v>0</v>
      </c>
      <c r="F648">
        <v>0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3</v>
      </c>
      <c r="N648">
        <v>0</v>
      </c>
      <c r="O648">
        <v>0</v>
      </c>
      <c r="P648">
        <v>4</v>
      </c>
    </row>
    <row r="649" spans="1:16" x14ac:dyDescent="0.3">
      <c r="A649" s="1">
        <v>45078</v>
      </c>
      <c r="B649" t="s">
        <v>11</v>
      </c>
      <c r="C649" s="9" t="str">
        <f>IFERROR(INDEX(자료실범례[],MATCH($B649,자료실범례[소장처명],0),2),"종합자료실")</f>
        <v>어린이자료실</v>
      </c>
      <c r="D649" t="s">
        <v>28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4</v>
      </c>
      <c r="N649">
        <v>0</v>
      </c>
      <c r="O649">
        <v>0</v>
      </c>
      <c r="P649">
        <v>5</v>
      </c>
    </row>
    <row r="650" spans="1:16" x14ac:dyDescent="0.3">
      <c r="A650" s="1">
        <v>45078</v>
      </c>
      <c r="B650" t="s">
        <v>11</v>
      </c>
      <c r="C650" s="9" t="str">
        <f>IFERROR(INDEX(자료실범례[],MATCH($B650,자료실범례[소장처명],0),2),"종합자료실")</f>
        <v>어린이자료실</v>
      </c>
      <c r="D650" t="s">
        <v>25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6</v>
      </c>
      <c r="N650">
        <v>1</v>
      </c>
      <c r="O650">
        <v>0</v>
      </c>
      <c r="P650">
        <v>8</v>
      </c>
    </row>
    <row r="651" spans="1:16" x14ac:dyDescent="0.3">
      <c r="A651" s="1">
        <v>45078</v>
      </c>
      <c r="B651" t="s">
        <v>12</v>
      </c>
      <c r="C651" s="9" t="str">
        <f>IFERROR(INDEX(자료실범례[],MATCH($B651,자료실범례[소장처명],0),2),"종합자료실")</f>
        <v>어린이자료실</v>
      </c>
      <c r="D651" t="s">
        <v>28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0</v>
      </c>
      <c r="O651">
        <v>0</v>
      </c>
      <c r="P651">
        <v>1</v>
      </c>
    </row>
    <row r="652" spans="1:16" x14ac:dyDescent="0.3">
      <c r="A652" s="1">
        <v>45078</v>
      </c>
      <c r="B652" t="s">
        <v>12</v>
      </c>
      <c r="C652" s="9" t="str">
        <f>IFERROR(INDEX(자료실범례[],MATCH($B652,자료실범례[소장처명],0),2),"종합자료실")</f>
        <v>어린이자료실</v>
      </c>
      <c r="D652" t="s">
        <v>25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0</v>
      </c>
      <c r="O652">
        <v>0</v>
      </c>
      <c r="P652">
        <v>1</v>
      </c>
    </row>
    <row r="653" spans="1:16" x14ac:dyDescent="0.3">
      <c r="A653" s="1">
        <v>45078</v>
      </c>
      <c r="B653" t="s">
        <v>0</v>
      </c>
      <c r="C653" s="9" t="str">
        <f>IFERROR(INDEX(자료실범례[],MATCH($B653,자료실범례[소장처명],0),2),"종합자료실")</f>
        <v>어린이자료실</v>
      </c>
      <c r="D653" t="s">
        <v>28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</v>
      </c>
      <c r="M653">
        <v>9</v>
      </c>
      <c r="N653">
        <v>0</v>
      </c>
      <c r="O653">
        <v>0</v>
      </c>
      <c r="P653">
        <v>12</v>
      </c>
    </row>
    <row r="654" spans="1:16" x14ac:dyDescent="0.3">
      <c r="A654" s="1">
        <v>45078</v>
      </c>
      <c r="B654" t="s">
        <v>0</v>
      </c>
      <c r="C654" s="9" t="str">
        <f>IFERROR(INDEX(자료실범례[],MATCH($B654,자료실범례[소장처명],0),2),"종합자료실")</f>
        <v>어린이자료실</v>
      </c>
      <c r="D654" t="s">
        <v>25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3</v>
      </c>
      <c r="M654">
        <v>6</v>
      </c>
      <c r="N654">
        <v>0</v>
      </c>
      <c r="O654">
        <v>0</v>
      </c>
      <c r="P654">
        <v>9</v>
      </c>
    </row>
    <row r="655" spans="1:16" x14ac:dyDescent="0.3">
      <c r="A655" s="1">
        <v>45078</v>
      </c>
      <c r="B655" t="s">
        <v>0</v>
      </c>
      <c r="C655" s="9" t="str">
        <f>IFERROR(INDEX(자료실범례[],MATCH($B655,자료실범례[소장처명],0),2),"종합자료실")</f>
        <v>어린이자료실</v>
      </c>
      <c r="D655" t="s">
        <v>31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1</v>
      </c>
    </row>
    <row r="656" spans="1:16" x14ac:dyDescent="0.3">
      <c r="A656" s="1">
        <v>45078</v>
      </c>
      <c r="B656" t="s">
        <v>1</v>
      </c>
      <c r="C656" s="9" t="str">
        <f>IFERROR(INDEX(자료실범례[],MATCH($B656,자료실범례[소장처명],0),2),"종합자료실")</f>
        <v>어린이자료실</v>
      </c>
      <c r="D656" t="s">
        <v>28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46</v>
      </c>
      <c r="M656">
        <v>2</v>
      </c>
      <c r="N656">
        <v>0</v>
      </c>
      <c r="O656">
        <v>0</v>
      </c>
      <c r="P656">
        <v>49</v>
      </c>
    </row>
    <row r="657" spans="1:16" x14ac:dyDescent="0.3">
      <c r="A657" s="1">
        <v>45078</v>
      </c>
      <c r="B657" t="s">
        <v>1</v>
      </c>
      <c r="C657" s="9" t="str">
        <f>IFERROR(INDEX(자료실범례[],MATCH($B657,자료실범례[소장처명],0),2),"종합자료실")</f>
        <v>어린이자료실</v>
      </c>
      <c r="D657" t="s">
        <v>25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1</v>
      </c>
      <c r="L657">
        <v>44</v>
      </c>
      <c r="M657">
        <v>1</v>
      </c>
      <c r="N657">
        <v>0</v>
      </c>
      <c r="O657">
        <v>0</v>
      </c>
      <c r="P657">
        <v>46</v>
      </c>
    </row>
    <row r="658" spans="1:16" x14ac:dyDescent="0.3">
      <c r="A658" s="1">
        <v>45078</v>
      </c>
      <c r="B658" t="s">
        <v>1</v>
      </c>
      <c r="C658" s="9" t="str">
        <f>IFERROR(INDEX(자료실범례[],MATCH($B658,자료실범례[소장처명],0),2),"종합자료실")</f>
        <v>어린이자료실</v>
      </c>
      <c r="D658" t="s">
        <v>31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21</v>
      </c>
      <c r="M658">
        <v>0</v>
      </c>
      <c r="N658">
        <v>0</v>
      </c>
      <c r="O658">
        <v>0</v>
      </c>
      <c r="P658">
        <v>21</v>
      </c>
    </row>
    <row r="659" spans="1:16" x14ac:dyDescent="0.3">
      <c r="A659" s="1">
        <v>45078</v>
      </c>
      <c r="B659" t="s">
        <v>6</v>
      </c>
      <c r="C659" s="9" t="str">
        <f>IFERROR(INDEX(자료실범례[],MATCH($B659,자료실범례[소장처명],0),2),"종합자료실")</f>
        <v>종합자료실</v>
      </c>
      <c r="D659" t="s">
        <v>28</v>
      </c>
      <c r="E659">
        <v>2</v>
      </c>
      <c r="F659">
        <v>3</v>
      </c>
      <c r="G659">
        <v>1</v>
      </c>
      <c r="H659">
        <v>1</v>
      </c>
      <c r="I659">
        <v>5</v>
      </c>
      <c r="J659">
        <v>5</v>
      </c>
      <c r="K659">
        <v>0</v>
      </c>
      <c r="L659">
        <v>1</v>
      </c>
      <c r="M659">
        <v>5</v>
      </c>
      <c r="N659">
        <v>4</v>
      </c>
      <c r="O659">
        <v>0</v>
      </c>
      <c r="P659">
        <v>27</v>
      </c>
    </row>
    <row r="660" spans="1:16" x14ac:dyDescent="0.3">
      <c r="A660" s="1">
        <v>45078</v>
      </c>
      <c r="B660" t="s">
        <v>6</v>
      </c>
      <c r="C660" s="9" t="str">
        <f>IFERROR(INDEX(자료실범례[],MATCH($B660,자료실범례[소장처명],0),2),"종합자료실")</f>
        <v>종합자료실</v>
      </c>
      <c r="D660" t="s">
        <v>25</v>
      </c>
      <c r="E660">
        <v>2</v>
      </c>
      <c r="F660">
        <v>1</v>
      </c>
      <c r="G660">
        <v>1</v>
      </c>
      <c r="H660">
        <v>1</v>
      </c>
      <c r="I660">
        <v>4</v>
      </c>
      <c r="J660">
        <v>3</v>
      </c>
      <c r="K660">
        <v>0</v>
      </c>
      <c r="L660">
        <v>1</v>
      </c>
      <c r="M660">
        <v>2</v>
      </c>
      <c r="N660">
        <v>2</v>
      </c>
      <c r="O660">
        <v>0</v>
      </c>
      <c r="P660">
        <v>17</v>
      </c>
    </row>
    <row r="661" spans="1:16" x14ac:dyDescent="0.3">
      <c r="A661" s="1">
        <v>45078</v>
      </c>
      <c r="B661" t="s">
        <v>6</v>
      </c>
      <c r="C661" s="9" t="str">
        <f>IFERROR(INDEX(자료실범례[],MATCH($B661,자료실범례[소장처명],0),2),"종합자료실")</f>
        <v>종합자료실</v>
      </c>
      <c r="D661" t="s">
        <v>31</v>
      </c>
      <c r="E661">
        <v>0</v>
      </c>
      <c r="F661">
        <v>1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2</v>
      </c>
    </row>
    <row r="662" spans="1:16" x14ac:dyDescent="0.3">
      <c r="A662" s="1">
        <v>45078</v>
      </c>
      <c r="B662" t="s">
        <v>18</v>
      </c>
      <c r="C662" s="9" t="str">
        <f>IFERROR(INDEX(자료실범례[],MATCH($B662,자료실범례[소장처명],0),2),"종합자료실")</f>
        <v>종합자료실</v>
      </c>
      <c r="D662" t="s">
        <v>28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4</v>
      </c>
      <c r="P662">
        <v>4</v>
      </c>
    </row>
    <row r="663" spans="1:16" x14ac:dyDescent="0.3">
      <c r="A663" s="1">
        <v>45078</v>
      </c>
      <c r="B663" t="s">
        <v>18</v>
      </c>
      <c r="C663" s="9" t="str">
        <f>IFERROR(INDEX(자료실범례[],MATCH($B663,자료실범례[소장처명],0),2),"종합자료실")</f>
        <v>종합자료실</v>
      </c>
      <c r="D663" t="s">
        <v>25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2</v>
      </c>
      <c r="P663">
        <v>2</v>
      </c>
    </row>
    <row r="664" spans="1:16" x14ac:dyDescent="0.3">
      <c r="A664" s="1">
        <v>45078</v>
      </c>
      <c r="B664" t="s">
        <v>18</v>
      </c>
      <c r="C664" s="9" t="str">
        <f>IFERROR(INDEX(자료실범례[],MATCH($B664,자료실범례[소장처명],0),2),"종합자료실")</f>
        <v>종합자료실</v>
      </c>
      <c r="D664" t="s">
        <v>31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2</v>
      </c>
      <c r="P664">
        <v>2</v>
      </c>
    </row>
    <row r="665" spans="1:16" x14ac:dyDescent="0.3">
      <c r="A665" s="1">
        <v>45078</v>
      </c>
      <c r="B665" t="s">
        <v>17</v>
      </c>
      <c r="C665" s="9" t="str">
        <f>IFERROR(INDEX(자료실범례[],MATCH($B665,자료실범례[소장처명],0),2),"종합자료실")</f>
        <v>어린이자료실</v>
      </c>
      <c r="D665" t="s">
        <v>28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7</v>
      </c>
      <c r="P665">
        <v>7</v>
      </c>
    </row>
    <row r="666" spans="1:16" x14ac:dyDescent="0.3">
      <c r="A666" s="1">
        <v>45078</v>
      </c>
      <c r="B666" t="s">
        <v>17</v>
      </c>
      <c r="C666" s="9" t="str">
        <f>IFERROR(INDEX(자료실범례[],MATCH($B666,자료실범례[소장처명],0),2),"종합자료실")</f>
        <v>어린이자료실</v>
      </c>
      <c r="D666" t="s">
        <v>25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8</v>
      </c>
      <c r="P666">
        <v>8</v>
      </c>
    </row>
    <row r="667" spans="1:16" x14ac:dyDescent="0.3">
      <c r="A667" s="1">
        <v>45444</v>
      </c>
      <c r="B667" t="s">
        <v>21</v>
      </c>
      <c r="C667" s="9" t="str">
        <f>IFERROR(INDEX(자료실범례[],MATCH($B667,자료실범례[소장처명],0),2),"종합자료실")</f>
        <v>종합자료실</v>
      </c>
      <c r="D667" t="s">
        <v>28</v>
      </c>
      <c r="E667">
        <v>43</v>
      </c>
      <c r="F667">
        <v>137</v>
      </c>
      <c r="G667">
        <v>15</v>
      </c>
      <c r="H667">
        <v>226</v>
      </c>
      <c r="I667">
        <v>80</v>
      </c>
      <c r="J667">
        <v>113</v>
      </c>
      <c r="K667">
        <v>42</v>
      </c>
      <c r="L667">
        <v>32</v>
      </c>
      <c r="M667">
        <v>509</v>
      </c>
      <c r="N667">
        <v>59</v>
      </c>
      <c r="O667">
        <v>0</v>
      </c>
      <c r="P667">
        <v>1256</v>
      </c>
    </row>
    <row r="668" spans="1:16" x14ac:dyDescent="0.3">
      <c r="A668" s="1">
        <v>45444</v>
      </c>
      <c r="B668" t="s">
        <v>21</v>
      </c>
      <c r="C668" s="9" t="str">
        <f>IFERROR(INDEX(자료실범례[],MATCH($B668,자료실범례[소장처명],0),2),"종합자료실")</f>
        <v>종합자료실</v>
      </c>
      <c r="D668" t="s">
        <v>25</v>
      </c>
      <c r="E668">
        <v>38</v>
      </c>
      <c r="F668">
        <v>112</v>
      </c>
      <c r="G668">
        <v>16</v>
      </c>
      <c r="H668">
        <v>240</v>
      </c>
      <c r="I668">
        <v>79</v>
      </c>
      <c r="J668">
        <v>107</v>
      </c>
      <c r="K668">
        <v>32</v>
      </c>
      <c r="L668">
        <v>30</v>
      </c>
      <c r="M668">
        <v>433</v>
      </c>
      <c r="N668">
        <v>60</v>
      </c>
      <c r="O668">
        <v>0</v>
      </c>
      <c r="P668">
        <v>1147</v>
      </c>
    </row>
    <row r="669" spans="1:16" x14ac:dyDescent="0.3">
      <c r="A669" s="1">
        <v>45444</v>
      </c>
      <c r="B669" t="s">
        <v>21</v>
      </c>
      <c r="C669" s="9" t="str">
        <f>IFERROR(INDEX(자료실범례[],MATCH($B669,자료실범례[소장처명],0),2),"종합자료실")</f>
        <v>종합자료실</v>
      </c>
      <c r="D669" t="s">
        <v>31</v>
      </c>
      <c r="E669">
        <v>7</v>
      </c>
      <c r="F669">
        <v>44</v>
      </c>
      <c r="G669">
        <v>1</v>
      </c>
      <c r="H669">
        <v>106</v>
      </c>
      <c r="I669">
        <v>14</v>
      </c>
      <c r="J669">
        <v>49</v>
      </c>
      <c r="K669">
        <v>22</v>
      </c>
      <c r="L669">
        <v>7</v>
      </c>
      <c r="M669">
        <v>188</v>
      </c>
      <c r="N669">
        <v>31</v>
      </c>
      <c r="O669">
        <v>0</v>
      </c>
      <c r="P669">
        <v>469</v>
      </c>
    </row>
    <row r="670" spans="1:16" x14ac:dyDescent="0.3">
      <c r="A670" s="1">
        <v>45444</v>
      </c>
      <c r="B670" t="s">
        <v>16</v>
      </c>
      <c r="C670" s="9" t="str">
        <f>IFERROR(INDEX(자료실범례[],MATCH($B670,자료실범례[소장처명],0),2),"종합자료실")</f>
        <v>어린이자료실</v>
      </c>
      <c r="D670" t="s">
        <v>28</v>
      </c>
      <c r="E670">
        <v>35</v>
      </c>
      <c r="F670">
        <v>40</v>
      </c>
      <c r="G670">
        <v>12</v>
      </c>
      <c r="H670">
        <v>148</v>
      </c>
      <c r="I670">
        <v>154</v>
      </c>
      <c r="J670">
        <v>22</v>
      </c>
      <c r="K670">
        <v>36</v>
      </c>
      <c r="L670">
        <v>35</v>
      </c>
      <c r="M670">
        <v>887</v>
      </c>
      <c r="N670">
        <v>121</v>
      </c>
      <c r="O670">
        <v>0</v>
      </c>
      <c r="P670">
        <v>1490</v>
      </c>
    </row>
    <row r="671" spans="1:16" x14ac:dyDescent="0.3">
      <c r="A671" s="1">
        <v>45444</v>
      </c>
      <c r="B671" t="s">
        <v>16</v>
      </c>
      <c r="C671" s="9" t="str">
        <f>IFERROR(INDEX(자료실범례[],MATCH($B671,자료실범례[소장처명],0),2),"종합자료실")</f>
        <v>어린이자료실</v>
      </c>
      <c r="D671" t="s">
        <v>25</v>
      </c>
      <c r="E671">
        <v>25</v>
      </c>
      <c r="F671">
        <v>38</v>
      </c>
      <c r="G671">
        <v>14</v>
      </c>
      <c r="H671">
        <v>114</v>
      </c>
      <c r="I671">
        <v>126</v>
      </c>
      <c r="J671">
        <v>30</v>
      </c>
      <c r="K671">
        <v>32</v>
      </c>
      <c r="L671">
        <v>29</v>
      </c>
      <c r="M671">
        <v>874</v>
      </c>
      <c r="N671">
        <v>111</v>
      </c>
      <c r="O671">
        <v>0</v>
      </c>
      <c r="P671">
        <v>1393</v>
      </c>
    </row>
    <row r="672" spans="1:16" x14ac:dyDescent="0.3">
      <c r="A672" s="1">
        <v>45444</v>
      </c>
      <c r="B672" t="s">
        <v>16</v>
      </c>
      <c r="C672" s="9" t="str">
        <f>IFERROR(INDEX(자료실범례[],MATCH($B672,자료실범례[소장처명],0),2),"종합자료실")</f>
        <v>어린이자료실</v>
      </c>
      <c r="D672" t="s">
        <v>31</v>
      </c>
      <c r="E672">
        <v>3</v>
      </c>
      <c r="F672">
        <v>8</v>
      </c>
      <c r="G672">
        <v>3</v>
      </c>
      <c r="H672">
        <v>49</v>
      </c>
      <c r="I672">
        <v>25</v>
      </c>
      <c r="J672">
        <v>0</v>
      </c>
      <c r="K672">
        <v>3</v>
      </c>
      <c r="L672">
        <v>2</v>
      </c>
      <c r="M672">
        <v>201</v>
      </c>
      <c r="N672">
        <v>18</v>
      </c>
      <c r="O672">
        <v>0</v>
      </c>
      <c r="P672">
        <v>312</v>
      </c>
    </row>
    <row r="673" spans="1:16" x14ac:dyDescent="0.3">
      <c r="A673" s="1">
        <v>45444</v>
      </c>
      <c r="B673" t="s">
        <v>2</v>
      </c>
      <c r="C673" s="9" t="str">
        <f>IFERROR(INDEX(자료실범례[],MATCH($B673,자료실범례[소장처명],0),2),"종합자료실")</f>
        <v>디지털자료실</v>
      </c>
      <c r="D673" t="s">
        <v>28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38</v>
      </c>
      <c r="L673">
        <v>0</v>
      </c>
      <c r="M673">
        <v>0</v>
      </c>
      <c r="N673">
        <v>0</v>
      </c>
      <c r="O673">
        <v>0</v>
      </c>
      <c r="P673">
        <v>38</v>
      </c>
    </row>
    <row r="674" spans="1:16" x14ac:dyDescent="0.3">
      <c r="A674" s="1">
        <v>45444</v>
      </c>
      <c r="B674" t="s">
        <v>2</v>
      </c>
      <c r="C674" s="9" t="str">
        <f>IFERROR(INDEX(자료실범례[],MATCH($B674,자료실범례[소장처명],0),2),"종합자료실")</f>
        <v>디지털자료실</v>
      </c>
      <c r="D674" t="s">
        <v>25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29</v>
      </c>
      <c r="L674">
        <v>0</v>
      </c>
      <c r="M674">
        <v>0</v>
      </c>
      <c r="N674">
        <v>0</v>
      </c>
      <c r="O674">
        <v>0</v>
      </c>
      <c r="P674">
        <v>29</v>
      </c>
    </row>
    <row r="675" spans="1:16" x14ac:dyDescent="0.3">
      <c r="A675" s="1">
        <v>45444</v>
      </c>
      <c r="B675" t="s">
        <v>19</v>
      </c>
      <c r="C675" s="9" t="str">
        <f>IFERROR(INDEX(자료실범례[],MATCH($B675,자료실범례[소장처명],0),2),"종합자료실")</f>
        <v>종합자료실</v>
      </c>
      <c r="D675" t="s">
        <v>28</v>
      </c>
      <c r="E675">
        <v>9</v>
      </c>
      <c r="F675">
        <v>58</v>
      </c>
      <c r="G675">
        <v>7</v>
      </c>
      <c r="H675">
        <v>82</v>
      </c>
      <c r="I675">
        <v>19</v>
      </c>
      <c r="J675">
        <v>40</v>
      </c>
      <c r="K675">
        <v>13</v>
      </c>
      <c r="L675">
        <v>16</v>
      </c>
      <c r="M675">
        <v>181</v>
      </c>
      <c r="N675">
        <v>12</v>
      </c>
      <c r="O675">
        <v>0</v>
      </c>
      <c r="P675">
        <v>437</v>
      </c>
    </row>
    <row r="676" spans="1:16" x14ac:dyDescent="0.3">
      <c r="A676" s="1">
        <v>45444</v>
      </c>
      <c r="B676" t="s">
        <v>19</v>
      </c>
      <c r="C676" s="9" t="str">
        <f>IFERROR(INDEX(자료실범례[],MATCH($B676,자료실범례[소장처명],0),2),"종합자료실")</f>
        <v>종합자료실</v>
      </c>
      <c r="D676" t="s">
        <v>25</v>
      </c>
      <c r="E676">
        <v>16</v>
      </c>
      <c r="F676">
        <v>61</v>
      </c>
      <c r="G676">
        <v>9</v>
      </c>
      <c r="H676">
        <v>82</v>
      </c>
      <c r="I676">
        <v>22</v>
      </c>
      <c r="J676">
        <v>39</v>
      </c>
      <c r="K676">
        <v>16</v>
      </c>
      <c r="L676">
        <v>13</v>
      </c>
      <c r="M676">
        <v>176</v>
      </c>
      <c r="N676">
        <v>12</v>
      </c>
      <c r="O676">
        <v>0</v>
      </c>
      <c r="P676">
        <v>446</v>
      </c>
    </row>
    <row r="677" spans="1:16" x14ac:dyDescent="0.3">
      <c r="A677" s="1">
        <v>45444</v>
      </c>
      <c r="B677" t="s">
        <v>19</v>
      </c>
      <c r="C677" s="9" t="str">
        <f>IFERROR(INDEX(자료실범례[],MATCH($B677,자료실범례[소장처명],0),2),"종합자료실")</f>
        <v>종합자료실</v>
      </c>
      <c r="D677" t="s">
        <v>31</v>
      </c>
      <c r="E677">
        <v>0</v>
      </c>
      <c r="F677">
        <v>24</v>
      </c>
      <c r="G677">
        <v>2</v>
      </c>
      <c r="H677">
        <v>44</v>
      </c>
      <c r="I677">
        <v>12</v>
      </c>
      <c r="J677">
        <v>27</v>
      </c>
      <c r="K677">
        <v>10</v>
      </c>
      <c r="L677">
        <v>9</v>
      </c>
      <c r="M677">
        <v>78</v>
      </c>
      <c r="N677">
        <v>8</v>
      </c>
      <c r="O677">
        <v>0</v>
      </c>
      <c r="P677">
        <v>214</v>
      </c>
    </row>
    <row r="678" spans="1:16" x14ac:dyDescent="0.3">
      <c r="A678" s="1">
        <v>45444</v>
      </c>
      <c r="B678" t="s">
        <v>14</v>
      </c>
      <c r="C678" s="9" t="str">
        <f>IFERROR(INDEX(자료실범례[],MATCH($B678,자료실범례[소장처명],0),2),"종합자료실")</f>
        <v>어린이자료실</v>
      </c>
      <c r="D678" t="s">
        <v>28</v>
      </c>
      <c r="E678">
        <v>2</v>
      </c>
      <c r="F678">
        <v>7</v>
      </c>
      <c r="G678">
        <v>6</v>
      </c>
      <c r="H678">
        <v>44</v>
      </c>
      <c r="I678">
        <v>23</v>
      </c>
      <c r="J678">
        <v>10</v>
      </c>
      <c r="K678">
        <v>2</v>
      </c>
      <c r="L678">
        <v>6</v>
      </c>
      <c r="M678">
        <v>193</v>
      </c>
      <c r="N678">
        <v>21</v>
      </c>
      <c r="O678">
        <v>0</v>
      </c>
      <c r="P678">
        <v>314</v>
      </c>
    </row>
    <row r="679" spans="1:16" x14ac:dyDescent="0.3">
      <c r="A679" s="1">
        <v>45444</v>
      </c>
      <c r="B679" t="s">
        <v>14</v>
      </c>
      <c r="C679" s="9" t="str">
        <f>IFERROR(INDEX(자료실범례[],MATCH($B679,자료실범례[소장처명],0),2),"종합자료실")</f>
        <v>어린이자료실</v>
      </c>
      <c r="D679" t="s">
        <v>25</v>
      </c>
      <c r="E679">
        <v>3</v>
      </c>
      <c r="F679">
        <v>5</v>
      </c>
      <c r="G679">
        <v>12</v>
      </c>
      <c r="H679">
        <v>50</v>
      </c>
      <c r="I679">
        <v>36</v>
      </c>
      <c r="J679">
        <v>15</v>
      </c>
      <c r="K679">
        <v>2</v>
      </c>
      <c r="L679">
        <v>7</v>
      </c>
      <c r="M679">
        <v>254</v>
      </c>
      <c r="N679">
        <v>36</v>
      </c>
      <c r="O679">
        <v>0</v>
      </c>
      <c r="P679">
        <v>420</v>
      </c>
    </row>
    <row r="680" spans="1:16" x14ac:dyDescent="0.3">
      <c r="A680" s="1">
        <v>45444</v>
      </c>
      <c r="B680" t="s">
        <v>14</v>
      </c>
      <c r="C680" s="9" t="str">
        <f>IFERROR(INDEX(자료실범례[],MATCH($B680,자료실범례[소장처명],0),2),"종합자료실")</f>
        <v>어린이자료실</v>
      </c>
      <c r="D680" t="s">
        <v>31</v>
      </c>
      <c r="E680">
        <v>0</v>
      </c>
      <c r="F680">
        <v>2</v>
      </c>
      <c r="G680">
        <v>3</v>
      </c>
      <c r="H680">
        <v>4</v>
      </c>
      <c r="I680">
        <v>3</v>
      </c>
      <c r="J680">
        <v>3</v>
      </c>
      <c r="K680">
        <v>0</v>
      </c>
      <c r="L680">
        <v>0</v>
      </c>
      <c r="M680">
        <v>52</v>
      </c>
      <c r="N680">
        <v>3</v>
      </c>
      <c r="O680">
        <v>0</v>
      </c>
      <c r="P680">
        <v>70</v>
      </c>
    </row>
    <row r="681" spans="1:16" x14ac:dyDescent="0.3">
      <c r="A681" s="1">
        <v>45444</v>
      </c>
      <c r="B681" t="s">
        <v>197</v>
      </c>
      <c r="C681" s="9" t="str">
        <f>IFERROR(INDEX(자료실범례[],MATCH($B681,자료실범례[소장처명],0),2),"종합자료실")</f>
        <v>종합자료실</v>
      </c>
      <c r="D681" t="s">
        <v>28</v>
      </c>
      <c r="E681">
        <v>0</v>
      </c>
      <c r="F681">
        <v>5</v>
      </c>
      <c r="G681">
        <v>0</v>
      </c>
      <c r="H681">
        <v>4</v>
      </c>
      <c r="I681">
        <v>3</v>
      </c>
      <c r="J681">
        <v>4</v>
      </c>
      <c r="K681">
        <v>0</v>
      </c>
      <c r="L681">
        <v>0</v>
      </c>
      <c r="M681">
        <v>17</v>
      </c>
      <c r="N681">
        <v>3</v>
      </c>
      <c r="O681">
        <v>0</v>
      </c>
      <c r="P681">
        <v>36</v>
      </c>
    </row>
    <row r="682" spans="1:16" x14ac:dyDescent="0.3">
      <c r="A682" s="1">
        <v>45444</v>
      </c>
      <c r="B682" t="s">
        <v>197</v>
      </c>
      <c r="C682" s="9" t="str">
        <f>IFERROR(INDEX(자료실범례[],MATCH($B682,자료실범례[소장처명],0),2),"종합자료실")</f>
        <v>종합자료실</v>
      </c>
      <c r="D682" t="s">
        <v>25</v>
      </c>
      <c r="E682">
        <v>0</v>
      </c>
      <c r="F682">
        <v>4</v>
      </c>
      <c r="G682">
        <v>0</v>
      </c>
      <c r="H682">
        <v>6</v>
      </c>
      <c r="I682">
        <v>4</v>
      </c>
      <c r="J682">
        <v>2</v>
      </c>
      <c r="K682">
        <v>0</v>
      </c>
      <c r="L682">
        <v>0</v>
      </c>
      <c r="M682">
        <v>9</v>
      </c>
      <c r="N682">
        <v>4</v>
      </c>
      <c r="O682">
        <v>0</v>
      </c>
      <c r="P682">
        <v>29</v>
      </c>
    </row>
    <row r="683" spans="1:16" x14ac:dyDescent="0.3">
      <c r="A683" s="1">
        <v>45444</v>
      </c>
      <c r="B683" t="s">
        <v>197</v>
      </c>
      <c r="C683" s="9" t="str">
        <f>IFERROR(INDEX(자료실범례[],MATCH($B683,자료실범례[소장처명],0),2),"종합자료실")</f>
        <v>종합자료실</v>
      </c>
      <c r="D683" t="s">
        <v>31</v>
      </c>
      <c r="E683">
        <v>0</v>
      </c>
      <c r="F683">
        <v>3</v>
      </c>
      <c r="G683">
        <v>0</v>
      </c>
      <c r="H683">
        <v>3</v>
      </c>
      <c r="I683">
        <v>3</v>
      </c>
      <c r="J683">
        <v>4</v>
      </c>
      <c r="K683">
        <v>0</v>
      </c>
      <c r="L683">
        <v>0</v>
      </c>
      <c r="M683">
        <v>12</v>
      </c>
      <c r="N683">
        <v>3</v>
      </c>
      <c r="O683">
        <v>0</v>
      </c>
      <c r="P683">
        <v>28</v>
      </c>
    </row>
    <row r="684" spans="1:16" x14ac:dyDescent="0.3">
      <c r="A684" s="1">
        <v>45444</v>
      </c>
      <c r="B684" t="s">
        <v>198</v>
      </c>
      <c r="C684" s="9" t="str">
        <f>IFERROR(INDEX(자료실범례[],MATCH($B684,자료실범례[소장처명],0),2),"종합자료실")</f>
        <v>어린이자료실</v>
      </c>
      <c r="D684" t="s">
        <v>28</v>
      </c>
      <c r="E684">
        <v>0</v>
      </c>
      <c r="F684">
        <v>0</v>
      </c>
      <c r="G684">
        <v>0</v>
      </c>
      <c r="H684">
        <v>4</v>
      </c>
      <c r="I684">
        <v>0</v>
      </c>
      <c r="J684">
        <v>3</v>
      </c>
      <c r="K684">
        <v>6</v>
      </c>
      <c r="L684">
        <v>0</v>
      </c>
      <c r="M684">
        <v>35</v>
      </c>
      <c r="N684">
        <v>1</v>
      </c>
      <c r="O684">
        <v>0</v>
      </c>
      <c r="P684">
        <v>49</v>
      </c>
    </row>
    <row r="685" spans="1:16" x14ac:dyDescent="0.3">
      <c r="A685" s="1">
        <v>45444</v>
      </c>
      <c r="B685" t="s">
        <v>198</v>
      </c>
      <c r="C685" s="9" t="str">
        <f>IFERROR(INDEX(자료실범례[],MATCH($B685,자료실범례[소장처명],0),2),"종합자료실")</f>
        <v>어린이자료실</v>
      </c>
      <c r="D685" t="s">
        <v>25</v>
      </c>
      <c r="E685">
        <v>0</v>
      </c>
      <c r="F685">
        <v>0</v>
      </c>
      <c r="G685">
        <v>0</v>
      </c>
      <c r="H685">
        <v>3</v>
      </c>
      <c r="I685">
        <v>0</v>
      </c>
      <c r="J685">
        <v>2</v>
      </c>
      <c r="K685">
        <v>3</v>
      </c>
      <c r="L685">
        <v>0</v>
      </c>
      <c r="M685">
        <v>33</v>
      </c>
      <c r="N685">
        <v>1</v>
      </c>
      <c r="O685">
        <v>0</v>
      </c>
      <c r="P685">
        <v>42</v>
      </c>
    </row>
    <row r="686" spans="1:16" x14ac:dyDescent="0.3">
      <c r="A686" s="1">
        <v>45444</v>
      </c>
      <c r="B686" t="s">
        <v>198</v>
      </c>
      <c r="C686" s="9" t="str">
        <f>IFERROR(INDEX(자료실범례[],MATCH($B686,자료실범례[소장처명],0),2),"종합자료실")</f>
        <v>어린이자료실</v>
      </c>
      <c r="D686" t="s">
        <v>31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</v>
      </c>
      <c r="L686">
        <v>0</v>
      </c>
      <c r="M686">
        <v>5</v>
      </c>
      <c r="N686">
        <v>0</v>
      </c>
      <c r="O686">
        <v>0</v>
      </c>
      <c r="P686">
        <v>6</v>
      </c>
    </row>
    <row r="687" spans="1:16" x14ac:dyDescent="0.3">
      <c r="A687" s="1">
        <v>45444</v>
      </c>
      <c r="B687" t="s">
        <v>13</v>
      </c>
      <c r="C687" s="9" t="str">
        <f>IFERROR(INDEX(자료실범례[],MATCH($B687,자료실범례[소장처명],0),2),"종합자료실")</f>
        <v>어린이자료실</v>
      </c>
      <c r="D687" t="s">
        <v>28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15</v>
      </c>
      <c r="N687">
        <v>1</v>
      </c>
      <c r="O687">
        <v>0</v>
      </c>
      <c r="P687">
        <v>16</v>
      </c>
    </row>
    <row r="688" spans="1:16" x14ac:dyDescent="0.3">
      <c r="A688" s="1">
        <v>45444</v>
      </c>
      <c r="B688" t="s">
        <v>13</v>
      </c>
      <c r="C688" s="9" t="str">
        <f>IFERROR(INDEX(자료실범례[],MATCH($B688,자료실범례[소장처명],0),2),"종합자료실")</f>
        <v>어린이자료실</v>
      </c>
      <c r="D688" t="s">
        <v>25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7</v>
      </c>
      <c r="N688">
        <v>0</v>
      </c>
      <c r="O688">
        <v>0</v>
      </c>
      <c r="P688">
        <v>7</v>
      </c>
    </row>
    <row r="689" spans="1:16" x14ac:dyDescent="0.3">
      <c r="A689" s="1">
        <v>45444</v>
      </c>
      <c r="B689" t="s">
        <v>15</v>
      </c>
      <c r="C689" s="9" t="str">
        <f>IFERROR(INDEX(자료실범례[],MATCH($B689,자료실범례[소장처명],0),2),"종합자료실")</f>
        <v>어린이자료실</v>
      </c>
      <c r="D689" t="s">
        <v>28</v>
      </c>
      <c r="E689">
        <v>1</v>
      </c>
      <c r="F689">
        <v>1</v>
      </c>
      <c r="G689">
        <v>19</v>
      </c>
      <c r="H689">
        <v>7</v>
      </c>
      <c r="I689">
        <v>161</v>
      </c>
      <c r="J689">
        <v>34</v>
      </c>
      <c r="K689">
        <v>0</v>
      </c>
      <c r="L689">
        <v>62</v>
      </c>
      <c r="M689">
        <v>18</v>
      </c>
      <c r="N689">
        <v>118</v>
      </c>
      <c r="O689">
        <v>0</v>
      </c>
      <c r="P689">
        <v>421</v>
      </c>
    </row>
    <row r="690" spans="1:16" x14ac:dyDescent="0.3">
      <c r="A690" s="1">
        <v>45444</v>
      </c>
      <c r="B690" t="s">
        <v>15</v>
      </c>
      <c r="C690" s="9" t="str">
        <f>IFERROR(INDEX(자료실범례[],MATCH($B690,자료실범례[소장처명],0),2),"종합자료실")</f>
        <v>어린이자료실</v>
      </c>
      <c r="D690" t="s">
        <v>25</v>
      </c>
      <c r="E690">
        <v>1</v>
      </c>
      <c r="F690">
        <v>2</v>
      </c>
      <c r="G690">
        <v>15</v>
      </c>
      <c r="H690">
        <v>9</v>
      </c>
      <c r="I690">
        <v>148</v>
      </c>
      <c r="J690">
        <v>37</v>
      </c>
      <c r="K690">
        <v>0</v>
      </c>
      <c r="L690">
        <v>74</v>
      </c>
      <c r="M690">
        <v>20</v>
      </c>
      <c r="N690">
        <v>137</v>
      </c>
      <c r="O690">
        <v>0</v>
      </c>
      <c r="P690">
        <v>443</v>
      </c>
    </row>
    <row r="691" spans="1:16" x14ac:dyDescent="0.3">
      <c r="A691" s="1">
        <v>45444</v>
      </c>
      <c r="B691" t="s">
        <v>15</v>
      </c>
      <c r="C691" s="9" t="str">
        <f>IFERROR(INDEX(자료실범례[],MATCH($B691,자료실범례[소장처명],0),2),"종합자료실")</f>
        <v>어린이자료실</v>
      </c>
      <c r="D691" t="s">
        <v>31</v>
      </c>
      <c r="E691">
        <v>0</v>
      </c>
      <c r="F691">
        <v>0</v>
      </c>
      <c r="G691">
        <v>0</v>
      </c>
      <c r="H691">
        <v>5</v>
      </c>
      <c r="I691">
        <v>21</v>
      </c>
      <c r="J691">
        <v>0</v>
      </c>
      <c r="K691">
        <v>0</v>
      </c>
      <c r="L691">
        <v>2</v>
      </c>
      <c r="M691">
        <v>1</v>
      </c>
      <c r="N691">
        <v>18</v>
      </c>
      <c r="O691">
        <v>0</v>
      </c>
      <c r="P691">
        <v>47</v>
      </c>
    </row>
    <row r="692" spans="1:16" x14ac:dyDescent="0.3">
      <c r="A692" s="1">
        <v>45444</v>
      </c>
      <c r="B692" t="s">
        <v>20</v>
      </c>
      <c r="C692" s="9" t="str">
        <f>IFERROR(INDEX(자료실범례[],MATCH($B692,자료실범례[소장처명],0),2),"종합자료실")</f>
        <v>종합자료실</v>
      </c>
      <c r="D692" t="s">
        <v>28</v>
      </c>
      <c r="E692">
        <v>0</v>
      </c>
      <c r="F692">
        <v>0</v>
      </c>
      <c r="G692">
        <v>0</v>
      </c>
      <c r="H692">
        <v>2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2</v>
      </c>
    </row>
    <row r="693" spans="1:16" x14ac:dyDescent="0.3">
      <c r="A693" s="1">
        <v>45444</v>
      </c>
      <c r="B693" t="s">
        <v>20</v>
      </c>
      <c r="C693" s="9" t="str">
        <f>IFERROR(INDEX(자료실범례[],MATCH($B693,자료실범례[소장처명],0),2),"종합자료실")</f>
        <v>종합자료실</v>
      </c>
      <c r="D693" t="s">
        <v>25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</v>
      </c>
    </row>
    <row r="694" spans="1:16" x14ac:dyDescent="0.3">
      <c r="A694" s="1">
        <v>45444</v>
      </c>
      <c r="B694" t="s">
        <v>4</v>
      </c>
      <c r="C694" s="9" t="str">
        <f>IFERROR(INDEX(자료실범례[],MATCH($B694,자료실범례[소장처명],0),2),"종합자료실")</f>
        <v>어린이자료실</v>
      </c>
      <c r="D694" t="s">
        <v>28</v>
      </c>
      <c r="E694">
        <v>0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5</v>
      </c>
      <c r="N694">
        <v>1</v>
      </c>
      <c r="O694">
        <v>0</v>
      </c>
      <c r="P694">
        <v>7</v>
      </c>
    </row>
    <row r="695" spans="1:16" x14ac:dyDescent="0.3">
      <c r="A695" s="1">
        <v>45444</v>
      </c>
      <c r="B695" t="s">
        <v>4</v>
      </c>
      <c r="C695" s="9" t="str">
        <f>IFERROR(INDEX(자료실범례[],MATCH($B695,자료실범례[소장처명],0),2),"종합자료실")</f>
        <v>어린이자료실</v>
      </c>
      <c r="D695" t="s">
        <v>25</v>
      </c>
      <c r="E695">
        <v>0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7</v>
      </c>
      <c r="N695">
        <v>0</v>
      </c>
      <c r="O695">
        <v>0</v>
      </c>
      <c r="P695">
        <v>8</v>
      </c>
    </row>
    <row r="696" spans="1:16" x14ac:dyDescent="0.3">
      <c r="A696" s="1">
        <v>45444</v>
      </c>
      <c r="B696" t="s">
        <v>5</v>
      </c>
      <c r="C696" s="9" t="str">
        <f>IFERROR(INDEX(자료실범례[],MATCH($B696,자료실범례[소장처명],0),2),"종합자료실")</f>
        <v>종합자료실</v>
      </c>
      <c r="D696" t="s">
        <v>28</v>
      </c>
      <c r="E696">
        <v>1</v>
      </c>
      <c r="F696">
        <v>5</v>
      </c>
      <c r="G696">
        <v>1</v>
      </c>
      <c r="H696">
        <v>5</v>
      </c>
      <c r="I696">
        <v>3</v>
      </c>
      <c r="J696">
        <v>5</v>
      </c>
      <c r="K696">
        <v>3</v>
      </c>
      <c r="L696">
        <v>2</v>
      </c>
      <c r="M696">
        <v>10</v>
      </c>
      <c r="N696">
        <v>0</v>
      </c>
      <c r="O696">
        <v>0</v>
      </c>
      <c r="P696">
        <v>35</v>
      </c>
    </row>
    <row r="697" spans="1:16" x14ac:dyDescent="0.3">
      <c r="A697" s="1">
        <v>45444</v>
      </c>
      <c r="B697" t="s">
        <v>5</v>
      </c>
      <c r="C697" s="9" t="str">
        <f>IFERROR(INDEX(자료실범례[],MATCH($B697,자료실범례[소장처명],0),2),"종합자료실")</f>
        <v>종합자료실</v>
      </c>
      <c r="D697" t="s">
        <v>25</v>
      </c>
      <c r="E697">
        <v>0</v>
      </c>
      <c r="F697">
        <v>2</v>
      </c>
      <c r="G697">
        <v>0</v>
      </c>
      <c r="H697">
        <v>7</v>
      </c>
      <c r="I697">
        <v>2</v>
      </c>
      <c r="J697">
        <v>12</v>
      </c>
      <c r="K697">
        <v>4</v>
      </c>
      <c r="L697">
        <v>1</v>
      </c>
      <c r="M697">
        <v>13</v>
      </c>
      <c r="N697">
        <v>0</v>
      </c>
      <c r="O697">
        <v>0</v>
      </c>
      <c r="P697">
        <v>41</v>
      </c>
    </row>
    <row r="698" spans="1:16" x14ac:dyDescent="0.3">
      <c r="A698" s="1">
        <v>45444</v>
      </c>
      <c r="B698" t="s">
        <v>5</v>
      </c>
      <c r="C698" s="9" t="str">
        <f>IFERROR(INDEX(자료실범례[],MATCH($B698,자료실범례[소장처명],0),2),"종합자료실")</f>
        <v>종합자료실</v>
      </c>
      <c r="D698" t="s">
        <v>31</v>
      </c>
      <c r="E698">
        <v>0</v>
      </c>
      <c r="F698">
        <v>2</v>
      </c>
      <c r="G698">
        <v>1</v>
      </c>
      <c r="H698">
        <v>2</v>
      </c>
      <c r="I698">
        <v>2</v>
      </c>
      <c r="J698">
        <v>3</v>
      </c>
      <c r="K698">
        <v>0</v>
      </c>
      <c r="L698">
        <v>2</v>
      </c>
      <c r="M698">
        <v>2</v>
      </c>
      <c r="N698">
        <v>0</v>
      </c>
      <c r="O698">
        <v>0</v>
      </c>
      <c r="P698">
        <v>14</v>
      </c>
    </row>
    <row r="699" spans="1:16" x14ac:dyDescent="0.3">
      <c r="A699" s="1">
        <v>45444</v>
      </c>
      <c r="B699" t="s">
        <v>7</v>
      </c>
      <c r="C699" s="9" t="str">
        <f>IFERROR(INDEX(자료실범례[],MATCH($B699,자료실범례[소장처명],0),2),"종합자료실")</f>
        <v>어린이자료실</v>
      </c>
      <c r="D699" t="s">
        <v>28</v>
      </c>
      <c r="E699">
        <v>0</v>
      </c>
      <c r="F699">
        <v>2</v>
      </c>
      <c r="G699">
        <v>0</v>
      </c>
      <c r="H699">
        <v>8</v>
      </c>
      <c r="I699">
        <v>0</v>
      </c>
      <c r="J699">
        <v>3</v>
      </c>
      <c r="K699">
        <v>0</v>
      </c>
      <c r="L699">
        <v>1</v>
      </c>
      <c r="M699">
        <v>31</v>
      </c>
      <c r="N699">
        <v>0</v>
      </c>
      <c r="O699">
        <v>0</v>
      </c>
      <c r="P699">
        <v>45</v>
      </c>
    </row>
    <row r="700" spans="1:16" x14ac:dyDescent="0.3">
      <c r="A700" s="1">
        <v>45444</v>
      </c>
      <c r="B700" t="s">
        <v>7</v>
      </c>
      <c r="C700" s="9" t="str">
        <f>IFERROR(INDEX(자료실범례[],MATCH($B700,자료실범례[소장처명],0),2),"종합자료실")</f>
        <v>어린이자료실</v>
      </c>
      <c r="D700" t="s">
        <v>25</v>
      </c>
      <c r="E700">
        <v>0</v>
      </c>
      <c r="F700">
        <v>1</v>
      </c>
      <c r="G700">
        <v>0</v>
      </c>
      <c r="H700">
        <v>6</v>
      </c>
      <c r="I700">
        <v>2</v>
      </c>
      <c r="J700">
        <v>3</v>
      </c>
      <c r="K700">
        <v>0</v>
      </c>
      <c r="L700">
        <v>0</v>
      </c>
      <c r="M700">
        <v>33</v>
      </c>
      <c r="N700">
        <v>0</v>
      </c>
      <c r="O700">
        <v>0</v>
      </c>
      <c r="P700">
        <v>45</v>
      </c>
    </row>
    <row r="701" spans="1:16" x14ac:dyDescent="0.3">
      <c r="A701" s="1">
        <v>45444</v>
      </c>
      <c r="B701" t="s">
        <v>7</v>
      </c>
      <c r="C701" s="9" t="str">
        <f>IFERROR(INDEX(자료실범례[],MATCH($B701,자료실범례[소장처명],0),2),"종합자료실")</f>
        <v>어린이자료실</v>
      </c>
      <c r="D701" t="s">
        <v>31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9</v>
      </c>
      <c r="N701">
        <v>0</v>
      </c>
      <c r="O701">
        <v>0</v>
      </c>
      <c r="P701">
        <v>10</v>
      </c>
    </row>
    <row r="702" spans="1:16" x14ac:dyDescent="0.3">
      <c r="A702" s="1">
        <v>45444</v>
      </c>
      <c r="B702" t="s">
        <v>8</v>
      </c>
      <c r="C702" s="9" t="str">
        <f>IFERROR(INDEX(자료실범례[],MATCH($B702,자료실범례[소장처명],0),2),"종합자료실")</f>
        <v>어린이자료실</v>
      </c>
      <c r="D702" t="s">
        <v>28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13</v>
      </c>
      <c r="N702">
        <v>0</v>
      </c>
      <c r="O702">
        <v>0</v>
      </c>
      <c r="P702">
        <v>13</v>
      </c>
    </row>
    <row r="703" spans="1:16" x14ac:dyDescent="0.3">
      <c r="A703" s="1">
        <v>45444</v>
      </c>
      <c r="B703" t="s">
        <v>8</v>
      </c>
      <c r="C703" s="9" t="str">
        <f>IFERROR(INDEX(자료실범례[],MATCH($B703,자료실범례[소장처명],0),2),"종합자료실")</f>
        <v>어린이자료실</v>
      </c>
      <c r="D703" t="s">
        <v>25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18</v>
      </c>
      <c r="N703">
        <v>0</v>
      </c>
      <c r="O703">
        <v>0</v>
      </c>
      <c r="P703">
        <v>18</v>
      </c>
    </row>
    <row r="704" spans="1:16" x14ac:dyDescent="0.3">
      <c r="A704" s="1">
        <v>45444</v>
      </c>
      <c r="B704" t="s">
        <v>9</v>
      </c>
      <c r="C704" s="9" t="str">
        <f>IFERROR(INDEX(자료실범례[],MATCH($B704,자료실범례[소장처명],0),2),"종합자료실")</f>
        <v>어린이자료실</v>
      </c>
      <c r="D704" t="s">
        <v>28</v>
      </c>
      <c r="E704">
        <v>0</v>
      </c>
      <c r="F704">
        <v>0</v>
      </c>
      <c r="G704">
        <v>0</v>
      </c>
      <c r="H704">
        <v>1</v>
      </c>
      <c r="I704">
        <v>1</v>
      </c>
      <c r="J704">
        <v>2</v>
      </c>
      <c r="K704">
        <v>0</v>
      </c>
      <c r="L704">
        <v>0</v>
      </c>
      <c r="M704">
        <v>5</v>
      </c>
      <c r="N704">
        <v>0</v>
      </c>
      <c r="O704">
        <v>0</v>
      </c>
      <c r="P704">
        <v>9</v>
      </c>
    </row>
    <row r="705" spans="1:16" x14ac:dyDescent="0.3">
      <c r="A705" s="1">
        <v>45444</v>
      </c>
      <c r="B705" t="s">
        <v>9</v>
      </c>
      <c r="C705" s="9" t="str">
        <f>IFERROR(INDEX(자료실범례[],MATCH($B705,자료실범례[소장처명],0),2),"종합자료실")</f>
        <v>어린이자료실</v>
      </c>
      <c r="D705" t="s">
        <v>25</v>
      </c>
      <c r="E705">
        <v>0</v>
      </c>
      <c r="F705">
        <v>0</v>
      </c>
      <c r="G705">
        <v>0</v>
      </c>
      <c r="H705">
        <v>1</v>
      </c>
      <c r="I705">
        <v>3</v>
      </c>
      <c r="J705">
        <v>2</v>
      </c>
      <c r="K705">
        <v>0</v>
      </c>
      <c r="L705">
        <v>0</v>
      </c>
      <c r="M705">
        <v>2</v>
      </c>
      <c r="N705">
        <v>0</v>
      </c>
      <c r="O705">
        <v>0</v>
      </c>
      <c r="P705">
        <v>8</v>
      </c>
    </row>
    <row r="706" spans="1:16" x14ac:dyDescent="0.3">
      <c r="A706" s="1">
        <v>45444</v>
      </c>
      <c r="B706" t="s">
        <v>9</v>
      </c>
      <c r="C706" s="9" t="str">
        <f>IFERROR(INDEX(자료실범례[],MATCH($B706,자료실범례[소장처명],0),2),"종합자료실")</f>
        <v>어린이자료실</v>
      </c>
      <c r="D706" t="s">
        <v>31</v>
      </c>
      <c r="E706">
        <v>0</v>
      </c>
      <c r="F706">
        <v>0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1</v>
      </c>
      <c r="N706">
        <v>0</v>
      </c>
      <c r="O706">
        <v>0</v>
      </c>
      <c r="P706">
        <v>2</v>
      </c>
    </row>
    <row r="707" spans="1:16" x14ac:dyDescent="0.3">
      <c r="A707" s="1">
        <v>45444</v>
      </c>
      <c r="B707" t="s">
        <v>10</v>
      </c>
      <c r="C707" s="9" t="str">
        <f>IFERROR(INDEX(자료실범례[],MATCH($B707,자료실범례[소장처명],0),2),"종합자료실")</f>
        <v>어린이자료실</v>
      </c>
      <c r="D707" t="s">
        <v>28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1</v>
      </c>
      <c r="K707">
        <v>0</v>
      </c>
      <c r="L707">
        <v>0</v>
      </c>
      <c r="M707">
        <v>11</v>
      </c>
      <c r="N707">
        <v>0</v>
      </c>
      <c r="O707">
        <v>0</v>
      </c>
      <c r="P707">
        <v>12</v>
      </c>
    </row>
    <row r="708" spans="1:16" x14ac:dyDescent="0.3">
      <c r="A708" s="1">
        <v>45444</v>
      </c>
      <c r="B708" t="s">
        <v>10</v>
      </c>
      <c r="C708" s="9" t="str">
        <f>IFERROR(INDEX(자료실범례[],MATCH($B708,자료실범례[소장처명],0),2),"종합자료실")</f>
        <v>어린이자료실</v>
      </c>
      <c r="D708" t="s">
        <v>25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2</v>
      </c>
      <c r="K708">
        <v>0</v>
      </c>
      <c r="L708">
        <v>2</v>
      </c>
      <c r="M708">
        <v>11</v>
      </c>
      <c r="N708">
        <v>5</v>
      </c>
      <c r="O708">
        <v>0</v>
      </c>
      <c r="P708">
        <v>20</v>
      </c>
    </row>
    <row r="709" spans="1:16" x14ac:dyDescent="0.3">
      <c r="A709" s="1">
        <v>45444</v>
      </c>
      <c r="B709" t="s">
        <v>10</v>
      </c>
      <c r="C709" s="9" t="str">
        <f>IFERROR(INDEX(자료실범례[],MATCH($B709,자료실범례[소장처명],0),2),"종합자료실")</f>
        <v>어린이자료실</v>
      </c>
      <c r="D709" t="s">
        <v>31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6</v>
      </c>
      <c r="N709">
        <v>0</v>
      </c>
      <c r="O709">
        <v>0</v>
      </c>
      <c r="P709">
        <v>6</v>
      </c>
    </row>
    <row r="710" spans="1:16" x14ac:dyDescent="0.3">
      <c r="A710" s="1">
        <v>45444</v>
      </c>
      <c r="B710" t="s">
        <v>11</v>
      </c>
      <c r="C710" s="9" t="str">
        <f>IFERROR(INDEX(자료실범례[],MATCH($B710,자료실범례[소장처명],0),2),"종합자료실")</f>
        <v>어린이자료실</v>
      </c>
      <c r="D710" t="s">
        <v>28</v>
      </c>
      <c r="E710">
        <v>3</v>
      </c>
      <c r="F710">
        <v>5</v>
      </c>
      <c r="G710">
        <v>0</v>
      </c>
      <c r="H710">
        <v>6</v>
      </c>
      <c r="I710">
        <v>0</v>
      </c>
      <c r="J710">
        <v>0</v>
      </c>
      <c r="K710">
        <v>0</v>
      </c>
      <c r="L710">
        <v>0</v>
      </c>
      <c r="M710">
        <v>6</v>
      </c>
      <c r="N710">
        <v>0</v>
      </c>
      <c r="O710">
        <v>0</v>
      </c>
      <c r="P710">
        <v>20</v>
      </c>
    </row>
    <row r="711" spans="1:16" x14ac:dyDescent="0.3">
      <c r="A711" s="1">
        <v>45444</v>
      </c>
      <c r="B711" t="s">
        <v>11</v>
      </c>
      <c r="C711" s="9" t="str">
        <f>IFERROR(INDEX(자료실범례[],MATCH($B711,자료실범례[소장처명],0),2),"종합자료실")</f>
        <v>어린이자료실</v>
      </c>
      <c r="D711" t="s">
        <v>25</v>
      </c>
      <c r="E711">
        <v>2</v>
      </c>
      <c r="F711">
        <v>3</v>
      </c>
      <c r="G711">
        <v>0</v>
      </c>
      <c r="H711">
        <v>4</v>
      </c>
      <c r="I711">
        <v>1</v>
      </c>
      <c r="J711">
        <v>1</v>
      </c>
      <c r="K711">
        <v>0</v>
      </c>
      <c r="L711">
        <v>0</v>
      </c>
      <c r="M711">
        <v>16</v>
      </c>
      <c r="N711">
        <v>1</v>
      </c>
      <c r="O711">
        <v>0</v>
      </c>
      <c r="P711">
        <v>28</v>
      </c>
    </row>
    <row r="712" spans="1:16" x14ac:dyDescent="0.3">
      <c r="A712" s="1">
        <v>45444</v>
      </c>
      <c r="B712" t="s">
        <v>11</v>
      </c>
      <c r="C712" s="9" t="str">
        <f>IFERROR(INDEX(자료실범례[],MATCH($B712,자료실범례[소장처명],0),2),"종합자료실")</f>
        <v>어린이자료실</v>
      </c>
      <c r="D712" t="s">
        <v>31</v>
      </c>
      <c r="E712">
        <v>2</v>
      </c>
      <c r="F712">
        <v>5</v>
      </c>
      <c r="G712">
        <v>0</v>
      </c>
      <c r="H712">
        <v>6</v>
      </c>
      <c r="I712">
        <v>1</v>
      </c>
      <c r="J712">
        <v>0</v>
      </c>
      <c r="K712">
        <v>0</v>
      </c>
      <c r="L712">
        <v>0</v>
      </c>
      <c r="M712">
        <v>1</v>
      </c>
      <c r="N712">
        <v>0</v>
      </c>
      <c r="O712">
        <v>0</v>
      </c>
      <c r="P712">
        <v>15</v>
      </c>
    </row>
    <row r="713" spans="1:16" x14ac:dyDescent="0.3">
      <c r="A713" s="1">
        <v>45444</v>
      </c>
      <c r="B713" t="s">
        <v>12</v>
      </c>
      <c r="C713" s="9" t="str">
        <f>IFERROR(INDEX(자료실범례[],MATCH($B713,자료실범례[소장처명],0),2),"종합자료실")</f>
        <v>어린이자료실</v>
      </c>
      <c r="D713" t="s">
        <v>28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2</v>
      </c>
      <c r="K713">
        <v>0</v>
      </c>
      <c r="L713">
        <v>0</v>
      </c>
      <c r="M713">
        <v>2</v>
      </c>
      <c r="N713">
        <v>0</v>
      </c>
      <c r="O713">
        <v>0</v>
      </c>
      <c r="P713">
        <v>4</v>
      </c>
    </row>
    <row r="714" spans="1:16" x14ac:dyDescent="0.3">
      <c r="A714" s="1">
        <v>45444</v>
      </c>
      <c r="B714" t="s">
        <v>12</v>
      </c>
      <c r="C714" s="9" t="str">
        <f>IFERROR(INDEX(자료실범례[],MATCH($B714,자료실범례[소장처명],0),2),"종합자료실")</f>
        <v>어린이자료실</v>
      </c>
      <c r="D714" t="s">
        <v>25</v>
      </c>
      <c r="E714">
        <v>0</v>
      </c>
      <c r="F714">
        <v>0</v>
      </c>
      <c r="G714">
        <v>0</v>
      </c>
      <c r="H714">
        <v>2</v>
      </c>
      <c r="I714">
        <v>0</v>
      </c>
      <c r="J714">
        <v>2</v>
      </c>
      <c r="K714">
        <v>0</v>
      </c>
      <c r="L714">
        <v>0</v>
      </c>
      <c r="M714">
        <v>2</v>
      </c>
      <c r="N714">
        <v>1</v>
      </c>
      <c r="O714">
        <v>0</v>
      </c>
      <c r="P714">
        <v>7</v>
      </c>
    </row>
    <row r="715" spans="1:16" x14ac:dyDescent="0.3">
      <c r="A715" s="1">
        <v>45444</v>
      </c>
      <c r="B715" t="s">
        <v>12</v>
      </c>
      <c r="C715" s="9" t="str">
        <f>IFERROR(INDEX(자료실범례[],MATCH($B715,자료실범례[소장처명],0),2),"종합자료실")</f>
        <v>어린이자료실</v>
      </c>
      <c r="D715" t="s">
        <v>31</v>
      </c>
      <c r="E715">
        <v>0</v>
      </c>
      <c r="F715">
        <v>0</v>
      </c>
      <c r="G715">
        <v>0</v>
      </c>
      <c r="H715">
        <v>1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3</v>
      </c>
    </row>
    <row r="716" spans="1:16" x14ac:dyDescent="0.3">
      <c r="A716" s="1">
        <v>45444</v>
      </c>
      <c r="B716" t="s">
        <v>0</v>
      </c>
      <c r="C716" s="9" t="str">
        <f>IFERROR(INDEX(자료실범례[],MATCH($B716,자료실범례[소장처명],0),2),"종합자료실")</f>
        <v>어린이자료실</v>
      </c>
      <c r="D716" t="s">
        <v>28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2</v>
      </c>
      <c r="M716">
        <v>25</v>
      </c>
      <c r="N716">
        <v>0</v>
      </c>
      <c r="O716">
        <v>0</v>
      </c>
      <c r="P716">
        <v>27</v>
      </c>
    </row>
    <row r="717" spans="1:16" x14ac:dyDescent="0.3">
      <c r="A717" s="1">
        <v>45444</v>
      </c>
      <c r="B717" t="s">
        <v>0</v>
      </c>
      <c r="C717" s="9" t="str">
        <f>IFERROR(INDEX(자료실범례[],MATCH($B717,자료실범례[소장처명],0),2),"종합자료실")</f>
        <v>어린이자료실</v>
      </c>
      <c r="D717" t="s">
        <v>25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15</v>
      </c>
      <c r="N717">
        <v>0</v>
      </c>
      <c r="O717">
        <v>0</v>
      </c>
      <c r="P717">
        <v>16</v>
      </c>
    </row>
    <row r="718" spans="1:16" x14ac:dyDescent="0.3">
      <c r="A718" s="1">
        <v>45444</v>
      </c>
      <c r="B718" t="s">
        <v>0</v>
      </c>
      <c r="C718" s="9" t="str">
        <f>IFERROR(INDEX(자료실범례[],MATCH($B718,자료실범례[소장처명],0),2),"종합자료실")</f>
        <v>어린이자료실</v>
      </c>
      <c r="D718" t="s">
        <v>31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5</v>
      </c>
      <c r="N718">
        <v>0</v>
      </c>
      <c r="O718">
        <v>0</v>
      </c>
      <c r="P718">
        <v>6</v>
      </c>
    </row>
    <row r="719" spans="1:16" x14ac:dyDescent="0.3">
      <c r="A719" s="1">
        <v>45444</v>
      </c>
      <c r="B719" t="s">
        <v>1</v>
      </c>
      <c r="C719" s="9" t="str">
        <f>IFERROR(INDEX(자료실범례[],MATCH($B719,자료실범례[소장처명],0),2),"종합자료실")</f>
        <v>어린이자료실</v>
      </c>
      <c r="D719" t="s">
        <v>28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33</v>
      </c>
      <c r="M719">
        <v>6</v>
      </c>
      <c r="N719">
        <v>0</v>
      </c>
      <c r="O719">
        <v>0</v>
      </c>
      <c r="P719">
        <v>39</v>
      </c>
    </row>
    <row r="720" spans="1:16" x14ac:dyDescent="0.3">
      <c r="A720" s="1">
        <v>45444</v>
      </c>
      <c r="B720" t="s">
        <v>1</v>
      </c>
      <c r="C720" s="9" t="str">
        <f>IFERROR(INDEX(자료실범례[],MATCH($B720,자료실범례[소장처명],0),2),"종합자료실")</f>
        <v>어린이자료실</v>
      </c>
      <c r="D720" t="s">
        <v>25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28</v>
      </c>
      <c r="M720">
        <v>8</v>
      </c>
      <c r="N720">
        <v>0</v>
      </c>
      <c r="O720">
        <v>0</v>
      </c>
      <c r="P720">
        <v>36</v>
      </c>
    </row>
    <row r="721" spans="1:16" x14ac:dyDescent="0.3">
      <c r="A721" s="1">
        <v>45444</v>
      </c>
      <c r="B721" t="s">
        <v>1</v>
      </c>
      <c r="C721" s="9" t="str">
        <f>IFERROR(INDEX(자료실범례[],MATCH($B721,자료실범례[소장처명],0),2),"종합자료실")</f>
        <v>어린이자료실</v>
      </c>
      <c r="D721" t="s">
        <v>31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15</v>
      </c>
      <c r="M721">
        <v>1</v>
      </c>
      <c r="N721">
        <v>0</v>
      </c>
      <c r="O721">
        <v>0</v>
      </c>
      <c r="P721">
        <v>16</v>
      </c>
    </row>
    <row r="722" spans="1:16" x14ac:dyDescent="0.3">
      <c r="A722" s="1">
        <v>45444</v>
      </c>
      <c r="B722" t="s">
        <v>6</v>
      </c>
      <c r="C722" s="9" t="str">
        <f>IFERROR(INDEX(자료실범례[],MATCH($B722,자료실범례[소장처명],0),2),"종합자료실")</f>
        <v>종합자료실</v>
      </c>
      <c r="D722" t="s">
        <v>28</v>
      </c>
      <c r="E722">
        <v>4</v>
      </c>
      <c r="F722">
        <v>7</v>
      </c>
      <c r="G722">
        <v>3</v>
      </c>
      <c r="H722">
        <v>19</v>
      </c>
      <c r="I722">
        <v>12</v>
      </c>
      <c r="J722">
        <v>15</v>
      </c>
      <c r="K722">
        <v>6</v>
      </c>
      <c r="L722">
        <v>3</v>
      </c>
      <c r="M722">
        <v>85</v>
      </c>
      <c r="N722">
        <v>3</v>
      </c>
      <c r="O722">
        <v>0</v>
      </c>
      <c r="P722">
        <v>157</v>
      </c>
    </row>
    <row r="723" spans="1:16" x14ac:dyDescent="0.3">
      <c r="A723" s="1">
        <v>45444</v>
      </c>
      <c r="B723" t="s">
        <v>6</v>
      </c>
      <c r="C723" s="9" t="str">
        <f>IFERROR(INDEX(자료실범례[],MATCH($B723,자료실범례[소장처명],0),2),"종합자료실")</f>
        <v>종합자료실</v>
      </c>
      <c r="D723" t="s">
        <v>25</v>
      </c>
      <c r="E723">
        <v>2</v>
      </c>
      <c r="F723">
        <v>7</v>
      </c>
      <c r="G723">
        <v>3</v>
      </c>
      <c r="H723">
        <v>18</v>
      </c>
      <c r="I723">
        <v>12</v>
      </c>
      <c r="J723">
        <v>15</v>
      </c>
      <c r="K723">
        <v>8</v>
      </c>
      <c r="L723">
        <v>2</v>
      </c>
      <c r="M723">
        <v>90</v>
      </c>
      <c r="N723">
        <v>3</v>
      </c>
      <c r="O723">
        <v>0</v>
      </c>
      <c r="P723">
        <v>160</v>
      </c>
    </row>
    <row r="724" spans="1:16" x14ac:dyDescent="0.3">
      <c r="A724" s="1">
        <v>45444</v>
      </c>
      <c r="B724" t="s">
        <v>6</v>
      </c>
      <c r="C724" s="9" t="str">
        <f>IFERROR(INDEX(자료실범례[],MATCH($B724,자료실범례[소장처명],0),2),"종합자료실")</f>
        <v>종합자료실</v>
      </c>
      <c r="D724" t="s">
        <v>31</v>
      </c>
      <c r="E724">
        <v>1</v>
      </c>
      <c r="F724">
        <v>2</v>
      </c>
      <c r="G724">
        <v>0</v>
      </c>
      <c r="H724">
        <v>3</v>
      </c>
      <c r="I724">
        <v>1</v>
      </c>
      <c r="J724">
        <v>1</v>
      </c>
      <c r="K724">
        <v>0</v>
      </c>
      <c r="L724">
        <v>1</v>
      </c>
      <c r="M724">
        <v>5</v>
      </c>
      <c r="N724">
        <v>1</v>
      </c>
      <c r="O724">
        <v>0</v>
      </c>
      <c r="P724">
        <v>15</v>
      </c>
    </row>
    <row r="725" spans="1:16" x14ac:dyDescent="0.3">
      <c r="A725" s="1">
        <v>45444</v>
      </c>
      <c r="B725" t="s">
        <v>18</v>
      </c>
      <c r="C725" s="9" t="str">
        <f>IFERROR(INDEX(자료실범례[],MATCH($B725,자료실범례[소장처명],0),2),"종합자료실")</f>
        <v>종합자료실</v>
      </c>
      <c r="D725" t="s">
        <v>28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2</v>
      </c>
      <c r="P725">
        <v>2</v>
      </c>
    </row>
    <row r="726" spans="1:16" x14ac:dyDescent="0.3">
      <c r="A726" s="1">
        <v>45444</v>
      </c>
      <c r="B726" t="s">
        <v>18</v>
      </c>
      <c r="C726" s="9" t="str">
        <f>IFERROR(INDEX(자료실범례[],MATCH($B726,자료실범례[소장처명],0),2),"종합자료실")</f>
        <v>종합자료실</v>
      </c>
      <c r="D726" t="s">
        <v>25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4</v>
      </c>
      <c r="P726">
        <v>4</v>
      </c>
    </row>
    <row r="727" spans="1:16" x14ac:dyDescent="0.3">
      <c r="A727" s="1">
        <v>45444</v>
      </c>
      <c r="B727" t="s">
        <v>18</v>
      </c>
      <c r="C727" s="9" t="str">
        <f>IFERROR(INDEX(자료실범례[],MATCH($B727,자료실범례[소장처명],0),2),"종합자료실")</f>
        <v>종합자료실</v>
      </c>
      <c r="D727" t="s">
        <v>31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1</v>
      </c>
    </row>
    <row r="728" spans="1:16" x14ac:dyDescent="0.3">
      <c r="A728" s="1">
        <v>45444</v>
      </c>
      <c r="B728" t="s">
        <v>17</v>
      </c>
      <c r="C728" s="9" t="str">
        <f>IFERROR(INDEX(자료실범례[],MATCH($B728,자료실범례[소장처명],0),2),"종합자료실")</f>
        <v>어린이자료실</v>
      </c>
      <c r="D728" t="s">
        <v>28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7</v>
      </c>
      <c r="P728">
        <v>7</v>
      </c>
    </row>
    <row r="729" spans="1:16" x14ac:dyDescent="0.3">
      <c r="A729" s="1">
        <v>45444</v>
      </c>
      <c r="B729" t="s">
        <v>17</v>
      </c>
      <c r="C729" s="9" t="str">
        <f>IFERROR(INDEX(자료실범례[],MATCH($B729,자료실범례[소장처명],0),2),"종합자료실")</f>
        <v>어린이자료실</v>
      </c>
      <c r="D729" t="s">
        <v>25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6</v>
      </c>
      <c r="P729">
        <v>6</v>
      </c>
    </row>
    <row r="730" spans="1:16" x14ac:dyDescent="0.3">
      <c r="A730" s="1">
        <v>45444</v>
      </c>
      <c r="B730" t="s">
        <v>24</v>
      </c>
      <c r="C730" s="9" t="str">
        <f>IFERROR(INDEX(자료실범례[],MATCH($B730,자료실범례[소장처명],0),2),"종합자료실")</f>
        <v>종합자료실</v>
      </c>
      <c r="D730" t="s">
        <v>28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2</v>
      </c>
    </row>
    <row r="731" spans="1:16" x14ac:dyDescent="0.3">
      <c r="A731" s="1">
        <v>45444</v>
      </c>
      <c r="B731" t="s">
        <v>24</v>
      </c>
      <c r="C731" s="9" t="str">
        <f>IFERROR(INDEX(자료실범례[],MATCH($B731,자료실범례[소장처명],0),2),"종합자료실")</f>
        <v>종합자료실</v>
      </c>
      <c r="D731" t="s">
        <v>25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2</v>
      </c>
    </row>
    <row r="732" spans="1:16" x14ac:dyDescent="0.3">
      <c r="A732" s="1">
        <v>45108</v>
      </c>
      <c r="B732" t="s">
        <v>21</v>
      </c>
      <c r="C732" s="9" t="str">
        <f>IFERROR(INDEX(자료실범례[],MATCH($B732,자료실범례[소장처명],0),2),"종합자료실")</f>
        <v>종합자료실</v>
      </c>
      <c r="D732" t="s">
        <v>28</v>
      </c>
      <c r="E732">
        <v>45</v>
      </c>
      <c r="F732">
        <v>135</v>
      </c>
      <c r="G732">
        <v>51</v>
      </c>
      <c r="H732">
        <v>269</v>
      </c>
      <c r="I732">
        <v>87</v>
      </c>
      <c r="J732">
        <v>145</v>
      </c>
      <c r="K732">
        <v>69</v>
      </c>
      <c r="L732">
        <v>31</v>
      </c>
      <c r="M732">
        <v>686</v>
      </c>
      <c r="N732">
        <v>110</v>
      </c>
      <c r="O732">
        <v>0</v>
      </c>
      <c r="P732">
        <v>1628</v>
      </c>
    </row>
    <row r="733" spans="1:16" x14ac:dyDescent="0.3">
      <c r="A733" s="1">
        <v>45108</v>
      </c>
      <c r="B733" t="s">
        <v>21</v>
      </c>
      <c r="C733" s="9" t="str">
        <f>IFERROR(INDEX(자료실범례[],MATCH($B733,자료실범례[소장처명],0),2),"종합자료실")</f>
        <v>종합자료실</v>
      </c>
      <c r="D733" t="s">
        <v>25</v>
      </c>
      <c r="E733">
        <v>51</v>
      </c>
      <c r="F733">
        <v>122</v>
      </c>
      <c r="G733">
        <v>50</v>
      </c>
      <c r="H733">
        <v>255</v>
      </c>
      <c r="I733">
        <v>97</v>
      </c>
      <c r="J733">
        <v>143</v>
      </c>
      <c r="K733">
        <v>54</v>
      </c>
      <c r="L733">
        <v>44</v>
      </c>
      <c r="M733">
        <v>626</v>
      </c>
      <c r="N733">
        <v>105</v>
      </c>
      <c r="O733">
        <v>0</v>
      </c>
      <c r="P733">
        <v>1547</v>
      </c>
    </row>
    <row r="734" spans="1:16" x14ac:dyDescent="0.3">
      <c r="A734" s="1">
        <v>45108</v>
      </c>
      <c r="B734" t="s">
        <v>21</v>
      </c>
      <c r="C734" s="9" t="str">
        <f>IFERROR(INDEX(자료실범례[],MATCH($B734,자료실범례[소장처명],0),2),"종합자료실")</f>
        <v>종합자료실</v>
      </c>
      <c r="D734" t="s">
        <v>31</v>
      </c>
      <c r="E734">
        <v>17</v>
      </c>
      <c r="F734">
        <v>43</v>
      </c>
      <c r="G734">
        <v>16</v>
      </c>
      <c r="H734">
        <v>126</v>
      </c>
      <c r="I734">
        <v>29</v>
      </c>
      <c r="J734">
        <v>60</v>
      </c>
      <c r="K734">
        <v>34</v>
      </c>
      <c r="L734">
        <v>9</v>
      </c>
      <c r="M734">
        <v>222</v>
      </c>
      <c r="N734">
        <v>40</v>
      </c>
      <c r="O734">
        <v>0</v>
      </c>
      <c r="P734">
        <v>596</v>
      </c>
    </row>
    <row r="735" spans="1:16" x14ac:dyDescent="0.3">
      <c r="A735" s="1">
        <v>45108</v>
      </c>
      <c r="B735" t="s">
        <v>16</v>
      </c>
      <c r="C735" s="9" t="str">
        <f>IFERROR(INDEX(자료실범례[],MATCH($B735,자료실범례[소장처명],0),2),"종합자료실")</f>
        <v>어린이자료실</v>
      </c>
      <c r="D735" t="s">
        <v>28</v>
      </c>
      <c r="E735">
        <v>24</v>
      </c>
      <c r="F735">
        <v>15</v>
      </c>
      <c r="G735">
        <v>16</v>
      </c>
      <c r="H735">
        <v>147</v>
      </c>
      <c r="I735">
        <v>174</v>
      </c>
      <c r="J735">
        <v>53</v>
      </c>
      <c r="K735">
        <v>32</v>
      </c>
      <c r="L735">
        <v>34</v>
      </c>
      <c r="M735">
        <v>1100</v>
      </c>
      <c r="N735">
        <v>70</v>
      </c>
      <c r="O735">
        <v>0</v>
      </c>
      <c r="P735">
        <v>1665</v>
      </c>
    </row>
    <row r="736" spans="1:16" x14ac:dyDescent="0.3">
      <c r="A736" s="1">
        <v>45108</v>
      </c>
      <c r="B736" t="s">
        <v>16</v>
      </c>
      <c r="C736" s="9" t="str">
        <f>IFERROR(INDEX(자료실범례[],MATCH($B736,자료실범례[소장처명],0),2),"종합자료실")</f>
        <v>어린이자료실</v>
      </c>
      <c r="D736" t="s">
        <v>25</v>
      </c>
      <c r="E736">
        <v>19</v>
      </c>
      <c r="F736">
        <v>15</v>
      </c>
      <c r="G736">
        <v>6</v>
      </c>
      <c r="H736">
        <v>129</v>
      </c>
      <c r="I736">
        <v>153</v>
      </c>
      <c r="J736">
        <v>38</v>
      </c>
      <c r="K736">
        <v>30</v>
      </c>
      <c r="L736">
        <v>35</v>
      </c>
      <c r="M736">
        <v>1018</v>
      </c>
      <c r="N736">
        <v>73</v>
      </c>
      <c r="O736">
        <v>0</v>
      </c>
      <c r="P736">
        <v>1516</v>
      </c>
    </row>
    <row r="737" spans="1:16" x14ac:dyDescent="0.3">
      <c r="A737" s="1">
        <v>45108</v>
      </c>
      <c r="B737" t="s">
        <v>16</v>
      </c>
      <c r="C737" s="9" t="str">
        <f>IFERROR(INDEX(자료실범례[],MATCH($B737,자료실범례[소장처명],0),2),"종합자료실")</f>
        <v>어린이자료실</v>
      </c>
      <c r="D737" t="s">
        <v>31</v>
      </c>
      <c r="E737">
        <v>4</v>
      </c>
      <c r="F737">
        <v>3</v>
      </c>
      <c r="G737">
        <v>11</v>
      </c>
      <c r="H737">
        <v>23</v>
      </c>
      <c r="I737">
        <v>22</v>
      </c>
      <c r="J737">
        <v>4</v>
      </c>
      <c r="K737">
        <v>3</v>
      </c>
      <c r="L737">
        <v>3</v>
      </c>
      <c r="M737">
        <v>206</v>
      </c>
      <c r="N737">
        <v>22</v>
      </c>
      <c r="O737">
        <v>0</v>
      </c>
      <c r="P737">
        <v>301</v>
      </c>
    </row>
    <row r="738" spans="1:16" x14ac:dyDescent="0.3">
      <c r="A738" s="1">
        <v>45108</v>
      </c>
      <c r="B738" t="s">
        <v>2</v>
      </c>
      <c r="C738" s="9" t="str">
        <f>IFERROR(INDEX(자료실범례[],MATCH($B738,자료실범례[소장처명],0),2),"종합자료실")</f>
        <v>디지털자료실</v>
      </c>
      <c r="D738" t="s">
        <v>28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6</v>
      </c>
      <c r="L738">
        <v>0</v>
      </c>
      <c r="M738">
        <v>0</v>
      </c>
      <c r="N738">
        <v>0</v>
      </c>
      <c r="O738">
        <v>0</v>
      </c>
      <c r="P738">
        <v>6</v>
      </c>
    </row>
    <row r="739" spans="1:16" x14ac:dyDescent="0.3">
      <c r="A739" s="1">
        <v>45108</v>
      </c>
      <c r="B739" t="s">
        <v>2</v>
      </c>
      <c r="C739" s="9" t="str">
        <f>IFERROR(INDEX(자료실범례[],MATCH($B739,자료실범례[소장처명],0),2),"종합자료실")</f>
        <v>디지털자료실</v>
      </c>
      <c r="D739" t="s">
        <v>25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16</v>
      </c>
      <c r="L739">
        <v>0</v>
      </c>
      <c r="M739">
        <v>0</v>
      </c>
      <c r="N739">
        <v>0</v>
      </c>
      <c r="O739">
        <v>0</v>
      </c>
      <c r="P739">
        <v>16</v>
      </c>
    </row>
    <row r="740" spans="1:16" x14ac:dyDescent="0.3">
      <c r="A740" s="1">
        <v>45108</v>
      </c>
      <c r="B740" t="s">
        <v>19</v>
      </c>
      <c r="C740" s="9" t="str">
        <f>IFERROR(INDEX(자료실범례[],MATCH($B740,자료실범례[소장처명],0),2),"종합자료실")</f>
        <v>종합자료실</v>
      </c>
      <c r="D740" t="s">
        <v>28</v>
      </c>
      <c r="E740">
        <v>5</v>
      </c>
      <c r="F740">
        <v>3</v>
      </c>
      <c r="G740">
        <v>0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0</v>
      </c>
      <c r="O740">
        <v>0</v>
      </c>
      <c r="P740">
        <v>11</v>
      </c>
    </row>
    <row r="741" spans="1:16" x14ac:dyDescent="0.3">
      <c r="A741" s="1">
        <v>45108</v>
      </c>
      <c r="B741" t="s">
        <v>19</v>
      </c>
      <c r="C741" s="9" t="str">
        <f>IFERROR(INDEX(자료실범례[],MATCH($B741,자료실범례[소장처명],0),2),"종합자료실")</f>
        <v>종합자료실</v>
      </c>
      <c r="D741" t="s">
        <v>25</v>
      </c>
      <c r="E741">
        <v>4</v>
      </c>
      <c r="F741">
        <v>3</v>
      </c>
      <c r="G741">
        <v>0</v>
      </c>
      <c r="H741">
        <v>2</v>
      </c>
      <c r="I741">
        <v>0</v>
      </c>
      <c r="J741">
        <v>1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11</v>
      </c>
    </row>
    <row r="742" spans="1:16" x14ac:dyDescent="0.3">
      <c r="A742" s="1">
        <v>45108</v>
      </c>
      <c r="B742" t="s">
        <v>19</v>
      </c>
      <c r="C742" s="9" t="str">
        <f>IFERROR(INDEX(자료실범례[],MATCH($B742,자료실범례[소장처명],0),2),"종합자료실")</f>
        <v>종합자료실</v>
      </c>
      <c r="D742" t="s">
        <v>31</v>
      </c>
      <c r="E742">
        <v>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2</v>
      </c>
    </row>
    <row r="743" spans="1:16" x14ac:dyDescent="0.3">
      <c r="A743" s="1">
        <v>45108</v>
      </c>
      <c r="B743" t="s">
        <v>13</v>
      </c>
      <c r="C743" s="9" t="str">
        <f>IFERROR(INDEX(자료실범례[],MATCH($B743,자료실범례[소장처명],0),2),"종합자료실")</f>
        <v>어린이자료실</v>
      </c>
      <c r="D743" t="s">
        <v>28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1</v>
      </c>
      <c r="L743">
        <v>0</v>
      </c>
      <c r="M743">
        <v>6</v>
      </c>
      <c r="N743">
        <v>0</v>
      </c>
      <c r="O743">
        <v>0</v>
      </c>
      <c r="P743">
        <v>7</v>
      </c>
    </row>
    <row r="744" spans="1:16" x14ac:dyDescent="0.3">
      <c r="A744" s="1">
        <v>45108</v>
      </c>
      <c r="B744" t="s">
        <v>13</v>
      </c>
      <c r="C744" s="9" t="str">
        <f>IFERROR(INDEX(자료실범례[],MATCH($B744,자료실범례[소장처명],0),2),"종합자료실")</f>
        <v>어린이자료실</v>
      </c>
      <c r="D744" t="s">
        <v>25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6</v>
      </c>
      <c r="N744">
        <v>0</v>
      </c>
      <c r="O744">
        <v>0</v>
      </c>
      <c r="P744">
        <v>6</v>
      </c>
    </row>
    <row r="745" spans="1:16" x14ac:dyDescent="0.3">
      <c r="A745" s="1">
        <v>45108</v>
      </c>
      <c r="B745" t="s">
        <v>13</v>
      </c>
      <c r="C745" s="9" t="str">
        <f>IFERROR(INDEX(자료실범례[],MATCH($B745,자료실범례[소장처명],0),2),"종합자료실")</f>
        <v>어린이자료실</v>
      </c>
      <c r="D745" t="s">
        <v>31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</v>
      </c>
      <c r="N745">
        <v>0</v>
      </c>
      <c r="O745">
        <v>0</v>
      </c>
      <c r="P745">
        <v>1</v>
      </c>
    </row>
    <row r="746" spans="1:16" x14ac:dyDescent="0.3">
      <c r="A746" s="1">
        <v>45108</v>
      </c>
      <c r="B746" t="s">
        <v>15</v>
      </c>
      <c r="C746" s="9" t="str">
        <f>IFERROR(INDEX(자료실범례[],MATCH($B746,자료실범례[소장처명],0),2),"종합자료실")</f>
        <v>어린이자료실</v>
      </c>
      <c r="D746" t="s">
        <v>28</v>
      </c>
      <c r="E746">
        <v>7</v>
      </c>
      <c r="F746">
        <v>0</v>
      </c>
      <c r="G746">
        <v>6</v>
      </c>
      <c r="H746">
        <v>9</v>
      </c>
      <c r="I746">
        <v>220</v>
      </c>
      <c r="J746">
        <v>20</v>
      </c>
      <c r="K746">
        <v>2</v>
      </c>
      <c r="L746">
        <v>67</v>
      </c>
      <c r="M746">
        <v>13</v>
      </c>
      <c r="N746">
        <v>154</v>
      </c>
      <c r="O746">
        <v>0</v>
      </c>
      <c r="P746">
        <v>498</v>
      </c>
    </row>
    <row r="747" spans="1:16" x14ac:dyDescent="0.3">
      <c r="A747" s="1">
        <v>45108</v>
      </c>
      <c r="B747" t="s">
        <v>15</v>
      </c>
      <c r="C747" s="9" t="str">
        <f>IFERROR(INDEX(자료실범례[],MATCH($B747,자료실범례[소장처명],0),2),"종합자료실")</f>
        <v>어린이자료실</v>
      </c>
      <c r="D747" t="s">
        <v>25</v>
      </c>
      <c r="E747">
        <v>3</v>
      </c>
      <c r="F747">
        <v>0</v>
      </c>
      <c r="G747">
        <v>7</v>
      </c>
      <c r="H747">
        <v>10</v>
      </c>
      <c r="I747">
        <v>204</v>
      </c>
      <c r="J747">
        <v>31</v>
      </c>
      <c r="K747">
        <v>2</v>
      </c>
      <c r="L747">
        <v>60</v>
      </c>
      <c r="M747">
        <v>14</v>
      </c>
      <c r="N747">
        <v>142</v>
      </c>
      <c r="O747">
        <v>0</v>
      </c>
      <c r="P747">
        <v>473</v>
      </c>
    </row>
    <row r="748" spans="1:16" x14ac:dyDescent="0.3">
      <c r="A748" s="1">
        <v>45108</v>
      </c>
      <c r="B748" t="s">
        <v>15</v>
      </c>
      <c r="C748" s="9" t="str">
        <f>IFERROR(INDEX(자료실범례[],MATCH($B748,자료실범례[소장처명],0),2),"종합자료실")</f>
        <v>어린이자료실</v>
      </c>
      <c r="D748" t="s">
        <v>31</v>
      </c>
      <c r="E748">
        <v>0</v>
      </c>
      <c r="F748">
        <v>0</v>
      </c>
      <c r="G748">
        <v>0</v>
      </c>
      <c r="H748">
        <v>0</v>
      </c>
      <c r="I748">
        <v>32</v>
      </c>
      <c r="J748">
        <v>0</v>
      </c>
      <c r="K748">
        <v>0</v>
      </c>
      <c r="L748">
        <v>3</v>
      </c>
      <c r="M748">
        <v>0</v>
      </c>
      <c r="N748">
        <v>13</v>
      </c>
      <c r="O748">
        <v>0</v>
      </c>
      <c r="P748">
        <v>48</v>
      </c>
    </row>
    <row r="749" spans="1:16" x14ac:dyDescent="0.3">
      <c r="A749" s="1">
        <v>45108</v>
      </c>
      <c r="B749" t="s">
        <v>20</v>
      </c>
      <c r="C749" s="9" t="str">
        <f>IFERROR(INDEX(자료실범례[],MATCH($B749,자료실범례[소장처명],0),2),"종합자료실")</f>
        <v>종합자료실</v>
      </c>
      <c r="D749" t="s">
        <v>28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3</v>
      </c>
      <c r="L749">
        <v>0</v>
      </c>
      <c r="M749">
        <v>0</v>
      </c>
      <c r="N749">
        <v>0</v>
      </c>
      <c r="O749">
        <v>0</v>
      </c>
      <c r="P749">
        <v>3</v>
      </c>
    </row>
    <row r="750" spans="1:16" x14ac:dyDescent="0.3">
      <c r="A750" s="1">
        <v>45108</v>
      </c>
      <c r="B750" t="s">
        <v>20</v>
      </c>
      <c r="C750" s="9" t="str">
        <f>IFERROR(INDEX(자료실범례[],MATCH($B750,자료실범례[소장처명],0),2),"종합자료실")</f>
        <v>종합자료실</v>
      </c>
      <c r="D750" t="s">
        <v>25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3</v>
      </c>
      <c r="L750">
        <v>0</v>
      </c>
      <c r="M750">
        <v>0</v>
      </c>
      <c r="N750">
        <v>0</v>
      </c>
      <c r="O750">
        <v>0</v>
      </c>
      <c r="P750">
        <v>4</v>
      </c>
    </row>
    <row r="751" spans="1:16" x14ac:dyDescent="0.3">
      <c r="A751" s="1">
        <v>45108</v>
      </c>
      <c r="B751" t="s">
        <v>4</v>
      </c>
      <c r="C751" s="9" t="str">
        <f>IFERROR(INDEX(자료실범례[],MATCH($B751,자료실범례[소장처명],0),2),"종합자료실")</f>
        <v>어린이자료실</v>
      </c>
      <c r="D751" t="s">
        <v>28</v>
      </c>
      <c r="E751">
        <v>0</v>
      </c>
      <c r="F751">
        <v>0</v>
      </c>
      <c r="G751">
        <v>0</v>
      </c>
      <c r="H751">
        <v>1</v>
      </c>
      <c r="I751">
        <v>3</v>
      </c>
      <c r="J751">
        <v>2</v>
      </c>
      <c r="K751">
        <v>0</v>
      </c>
      <c r="L751">
        <v>0</v>
      </c>
      <c r="M751">
        <v>41</v>
      </c>
      <c r="N751">
        <v>3</v>
      </c>
      <c r="O751">
        <v>0</v>
      </c>
      <c r="P751">
        <v>50</v>
      </c>
    </row>
    <row r="752" spans="1:16" x14ac:dyDescent="0.3">
      <c r="A752" s="1">
        <v>45108</v>
      </c>
      <c r="B752" t="s">
        <v>4</v>
      </c>
      <c r="C752" s="9" t="str">
        <f>IFERROR(INDEX(자료실범례[],MATCH($B752,자료실범례[소장처명],0),2),"종합자료실")</f>
        <v>어린이자료실</v>
      </c>
      <c r="D752" t="s">
        <v>25</v>
      </c>
      <c r="E752">
        <v>0</v>
      </c>
      <c r="F752">
        <v>0</v>
      </c>
      <c r="G752">
        <v>0</v>
      </c>
      <c r="H752">
        <v>1</v>
      </c>
      <c r="I752">
        <v>2</v>
      </c>
      <c r="J752">
        <v>1</v>
      </c>
      <c r="K752">
        <v>0</v>
      </c>
      <c r="L752">
        <v>0</v>
      </c>
      <c r="M752">
        <v>35</v>
      </c>
      <c r="N752">
        <v>2</v>
      </c>
      <c r="O752">
        <v>0</v>
      </c>
      <c r="P752">
        <v>41</v>
      </c>
    </row>
    <row r="753" spans="1:16" x14ac:dyDescent="0.3">
      <c r="A753" s="1">
        <v>45108</v>
      </c>
      <c r="B753" t="s">
        <v>4</v>
      </c>
      <c r="C753" s="9" t="str">
        <f>IFERROR(INDEX(자료실범례[],MATCH($B753,자료실범례[소장처명],0),2),"종합자료실")</f>
        <v>어린이자료실</v>
      </c>
      <c r="D753" t="s">
        <v>31</v>
      </c>
      <c r="E753">
        <v>0</v>
      </c>
      <c r="F753">
        <v>0</v>
      </c>
      <c r="G753">
        <v>0</v>
      </c>
      <c r="H753">
        <v>0</v>
      </c>
      <c r="I753">
        <v>1</v>
      </c>
      <c r="J753">
        <v>1</v>
      </c>
      <c r="K753">
        <v>0</v>
      </c>
      <c r="L753">
        <v>0</v>
      </c>
      <c r="M753">
        <v>4</v>
      </c>
      <c r="N753">
        <v>0</v>
      </c>
      <c r="O753">
        <v>0</v>
      </c>
      <c r="P753">
        <v>6</v>
      </c>
    </row>
    <row r="754" spans="1:16" x14ac:dyDescent="0.3">
      <c r="A754" s="1">
        <v>45108</v>
      </c>
      <c r="B754" t="s">
        <v>5</v>
      </c>
      <c r="C754" s="9" t="str">
        <f>IFERROR(INDEX(자료실범례[],MATCH($B754,자료실범례[소장처명],0),2),"종합자료실")</f>
        <v>종합자료실</v>
      </c>
      <c r="D754" t="s">
        <v>28</v>
      </c>
      <c r="E754">
        <v>0</v>
      </c>
      <c r="F754">
        <v>2</v>
      </c>
      <c r="G754">
        <v>1</v>
      </c>
      <c r="H754">
        <v>8</v>
      </c>
      <c r="I754">
        <v>4</v>
      </c>
      <c r="J754">
        <v>2</v>
      </c>
      <c r="K754">
        <v>2</v>
      </c>
      <c r="L754">
        <v>0</v>
      </c>
      <c r="M754">
        <v>16</v>
      </c>
      <c r="N754">
        <v>1</v>
      </c>
      <c r="O754">
        <v>0</v>
      </c>
      <c r="P754">
        <v>36</v>
      </c>
    </row>
    <row r="755" spans="1:16" x14ac:dyDescent="0.3">
      <c r="A755" s="1">
        <v>45108</v>
      </c>
      <c r="B755" t="s">
        <v>5</v>
      </c>
      <c r="C755" s="9" t="str">
        <f>IFERROR(INDEX(자료실범례[],MATCH($B755,자료실범례[소장처명],0),2),"종합자료실")</f>
        <v>종합자료실</v>
      </c>
      <c r="D755" t="s">
        <v>25</v>
      </c>
      <c r="E755">
        <v>0</v>
      </c>
      <c r="F755">
        <v>3</v>
      </c>
      <c r="G755">
        <v>0</v>
      </c>
      <c r="H755">
        <v>9</v>
      </c>
      <c r="I755">
        <v>4</v>
      </c>
      <c r="J755">
        <v>2</v>
      </c>
      <c r="K755">
        <v>2</v>
      </c>
      <c r="L755">
        <v>0</v>
      </c>
      <c r="M755">
        <v>5</v>
      </c>
      <c r="N755">
        <v>0</v>
      </c>
      <c r="O755">
        <v>0</v>
      </c>
      <c r="P755">
        <v>25</v>
      </c>
    </row>
    <row r="756" spans="1:16" x14ac:dyDescent="0.3">
      <c r="A756" s="1">
        <v>45108</v>
      </c>
      <c r="B756" t="s">
        <v>5</v>
      </c>
      <c r="C756" s="9" t="str">
        <f>IFERROR(INDEX(자료실범례[],MATCH($B756,자료실범례[소장처명],0),2),"종합자료실")</f>
        <v>종합자료실</v>
      </c>
      <c r="D756" t="s">
        <v>31</v>
      </c>
      <c r="E756">
        <v>0</v>
      </c>
      <c r="F756">
        <v>1</v>
      </c>
      <c r="G756">
        <v>1</v>
      </c>
      <c r="H756">
        <v>4</v>
      </c>
      <c r="I756">
        <v>1</v>
      </c>
      <c r="J756">
        <v>1</v>
      </c>
      <c r="K756">
        <v>1</v>
      </c>
      <c r="L756">
        <v>0</v>
      </c>
      <c r="M756">
        <v>6</v>
      </c>
      <c r="N756">
        <v>0</v>
      </c>
      <c r="O756">
        <v>0</v>
      </c>
      <c r="P756">
        <v>15</v>
      </c>
    </row>
    <row r="757" spans="1:16" x14ac:dyDescent="0.3">
      <c r="A757" s="1">
        <v>45108</v>
      </c>
      <c r="B757" t="s">
        <v>7</v>
      </c>
      <c r="C757" s="9" t="str">
        <f>IFERROR(INDEX(자료실범례[],MATCH($B757,자료실범례[소장처명],0),2),"종합자료실")</f>
        <v>어린이자료실</v>
      </c>
      <c r="D757" t="s">
        <v>28</v>
      </c>
      <c r="E757">
        <v>2</v>
      </c>
      <c r="F757">
        <v>0</v>
      </c>
      <c r="G757">
        <v>0</v>
      </c>
      <c r="H757">
        <v>3</v>
      </c>
      <c r="I757">
        <v>0</v>
      </c>
      <c r="J757">
        <v>2</v>
      </c>
      <c r="K757">
        <v>0</v>
      </c>
      <c r="L757">
        <v>0</v>
      </c>
      <c r="M757">
        <v>6</v>
      </c>
      <c r="N757">
        <v>0</v>
      </c>
      <c r="O757">
        <v>0</v>
      </c>
      <c r="P757">
        <v>13</v>
      </c>
    </row>
    <row r="758" spans="1:16" x14ac:dyDescent="0.3">
      <c r="A758" s="1">
        <v>45108</v>
      </c>
      <c r="B758" t="s">
        <v>7</v>
      </c>
      <c r="C758" s="9" t="str">
        <f>IFERROR(INDEX(자료실범례[],MATCH($B758,자료실범례[소장처명],0),2),"종합자료실")</f>
        <v>어린이자료실</v>
      </c>
      <c r="D758" t="s">
        <v>25</v>
      </c>
      <c r="E758">
        <v>2</v>
      </c>
      <c r="F758">
        <v>0</v>
      </c>
      <c r="G758">
        <v>0</v>
      </c>
      <c r="H758">
        <v>1</v>
      </c>
      <c r="I758">
        <v>0</v>
      </c>
      <c r="J758">
        <v>1</v>
      </c>
      <c r="K758">
        <v>0</v>
      </c>
      <c r="L758">
        <v>2</v>
      </c>
      <c r="M758">
        <v>17</v>
      </c>
      <c r="N758">
        <v>0</v>
      </c>
      <c r="O758">
        <v>0</v>
      </c>
      <c r="P758">
        <v>23</v>
      </c>
    </row>
    <row r="759" spans="1:16" x14ac:dyDescent="0.3">
      <c r="A759" s="1">
        <v>45108</v>
      </c>
      <c r="B759" t="s">
        <v>7</v>
      </c>
      <c r="C759" s="9" t="str">
        <f>IFERROR(INDEX(자료실범례[],MATCH($B759,자료실범례[소장처명],0),2),"종합자료실")</f>
        <v>어린이자료실</v>
      </c>
      <c r="D759" t="s">
        <v>31</v>
      </c>
      <c r="E759">
        <v>0</v>
      </c>
      <c r="F759">
        <v>0</v>
      </c>
      <c r="G759">
        <v>0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1</v>
      </c>
      <c r="N759">
        <v>0</v>
      </c>
      <c r="O759">
        <v>0</v>
      </c>
      <c r="P759">
        <v>2</v>
      </c>
    </row>
    <row r="760" spans="1:16" x14ac:dyDescent="0.3">
      <c r="A760" s="1">
        <v>45108</v>
      </c>
      <c r="B760" t="s">
        <v>8</v>
      </c>
      <c r="C760" s="9" t="str">
        <f>IFERROR(INDEX(자료실범례[],MATCH($B760,자료실범례[소장처명],0),2),"종합자료실")</f>
        <v>어린이자료실</v>
      </c>
      <c r="D760" t="s">
        <v>28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48</v>
      </c>
      <c r="N760">
        <v>0</v>
      </c>
      <c r="O760">
        <v>0</v>
      </c>
      <c r="P760">
        <v>48</v>
      </c>
    </row>
    <row r="761" spans="1:16" x14ac:dyDescent="0.3">
      <c r="A761" s="1">
        <v>45108</v>
      </c>
      <c r="B761" t="s">
        <v>8</v>
      </c>
      <c r="C761" s="9" t="str">
        <f>IFERROR(INDEX(자료실범례[],MATCH($B761,자료실범례[소장처명],0),2),"종합자료실")</f>
        <v>어린이자료실</v>
      </c>
      <c r="D761" t="s">
        <v>25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43</v>
      </c>
      <c r="N761">
        <v>1</v>
      </c>
      <c r="O761">
        <v>0</v>
      </c>
      <c r="P761">
        <v>44</v>
      </c>
    </row>
    <row r="762" spans="1:16" x14ac:dyDescent="0.3">
      <c r="A762" s="1">
        <v>45108</v>
      </c>
      <c r="B762" t="s">
        <v>8</v>
      </c>
      <c r="C762" s="9" t="str">
        <f>IFERROR(INDEX(자료실범례[],MATCH($B762,자료실범례[소장처명],0),2),"종합자료실")</f>
        <v>어린이자료실</v>
      </c>
      <c r="D762" t="s">
        <v>31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9</v>
      </c>
      <c r="N762">
        <v>0</v>
      </c>
      <c r="O762">
        <v>0</v>
      </c>
      <c r="P762">
        <v>9</v>
      </c>
    </row>
    <row r="763" spans="1:16" x14ac:dyDescent="0.3">
      <c r="A763" s="1">
        <v>45108</v>
      </c>
      <c r="B763" t="s">
        <v>9</v>
      </c>
      <c r="C763" s="9" t="str">
        <f>IFERROR(INDEX(자료실범례[],MATCH($B763,자료실범례[소장처명],0),2),"종합자료실")</f>
        <v>어린이자료실</v>
      </c>
      <c r="D763" t="s">
        <v>28</v>
      </c>
      <c r="E763">
        <v>0</v>
      </c>
      <c r="F763">
        <v>2</v>
      </c>
      <c r="G763">
        <v>0</v>
      </c>
      <c r="H763">
        <v>8</v>
      </c>
      <c r="I763">
        <v>2</v>
      </c>
      <c r="J763">
        <v>0</v>
      </c>
      <c r="K763">
        <v>0</v>
      </c>
      <c r="L763">
        <v>0</v>
      </c>
      <c r="M763">
        <v>8</v>
      </c>
      <c r="N763">
        <v>0</v>
      </c>
      <c r="O763">
        <v>0</v>
      </c>
      <c r="P763">
        <v>20</v>
      </c>
    </row>
    <row r="764" spans="1:16" x14ac:dyDescent="0.3">
      <c r="A764" s="1">
        <v>45108</v>
      </c>
      <c r="B764" t="s">
        <v>9</v>
      </c>
      <c r="C764" s="9" t="str">
        <f>IFERROR(INDEX(자료실범례[],MATCH($B764,자료실범례[소장처명],0),2),"종합자료실")</f>
        <v>어린이자료실</v>
      </c>
      <c r="D764" t="s">
        <v>25</v>
      </c>
      <c r="E764">
        <v>0</v>
      </c>
      <c r="F764">
        <v>2</v>
      </c>
      <c r="G764">
        <v>0</v>
      </c>
      <c r="H764">
        <v>8</v>
      </c>
      <c r="I764">
        <v>1</v>
      </c>
      <c r="J764">
        <v>1</v>
      </c>
      <c r="K764">
        <v>0</v>
      </c>
      <c r="L764">
        <v>0</v>
      </c>
      <c r="M764">
        <v>8</v>
      </c>
      <c r="N764">
        <v>0</v>
      </c>
      <c r="O764">
        <v>0</v>
      </c>
      <c r="P764">
        <v>20</v>
      </c>
    </row>
    <row r="765" spans="1:16" x14ac:dyDescent="0.3">
      <c r="A765" s="1">
        <v>45108</v>
      </c>
      <c r="B765" t="s">
        <v>9</v>
      </c>
      <c r="C765" s="9" t="str">
        <f>IFERROR(INDEX(자료실범례[],MATCH($B765,자료실범례[소장처명],0),2),"종합자료실")</f>
        <v>어린이자료실</v>
      </c>
      <c r="D765" t="s">
        <v>31</v>
      </c>
      <c r="E765">
        <v>0</v>
      </c>
      <c r="F765">
        <v>0</v>
      </c>
      <c r="G765">
        <v>0</v>
      </c>
      <c r="H765">
        <v>2</v>
      </c>
      <c r="I765">
        <v>0</v>
      </c>
      <c r="J765">
        <v>0</v>
      </c>
      <c r="K765">
        <v>0</v>
      </c>
      <c r="L765">
        <v>0</v>
      </c>
      <c r="M765">
        <v>1</v>
      </c>
      <c r="N765">
        <v>0</v>
      </c>
      <c r="O765">
        <v>0</v>
      </c>
      <c r="P765">
        <v>3</v>
      </c>
    </row>
    <row r="766" spans="1:16" x14ac:dyDescent="0.3">
      <c r="A766" s="1">
        <v>45108</v>
      </c>
      <c r="B766" t="s">
        <v>10</v>
      </c>
      <c r="C766" s="9" t="str">
        <f>IFERROR(INDEX(자료실범례[],MATCH($B766,자료실범례[소장처명],0),2),"종합자료실")</f>
        <v>어린이자료실</v>
      </c>
      <c r="D766" t="s">
        <v>28</v>
      </c>
      <c r="E766">
        <v>0</v>
      </c>
      <c r="F766">
        <v>0</v>
      </c>
      <c r="G766">
        <v>0</v>
      </c>
      <c r="H766">
        <v>0</v>
      </c>
      <c r="I766">
        <v>5</v>
      </c>
      <c r="J766">
        <v>0</v>
      </c>
      <c r="K766">
        <v>0</v>
      </c>
      <c r="L766">
        <v>1</v>
      </c>
      <c r="M766">
        <v>11</v>
      </c>
      <c r="N766">
        <v>0</v>
      </c>
      <c r="O766">
        <v>0</v>
      </c>
      <c r="P766">
        <v>17</v>
      </c>
    </row>
    <row r="767" spans="1:16" x14ac:dyDescent="0.3">
      <c r="A767" s="1">
        <v>45108</v>
      </c>
      <c r="B767" t="s">
        <v>10</v>
      </c>
      <c r="C767" s="9" t="str">
        <f>IFERROR(INDEX(자료실범례[],MATCH($B767,자료실범례[소장처명],0),2),"종합자료실")</f>
        <v>어린이자료실</v>
      </c>
      <c r="D767" t="s">
        <v>25</v>
      </c>
      <c r="E767">
        <v>0</v>
      </c>
      <c r="F767">
        <v>1</v>
      </c>
      <c r="G767">
        <v>0</v>
      </c>
      <c r="H767">
        <v>0</v>
      </c>
      <c r="I767">
        <v>4</v>
      </c>
      <c r="J767">
        <v>1</v>
      </c>
      <c r="K767">
        <v>0</v>
      </c>
      <c r="L767">
        <v>0</v>
      </c>
      <c r="M767">
        <v>11</v>
      </c>
      <c r="N767">
        <v>2</v>
      </c>
      <c r="O767">
        <v>0</v>
      </c>
      <c r="P767">
        <v>19</v>
      </c>
    </row>
    <row r="768" spans="1:16" x14ac:dyDescent="0.3">
      <c r="A768" s="1">
        <v>45108</v>
      </c>
      <c r="B768" t="s">
        <v>10</v>
      </c>
      <c r="C768" s="9" t="str">
        <f>IFERROR(INDEX(자료실범례[],MATCH($B768,자료실범례[소장처명],0),2),"종합자료실")</f>
        <v>어린이자료실</v>
      </c>
      <c r="D768" t="s">
        <v>31</v>
      </c>
      <c r="E768">
        <v>0</v>
      </c>
      <c r="F768">
        <v>1</v>
      </c>
      <c r="G768">
        <v>0</v>
      </c>
      <c r="H768">
        <v>0</v>
      </c>
      <c r="I768">
        <v>2</v>
      </c>
      <c r="J768">
        <v>0</v>
      </c>
      <c r="K768">
        <v>0</v>
      </c>
      <c r="L768">
        <v>0</v>
      </c>
      <c r="M768">
        <v>7</v>
      </c>
      <c r="N768">
        <v>2</v>
      </c>
      <c r="O768">
        <v>0</v>
      </c>
      <c r="P768">
        <v>12</v>
      </c>
    </row>
    <row r="769" spans="1:16" x14ac:dyDescent="0.3">
      <c r="A769" s="1">
        <v>45108</v>
      </c>
      <c r="B769" t="s">
        <v>11</v>
      </c>
      <c r="C769" s="9" t="str">
        <f>IFERROR(INDEX(자료실범례[],MATCH($B769,자료실범례[소장처명],0),2),"종합자료실")</f>
        <v>어린이자료실</v>
      </c>
      <c r="D769" t="s">
        <v>28</v>
      </c>
      <c r="E769">
        <v>0</v>
      </c>
      <c r="F769">
        <v>0</v>
      </c>
      <c r="G769">
        <v>0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3</v>
      </c>
      <c r="N769">
        <v>0</v>
      </c>
      <c r="O769">
        <v>0</v>
      </c>
      <c r="P769">
        <v>4</v>
      </c>
    </row>
    <row r="770" spans="1:16" x14ac:dyDescent="0.3">
      <c r="A770" s="1">
        <v>45108</v>
      </c>
      <c r="B770" t="s">
        <v>11</v>
      </c>
      <c r="C770" s="9" t="str">
        <f>IFERROR(INDEX(자료실범례[],MATCH($B770,자료실범례[소장처명],0),2),"종합자료실")</f>
        <v>어린이자료실</v>
      </c>
      <c r="D770" t="s">
        <v>25</v>
      </c>
      <c r="E770">
        <v>1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4</v>
      </c>
      <c r="N770">
        <v>0</v>
      </c>
      <c r="O770">
        <v>0</v>
      </c>
      <c r="P770">
        <v>6</v>
      </c>
    </row>
    <row r="771" spans="1:16" x14ac:dyDescent="0.3">
      <c r="A771" s="1">
        <v>45108</v>
      </c>
      <c r="B771" t="s">
        <v>11</v>
      </c>
      <c r="C771" s="9" t="str">
        <f>IFERROR(INDEX(자료실범례[],MATCH($B771,자료실범례[소장처명],0),2),"종합자료실")</f>
        <v>어린이자료실</v>
      </c>
      <c r="D771" t="s">
        <v>31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0</v>
      </c>
      <c r="O771">
        <v>0</v>
      </c>
      <c r="P771">
        <v>2</v>
      </c>
    </row>
    <row r="772" spans="1:16" x14ac:dyDescent="0.3">
      <c r="A772" s="1">
        <v>45108</v>
      </c>
      <c r="B772" t="s">
        <v>12</v>
      </c>
      <c r="C772" s="9" t="str">
        <f>IFERROR(INDEX(자료실범례[],MATCH($B772,자료실범례[소장처명],0),2),"종합자료실")</f>
        <v>어린이자료실</v>
      </c>
      <c r="D772" t="s">
        <v>28</v>
      </c>
      <c r="E772">
        <v>1</v>
      </c>
      <c r="F772">
        <v>0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1</v>
      </c>
      <c r="M772">
        <v>1</v>
      </c>
      <c r="N772">
        <v>0</v>
      </c>
      <c r="O772">
        <v>0</v>
      </c>
      <c r="P772">
        <v>4</v>
      </c>
    </row>
    <row r="773" spans="1:16" x14ac:dyDescent="0.3">
      <c r="A773" s="1">
        <v>45108</v>
      </c>
      <c r="B773" t="s">
        <v>12</v>
      </c>
      <c r="C773" s="9" t="str">
        <f>IFERROR(INDEX(자료실범례[],MATCH($B773,자료실범례[소장처명],0),2),"종합자료실")</f>
        <v>어린이자료실</v>
      </c>
      <c r="D773" t="s">
        <v>25</v>
      </c>
      <c r="E773">
        <v>1</v>
      </c>
      <c r="F773">
        <v>0</v>
      </c>
      <c r="G773">
        <v>0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2</v>
      </c>
      <c r="N773">
        <v>0</v>
      </c>
      <c r="O773">
        <v>0</v>
      </c>
      <c r="P773">
        <v>4</v>
      </c>
    </row>
    <row r="774" spans="1:16" x14ac:dyDescent="0.3">
      <c r="A774" s="1">
        <v>45108</v>
      </c>
      <c r="B774" t="s">
        <v>0</v>
      </c>
      <c r="C774" s="9" t="str">
        <f>IFERROR(INDEX(자료실범례[],MATCH($B774,자료실범례[소장처명],0),2),"종합자료실")</f>
        <v>어린이자료실</v>
      </c>
      <c r="D774" t="s">
        <v>28</v>
      </c>
      <c r="E774">
        <v>0</v>
      </c>
      <c r="F774">
        <v>0</v>
      </c>
      <c r="G774">
        <v>0</v>
      </c>
      <c r="H774">
        <v>1</v>
      </c>
      <c r="I774">
        <v>0</v>
      </c>
      <c r="J774">
        <v>0</v>
      </c>
      <c r="K774">
        <v>0</v>
      </c>
      <c r="L774">
        <v>7</v>
      </c>
      <c r="M774">
        <v>15</v>
      </c>
      <c r="N774">
        <v>0</v>
      </c>
      <c r="O774">
        <v>0</v>
      </c>
      <c r="P774">
        <v>23</v>
      </c>
    </row>
    <row r="775" spans="1:16" x14ac:dyDescent="0.3">
      <c r="A775" s="1">
        <v>45108</v>
      </c>
      <c r="B775" t="s">
        <v>0</v>
      </c>
      <c r="C775" s="9" t="str">
        <f>IFERROR(INDEX(자료실범례[],MATCH($B775,자료실범례[소장처명],0),2),"종합자료실")</f>
        <v>어린이자료실</v>
      </c>
      <c r="D775" t="s">
        <v>25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5</v>
      </c>
      <c r="M775">
        <v>15</v>
      </c>
      <c r="N775">
        <v>0</v>
      </c>
      <c r="O775">
        <v>0</v>
      </c>
      <c r="P775">
        <v>21</v>
      </c>
    </row>
    <row r="776" spans="1:16" x14ac:dyDescent="0.3">
      <c r="A776" s="1">
        <v>45108</v>
      </c>
      <c r="B776" t="s">
        <v>0</v>
      </c>
      <c r="C776" s="9" t="str">
        <f>IFERROR(INDEX(자료실범례[],MATCH($B776,자료실범례[소장처명],0),2),"종합자료실")</f>
        <v>어린이자료실</v>
      </c>
      <c r="D776" t="s">
        <v>31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6</v>
      </c>
      <c r="M776">
        <v>10</v>
      </c>
      <c r="N776">
        <v>0</v>
      </c>
      <c r="O776">
        <v>0</v>
      </c>
      <c r="P776">
        <v>16</v>
      </c>
    </row>
    <row r="777" spans="1:16" x14ac:dyDescent="0.3">
      <c r="A777" s="1">
        <v>45108</v>
      </c>
      <c r="B777" t="s">
        <v>1</v>
      </c>
      <c r="C777" s="9" t="str">
        <f>IFERROR(INDEX(자료실범례[],MATCH($B777,자료실범례[소장처명],0),2),"종합자료실")</f>
        <v>어린이자료실</v>
      </c>
      <c r="D777" t="s">
        <v>28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37</v>
      </c>
      <c r="M777">
        <v>7</v>
      </c>
      <c r="N777">
        <v>0</v>
      </c>
      <c r="O777">
        <v>0</v>
      </c>
      <c r="P777">
        <v>44</v>
      </c>
    </row>
    <row r="778" spans="1:16" x14ac:dyDescent="0.3">
      <c r="A778" s="1">
        <v>45108</v>
      </c>
      <c r="B778" t="s">
        <v>1</v>
      </c>
      <c r="C778" s="9" t="str">
        <f>IFERROR(INDEX(자료실범례[],MATCH($B778,자료실범례[소장처명],0),2),"종합자료실")</f>
        <v>어린이자료실</v>
      </c>
      <c r="D778" t="s">
        <v>25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38</v>
      </c>
      <c r="M778">
        <v>7</v>
      </c>
      <c r="N778">
        <v>0</v>
      </c>
      <c r="O778">
        <v>0</v>
      </c>
      <c r="P778">
        <v>45</v>
      </c>
    </row>
    <row r="779" spans="1:16" x14ac:dyDescent="0.3">
      <c r="A779" s="1">
        <v>45108</v>
      </c>
      <c r="B779" t="s">
        <v>1</v>
      </c>
      <c r="C779" s="9" t="str">
        <f>IFERROR(INDEX(자료실범례[],MATCH($B779,자료실범례[소장처명],0),2),"종합자료실")</f>
        <v>어린이자료실</v>
      </c>
      <c r="D779" t="s">
        <v>31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13</v>
      </c>
      <c r="M779">
        <v>0</v>
      </c>
      <c r="N779">
        <v>0</v>
      </c>
      <c r="O779">
        <v>0</v>
      </c>
      <c r="P779">
        <v>13</v>
      </c>
    </row>
    <row r="780" spans="1:16" x14ac:dyDescent="0.3">
      <c r="A780" s="1">
        <v>45108</v>
      </c>
      <c r="B780" t="s">
        <v>6</v>
      </c>
      <c r="C780" s="9" t="str">
        <f>IFERROR(INDEX(자료실범례[],MATCH($B780,자료실범례[소장처명],0),2),"종합자료실")</f>
        <v>종합자료실</v>
      </c>
      <c r="D780" t="s">
        <v>28</v>
      </c>
      <c r="E780">
        <v>3</v>
      </c>
      <c r="F780">
        <v>4</v>
      </c>
      <c r="G780">
        <v>5</v>
      </c>
      <c r="H780">
        <v>4</v>
      </c>
      <c r="I780">
        <v>2</v>
      </c>
      <c r="J780">
        <v>5</v>
      </c>
      <c r="K780">
        <v>0</v>
      </c>
      <c r="L780">
        <v>0</v>
      </c>
      <c r="M780">
        <v>21</v>
      </c>
      <c r="N780">
        <v>6</v>
      </c>
      <c r="O780">
        <v>0</v>
      </c>
      <c r="P780">
        <v>50</v>
      </c>
    </row>
    <row r="781" spans="1:16" x14ac:dyDescent="0.3">
      <c r="A781" s="1">
        <v>45108</v>
      </c>
      <c r="B781" t="s">
        <v>6</v>
      </c>
      <c r="C781" s="9" t="str">
        <f>IFERROR(INDEX(자료실범례[],MATCH($B781,자료실범례[소장처명],0),2),"종합자료실")</f>
        <v>종합자료실</v>
      </c>
      <c r="D781" t="s">
        <v>25</v>
      </c>
      <c r="E781">
        <v>2</v>
      </c>
      <c r="F781">
        <v>4</v>
      </c>
      <c r="G781">
        <v>5</v>
      </c>
      <c r="H781">
        <v>4</v>
      </c>
      <c r="I781">
        <v>2</v>
      </c>
      <c r="J781">
        <v>7</v>
      </c>
      <c r="K781">
        <v>0</v>
      </c>
      <c r="L781">
        <v>0</v>
      </c>
      <c r="M781">
        <v>18</v>
      </c>
      <c r="N781">
        <v>6</v>
      </c>
      <c r="O781">
        <v>0</v>
      </c>
      <c r="P781">
        <v>48</v>
      </c>
    </row>
    <row r="782" spans="1:16" x14ac:dyDescent="0.3">
      <c r="A782" s="1">
        <v>45108</v>
      </c>
      <c r="B782" t="s">
        <v>6</v>
      </c>
      <c r="C782" s="9" t="str">
        <f>IFERROR(INDEX(자료실범례[],MATCH($B782,자료실범례[소장처명],0),2),"종합자료실")</f>
        <v>종합자료실</v>
      </c>
      <c r="D782" t="s">
        <v>31</v>
      </c>
      <c r="E782">
        <v>0</v>
      </c>
      <c r="F782">
        <v>2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3</v>
      </c>
      <c r="N782">
        <v>1</v>
      </c>
      <c r="O782">
        <v>0</v>
      </c>
      <c r="P782">
        <v>7</v>
      </c>
    </row>
    <row r="783" spans="1:16" x14ac:dyDescent="0.3">
      <c r="A783" s="1">
        <v>45108</v>
      </c>
      <c r="B783" t="s">
        <v>18</v>
      </c>
      <c r="C783" s="9" t="str">
        <f>IFERROR(INDEX(자료실범례[],MATCH($B783,자료실범례[소장처명],0),2),"종합자료실")</f>
        <v>종합자료실</v>
      </c>
      <c r="D783" t="s">
        <v>28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2</v>
      </c>
      <c r="P783">
        <v>2</v>
      </c>
    </row>
    <row r="784" spans="1:16" x14ac:dyDescent="0.3">
      <c r="A784" s="1">
        <v>45108</v>
      </c>
      <c r="B784" t="s">
        <v>18</v>
      </c>
      <c r="C784" s="9" t="str">
        <f>IFERROR(INDEX(자료실범례[],MATCH($B784,자료실범례[소장처명],0),2),"종합자료실")</f>
        <v>종합자료실</v>
      </c>
      <c r="D784" t="s">
        <v>25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1</v>
      </c>
    </row>
    <row r="785" spans="1:16" x14ac:dyDescent="0.3">
      <c r="A785" s="1">
        <v>45108</v>
      </c>
      <c r="B785" t="s">
        <v>17</v>
      </c>
      <c r="C785" s="9" t="str">
        <f>IFERROR(INDEX(자료실범례[],MATCH($B785,자료실범례[소장처명],0),2),"종합자료실")</f>
        <v>어린이자료실</v>
      </c>
      <c r="D785" t="s">
        <v>28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4</v>
      </c>
      <c r="P785">
        <v>4</v>
      </c>
    </row>
    <row r="786" spans="1:16" x14ac:dyDescent="0.3">
      <c r="A786" s="1">
        <v>45108</v>
      </c>
      <c r="B786" t="s">
        <v>17</v>
      </c>
      <c r="C786" s="9" t="str">
        <f>IFERROR(INDEX(자료실범례[],MATCH($B786,자료실범례[소장처명],0),2),"종합자료실")</f>
        <v>어린이자료실</v>
      </c>
      <c r="D786" t="s">
        <v>25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2</v>
      </c>
      <c r="P786">
        <v>2</v>
      </c>
    </row>
    <row r="787" spans="1:16" x14ac:dyDescent="0.3">
      <c r="A787" s="1">
        <v>45474</v>
      </c>
      <c r="B787" t="s">
        <v>21</v>
      </c>
      <c r="C787" s="9" t="str">
        <f>IFERROR(INDEX(자료실범례[],MATCH($B787,자료실범례[소장처명],0),2),"종합자료실")</f>
        <v>종합자료실</v>
      </c>
      <c r="D787" t="s">
        <v>451</v>
      </c>
      <c r="E787">
        <v>35</v>
      </c>
      <c r="F787">
        <v>131</v>
      </c>
      <c r="G787">
        <v>28</v>
      </c>
      <c r="H787">
        <v>241</v>
      </c>
      <c r="I787">
        <v>53</v>
      </c>
      <c r="J787">
        <v>115</v>
      </c>
      <c r="K787">
        <v>43</v>
      </c>
      <c r="L787">
        <v>41</v>
      </c>
      <c r="M787">
        <v>710</v>
      </c>
      <c r="N787">
        <v>73</v>
      </c>
      <c r="O787">
        <v>1</v>
      </c>
      <c r="P787">
        <v>1471</v>
      </c>
    </row>
    <row r="788" spans="1:16" x14ac:dyDescent="0.3">
      <c r="A788" s="1">
        <v>45474</v>
      </c>
      <c r="B788" t="s">
        <v>21</v>
      </c>
      <c r="C788" s="9" t="str">
        <f>IFERROR(INDEX(자료실범례[],MATCH($B788,자료실범례[소장처명],0),2),"종합자료실")</f>
        <v>종합자료실</v>
      </c>
      <c r="D788" t="s">
        <v>25</v>
      </c>
      <c r="E788">
        <v>33</v>
      </c>
      <c r="F788">
        <v>145</v>
      </c>
      <c r="G788">
        <v>23</v>
      </c>
      <c r="H788">
        <v>216</v>
      </c>
      <c r="I788">
        <v>57</v>
      </c>
      <c r="J788">
        <v>113</v>
      </c>
      <c r="K788">
        <v>46</v>
      </c>
      <c r="L788">
        <v>46</v>
      </c>
      <c r="M788">
        <v>684</v>
      </c>
      <c r="N788">
        <v>72</v>
      </c>
      <c r="O788">
        <v>1</v>
      </c>
      <c r="P788">
        <v>1436</v>
      </c>
    </row>
    <row r="789" spans="1:16" x14ac:dyDescent="0.3">
      <c r="A789" s="1">
        <v>45474</v>
      </c>
      <c r="B789" t="s">
        <v>21</v>
      </c>
      <c r="C789" s="9" t="str">
        <f>IFERROR(INDEX(자료실범례[],MATCH($B789,자료실범례[소장처명],0),2),"종합자료실")</f>
        <v>종합자료실</v>
      </c>
      <c r="D789" t="s">
        <v>31</v>
      </c>
      <c r="E789">
        <v>11</v>
      </c>
      <c r="F789">
        <v>44</v>
      </c>
      <c r="G789">
        <v>6</v>
      </c>
      <c r="H789">
        <v>89</v>
      </c>
      <c r="I789">
        <v>13</v>
      </c>
      <c r="J789">
        <v>37</v>
      </c>
      <c r="K789">
        <v>11</v>
      </c>
      <c r="L789">
        <v>13</v>
      </c>
      <c r="M789">
        <v>211</v>
      </c>
      <c r="N789">
        <v>14</v>
      </c>
      <c r="O789">
        <v>1</v>
      </c>
      <c r="P789">
        <v>450</v>
      </c>
    </row>
    <row r="790" spans="1:16" x14ac:dyDescent="0.3">
      <c r="A790" s="1">
        <v>45474</v>
      </c>
      <c r="B790" t="s">
        <v>16</v>
      </c>
      <c r="C790" s="9" t="str">
        <f>IFERROR(INDEX(자료실범례[],MATCH($B790,자료실범례[소장처명],0),2),"종합자료실")</f>
        <v>어린이자료실</v>
      </c>
      <c r="D790" t="s">
        <v>28</v>
      </c>
      <c r="E790">
        <v>45</v>
      </c>
      <c r="F790">
        <v>56</v>
      </c>
      <c r="G790">
        <v>22</v>
      </c>
      <c r="H790">
        <v>166</v>
      </c>
      <c r="I790">
        <v>230</v>
      </c>
      <c r="J790">
        <v>33</v>
      </c>
      <c r="K790">
        <v>24</v>
      </c>
      <c r="L790">
        <v>23</v>
      </c>
      <c r="M790">
        <v>1012</v>
      </c>
      <c r="N790">
        <v>111</v>
      </c>
      <c r="O790">
        <v>1</v>
      </c>
      <c r="P790">
        <v>1723</v>
      </c>
    </row>
    <row r="791" spans="1:16" x14ac:dyDescent="0.3">
      <c r="A791" s="1">
        <v>45474</v>
      </c>
      <c r="B791" t="s">
        <v>16</v>
      </c>
      <c r="C791" s="9" t="str">
        <f>IFERROR(INDEX(자료실범례[],MATCH($B791,자료실범례[소장처명],0),2),"종합자료실")</f>
        <v>어린이자료실</v>
      </c>
      <c r="D791" t="s">
        <v>25</v>
      </c>
      <c r="E791">
        <v>47</v>
      </c>
      <c r="F791">
        <v>53</v>
      </c>
      <c r="G791">
        <v>7</v>
      </c>
      <c r="H791">
        <v>198</v>
      </c>
      <c r="I791">
        <v>203</v>
      </c>
      <c r="J791">
        <v>29</v>
      </c>
      <c r="K791">
        <v>30</v>
      </c>
      <c r="L791">
        <v>17</v>
      </c>
      <c r="M791">
        <v>893</v>
      </c>
      <c r="N791">
        <v>97</v>
      </c>
      <c r="O791">
        <v>0</v>
      </c>
      <c r="P791">
        <v>1574</v>
      </c>
    </row>
    <row r="792" spans="1:16" x14ac:dyDescent="0.3">
      <c r="A792" s="1">
        <v>45474</v>
      </c>
      <c r="B792" t="s">
        <v>16</v>
      </c>
      <c r="C792" s="9" t="str">
        <f>IFERROR(INDEX(자료실범례[],MATCH($B792,자료실범례[소장처명],0),2),"종합자료실")</f>
        <v>어린이자료실</v>
      </c>
      <c r="D792" t="s">
        <v>31</v>
      </c>
      <c r="E792">
        <v>10</v>
      </c>
      <c r="F792">
        <v>10</v>
      </c>
      <c r="G792">
        <v>4</v>
      </c>
      <c r="H792">
        <v>35</v>
      </c>
      <c r="I792">
        <v>55</v>
      </c>
      <c r="J792">
        <v>2</v>
      </c>
      <c r="K792">
        <v>4</v>
      </c>
      <c r="L792">
        <v>4</v>
      </c>
      <c r="M792">
        <v>155</v>
      </c>
      <c r="N792">
        <v>12</v>
      </c>
      <c r="O792">
        <v>0</v>
      </c>
      <c r="P792">
        <v>291</v>
      </c>
    </row>
    <row r="793" spans="1:16" x14ac:dyDescent="0.3">
      <c r="A793" s="1">
        <v>45474</v>
      </c>
      <c r="B793" t="s">
        <v>2</v>
      </c>
      <c r="C793" s="9" t="str">
        <f>IFERROR(INDEX(자료실범례[],MATCH($B793,자료실범례[소장처명],0),2),"종합자료실")</f>
        <v>디지털자료실</v>
      </c>
      <c r="D793" t="s">
        <v>28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49</v>
      </c>
      <c r="L793">
        <v>0</v>
      </c>
      <c r="M793">
        <v>0</v>
      </c>
      <c r="N793">
        <v>1</v>
      </c>
      <c r="O793">
        <v>0</v>
      </c>
      <c r="P793">
        <v>50</v>
      </c>
    </row>
    <row r="794" spans="1:16" x14ac:dyDescent="0.3">
      <c r="A794" s="1">
        <v>45474</v>
      </c>
      <c r="B794" t="s">
        <v>2</v>
      </c>
      <c r="C794" s="9" t="str">
        <f>IFERROR(INDEX(자료실범례[],MATCH($B794,자료실범례[소장처명],0),2),"종합자료실")</f>
        <v>디지털자료실</v>
      </c>
      <c r="D794" t="s">
        <v>25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44</v>
      </c>
      <c r="L794">
        <v>0</v>
      </c>
      <c r="M794">
        <v>0</v>
      </c>
      <c r="N794">
        <v>1</v>
      </c>
      <c r="O794">
        <v>0</v>
      </c>
      <c r="P794">
        <v>45</v>
      </c>
    </row>
    <row r="795" spans="1:16" x14ac:dyDescent="0.3">
      <c r="A795" s="1">
        <v>45474</v>
      </c>
      <c r="B795" t="s">
        <v>19</v>
      </c>
      <c r="C795" s="9" t="str">
        <f>IFERROR(INDEX(자료실범례[],MATCH($B795,자료실범례[소장처명],0),2),"종합자료실")</f>
        <v>종합자료실</v>
      </c>
      <c r="D795" t="s">
        <v>28</v>
      </c>
      <c r="E795">
        <v>17</v>
      </c>
      <c r="F795">
        <v>84</v>
      </c>
      <c r="G795">
        <v>18</v>
      </c>
      <c r="H795">
        <v>77</v>
      </c>
      <c r="I795">
        <v>24</v>
      </c>
      <c r="J795">
        <v>42</v>
      </c>
      <c r="K795">
        <v>21</v>
      </c>
      <c r="L795">
        <v>21</v>
      </c>
      <c r="M795">
        <v>198</v>
      </c>
      <c r="N795">
        <v>21</v>
      </c>
      <c r="O795">
        <v>0</v>
      </c>
      <c r="P795">
        <v>523</v>
      </c>
    </row>
    <row r="796" spans="1:16" x14ac:dyDescent="0.3">
      <c r="A796" s="1">
        <v>45474</v>
      </c>
      <c r="B796" t="s">
        <v>19</v>
      </c>
      <c r="C796" s="9" t="str">
        <f>IFERROR(INDEX(자료실범례[],MATCH($B796,자료실범례[소장처명],0),2),"종합자료실")</f>
        <v>종합자료실</v>
      </c>
      <c r="D796" t="s">
        <v>25</v>
      </c>
      <c r="E796">
        <v>10</v>
      </c>
      <c r="F796">
        <v>67</v>
      </c>
      <c r="G796">
        <v>12</v>
      </c>
      <c r="H796">
        <v>66</v>
      </c>
      <c r="I796">
        <v>22</v>
      </c>
      <c r="J796">
        <v>38</v>
      </c>
      <c r="K796">
        <v>10</v>
      </c>
      <c r="L796">
        <v>14</v>
      </c>
      <c r="M796">
        <v>181</v>
      </c>
      <c r="N796">
        <v>13</v>
      </c>
      <c r="O796">
        <v>0</v>
      </c>
      <c r="P796">
        <v>433</v>
      </c>
    </row>
    <row r="797" spans="1:16" x14ac:dyDescent="0.3">
      <c r="A797" s="1">
        <v>45474</v>
      </c>
      <c r="B797" t="s">
        <v>19</v>
      </c>
      <c r="C797" s="9" t="str">
        <f>IFERROR(INDEX(자료실범례[],MATCH($B797,자료실범례[소장처명],0),2),"종합자료실")</f>
        <v>종합자료실</v>
      </c>
      <c r="D797" t="s">
        <v>31</v>
      </c>
      <c r="E797">
        <v>5</v>
      </c>
      <c r="F797">
        <v>15</v>
      </c>
      <c r="G797">
        <v>2</v>
      </c>
      <c r="H797">
        <v>30</v>
      </c>
      <c r="I797">
        <v>14</v>
      </c>
      <c r="J797">
        <v>10</v>
      </c>
      <c r="K797">
        <v>12</v>
      </c>
      <c r="L797">
        <v>10</v>
      </c>
      <c r="M797">
        <v>59</v>
      </c>
      <c r="N797">
        <v>4</v>
      </c>
      <c r="O797">
        <v>0</v>
      </c>
      <c r="P797">
        <v>161</v>
      </c>
    </row>
    <row r="798" spans="1:16" x14ac:dyDescent="0.3">
      <c r="A798" s="1">
        <v>45474</v>
      </c>
      <c r="B798" t="s">
        <v>14</v>
      </c>
      <c r="C798" s="9" t="str">
        <f>IFERROR(INDEX(자료실범례[],MATCH($B798,자료실범례[소장처명],0),2),"종합자료실")</f>
        <v>어린이자료실</v>
      </c>
      <c r="D798" t="s">
        <v>28</v>
      </c>
      <c r="E798">
        <v>2</v>
      </c>
      <c r="F798">
        <v>11</v>
      </c>
      <c r="G798">
        <v>4</v>
      </c>
      <c r="H798">
        <v>35</v>
      </c>
      <c r="I798">
        <v>25</v>
      </c>
      <c r="J798">
        <v>7</v>
      </c>
      <c r="K798">
        <v>2</v>
      </c>
      <c r="L798">
        <v>8</v>
      </c>
      <c r="M798">
        <v>170</v>
      </c>
      <c r="N798">
        <v>18</v>
      </c>
      <c r="O798">
        <v>0</v>
      </c>
      <c r="P798">
        <v>282</v>
      </c>
    </row>
    <row r="799" spans="1:16" x14ac:dyDescent="0.3">
      <c r="A799" s="1">
        <v>45474</v>
      </c>
      <c r="B799" t="s">
        <v>14</v>
      </c>
      <c r="C799" s="9" t="str">
        <f>IFERROR(INDEX(자료실범례[],MATCH($B799,자료실범례[소장처명],0),2),"종합자료실")</f>
        <v>어린이자료실</v>
      </c>
      <c r="D799" t="s">
        <v>25</v>
      </c>
      <c r="E799">
        <v>0</v>
      </c>
      <c r="F799">
        <v>9</v>
      </c>
      <c r="G799">
        <v>3</v>
      </c>
      <c r="H799">
        <v>30</v>
      </c>
      <c r="I799">
        <v>21</v>
      </c>
      <c r="J799">
        <v>6</v>
      </c>
      <c r="K799">
        <v>2</v>
      </c>
      <c r="L799">
        <v>5</v>
      </c>
      <c r="M799">
        <v>153</v>
      </c>
      <c r="N799">
        <v>14</v>
      </c>
      <c r="O799">
        <v>0</v>
      </c>
      <c r="P799">
        <v>243</v>
      </c>
    </row>
    <row r="800" spans="1:16" x14ac:dyDescent="0.3">
      <c r="A800" s="1">
        <v>45474</v>
      </c>
      <c r="B800" t="s">
        <v>14</v>
      </c>
      <c r="C800" s="9" t="str">
        <f>IFERROR(INDEX(자료실범례[],MATCH($B800,자료실범례[소장처명],0),2),"종합자료실")</f>
        <v>어린이자료실</v>
      </c>
      <c r="D800" t="s">
        <v>31</v>
      </c>
      <c r="E800">
        <v>1</v>
      </c>
      <c r="F800">
        <v>0</v>
      </c>
      <c r="G800">
        <v>2</v>
      </c>
      <c r="H800">
        <v>5</v>
      </c>
      <c r="I800">
        <v>5</v>
      </c>
      <c r="J800">
        <v>0</v>
      </c>
      <c r="K800">
        <v>1</v>
      </c>
      <c r="L800">
        <v>1</v>
      </c>
      <c r="M800">
        <v>43</v>
      </c>
      <c r="N800">
        <v>1</v>
      </c>
      <c r="O800">
        <v>0</v>
      </c>
      <c r="P800">
        <v>59</v>
      </c>
    </row>
    <row r="801" spans="1:16" x14ac:dyDescent="0.3">
      <c r="A801" s="1">
        <v>45474</v>
      </c>
      <c r="B801" t="s">
        <v>197</v>
      </c>
      <c r="C801" s="9" t="str">
        <f>IFERROR(INDEX(자료실범례[],MATCH($B801,자료실범례[소장처명],0),2),"종합자료실")</f>
        <v>종합자료실</v>
      </c>
      <c r="D801" t="s">
        <v>28</v>
      </c>
      <c r="E801">
        <v>0</v>
      </c>
      <c r="F801">
        <v>1</v>
      </c>
      <c r="G801">
        <v>0</v>
      </c>
      <c r="H801">
        <v>6</v>
      </c>
      <c r="I801">
        <v>4</v>
      </c>
      <c r="J801">
        <v>2</v>
      </c>
      <c r="K801">
        <v>0</v>
      </c>
      <c r="L801">
        <v>0</v>
      </c>
      <c r="M801">
        <v>8</v>
      </c>
      <c r="N801">
        <v>0</v>
      </c>
      <c r="O801">
        <v>0</v>
      </c>
      <c r="P801">
        <v>21</v>
      </c>
    </row>
    <row r="802" spans="1:16" x14ac:dyDescent="0.3">
      <c r="A802" s="1">
        <v>45474</v>
      </c>
      <c r="B802" t="s">
        <v>197</v>
      </c>
      <c r="C802" s="9" t="str">
        <f>IFERROR(INDEX(자료실범례[],MATCH($B802,자료실범례[소장처명],0),2),"종합자료실")</f>
        <v>종합자료실</v>
      </c>
      <c r="D802" t="s">
        <v>25</v>
      </c>
      <c r="E802">
        <v>0</v>
      </c>
      <c r="F802">
        <v>2</v>
      </c>
      <c r="G802">
        <v>0</v>
      </c>
      <c r="H802">
        <v>3</v>
      </c>
      <c r="I802">
        <v>3</v>
      </c>
      <c r="J802">
        <v>3</v>
      </c>
      <c r="K802">
        <v>0</v>
      </c>
      <c r="L802">
        <v>0</v>
      </c>
      <c r="M802">
        <v>11</v>
      </c>
      <c r="N802">
        <v>1</v>
      </c>
      <c r="O802">
        <v>0</v>
      </c>
      <c r="P802">
        <v>23</v>
      </c>
    </row>
    <row r="803" spans="1:16" x14ac:dyDescent="0.3">
      <c r="A803" s="1">
        <v>45474</v>
      </c>
      <c r="B803" t="s">
        <v>197</v>
      </c>
      <c r="C803" s="9" t="str">
        <f>IFERROR(INDEX(자료실범례[],MATCH($B803,자료실범례[소장처명],0),2),"종합자료실")</f>
        <v>종합자료실</v>
      </c>
      <c r="D803" t="s">
        <v>31</v>
      </c>
      <c r="E803">
        <v>0</v>
      </c>
      <c r="F803">
        <v>0</v>
      </c>
      <c r="G803">
        <v>0</v>
      </c>
      <c r="H803">
        <v>2</v>
      </c>
      <c r="I803">
        <v>0</v>
      </c>
      <c r="J803">
        <v>1</v>
      </c>
      <c r="K803">
        <v>0</v>
      </c>
      <c r="L803">
        <v>0</v>
      </c>
      <c r="M803">
        <v>3</v>
      </c>
      <c r="N803">
        <v>0</v>
      </c>
      <c r="O803">
        <v>0</v>
      </c>
      <c r="P803">
        <v>6</v>
      </c>
    </row>
    <row r="804" spans="1:16" x14ac:dyDescent="0.3">
      <c r="A804" s="1">
        <v>45474</v>
      </c>
      <c r="B804" t="s">
        <v>198</v>
      </c>
      <c r="C804" s="9" t="str">
        <f>IFERROR(INDEX(자료실범례[],MATCH($B804,자료실범례[소장처명],0),2),"종합자료실")</f>
        <v>어린이자료실</v>
      </c>
      <c r="D804" t="s">
        <v>28</v>
      </c>
      <c r="E804">
        <v>0</v>
      </c>
      <c r="F804">
        <v>0</v>
      </c>
      <c r="G804">
        <v>0</v>
      </c>
      <c r="H804">
        <v>2</v>
      </c>
      <c r="I804">
        <v>0</v>
      </c>
      <c r="J804">
        <v>7</v>
      </c>
      <c r="K804">
        <v>6</v>
      </c>
      <c r="L804">
        <v>0</v>
      </c>
      <c r="M804">
        <v>38</v>
      </c>
      <c r="N804">
        <v>3</v>
      </c>
      <c r="O804">
        <v>0</v>
      </c>
      <c r="P804">
        <v>56</v>
      </c>
    </row>
    <row r="805" spans="1:16" x14ac:dyDescent="0.3">
      <c r="A805" s="1">
        <v>45474</v>
      </c>
      <c r="B805" t="s">
        <v>198</v>
      </c>
      <c r="C805" s="9" t="str">
        <f>IFERROR(INDEX(자료실범례[],MATCH($B805,자료실범례[소장처명],0),2),"종합자료실")</f>
        <v>어린이자료실</v>
      </c>
      <c r="D805" t="s">
        <v>25</v>
      </c>
      <c r="E805">
        <v>0</v>
      </c>
      <c r="F805">
        <v>0</v>
      </c>
      <c r="G805">
        <v>0</v>
      </c>
      <c r="H805">
        <v>2</v>
      </c>
      <c r="I805">
        <v>0</v>
      </c>
      <c r="J805">
        <v>5</v>
      </c>
      <c r="K805">
        <v>6</v>
      </c>
      <c r="L805">
        <v>0</v>
      </c>
      <c r="M805">
        <v>27</v>
      </c>
      <c r="N805">
        <v>2</v>
      </c>
      <c r="O805">
        <v>0</v>
      </c>
      <c r="P805">
        <v>42</v>
      </c>
    </row>
    <row r="806" spans="1:16" x14ac:dyDescent="0.3">
      <c r="A806" s="1">
        <v>45474</v>
      </c>
      <c r="B806" t="s">
        <v>198</v>
      </c>
      <c r="C806" s="9" t="str">
        <f>IFERROR(INDEX(자료실범례[],MATCH($B806,자료실범례[소장처명],0),2),"종합자료실")</f>
        <v>어린이자료실</v>
      </c>
      <c r="D806" t="s">
        <v>31</v>
      </c>
      <c r="E806">
        <v>0</v>
      </c>
      <c r="F806">
        <v>0</v>
      </c>
      <c r="G806">
        <v>0</v>
      </c>
      <c r="H806">
        <v>1</v>
      </c>
      <c r="I806">
        <v>0</v>
      </c>
      <c r="J806">
        <v>3</v>
      </c>
      <c r="K806">
        <v>2</v>
      </c>
      <c r="L806">
        <v>0</v>
      </c>
      <c r="M806">
        <v>13</v>
      </c>
      <c r="N806">
        <v>1</v>
      </c>
      <c r="O806">
        <v>0</v>
      </c>
      <c r="P806">
        <v>20</v>
      </c>
    </row>
    <row r="807" spans="1:16" x14ac:dyDescent="0.3">
      <c r="A807" s="1">
        <v>45474</v>
      </c>
      <c r="B807" t="s">
        <v>13</v>
      </c>
      <c r="C807" s="9" t="str">
        <f>IFERROR(INDEX(자료실범례[],MATCH($B807,자료실범례[소장처명],0),2),"종합자료실")</f>
        <v>어린이자료실</v>
      </c>
      <c r="D807" t="s">
        <v>28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8</v>
      </c>
      <c r="N807">
        <v>0</v>
      </c>
      <c r="O807">
        <v>0</v>
      </c>
      <c r="P807">
        <v>8</v>
      </c>
    </row>
    <row r="808" spans="1:16" x14ac:dyDescent="0.3">
      <c r="A808" s="1">
        <v>45474</v>
      </c>
      <c r="B808" t="s">
        <v>13</v>
      </c>
      <c r="C808" s="9" t="str">
        <f>IFERROR(INDEX(자료실범례[],MATCH($B808,자료실범례[소장처명],0),2),"종합자료실")</f>
        <v>어린이자료실</v>
      </c>
      <c r="D808" t="s">
        <v>25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15</v>
      </c>
      <c r="N808">
        <v>1</v>
      </c>
      <c r="O808">
        <v>0</v>
      </c>
      <c r="P808">
        <v>16</v>
      </c>
    </row>
    <row r="809" spans="1:16" x14ac:dyDescent="0.3">
      <c r="A809" s="1">
        <v>45474</v>
      </c>
      <c r="B809" t="s">
        <v>13</v>
      </c>
      <c r="C809" s="9" t="str">
        <f>IFERROR(INDEX(자료실범례[],MATCH($B809,자료실범례[소장처명],0),2),"종합자료실")</f>
        <v>어린이자료실</v>
      </c>
      <c r="D809" t="s">
        <v>31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9</v>
      </c>
      <c r="N809">
        <v>1</v>
      </c>
      <c r="O809">
        <v>0</v>
      </c>
      <c r="P809">
        <v>10</v>
      </c>
    </row>
    <row r="810" spans="1:16" x14ac:dyDescent="0.3">
      <c r="A810" s="1">
        <v>45474</v>
      </c>
      <c r="B810" t="s">
        <v>15</v>
      </c>
      <c r="C810" s="9" t="str">
        <f>IFERROR(INDEX(자료실범례[],MATCH($B810,자료실범례[소장처명],0),2),"종합자료실")</f>
        <v>어린이자료실</v>
      </c>
      <c r="D810" t="s">
        <v>28</v>
      </c>
      <c r="E810">
        <v>5</v>
      </c>
      <c r="F810">
        <v>3</v>
      </c>
      <c r="G810">
        <v>21</v>
      </c>
      <c r="H810">
        <v>2</v>
      </c>
      <c r="I810">
        <v>185</v>
      </c>
      <c r="J810">
        <v>19</v>
      </c>
      <c r="K810">
        <v>0</v>
      </c>
      <c r="L810">
        <v>61</v>
      </c>
      <c r="M810">
        <v>24</v>
      </c>
      <c r="N810">
        <v>117</v>
      </c>
      <c r="O810">
        <v>0</v>
      </c>
      <c r="P810">
        <v>437</v>
      </c>
    </row>
    <row r="811" spans="1:16" x14ac:dyDescent="0.3">
      <c r="A811" s="1">
        <v>45474</v>
      </c>
      <c r="B811" t="s">
        <v>15</v>
      </c>
      <c r="C811" s="9" t="str">
        <f>IFERROR(INDEX(자료실범례[],MATCH($B811,자료실범례[소장처명],0),2),"종합자료실")</f>
        <v>어린이자료실</v>
      </c>
      <c r="D811" t="s">
        <v>25</v>
      </c>
      <c r="E811">
        <v>4</v>
      </c>
      <c r="F811">
        <v>3</v>
      </c>
      <c r="G811">
        <v>23</v>
      </c>
      <c r="H811">
        <v>1</v>
      </c>
      <c r="I811">
        <v>146</v>
      </c>
      <c r="J811">
        <v>19</v>
      </c>
      <c r="K811">
        <v>0</v>
      </c>
      <c r="L811">
        <v>63</v>
      </c>
      <c r="M811">
        <v>18</v>
      </c>
      <c r="N811">
        <v>99</v>
      </c>
      <c r="O811">
        <v>0</v>
      </c>
      <c r="P811">
        <v>376</v>
      </c>
    </row>
    <row r="812" spans="1:16" x14ac:dyDescent="0.3">
      <c r="A812" s="1">
        <v>45474</v>
      </c>
      <c r="B812" t="s">
        <v>15</v>
      </c>
      <c r="C812" s="9" t="str">
        <f>IFERROR(INDEX(자료실범례[],MATCH($B812,자료실범례[소장처명],0),2),"종합자료실")</f>
        <v>어린이자료실</v>
      </c>
      <c r="D812" t="s">
        <v>31</v>
      </c>
      <c r="E812">
        <v>0</v>
      </c>
      <c r="F812">
        <v>0</v>
      </c>
      <c r="G812">
        <v>2</v>
      </c>
      <c r="H812">
        <v>0</v>
      </c>
      <c r="I812">
        <v>12</v>
      </c>
      <c r="J812">
        <v>0</v>
      </c>
      <c r="K812">
        <v>0</v>
      </c>
      <c r="L812">
        <v>5</v>
      </c>
      <c r="M812">
        <v>3</v>
      </c>
      <c r="N812">
        <v>8</v>
      </c>
      <c r="O812">
        <v>0</v>
      </c>
      <c r="P812">
        <v>30</v>
      </c>
    </row>
    <row r="813" spans="1:16" x14ac:dyDescent="0.3">
      <c r="A813" s="1">
        <v>45474</v>
      </c>
      <c r="B813" t="s">
        <v>20</v>
      </c>
      <c r="C813" s="9" t="str">
        <f>IFERROR(INDEX(자료실범례[],MATCH($B813,자료실범례[소장처명],0),2),"종합자료실")</f>
        <v>종합자료실</v>
      </c>
      <c r="D813" t="s">
        <v>28</v>
      </c>
      <c r="E813">
        <v>0</v>
      </c>
      <c r="F813">
        <v>0</v>
      </c>
      <c r="G813">
        <v>0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1</v>
      </c>
    </row>
    <row r="814" spans="1:16" x14ac:dyDescent="0.3">
      <c r="A814" s="1">
        <v>45474</v>
      </c>
      <c r="B814" t="s">
        <v>20</v>
      </c>
      <c r="C814" s="9" t="str">
        <f>IFERROR(INDEX(자료실범례[],MATCH($B814,자료실범례[소장처명],0),2),"종합자료실")</f>
        <v>종합자료실</v>
      </c>
      <c r="D814" t="s">
        <v>25</v>
      </c>
      <c r="E814">
        <v>0</v>
      </c>
      <c r="F814">
        <v>0</v>
      </c>
      <c r="G814">
        <v>0</v>
      </c>
      <c r="H814">
        <v>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2</v>
      </c>
    </row>
    <row r="815" spans="1:16" x14ac:dyDescent="0.3">
      <c r="A815" s="1">
        <v>45474</v>
      </c>
      <c r="B815" t="s">
        <v>4</v>
      </c>
      <c r="C815" s="9" t="str">
        <f>IFERROR(INDEX(자료실범례[],MATCH($B815,자료실범례[소장처명],0),2),"종합자료실")</f>
        <v>어린이자료실</v>
      </c>
      <c r="D815" t="s">
        <v>28</v>
      </c>
      <c r="E815">
        <v>0</v>
      </c>
      <c r="F815">
        <v>0</v>
      </c>
      <c r="G815">
        <v>1</v>
      </c>
      <c r="H815">
        <v>1</v>
      </c>
      <c r="I815">
        <v>0</v>
      </c>
      <c r="J815">
        <v>0</v>
      </c>
      <c r="K815">
        <v>0</v>
      </c>
      <c r="L815">
        <v>1</v>
      </c>
      <c r="M815">
        <v>4</v>
      </c>
      <c r="N815">
        <v>0</v>
      </c>
      <c r="O815">
        <v>0</v>
      </c>
      <c r="P815">
        <v>7</v>
      </c>
    </row>
    <row r="816" spans="1:16" x14ac:dyDescent="0.3">
      <c r="A816" s="1">
        <v>45474</v>
      </c>
      <c r="B816" t="s">
        <v>4</v>
      </c>
      <c r="C816" s="9" t="str">
        <f>IFERROR(INDEX(자료실범례[],MATCH($B816,자료실범례[소장처명],0),2),"종합자료실")</f>
        <v>어린이자료실</v>
      </c>
      <c r="D816" t="s">
        <v>25</v>
      </c>
      <c r="E816">
        <v>0</v>
      </c>
      <c r="F816">
        <v>0</v>
      </c>
      <c r="G816">
        <v>1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6</v>
      </c>
      <c r="N816">
        <v>1</v>
      </c>
      <c r="O816">
        <v>0</v>
      </c>
      <c r="P816">
        <v>9</v>
      </c>
    </row>
    <row r="817" spans="1:16" x14ac:dyDescent="0.3">
      <c r="A817" s="1">
        <v>45474</v>
      </c>
      <c r="B817" t="s">
        <v>4</v>
      </c>
      <c r="C817" s="9" t="str">
        <f>IFERROR(INDEX(자료실범례[],MATCH($B817,자료실범례[소장처명],0),2),"종합자료실")</f>
        <v>어린이자료실</v>
      </c>
      <c r="D817" t="s">
        <v>31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2</v>
      </c>
      <c r="N817">
        <v>0</v>
      </c>
      <c r="O817">
        <v>0</v>
      </c>
      <c r="P817">
        <v>3</v>
      </c>
    </row>
    <row r="818" spans="1:16" x14ac:dyDescent="0.3">
      <c r="A818" s="1">
        <v>45474</v>
      </c>
      <c r="B818" t="s">
        <v>5</v>
      </c>
      <c r="C818" s="9" t="str">
        <f>IFERROR(INDEX(자료실범례[],MATCH($B818,자료실범례[소장처명],0),2),"종합자료실")</f>
        <v>종합자료실</v>
      </c>
      <c r="D818" t="s">
        <v>28</v>
      </c>
      <c r="E818">
        <v>0</v>
      </c>
      <c r="F818">
        <v>7</v>
      </c>
      <c r="G818">
        <v>1</v>
      </c>
      <c r="H818">
        <v>4</v>
      </c>
      <c r="I818">
        <v>0</v>
      </c>
      <c r="J818">
        <v>4</v>
      </c>
      <c r="K818">
        <v>2</v>
      </c>
      <c r="L818">
        <v>0</v>
      </c>
      <c r="M818">
        <v>15</v>
      </c>
      <c r="N818">
        <v>0</v>
      </c>
      <c r="O818">
        <v>0</v>
      </c>
      <c r="P818">
        <v>33</v>
      </c>
    </row>
    <row r="819" spans="1:16" x14ac:dyDescent="0.3">
      <c r="A819" s="1">
        <v>45474</v>
      </c>
      <c r="B819" t="s">
        <v>5</v>
      </c>
      <c r="C819" s="9" t="str">
        <f>IFERROR(INDEX(자료실범례[],MATCH($B819,자료실범례[소장처명],0),2),"종합자료실")</f>
        <v>종합자료실</v>
      </c>
      <c r="D819" t="s">
        <v>25</v>
      </c>
      <c r="E819">
        <v>1</v>
      </c>
      <c r="F819">
        <v>7</v>
      </c>
      <c r="G819">
        <v>1</v>
      </c>
      <c r="H819">
        <v>4</v>
      </c>
      <c r="I819">
        <v>3</v>
      </c>
      <c r="J819">
        <v>4</v>
      </c>
      <c r="K819">
        <v>1</v>
      </c>
      <c r="L819">
        <v>0</v>
      </c>
      <c r="M819">
        <v>11</v>
      </c>
      <c r="N819">
        <v>0</v>
      </c>
      <c r="O819">
        <v>0</v>
      </c>
      <c r="P819">
        <v>32</v>
      </c>
    </row>
    <row r="820" spans="1:16" x14ac:dyDescent="0.3">
      <c r="A820" s="1">
        <v>45474</v>
      </c>
      <c r="B820" t="s">
        <v>5</v>
      </c>
      <c r="C820" s="9" t="str">
        <f>IFERROR(INDEX(자료실범례[],MATCH($B820,자료실범례[소장처명],0),2),"종합자료실")</f>
        <v>종합자료실</v>
      </c>
      <c r="D820" t="s">
        <v>31</v>
      </c>
      <c r="E820">
        <v>0</v>
      </c>
      <c r="F820">
        <v>1</v>
      </c>
      <c r="G820">
        <v>0</v>
      </c>
      <c r="H820">
        <v>3</v>
      </c>
      <c r="I820">
        <v>0</v>
      </c>
      <c r="J820">
        <v>1</v>
      </c>
      <c r="K820">
        <v>0</v>
      </c>
      <c r="L820">
        <v>0</v>
      </c>
      <c r="M820">
        <v>1</v>
      </c>
      <c r="N820">
        <v>0</v>
      </c>
      <c r="O820">
        <v>0</v>
      </c>
      <c r="P820">
        <v>6</v>
      </c>
    </row>
    <row r="821" spans="1:16" x14ac:dyDescent="0.3">
      <c r="A821" s="1">
        <v>45474</v>
      </c>
      <c r="B821" t="s">
        <v>7</v>
      </c>
      <c r="C821" s="9" t="str">
        <f>IFERROR(INDEX(자료실범례[],MATCH($B821,자료실범례[소장처명],0),2),"종합자료실")</f>
        <v>어린이자료실</v>
      </c>
      <c r="D821" t="s">
        <v>28</v>
      </c>
      <c r="E821">
        <v>0</v>
      </c>
      <c r="F821">
        <v>0</v>
      </c>
      <c r="G821">
        <v>0</v>
      </c>
      <c r="H821">
        <v>5</v>
      </c>
      <c r="I821">
        <v>3</v>
      </c>
      <c r="J821">
        <v>1</v>
      </c>
      <c r="K821">
        <v>0</v>
      </c>
      <c r="L821">
        <v>2</v>
      </c>
      <c r="M821">
        <v>20</v>
      </c>
      <c r="N821">
        <v>0</v>
      </c>
      <c r="O821">
        <v>0</v>
      </c>
      <c r="P821">
        <v>31</v>
      </c>
    </row>
    <row r="822" spans="1:16" x14ac:dyDescent="0.3">
      <c r="A822" s="1">
        <v>45474</v>
      </c>
      <c r="B822" t="s">
        <v>7</v>
      </c>
      <c r="C822" s="9" t="str">
        <f>IFERROR(INDEX(자료실범례[],MATCH($B822,자료실범례[소장처명],0),2),"종합자료실")</f>
        <v>어린이자료실</v>
      </c>
      <c r="D822" t="s">
        <v>25</v>
      </c>
      <c r="E822">
        <v>0</v>
      </c>
      <c r="F822">
        <v>1</v>
      </c>
      <c r="G822">
        <v>0</v>
      </c>
      <c r="H822">
        <v>7</v>
      </c>
      <c r="I822">
        <v>2</v>
      </c>
      <c r="J822">
        <v>2</v>
      </c>
      <c r="K822">
        <v>0</v>
      </c>
      <c r="L822">
        <v>2</v>
      </c>
      <c r="M822">
        <v>33</v>
      </c>
      <c r="N822">
        <v>0</v>
      </c>
      <c r="O822">
        <v>0</v>
      </c>
      <c r="P822">
        <v>47</v>
      </c>
    </row>
    <row r="823" spans="1:16" x14ac:dyDescent="0.3">
      <c r="A823" s="1">
        <v>45474</v>
      </c>
      <c r="B823" t="s">
        <v>7</v>
      </c>
      <c r="C823" s="9" t="str">
        <f>IFERROR(INDEX(자료실범례[],MATCH($B823,자료실범례[소장처명],0),2),"종합자료실")</f>
        <v>어린이자료실</v>
      </c>
      <c r="D823" t="s">
        <v>31</v>
      </c>
      <c r="E823">
        <v>0</v>
      </c>
      <c r="F823">
        <v>1</v>
      </c>
      <c r="G823">
        <v>0</v>
      </c>
      <c r="H823">
        <v>4</v>
      </c>
      <c r="I823">
        <v>0</v>
      </c>
      <c r="J823">
        <v>0</v>
      </c>
      <c r="K823">
        <v>0</v>
      </c>
      <c r="L823">
        <v>3</v>
      </c>
      <c r="M823">
        <v>3</v>
      </c>
      <c r="N823">
        <v>0</v>
      </c>
      <c r="O823">
        <v>0</v>
      </c>
      <c r="P823">
        <v>11</v>
      </c>
    </row>
    <row r="824" spans="1:16" x14ac:dyDescent="0.3">
      <c r="A824" s="1">
        <v>45474</v>
      </c>
      <c r="B824" t="s">
        <v>8</v>
      </c>
      <c r="C824" s="9" t="str">
        <f>IFERROR(INDEX(자료실범례[],MATCH($B824,자료실범례[소장처명],0),2),"종합자료실")</f>
        <v>어린이자료실</v>
      </c>
      <c r="D824" t="s">
        <v>28</v>
      </c>
      <c r="E824">
        <v>0</v>
      </c>
      <c r="F824">
        <v>1</v>
      </c>
      <c r="G824">
        <v>0</v>
      </c>
      <c r="H824">
        <v>2</v>
      </c>
      <c r="I824">
        <v>0</v>
      </c>
      <c r="J824">
        <v>0</v>
      </c>
      <c r="K824">
        <v>0</v>
      </c>
      <c r="L824">
        <v>0</v>
      </c>
      <c r="M824">
        <v>10</v>
      </c>
      <c r="N824">
        <v>0</v>
      </c>
      <c r="O824">
        <v>0</v>
      </c>
      <c r="P824">
        <v>13</v>
      </c>
    </row>
    <row r="825" spans="1:16" x14ac:dyDescent="0.3">
      <c r="A825" s="1">
        <v>45474</v>
      </c>
      <c r="B825" t="s">
        <v>8</v>
      </c>
      <c r="C825" s="9" t="str">
        <f>IFERROR(INDEX(자료실범례[],MATCH($B825,자료실범례[소장처명],0),2),"종합자료실")</f>
        <v>어린이자료실</v>
      </c>
      <c r="D825" t="s">
        <v>25</v>
      </c>
      <c r="E825">
        <v>0</v>
      </c>
      <c r="F825">
        <v>0</v>
      </c>
      <c r="G825">
        <v>0</v>
      </c>
      <c r="H825">
        <v>2</v>
      </c>
      <c r="I825">
        <v>0</v>
      </c>
      <c r="J825">
        <v>0</v>
      </c>
      <c r="K825">
        <v>0</v>
      </c>
      <c r="L825">
        <v>0</v>
      </c>
      <c r="M825">
        <v>15</v>
      </c>
      <c r="N825">
        <v>0</v>
      </c>
      <c r="O825">
        <v>0</v>
      </c>
      <c r="P825">
        <v>17</v>
      </c>
    </row>
    <row r="826" spans="1:16" x14ac:dyDescent="0.3">
      <c r="A826" s="1">
        <v>45474</v>
      </c>
      <c r="B826" t="s">
        <v>8</v>
      </c>
      <c r="C826" s="9" t="str">
        <f>IFERROR(INDEX(자료실범례[],MATCH($B826,자료실범례[소장처명],0),2),"종합자료실")</f>
        <v>어린이자료실</v>
      </c>
      <c r="D826" t="s">
        <v>31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3</v>
      </c>
      <c r="N826">
        <v>0</v>
      </c>
      <c r="O826">
        <v>0</v>
      </c>
      <c r="P826">
        <v>3</v>
      </c>
    </row>
    <row r="827" spans="1:16" x14ac:dyDescent="0.3">
      <c r="A827" s="1">
        <v>45474</v>
      </c>
      <c r="B827" t="s">
        <v>9</v>
      </c>
      <c r="C827" s="9" t="str">
        <f>IFERROR(INDEX(자료실범례[],MATCH($B827,자료실범례[소장처명],0),2),"종합자료실")</f>
        <v>어린이자료실</v>
      </c>
      <c r="D827" t="s">
        <v>28</v>
      </c>
      <c r="E827">
        <v>0</v>
      </c>
      <c r="F827">
        <v>0</v>
      </c>
      <c r="G827">
        <v>0</v>
      </c>
      <c r="H827">
        <v>1</v>
      </c>
      <c r="I827">
        <v>2</v>
      </c>
      <c r="J827">
        <v>2</v>
      </c>
      <c r="K827">
        <v>0</v>
      </c>
      <c r="L827">
        <v>0</v>
      </c>
      <c r="M827">
        <v>7</v>
      </c>
      <c r="N827">
        <v>1</v>
      </c>
      <c r="O827">
        <v>0</v>
      </c>
      <c r="P827">
        <v>13</v>
      </c>
    </row>
    <row r="828" spans="1:16" x14ac:dyDescent="0.3">
      <c r="A828" s="1">
        <v>45474</v>
      </c>
      <c r="B828" t="s">
        <v>9</v>
      </c>
      <c r="C828" s="9" t="str">
        <f>IFERROR(INDEX(자료실범례[],MATCH($B828,자료실범례[소장처명],0),2),"종합자료실")</f>
        <v>어린이자료실</v>
      </c>
      <c r="D828" t="s">
        <v>25</v>
      </c>
      <c r="E828">
        <v>0</v>
      </c>
      <c r="F828">
        <v>0</v>
      </c>
      <c r="G828">
        <v>0</v>
      </c>
      <c r="H828">
        <v>2</v>
      </c>
      <c r="I828">
        <v>2</v>
      </c>
      <c r="J828">
        <v>1</v>
      </c>
      <c r="K828">
        <v>0</v>
      </c>
      <c r="L828">
        <v>0</v>
      </c>
      <c r="M828">
        <v>11</v>
      </c>
      <c r="N828">
        <v>0</v>
      </c>
      <c r="O828">
        <v>0</v>
      </c>
      <c r="P828">
        <v>16</v>
      </c>
    </row>
    <row r="829" spans="1:16" x14ac:dyDescent="0.3">
      <c r="A829" s="1">
        <v>45474</v>
      </c>
      <c r="B829" t="s">
        <v>10</v>
      </c>
      <c r="C829" s="9" t="str">
        <f>IFERROR(INDEX(자료실범례[],MATCH($B829,자료실범례[소장처명],0),2),"종합자료실")</f>
        <v>어린이자료실</v>
      </c>
      <c r="D829" t="s">
        <v>28</v>
      </c>
      <c r="E829">
        <v>0</v>
      </c>
      <c r="F829">
        <v>0</v>
      </c>
      <c r="G829">
        <v>0</v>
      </c>
      <c r="H829">
        <v>0</v>
      </c>
      <c r="I829">
        <v>2</v>
      </c>
      <c r="J829">
        <v>0</v>
      </c>
      <c r="K829">
        <v>0</v>
      </c>
      <c r="L829">
        <v>2</v>
      </c>
      <c r="M829">
        <v>9</v>
      </c>
      <c r="N829">
        <v>1</v>
      </c>
      <c r="O829">
        <v>0</v>
      </c>
      <c r="P829">
        <v>14</v>
      </c>
    </row>
    <row r="830" spans="1:16" x14ac:dyDescent="0.3">
      <c r="A830" s="1">
        <v>45474</v>
      </c>
      <c r="B830" t="s">
        <v>10</v>
      </c>
      <c r="C830" s="9" t="str">
        <f>IFERROR(INDEX(자료실범례[],MATCH($B830,자료실범례[소장처명],0),2),"종합자료실")</f>
        <v>어린이자료실</v>
      </c>
      <c r="D830" t="s">
        <v>25</v>
      </c>
      <c r="E830">
        <v>0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1</v>
      </c>
      <c r="M830">
        <v>10</v>
      </c>
      <c r="N830">
        <v>1</v>
      </c>
      <c r="O830">
        <v>0</v>
      </c>
      <c r="P830">
        <v>13</v>
      </c>
    </row>
    <row r="831" spans="1:16" x14ac:dyDescent="0.3">
      <c r="A831" s="1">
        <v>45474</v>
      </c>
      <c r="B831" t="s">
        <v>10</v>
      </c>
      <c r="C831" s="9" t="str">
        <f>IFERROR(INDEX(자료실범례[],MATCH($B831,자료실범례[소장처명],0),2),"종합자료실")</f>
        <v>어린이자료실</v>
      </c>
      <c r="D831" t="s">
        <v>31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4</v>
      </c>
      <c r="N831">
        <v>0</v>
      </c>
      <c r="O831">
        <v>0</v>
      </c>
      <c r="P831">
        <v>5</v>
      </c>
    </row>
    <row r="832" spans="1:16" x14ac:dyDescent="0.3">
      <c r="A832" s="1">
        <v>45474</v>
      </c>
      <c r="B832" t="s">
        <v>11</v>
      </c>
      <c r="C832" s="9" t="str">
        <f>IFERROR(INDEX(자료실범례[],MATCH($B832,자료실범례[소장처명],0),2),"종합자료실")</f>
        <v>어린이자료실</v>
      </c>
      <c r="D832" t="s">
        <v>28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3</v>
      </c>
      <c r="N832">
        <v>0</v>
      </c>
      <c r="O832">
        <v>0</v>
      </c>
      <c r="P832">
        <v>3</v>
      </c>
    </row>
    <row r="833" spans="1:16" x14ac:dyDescent="0.3">
      <c r="A833" s="1">
        <v>45474</v>
      </c>
      <c r="B833" t="s">
        <v>11</v>
      </c>
      <c r="C833" s="9" t="str">
        <f>IFERROR(INDEX(자료실범례[],MATCH($B833,자료실범례[소장처명],0),2),"종합자료실")</f>
        <v>어린이자료실</v>
      </c>
      <c r="D833" t="s">
        <v>25</v>
      </c>
      <c r="E833">
        <v>1</v>
      </c>
      <c r="F833">
        <v>2</v>
      </c>
      <c r="G833">
        <v>0</v>
      </c>
      <c r="H833">
        <v>2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0</v>
      </c>
      <c r="O833">
        <v>0</v>
      </c>
      <c r="P833">
        <v>6</v>
      </c>
    </row>
    <row r="834" spans="1:16" x14ac:dyDescent="0.3">
      <c r="A834" s="1">
        <v>45474</v>
      </c>
      <c r="B834" t="s">
        <v>11</v>
      </c>
      <c r="C834" s="9" t="str">
        <f>IFERROR(INDEX(자료실범례[],MATCH($B834,자료실범례[소장처명],0),2),"종합자료실")</f>
        <v>어린이자료실</v>
      </c>
      <c r="D834" t="s">
        <v>31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2</v>
      </c>
      <c r="N834">
        <v>0</v>
      </c>
      <c r="O834">
        <v>0</v>
      </c>
      <c r="P834">
        <v>3</v>
      </c>
    </row>
    <row r="835" spans="1:16" x14ac:dyDescent="0.3">
      <c r="A835" s="1">
        <v>45474</v>
      </c>
      <c r="B835" t="s">
        <v>12</v>
      </c>
      <c r="C835" s="9" t="str">
        <f>IFERROR(INDEX(자료실범례[],MATCH($B835,자료실범례[소장처명],0),2),"종합자료실")</f>
        <v>어린이자료실</v>
      </c>
      <c r="D835" t="s">
        <v>28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3</v>
      </c>
      <c r="N835">
        <v>0</v>
      </c>
      <c r="O835">
        <v>0</v>
      </c>
      <c r="P835">
        <v>3</v>
      </c>
    </row>
    <row r="836" spans="1:16" x14ac:dyDescent="0.3">
      <c r="A836" s="1">
        <v>45474</v>
      </c>
      <c r="B836" t="s">
        <v>12</v>
      </c>
      <c r="C836" s="9" t="str">
        <f>IFERROR(INDEX(자료실범례[],MATCH($B836,자료실범례[소장처명],0),2),"종합자료실")</f>
        <v>어린이자료실</v>
      </c>
      <c r="D836" t="s">
        <v>25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2</v>
      </c>
      <c r="N836">
        <v>0</v>
      </c>
      <c r="O836">
        <v>0</v>
      </c>
      <c r="P836">
        <v>2</v>
      </c>
    </row>
    <row r="837" spans="1:16" x14ac:dyDescent="0.3">
      <c r="A837" s="1">
        <v>45474</v>
      </c>
      <c r="B837" t="s">
        <v>12</v>
      </c>
      <c r="C837" s="9" t="str">
        <f>IFERROR(INDEX(자료실범례[],MATCH($B837,자료실범례[소장처명],0),2),"종합자료실")</f>
        <v>어린이자료실</v>
      </c>
      <c r="D837" t="s">
        <v>31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2</v>
      </c>
      <c r="N837">
        <v>0</v>
      </c>
      <c r="O837">
        <v>0</v>
      </c>
      <c r="P837">
        <v>2</v>
      </c>
    </row>
    <row r="838" spans="1:16" x14ac:dyDescent="0.3">
      <c r="A838" s="1">
        <v>45474</v>
      </c>
      <c r="B838" t="s">
        <v>0</v>
      </c>
      <c r="C838" s="9" t="str">
        <f>IFERROR(INDEX(자료실범례[],MATCH($B838,자료실범례[소장처명],0),2),"종합자료실")</f>
        <v>어린이자료실</v>
      </c>
      <c r="D838" t="s">
        <v>28</v>
      </c>
      <c r="E838">
        <v>0</v>
      </c>
      <c r="F838">
        <v>1</v>
      </c>
      <c r="G838">
        <v>0</v>
      </c>
      <c r="H838">
        <v>4</v>
      </c>
      <c r="I838">
        <v>0</v>
      </c>
      <c r="J838">
        <v>0</v>
      </c>
      <c r="K838">
        <v>0</v>
      </c>
      <c r="L838">
        <v>8</v>
      </c>
      <c r="M838">
        <v>33</v>
      </c>
      <c r="N838">
        <v>0</v>
      </c>
      <c r="O838">
        <v>0</v>
      </c>
      <c r="P838">
        <v>46</v>
      </c>
    </row>
    <row r="839" spans="1:16" x14ac:dyDescent="0.3">
      <c r="A839" s="1">
        <v>45474</v>
      </c>
      <c r="B839" t="s">
        <v>0</v>
      </c>
      <c r="C839" s="9" t="str">
        <f>IFERROR(INDEX(자료실범례[],MATCH($B839,자료실범례[소장처명],0),2),"종합자료실")</f>
        <v>어린이자료실</v>
      </c>
      <c r="D839" t="s">
        <v>25</v>
      </c>
      <c r="E839">
        <v>0</v>
      </c>
      <c r="F839">
        <v>1</v>
      </c>
      <c r="G839">
        <v>0</v>
      </c>
      <c r="H839">
        <v>4</v>
      </c>
      <c r="I839">
        <v>0</v>
      </c>
      <c r="J839">
        <v>0</v>
      </c>
      <c r="K839">
        <v>0</v>
      </c>
      <c r="L839">
        <v>6</v>
      </c>
      <c r="M839">
        <v>26</v>
      </c>
      <c r="N839">
        <v>0</v>
      </c>
      <c r="O839">
        <v>0</v>
      </c>
      <c r="P839">
        <v>37</v>
      </c>
    </row>
    <row r="840" spans="1:16" x14ac:dyDescent="0.3">
      <c r="A840" s="1">
        <v>45474</v>
      </c>
      <c r="B840" t="s">
        <v>0</v>
      </c>
      <c r="C840" s="9" t="str">
        <f>IFERROR(INDEX(자료실범례[],MATCH($B840,자료실범례[소장처명],0),2),"종합자료실")</f>
        <v>어린이자료실</v>
      </c>
      <c r="D840" t="s">
        <v>31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2</v>
      </c>
      <c r="M840">
        <v>1</v>
      </c>
      <c r="N840">
        <v>0</v>
      </c>
      <c r="O840">
        <v>0</v>
      </c>
      <c r="P840">
        <v>3</v>
      </c>
    </row>
    <row r="841" spans="1:16" x14ac:dyDescent="0.3">
      <c r="A841" s="1">
        <v>45474</v>
      </c>
      <c r="B841" t="s">
        <v>1</v>
      </c>
      <c r="C841" s="9" t="str">
        <f>IFERROR(INDEX(자료실범례[],MATCH($B841,자료실범례[소장처명],0),2),"종합자료실")</f>
        <v>어린이자료실</v>
      </c>
      <c r="D841" t="s">
        <v>28</v>
      </c>
      <c r="E841">
        <v>0</v>
      </c>
      <c r="F841">
        <v>0</v>
      </c>
      <c r="G841">
        <v>0</v>
      </c>
      <c r="H841">
        <v>2</v>
      </c>
      <c r="I841">
        <v>0</v>
      </c>
      <c r="J841">
        <v>0</v>
      </c>
      <c r="K841">
        <v>1</v>
      </c>
      <c r="L841">
        <v>63</v>
      </c>
      <c r="M841">
        <v>19</v>
      </c>
      <c r="N841">
        <v>0</v>
      </c>
      <c r="O841">
        <v>0</v>
      </c>
      <c r="P841">
        <v>85</v>
      </c>
    </row>
    <row r="842" spans="1:16" x14ac:dyDescent="0.3">
      <c r="A842" s="1">
        <v>45474</v>
      </c>
      <c r="B842" t="s">
        <v>1</v>
      </c>
      <c r="C842" s="9" t="str">
        <f>IFERROR(INDEX(자료실범례[],MATCH($B842,자료실범례[소장처명],0),2),"종합자료실")</f>
        <v>어린이자료실</v>
      </c>
      <c r="D842" t="s">
        <v>25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78</v>
      </c>
      <c r="M842">
        <v>5</v>
      </c>
      <c r="N842">
        <v>0</v>
      </c>
      <c r="O842">
        <v>0</v>
      </c>
      <c r="P842">
        <v>83</v>
      </c>
    </row>
    <row r="843" spans="1:16" x14ac:dyDescent="0.3">
      <c r="A843" s="1">
        <v>45474</v>
      </c>
      <c r="B843" t="s">
        <v>1</v>
      </c>
      <c r="C843" s="9" t="str">
        <f>IFERROR(INDEX(자료실범례[],MATCH($B843,자료실범례[소장처명],0),2),"종합자료실")</f>
        <v>어린이자료실</v>
      </c>
      <c r="D843" t="s">
        <v>31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25</v>
      </c>
      <c r="M843">
        <v>0</v>
      </c>
      <c r="N843">
        <v>0</v>
      </c>
      <c r="O843">
        <v>0</v>
      </c>
      <c r="P843">
        <v>25</v>
      </c>
    </row>
    <row r="844" spans="1:16" x14ac:dyDescent="0.3">
      <c r="A844" s="1">
        <v>45474</v>
      </c>
      <c r="B844" t="s">
        <v>6</v>
      </c>
      <c r="C844" s="9" t="str">
        <f>IFERROR(INDEX(자료실범례[],MATCH($B844,자료실범례[소장처명],0),2),"종합자료실")</f>
        <v>종합자료실</v>
      </c>
      <c r="D844" t="s">
        <v>28</v>
      </c>
      <c r="E844">
        <v>0</v>
      </c>
      <c r="F844">
        <v>5</v>
      </c>
      <c r="G844">
        <v>1</v>
      </c>
      <c r="H844">
        <v>3</v>
      </c>
      <c r="I844">
        <v>7</v>
      </c>
      <c r="J844">
        <v>2</v>
      </c>
      <c r="K844">
        <v>1</v>
      </c>
      <c r="L844">
        <v>4</v>
      </c>
      <c r="M844">
        <v>72</v>
      </c>
      <c r="N844">
        <v>4</v>
      </c>
      <c r="O844">
        <v>0</v>
      </c>
      <c r="P844">
        <v>99</v>
      </c>
    </row>
    <row r="845" spans="1:16" x14ac:dyDescent="0.3">
      <c r="A845" s="1">
        <v>45474</v>
      </c>
      <c r="B845" t="s">
        <v>6</v>
      </c>
      <c r="C845" s="9" t="str">
        <f>IFERROR(INDEX(자료실범례[],MATCH($B845,자료실범례[소장처명],0),2),"종합자료실")</f>
        <v>종합자료실</v>
      </c>
      <c r="D845" t="s">
        <v>25</v>
      </c>
      <c r="E845">
        <v>2</v>
      </c>
      <c r="F845">
        <v>4</v>
      </c>
      <c r="G845">
        <v>1</v>
      </c>
      <c r="H845">
        <v>6</v>
      </c>
      <c r="I845">
        <v>7</v>
      </c>
      <c r="J845">
        <v>2</v>
      </c>
      <c r="K845">
        <v>1</v>
      </c>
      <c r="L845">
        <v>3</v>
      </c>
      <c r="M845">
        <v>60</v>
      </c>
      <c r="N845">
        <v>2</v>
      </c>
      <c r="O845">
        <v>0</v>
      </c>
      <c r="P845">
        <v>88</v>
      </c>
    </row>
    <row r="846" spans="1:16" x14ac:dyDescent="0.3">
      <c r="A846" s="1">
        <v>45474</v>
      </c>
      <c r="B846" t="s">
        <v>6</v>
      </c>
      <c r="C846" s="9" t="str">
        <f>IFERROR(INDEX(자료실범례[],MATCH($B846,자료실범례[소장처명],0),2),"종합자료실")</f>
        <v>종합자료실</v>
      </c>
      <c r="D846" t="s">
        <v>31</v>
      </c>
      <c r="E846">
        <v>0</v>
      </c>
      <c r="F846">
        <v>0</v>
      </c>
      <c r="G846">
        <v>0</v>
      </c>
      <c r="H846">
        <v>3</v>
      </c>
      <c r="I846">
        <v>0</v>
      </c>
      <c r="J846">
        <v>0</v>
      </c>
      <c r="K846">
        <v>0</v>
      </c>
      <c r="L846">
        <v>1</v>
      </c>
      <c r="M846">
        <v>9</v>
      </c>
      <c r="N846">
        <v>0</v>
      </c>
      <c r="O846">
        <v>0</v>
      </c>
      <c r="P846">
        <v>13</v>
      </c>
    </row>
    <row r="847" spans="1:16" x14ac:dyDescent="0.3">
      <c r="A847" s="1">
        <v>45474</v>
      </c>
      <c r="B847" t="s">
        <v>18</v>
      </c>
      <c r="C847" s="9" t="str">
        <f>IFERROR(INDEX(자료실범례[],MATCH($B847,자료실범례[소장처명],0),2),"종합자료실")</f>
        <v>종합자료실</v>
      </c>
      <c r="D847" t="s">
        <v>28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15</v>
      </c>
      <c r="P847">
        <v>15</v>
      </c>
    </row>
    <row r="848" spans="1:16" x14ac:dyDescent="0.3">
      <c r="A848" s="1">
        <v>45474</v>
      </c>
      <c r="B848" t="s">
        <v>18</v>
      </c>
      <c r="C848" s="9" t="str">
        <f>IFERROR(INDEX(자료실범례[],MATCH($B848,자료실범례[소장처명],0),2),"종합자료실")</f>
        <v>종합자료실</v>
      </c>
      <c r="D848" t="s">
        <v>25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12</v>
      </c>
      <c r="P848">
        <v>12</v>
      </c>
    </row>
    <row r="849" spans="1:16" x14ac:dyDescent="0.3">
      <c r="A849" s="1">
        <v>45474</v>
      </c>
      <c r="B849" t="s">
        <v>18</v>
      </c>
      <c r="C849" s="9" t="str">
        <f>IFERROR(INDEX(자료실범례[],MATCH($B849,자료실범례[소장처명],0),2),"종합자료실")</f>
        <v>종합자료실</v>
      </c>
      <c r="D849" t="s">
        <v>31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2</v>
      </c>
      <c r="P849">
        <v>2</v>
      </c>
    </row>
    <row r="850" spans="1:16" x14ac:dyDescent="0.3">
      <c r="A850" s="1">
        <v>45474</v>
      </c>
      <c r="B850" t="s">
        <v>17</v>
      </c>
      <c r="C850" s="9" t="str">
        <f>IFERROR(INDEX(자료실범례[],MATCH($B850,자료실범례[소장처명],0),2),"종합자료실")</f>
        <v>어린이자료실</v>
      </c>
      <c r="D850" t="s">
        <v>28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16</v>
      </c>
      <c r="P850">
        <v>16</v>
      </c>
    </row>
    <row r="851" spans="1:16" x14ac:dyDescent="0.3">
      <c r="A851" s="1">
        <v>45474</v>
      </c>
      <c r="B851" t="s">
        <v>17</v>
      </c>
      <c r="C851" s="9" t="str">
        <f>IFERROR(INDEX(자료실범례[],MATCH($B851,자료실범례[소장처명],0),2),"종합자료실")</f>
        <v>어린이자료실</v>
      </c>
      <c r="D851" t="s">
        <v>25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12</v>
      </c>
      <c r="P851">
        <v>12</v>
      </c>
    </row>
    <row r="852" spans="1:16" x14ac:dyDescent="0.3">
      <c r="A852" s="1">
        <v>45474</v>
      </c>
      <c r="B852" t="s">
        <v>17</v>
      </c>
      <c r="C852" s="9" t="str">
        <f>IFERROR(INDEX(자료실범례[],MATCH($B852,자료실범례[소장처명],0),2),"종합자료실")</f>
        <v>어린이자료실</v>
      </c>
      <c r="D852" t="s">
        <v>31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2</v>
      </c>
    </row>
    <row r="853" spans="1:16" x14ac:dyDescent="0.3">
      <c r="A853" s="1">
        <v>45139</v>
      </c>
      <c r="B853" t="s">
        <v>21</v>
      </c>
      <c r="C853" s="9" t="str">
        <f>IFERROR(INDEX(자료실범례[],MATCH($B853,자료실범례[소장처명],0),2),"종합자료실")</f>
        <v>종합자료실</v>
      </c>
      <c r="D853" t="s">
        <v>28</v>
      </c>
      <c r="E853">
        <v>62</v>
      </c>
      <c r="F853">
        <v>150</v>
      </c>
      <c r="G853">
        <v>48</v>
      </c>
      <c r="H853">
        <v>286</v>
      </c>
      <c r="I853">
        <v>66</v>
      </c>
      <c r="J853">
        <v>161</v>
      </c>
      <c r="K853">
        <v>63</v>
      </c>
      <c r="L853">
        <v>55</v>
      </c>
      <c r="M853">
        <v>688</v>
      </c>
      <c r="N853">
        <v>100</v>
      </c>
      <c r="O853">
        <v>0</v>
      </c>
      <c r="P853">
        <v>1679</v>
      </c>
    </row>
    <row r="854" spans="1:16" x14ac:dyDescent="0.3">
      <c r="A854" s="1">
        <v>45139</v>
      </c>
      <c r="B854" t="s">
        <v>21</v>
      </c>
      <c r="C854" s="9" t="str">
        <f>IFERROR(INDEX(자료실범례[],MATCH($B854,자료실범례[소장처명],0),2),"종합자료실")</f>
        <v>종합자료실</v>
      </c>
      <c r="D854" t="s">
        <v>25</v>
      </c>
      <c r="E854">
        <v>55</v>
      </c>
      <c r="F854">
        <v>162</v>
      </c>
      <c r="G854">
        <v>53</v>
      </c>
      <c r="H854">
        <v>278</v>
      </c>
      <c r="I854">
        <v>79</v>
      </c>
      <c r="J854">
        <v>138</v>
      </c>
      <c r="K854">
        <v>76</v>
      </c>
      <c r="L854">
        <v>51</v>
      </c>
      <c r="M854">
        <v>731</v>
      </c>
      <c r="N854">
        <v>121</v>
      </c>
      <c r="O854">
        <v>0</v>
      </c>
      <c r="P854">
        <v>1744</v>
      </c>
    </row>
    <row r="855" spans="1:16" x14ac:dyDescent="0.3">
      <c r="A855" s="1">
        <v>45139</v>
      </c>
      <c r="B855" t="s">
        <v>21</v>
      </c>
      <c r="C855" s="9" t="str">
        <f>IFERROR(INDEX(자료실범례[],MATCH($B855,자료실범례[소장처명],0),2),"종합자료실")</f>
        <v>종합자료실</v>
      </c>
      <c r="D855" t="s">
        <v>31</v>
      </c>
      <c r="E855">
        <v>22</v>
      </c>
      <c r="F855">
        <v>55</v>
      </c>
      <c r="G855">
        <v>36</v>
      </c>
      <c r="H855">
        <v>97</v>
      </c>
      <c r="I855">
        <v>32</v>
      </c>
      <c r="J855">
        <v>40</v>
      </c>
      <c r="K855">
        <v>17</v>
      </c>
      <c r="L855">
        <v>12</v>
      </c>
      <c r="M855">
        <v>179</v>
      </c>
      <c r="N855">
        <v>31</v>
      </c>
      <c r="O855">
        <v>0</v>
      </c>
      <c r="P855">
        <v>521</v>
      </c>
    </row>
    <row r="856" spans="1:16" x14ac:dyDescent="0.3">
      <c r="A856" s="1">
        <v>45139</v>
      </c>
      <c r="B856" t="s">
        <v>16</v>
      </c>
      <c r="C856" s="9" t="str">
        <f>IFERROR(INDEX(자료실범례[],MATCH($B856,자료실범례[소장처명],0),2),"종합자료실")</f>
        <v>어린이자료실</v>
      </c>
      <c r="D856" t="s">
        <v>28</v>
      </c>
      <c r="E856">
        <v>36</v>
      </c>
      <c r="F856">
        <v>28</v>
      </c>
      <c r="G856">
        <v>7</v>
      </c>
      <c r="H856">
        <v>154</v>
      </c>
      <c r="I856">
        <v>202</v>
      </c>
      <c r="J856">
        <v>50</v>
      </c>
      <c r="K856">
        <v>25</v>
      </c>
      <c r="L856">
        <v>39</v>
      </c>
      <c r="M856">
        <v>1055</v>
      </c>
      <c r="N856">
        <v>81</v>
      </c>
      <c r="O856">
        <v>0</v>
      </c>
      <c r="P856">
        <v>1677</v>
      </c>
    </row>
    <row r="857" spans="1:16" x14ac:dyDescent="0.3">
      <c r="A857" s="1">
        <v>45139</v>
      </c>
      <c r="B857" t="s">
        <v>16</v>
      </c>
      <c r="C857" s="9" t="str">
        <f>IFERROR(INDEX(자료실범례[],MATCH($B857,자료실범례[소장처명],0),2),"종합자료실")</f>
        <v>어린이자료실</v>
      </c>
      <c r="D857" t="s">
        <v>25</v>
      </c>
      <c r="E857">
        <v>28</v>
      </c>
      <c r="F857">
        <v>19</v>
      </c>
      <c r="G857">
        <v>11</v>
      </c>
      <c r="H857">
        <v>143</v>
      </c>
      <c r="I857">
        <v>181</v>
      </c>
      <c r="J857">
        <v>63</v>
      </c>
      <c r="K857">
        <v>27</v>
      </c>
      <c r="L857">
        <v>29</v>
      </c>
      <c r="M857">
        <v>1077</v>
      </c>
      <c r="N857">
        <v>76</v>
      </c>
      <c r="O857">
        <v>0</v>
      </c>
      <c r="P857">
        <v>1654</v>
      </c>
    </row>
    <row r="858" spans="1:16" x14ac:dyDescent="0.3">
      <c r="A858" s="1">
        <v>45139</v>
      </c>
      <c r="B858" t="s">
        <v>16</v>
      </c>
      <c r="C858" s="9" t="str">
        <f>IFERROR(INDEX(자료실범례[],MATCH($B858,자료실범례[소장처명],0),2),"종합자료실")</f>
        <v>어린이자료실</v>
      </c>
      <c r="D858" t="s">
        <v>31</v>
      </c>
      <c r="E858">
        <v>5</v>
      </c>
      <c r="F858">
        <v>1</v>
      </c>
      <c r="G858">
        <v>0</v>
      </c>
      <c r="H858">
        <v>16</v>
      </c>
      <c r="I858">
        <v>24</v>
      </c>
      <c r="J858">
        <v>3</v>
      </c>
      <c r="K858">
        <v>2</v>
      </c>
      <c r="L858">
        <v>3</v>
      </c>
      <c r="M858">
        <v>185</v>
      </c>
      <c r="N858">
        <v>4</v>
      </c>
      <c r="O858">
        <v>0</v>
      </c>
      <c r="P858">
        <v>243</v>
      </c>
    </row>
    <row r="859" spans="1:16" x14ac:dyDescent="0.3">
      <c r="A859" s="1">
        <v>45139</v>
      </c>
      <c r="B859" t="s">
        <v>2</v>
      </c>
      <c r="C859" s="9" t="str">
        <f>IFERROR(INDEX(자료실범례[],MATCH($B859,자료실범례[소장처명],0),2),"종합자료실")</f>
        <v>디지털자료실</v>
      </c>
      <c r="D859" t="s">
        <v>28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12</v>
      </c>
      <c r="L859">
        <v>0</v>
      </c>
      <c r="M859">
        <v>0</v>
      </c>
      <c r="N859">
        <v>0</v>
      </c>
      <c r="O859">
        <v>0</v>
      </c>
      <c r="P859">
        <v>12</v>
      </c>
    </row>
    <row r="860" spans="1:16" x14ac:dyDescent="0.3">
      <c r="A860" s="1">
        <v>45139</v>
      </c>
      <c r="B860" t="s">
        <v>2</v>
      </c>
      <c r="C860" s="9" t="str">
        <f>IFERROR(INDEX(자료실범례[],MATCH($B860,자료실범례[소장처명],0),2),"종합자료실")</f>
        <v>디지털자료실</v>
      </c>
      <c r="D860" t="s">
        <v>25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13</v>
      </c>
      <c r="L860">
        <v>0</v>
      </c>
      <c r="M860">
        <v>0</v>
      </c>
      <c r="N860">
        <v>0</v>
      </c>
      <c r="O860">
        <v>0</v>
      </c>
      <c r="P860">
        <v>13</v>
      </c>
    </row>
    <row r="861" spans="1:16" x14ac:dyDescent="0.3">
      <c r="A861" s="1">
        <v>45139</v>
      </c>
      <c r="B861" t="s">
        <v>19</v>
      </c>
      <c r="C861" s="9" t="str">
        <f>IFERROR(INDEX(자료실범례[],MATCH($B861,자료실범례[소장처명],0),2),"종합자료실")</f>
        <v>종합자료실</v>
      </c>
      <c r="D861" t="s">
        <v>28</v>
      </c>
      <c r="E861">
        <v>1</v>
      </c>
      <c r="F861">
        <v>2</v>
      </c>
      <c r="G861">
        <v>0</v>
      </c>
      <c r="H861">
        <v>3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7</v>
      </c>
    </row>
    <row r="862" spans="1:16" x14ac:dyDescent="0.3">
      <c r="A862" s="1">
        <v>45139</v>
      </c>
      <c r="B862" t="s">
        <v>19</v>
      </c>
      <c r="C862" s="9" t="str">
        <f>IFERROR(INDEX(자료실범례[],MATCH($B862,자료실범례[소장처명],0),2),"종합자료실")</f>
        <v>종합자료실</v>
      </c>
      <c r="D862" t="s">
        <v>25</v>
      </c>
      <c r="E862">
        <v>0</v>
      </c>
      <c r="F862">
        <v>3</v>
      </c>
      <c r="G862">
        <v>0</v>
      </c>
      <c r="H862">
        <v>2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6</v>
      </c>
    </row>
    <row r="863" spans="1:16" x14ac:dyDescent="0.3">
      <c r="A863" s="1">
        <v>45139</v>
      </c>
      <c r="B863" t="s">
        <v>19</v>
      </c>
      <c r="C863" s="9" t="str">
        <f>IFERROR(INDEX(자료실범례[],MATCH($B863,자료실범례[소장처명],0),2),"종합자료실")</f>
        <v>종합자료실</v>
      </c>
      <c r="D863" t="s">
        <v>31</v>
      </c>
      <c r="E863">
        <v>0</v>
      </c>
      <c r="F863">
        <v>0</v>
      </c>
      <c r="G863">
        <v>0</v>
      </c>
      <c r="H863">
        <v>1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2</v>
      </c>
    </row>
    <row r="864" spans="1:16" x14ac:dyDescent="0.3">
      <c r="A864" s="1">
        <v>45139</v>
      </c>
      <c r="B864" t="s">
        <v>13</v>
      </c>
      <c r="C864" s="9" t="str">
        <f>IFERROR(INDEX(자료실범례[],MATCH($B864,자료실범례[소장처명],0),2),"종합자료실")</f>
        <v>어린이자료실</v>
      </c>
      <c r="D864" t="s">
        <v>28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7</v>
      </c>
      <c r="N864">
        <v>0</v>
      </c>
      <c r="O864">
        <v>0</v>
      </c>
      <c r="P864">
        <v>7</v>
      </c>
    </row>
    <row r="865" spans="1:16" x14ac:dyDescent="0.3">
      <c r="A865" s="1">
        <v>45139</v>
      </c>
      <c r="B865" t="s">
        <v>13</v>
      </c>
      <c r="C865" s="9" t="str">
        <f>IFERROR(INDEX(자료실범례[],MATCH($B865,자료실범례[소장처명],0),2),"종합자료실")</f>
        <v>어린이자료실</v>
      </c>
      <c r="D865" t="s">
        <v>25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6</v>
      </c>
      <c r="N865">
        <v>0</v>
      </c>
      <c r="O865">
        <v>0</v>
      </c>
      <c r="P865">
        <v>6</v>
      </c>
    </row>
    <row r="866" spans="1:16" x14ac:dyDescent="0.3">
      <c r="A866" s="1">
        <v>45139</v>
      </c>
      <c r="B866" t="s">
        <v>13</v>
      </c>
      <c r="C866" s="9" t="str">
        <f>IFERROR(INDEX(자료실범례[],MATCH($B866,자료실범례[소장처명],0),2),"종합자료실")</f>
        <v>어린이자료실</v>
      </c>
      <c r="D866" t="s">
        <v>31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0</v>
      </c>
      <c r="P866">
        <v>1</v>
      </c>
    </row>
    <row r="867" spans="1:16" x14ac:dyDescent="0.3">
      <c r="A867" s="1">
        <v>45139</v>
      </c>
      <c r="B867" t="s">
        <v>15</v>
      </c>
      <c r="C867" s="9" t="str">
        <f>IFERROR(INDEX(자료실범례[],MATCH($B867,자료실범례[소장처명],0),2),"종합자료실")</f>
        <v>어린이자료실</v>
      </c>
      <c r="D867" t="s">
        <v>28</v>
      </c>
      <c r="E867">
        <v>5</v>
      </c>
      <c r="F867">
        <v>0</v>
      </c>
      <c r="G867">
        <v>21</v>
      </c>
      <c r="H867">
        <v>8</v>
      </c>
      <c r="I867">
        <v>258</v>
      </c>
      <c r="J867">
        <v>66</v>
      </c>
      <c r="K867">
        <v>1</v>
      </c>
      <c r="L867">
        <v>69</v>
      </c>
      <c r="M867">
        <v>27</v>
      </c>
      <c r="N867">
        <v>141</v>
      </c>
      <c r="O867">
        <v>0</v>
      </c>
      <c r="P867">
        <v>596</v>
      </c>
    </row>
    <row r="868" spans="1:16" x14ac:dyDescent="0.3">
      <c r="A868" s="1">
        <v>45139</v>
      </c>
      <c r="B868" t="s">
        <v>15</v>
      </c>
      <c r="C868" s="9" t="str">
        <f>IFERROR(INDEX(자료실범례[],MATCH($B868,자료실범례[소장처명],0),2),"종합자료실")</f>
        <v>어린이자료실</v>
      </c>
      <c r="D868" t="s">
        <v>25</v>
      </c>
      <c r="E868">
        <v>9</v>
      </c>
      <c r="F868">
        <v>0</v>
      </c>
      <c r="G868">
        <v>19</v>
      </c>
      <c r="H868">
        <v>5</v>
      </c>
      <c r="I868">
        <v>249</v>
      </c>
      <c r="J868">
        <v>64</v>
      </c>
      <c r="K868">
        <v>2</v>
      </c>
      <c r="L868">
        <v>71</v>
      </c>
      <c r="M868">
        <v>24</v>
      </c>
      <c r="N868">
        <v>140</v>
      </c>
      <c r="O868">
        <v>0</v>
      </c>
      <c r="P868">
        <v>583</v>
      </c>
    </row>
    <row r="869" spans="1:16" x14ac:dyDescent="0.3">
      <c r="A869" s="1">
        <v>45139</v>
      </c>
      <c r="B869" t="s">
        <v>15</v>
      </c>
      <c r="C869" s="9" t="str">
        <f>IFERROR(INDEX(자료실범례[],MATCH($B869,자료실범례[소장처명],0),2),"종합자료실")</f>
        <v>어린이자료실</v>
      </c>
      <c r="D869" t="s">
        <v>31</v>
      </c>
      <c r="E869">
        <v>0</v>
      </c>
      <c r="F869">
        <v>0</v>
      </c>
      <c r="G869">
        <v>13</v>
      </c>
      <c r="H869">
        <v>0</v>
      </c>
      <c r="I869">
        <v>9</v>
      </c>
      <c r="J869">
        <v>0</v>
      </c>
      <c r="K869">
        <v>0</v>
      </c>
      <c r="L869">
        <v>2</v>
      </c>
      <c r="M869">
        <v>0</v>
      </c>
      <c r="N869">
        <v>19</v>
      </c>
      <c r="O869">
        <v>0</v>
      </c>
      <c r="P869">
        <v>43</v>
      </c>
    </row>
    <row r="870" spans="1:16" x14ac:dyDescent="0.3">
      <c r="A870" s="1">
        <v>45139</v>
      </c>
      <c r="B870" t="s">
        <v>20</v>
      </c>
      <c r="C870" s="9" t="str">
        <f>IFERROR(INDEX(자료실범례[],MATCH($B870,자료실범례[소장처명],0),2),"종합자료실")</f>
        <v>종합자료실</v>
      </c>
      <c r="D870" t="s">
        <v>28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</v>
      </c>
      <c r="L870">
        <v>0</v>
      </c>
      <c r="M870">
        <v>2</v>
      </c>
      <c r="N870">
        <v>1</v>
      </c>
      <c r="O870">
        <v>0</v>
      </c>
      <c r="P870">
        <v>4</v>
      </c>
    </row>
    <row r="871" spans="1:16" x14ac:dyDescent="0.3">
      <c r="A871" s="1">
        <v>45139</v>
      </c>
      <c r="B871" t="s">
        <v>20</v>
      </c>
      <c r="C871" s="9" t="str">
        <f>IFERROR(INDEX(자료실범례[],MATCH($B871,자료실범례[소장처명],0),2),"종합자료실")</f>
        <v>종합자료실</v>
      </c>
      <c r="D871" t="s">
        <v>25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O871">
        <v>0</v>
      </c>
      <c r="P871">
        <v>1</v>
      </c>
    </row>
    <row r="872" spans="1:16" x14ac:dyDescent="0.3">
      <c r="A872" s="1">
        <v>45139</v>
      </c>
      <c r="B872" t="s">
        <v>20</v>
      </c>
      <c r="C872" s="9" t="str">
        <f>IFERROR(INDEX(자료실범례[],MATCH($B872,자료실범례[소장처명],0),2),"종합자료실")</f>
        <v>종합자료실</v>
      </c>
      <c r="D872" t="s">
        <v>31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1</v>
      </c>
      <c r="N872">
        <v>0</v>
      </c>
      <c r="O872">
        <v>0</v>
      </c>
      <c r="P872">
        <v>1</v>
      </c>
    </row>
    <row r="873" spans="1:16" x14ac:dyDescent="0.3">
      <c r="A873" s="1">
        <v>45139</v>
      </c>
      <c r="B873" t="s">
        <v>3</v>
      </c>
      <c r="C873" s="9" t="str">
        <f>IFERROR(INDEX(자료실범례[],MATCH($B873,자료실범례[소장처명],0),2),"종합자료실")</f>
        <v>디지털자료실</v>
      </c>
      <c r="D873" t="s">
        <v>28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1</v>
      </c>
    </row>
    <row r="874" spans="1:16" x14ac:dyDescent="0.3">
      <c r="A874" s="1">
        <v>45139</v>
      </c>
      <c r="B874" t="s">
        <v>3</v>
      </c>
      <c r="C874" s="9" t="str">
        <f>IFERROR(INDEX(자료실범례[],MATCH($B874,자료실범례[소장처명],0),2),"종합자료실")</f>
        <v>디지털자료실</v>
      </c>
      <c r="D874" t="s">
        <v>25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1</v>
      </c>
    </row>
    <row r="875" spans="1:16" x14ac:dyDescent="0.3">
      <c r="A875" s="1">
        <v>45139</v>
      </c>
      <c r="B875" t="s">
        <v>4</v>
      </c>
      <c r="C875" s="9" t="str">
        <f>IFERROR(INDEX(자료실범례[],MATCH($B875,자료실범례[소장처명],0),2),"종합자료실")</f>
        <v>어린이자료실</v>
      </c>
      <c r="D875" t="s">
        <v>28</v>
      </c>
      <c r="E875">
        <v>0</v>
      </c>
      <c r="F875">
        <v>1</v>
      </c>
      <c r="G875">
        <v>0</v>
      </c>
      <c r="H875">
        <v>0</v>
      </c>
      <c r="I875">
        <v>2</v>
      </c>
      <c r="J875">
        <v>3</v>
      </c>
      <c r="K875">
        <v>0</v>
      </c>
      <c r="L875">
        <v>1</v>
      </c>
      <c r="M875">
        <v>44</v>
      </c>
      <c r="N875">
        <v>1</v>
      </c>
      <c r="O875">
        <v>0</v>
      </c>
      <c r="P875">
        <v>52</v>
      </c>
    </row>
    <row r="876" spans="1:16" x14ac:dyDescent="0.3">
      <c r="A876" s="1">
        <v>45139</v>
      </c>
      <c r="B876" t="s">
        <v>4</v>
      </c>
      <c r="C876" s="9" t="str">
        <f>IFERROR(INDEX(자료실범례[],MATCH($B876,자료실범례[소장처명],0),2),"종합자료실")</f>
        <v>어린이자료실</v>
      </c>
      <c r="D876" t="s">
        <v>25</v>
      </c>
      <c r="E876">
        <v>0</v>
      </c>
      <c r="F876">
        <v>2</v>
      </c>
      <c r="G876">
        <v>0</v>
      </c>
      <c r="H876">
        <v>2</v>
      </c>
      <c r="I876">
        <v>3</v>
      </c>
      <c r="J876">
        <v>2</v>
      </c>
      <c r="K876">
        <v>0</v>
      </c>
      <c r="L876">
        <v>0</v>
      </c>
      <c r="M876">
        <v>44</v>
      </c>
      <c r="N876">
        <v>2</v>
      </c>
      <c r="O876">
        <v>0</v>
      </c>
      <c r="P876">
        <v>55</v>
      </c>
    </row>
    <row r="877" spans="1:16" x14ac:dyDescent="0.3">
      <c r="A877" s="1">
        <v>45139</v>
      </c>
      <c r="B877" t="s">
        <v>4</v>
      </c>
      <c r="C877" s="9" t="str">
        <f>IFERROR(INDEX(자료실범례[],MATCH($B877,자료실범례[소장처명],0),2),"종합자료실")</f>
        <v>어린이자료실</v>
      </c>
      <c r="D877" t="s">
        <v>31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4</v>
      </c>
      <c r="N877">
        <v>0</v>
      </c>
      <c r="O877">
        <v>0</v>
      </c>
      <c r="P877">
        <v>4</v>
      </c>
    </row>
    <row r="878" spans="1:16" x14ac:dyDescent="0.3">
      <c r="A878" s="1">
        <v>45139</v>
      </c>
      <c r="B878" t="s">
        <v>5</v>
      </c>
      <c r="C878" s="9" t="str">
        <f>IFERROR(INDEX(자료실범례[],MATCH($B878,자료실범례[소장처명],0),2),"종합자료실")</f>
        <v>종합자료실</v>
      </c>
      <c r="D878" t="s">
        <v>28</v>
      </c>
      <c r="E878">
        <v>2</v>
      </c>
      <c r="F878">
        <v>1</v>
      </c>
      <c r="G878">
        <v>1</v>
      </c>
      <c r="H878">
        <v>9</v>
      </c>
      <c r="I878">
        <v>2</v>
      </c>
      <c r="J878">
        <v>2</v>
      </c>
      <c r="K878">
        <v>1</v>
      </c>
      <c r="L878">
        <v>0</v>
      </c>
      <c r="M878">
        <v>15</v>
      </c>
      <c r="N878">
        <v>2</v>
      </c>
      <c r="O878">
        <v>0</v>
      </c>
      <c r="P878">
        <v>35</v>
      </c>
    </row>
    <row r="879" spans="1:16" x14ac:dyDescent="0.3">
      <c r="A879" s="1">
        <v>45139</v>
      </c>
      <c r="B879" t="s">
        <v>5</v>
      </c>
      <c r="C879" s="9" t="str">
        <f>IFERROR(INDEX(자료실범례[],MATCH($B879,자료실범례[소장처명],0),2),"종합자료실")</f>
        <v>종합자료실</v>
      </c>
      <c r="D879" t="s">
        <v>25</v>
      </c>
      <c r="E879">
        <v>2</v>
      </c>
      <c r="F879">
        <v>2</v>
      </c>
      <c r="G879">
        <v>1</v>
      </c>
      <c r="H879">
        <v>9</v>
      </c>
      <c r="I879">
        <v>3</v>
      </c>
      <c r="J879">
        <v>1</v>
      </c>
      <c r="K879">
        <v>1</v>
      </c>
      <c r="L879">
        <v>0</v>
      </c>
      <c r="M879">
        <v>22</v>
      </c>
      <c r="N879">
        <v>4</v>
      </c>
      <c r="O879">
        <v>0</v>
      </c>
      <c r="P879">
        <v>45</v>
      </c>
    </row>
    <row r="880" spans="1:16" x14ac:dyDescent="0.3">
      <c r="A880" s="1">
        <v>45139</v>
      </c>
      <c r="B880" t="s">
        <v>5</v>
      </c>
      <c r="C880" s="9" t="str">
        <f>IFERROR(INDEX(자료실범례[],MATCH($B880,자료실범례[소장처명],0),2),"종합자료실")</f>
        <v>종합자료실</v>
      </c>
      <c r="D880" t="s">
        <v>31</v>
      </c>
      <c r="E880">
        <v>0</v>
      </c>
      <c r="F880">
        <v>2</v>
      </c>
      <c r="G880">
        <v>1</v>
      </c>
      <c r="H880">
        <v>2</v>
      </c>
      <c r="I880">
        <v>2</v>
      </c>
      <c r="J880">
        <v>2</v>
      </c>
      <c r="K880">
        <v>1</v>
      </c>
      <c r="L880">
        <v>0</v>
      </c>
      <c r="M880">
        <v>2</v>
      </c>
      <c r="N880">
        <v>1</v>
      </c>
      <c r="O880">
        <v>0</v>
      </c>
      <c r="P880">
        <v>13</v>
      </c>
    </row>
    <row r="881" spans="1:16" x14ac:dyDescent="0.3">
      <c r="A881" s="1">
        <v>45139</v>
      </c>
      <c r="B881" t="s">
        <v>7</v>
      </c>
      <c r="C881" s="9" t="str">
        <f>IFERROR(INDEX(자료실범례[],MATCH($B881,자료실범례[소장처명],0),2),"종합자료실")</f>
        <v>어린이자료실</v>
      </c>
      <c r="D881" t="s">
        <v>28</v>
      </c>
      <c r="E881">
        <v>2</v>
      </c>
      <c r="F881">
        <v>0</v>
      </c>
      <c r="G881">
        <v>0</v>
      </c>
      <c r="H881">
        <v>1</v>
      </c>
      <c r="I881">
        <v>1</v>
      </c>
      <c r="J881">
        <v>1</v>
      </c>
      <c r="K881">
        <v>0</v>
      </c>
      <c r="L881">
        <v>0</v>
      </c>
      <c r="M881">
        <v>18</v>
      </c>
      <c r="N881">
        <v>0</v>
      </c>
      <c r="O881">
        <v>0</v>
      </c>
      <c r="P881">
        <v>23</v>
      </c>
    </row>
    <row r="882" spans="1:16" x14ac:dyDescent="0.3">
      <c r="A882" s="1">
        <v>45139</v>
      </c>
      <c r="B882" t="s">
        <v>7</v>
      </c>
      <c r="C882" s="9" t="str">
        <f>IFERROR(INDEX(자료실범례[],MATCH($B882,자료실범례[소장처명],0),2),"종합자료실")</f>
        <v>어린이자료실</v>
      </c>
      <c r="D882" t="s">
        <v>25</v>
      </c>
      <c r="E882">
        <v>1</v>
      </c>
      <c r="F882">
        <v>0</v>
      </c>
      <c r="G882">
        <v>0</v>
      </c>
      <c r="H882">
        <v>3</v>
      </c>
      <c r="I882">
        <v>0</v>
      </c>
      <c r="J882">
        <v>2</v>
      </c>
      <c r="K882">
        <v>0</v>
      </c>
      <c r="L882">
        <v>0</v>
      </c>
      <c r="M882">
        <v>9</v>
      </c>
      <c r="N882">
        <v>0</v>
      </c>
      <c r="O882">
        <v>0</v>
      </c>
      <c r="P882">
        <v>15</v>
      </c>
    </row>
    <row r="883" spans="1:16" x14ac:dyDescent="0.3">
      <c r="A883" s="1">
        <v>45139</v>
      </c>
      <c r="B883" t="s">
        <v>8</v>
      </c>
      <c r="C883" s="9" t="str">
        <f>IFERROR(INDEX(자료실범례[],MATCH($B883,자료실범례[소장처명],0),2),"종합자료실")</f>
        <v>어린이자료실</v>
      </c>
      <c r="D883" t="s">
        <v>28</v>
      </c>
      <c r="E883">
        <v>0</v>
      </c>
      <c r="F883">
        <v>1</v>
      </c>
      <c r="G883">
        <v>0</v>
      </c>
      <c r="H883">
        <v>2</v>
      </c>
      <c r="I883">
        <v>0</v>
      </c>
      <c r="J883">
        <v>2</v>
      </c>
      <c r="K883">
        <v>0</v>
      </c>
      <c r="L883">
        <v>0</v>
      </c>
      <c r="M883">
        <v>44</v>
      </c>
      <c r="N883">
        <v>0</v>
      </c>
      <c r="O883">
        <v>0</v>
      </c>
      <c r="P883">
        <v>49</v>
      </c>
    </row>
    <row r="884" spans="1:16" x14ac:dyDescent="0.3">
      <c r="A884" s="1">
        <v>45139</v>
      </c>
      <c r="B884" t="s">
        <v>8</v>
      </c>
      <c r="C884" s="9" t="str">
        <f>IFERROR(INDEX(자료실범례[],MATCH($B884,자료실범례[소장처명],0),2),"종합자료실")</f>
        <v>어린이자료실</v>
      </c>
      <c r="D884" t="s">
        <v>25</v>
      </c>
      <c r="E884">
        <v>0</v>
      </c>
      <c r="F884">
        <v>0</v>
      </c>
      <c r="G884">
        <v>0</v>
      </c>
      <c r="H884">
        <v>2</v>
      </c>
      <c r="I884">
        <v>0</v>
      </c>
      <c r="J884">
        <v>1</v>
      </c>
      <c r="K884">
        <v>0</v>
      </c>
      <c r="L884">
        <v>0</v>
      </c>
      <c r="M884">
        <v>37</v>
      </c>
      <c r="N884">
        <v>0</v>
      </c>
      <c r="O884">
        <v>0</v>
      </c>
      <c r="P884">
        <v>40</v>
      </c>
    </row>
    <row r="885" spans="1:16" x14ac:dyDescent="0.3">
      <c r="A885" s="1">
        <v>45139</v>
      </c>
      <c r="B885" t="s">
        <v>8</v>
      </c>
      <c r="C885" s="9" t="str">
        <f>IFERROR(INDEX(자료실범례[],MATCH($B885,자료실범례[소장처명],0),2),"종합자료실")</f>
        <v>어린이자료실</v>
      </c>
      <c r="D885" t="s">
        <v>31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7</v>
      </c>
      <c r="N885">
        <v>0</v>
      </c>
      <c r="O885">
        <v>0</v>
      </c>
      <c r="P885">
        <v>7</v>
      </c>
    </row>
    <row r="886" spans="1:16" x14ac:dyDescent="0.3">
      <c r="A886" s="1">
        <v>45139</v>
      </c>
      <c r="B886" t="s">
        <v>9</v>
      </c>
      <c r="C886" s="9" t="str">
        <f>IFERROR(INDEX(자료실범례[],MATCH($B886,자료실범례[소장처명],0),2),"종합자료실")</f>
        <v>어린이자료실</v>
      </c>
      <c r="D886" t="s">
        <v>28</v>
      </c>
      <c r="E886">
        <v>0</v>
      </c>
      <c r="F886">
        <v>0</v>
      </c>
      <c r="G886">
        <v>0</v>
      </c>
      <c r="H886">
        <v>1</v>
      </c>
      <c r="I886">
        <v>3</v>
      </c>
      <c r="J886">
        <v>0</v>
      </c>
      <c r="K886">
        <v>0</v>
      </c>
      <c r="L886">
        <v>0</v>
      </c>
      <c r="M886">
        <v>3</v>
      </c>
      <c r="N886">
        <v>2</v>
      </c>
      <c r="O886">
        <v>0</v>
      </c>
      <c r="P886">
        <v>9</v>
      </c>
    </row>
    <row r="887" spans="1:16" x14ac:dyDescent="0.3">
      <c r="A887" s="1">
        <v>45139</v>
      </c>
      <c r="B887" t="s">
        <v>9</v>
      </c>
      <c r="C887" s="9" t="str">
        <f>IFERROR(INDEX(자료실범례[],MATCH($B887,자료실범례[소장처명],0),2),"종합자료실")</f>
        <v>어린이자료실</v>
      </c>
      <c r="D887" t="s">
        <v>25</v>
      </c>
      <c r="E887">
        <v>0</v>
      </c>
      <c r="F887">
        <v>0</v>
      </c>
      <c r="G887">
        <v>0</v>
      </c>
      <c r="H887">
        <v>1</v>
      </c>
      <c r="I887">
        <v>1</v>
      </c>
      <c r="J887">
        <v>0</v>
      </c>
      <c r="K887">
        <v>0</v>
      </c>
      <c r="L887">
        <v>0</v>
      </c>
      <c r="M887">
        <v>6</v>
      </c>
      <c r="N887">
        <v>0</v>
      </c>
      <c r="O887">
        <v>0</v>
      </c>
      <c r="P887">
        <v>8</v>
      </c>
    </row>
    <row r="888" spans="1:16" x14ac:dyDescent="0.3">
      <c r="A888" s="1">
        <v>45139</v>
      </c>
      <c r="B888" t="s">
        <v>10</v>
      </c>
      <c r="C888" s="9" t="str">
        <f>IFERROR(INDEX(자료실범례[],MATCH($B888,자료실범례[소장처명],0),2),"종합자료실")</f>
        <v>어린이자료실</v>
      </c>
      <c r="D888" t="s">
        <v>28</v>
      </c>
      <c r="E888">
        <v>0</v>
      </c>
      <c r="F888">
        <v>1</v>
      </c>
      <c r="G888">
        <v>0</v>
      </c>
      <c r="H888">
        <v>6</v>
      </c>
      <c r="I888">
        <v>0</v>
      </c>
      <c r="J888">
        <v>1</v>
      </c>
      <c r="K888">
        <v>0</v>
      </c>
      <c r="L888">
        <v>0</v>
      </c>
      <c r="M888">
        <v>11</v>
      </c>
      <c r="N888">
        <v>0</v>
      </c>
      <c r="O888">
        <v>0</v>
      </c>
      <c r="P888">
        <v>19</v>
      </c>
    </row>
    <row r="889" spans="1:16" x14ac:dyDescent="0.3">
      <c r="A889" s="1">
        <v>45139</v>
      </c>
      <c r="B889" t="s">
        <v>10</v>
      </c>
      <c r="C889" s="9" t="str">
        <f>IFERROR(INDEX(자료실범례[],MATCH($B889,자료실범례[소장처명],0),2),"종합자료실")</f>
        <v>어린이자료실</v>
      </c>
      <c r="D889" t="s">
        <v>25</v>
      </c>
      <c r="E889">
        <v>0</v>
      </c>
      <c r="F889">
        <v>0</v>
      </c>
      <c r="G889">
        <v>0</v>
      </c>
      <c r="H889">
        <v>2</v>
      </c>
      <c r="I889">
        <v>3</v>
      </c>
      <c r="J889">
        <v>1</v>
      </c>
      <c r="K889">
        <v>0</v>
      </c>
      <c r="L889">
        <v>1</v>
      </c>
      <c r="M889">
        <v>13</v>
      </c>
      <c r="N889">
        <v>0</v>
      </c>
      <c r="O889">
        <v>0</v>
      </c>
      <c r="P889">
        <v>20</v>
      </c>
    </row>
    <row r="890" spans="1:16" x14ac:dyDescent="0.3">
      <c r="A890" s="1">
        <v>45139</v>
      </c>
      <c r="B890" t="s">
        <v>10</v>
      </c>
      <c r="C890" s="9" t="str">
        <f>IFERROR(INDEX(자료실범례[],MATCH($B890,자료실범례[소장처명],0),2),"종합자료실")</f>
        <v>어린이자료실</v>
      </c>
      <c r="D890" t="s">
        <v>31</v>
      </c>
      <c r="E890">
        <v>0</v>
      </c>
      <c r="F890">
        <v>0</v>
      </c>
      <c r="G890">
        <v>0</v>
      </c>
      <c r="H890">
        <v>0</v>
      </c>
      <c r="I890">
        <v>1</v>
      </c>
      <c r="J890">
        <v>1</v>
      </c>
      <c r="K890">
        <v>0</v>
      </c>
      <c r="L890">
        <v>0</v>
      </c>
      <c r="M890">
        <v>2</v>
      </c>
      <c r="N890">
        <v>0</v>
      </c>
      <c r="O890">
        <v>0</v>
      </c>
      <c r="P890">
        <v>4</v>
      </c>
    </row>
    <row r="891" spans="1:16" x14ac:dyDescent="0.3">
      <c r="A891" s="1">
        <v>45139</v>
      </c>
      <c r="B891" t="s">
        <v>11</v>
      </c>
      <c r="C891" s="9" t="str">
        <f>IFERROR(INDEX(자료실범례[],MATCH($B891,자료실범례[소장처명],0),2),"종합자료실")</f>
        <v>어린이자료실</v>
      </c>
      <c r="D891" t="s">
        <v>28</v>
      </c>
      <c r="E891">
        <v>0</v>
      </c>
      <c r="F891">
        <v>1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11</v>
      </c>
      <c r="N891">
        <v>1</v>
      </c>
      <c r="O891">
        <v>0</v>
      </c>
      <c r="P891">
        <v>13</v>
      </c>
    </row>
    <row r="892" spans="1:16" x14ac:dyDescent="0.3">
      <c r="A892" s="1">
        <v>45139</v>
      </c>
      <c r="B892" t="s">
        <v>11</v>
      </c>
      <c r="C892" s="9" t="str">
        <f>IFERROR(INDEX(자료실범례[],MATCH($B892,자료실범례[소장처명],0),2),"종합자료실")</f>
        <v>어린이자료실</v>
      </c>
      <c r="D892" t="s">
        <v>25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6</v>
      </c>
      <c r="N892">
        <v>1</v>
      </c>
      <c r="O892">
        <v>0</v>
      </c>
      <c r="P892">
        <v>7</v>
      </c>
    </row>
    <row r="893" spans="1:16" x14ac:dyDescent="0.3">
      <c r="A893" s="1">
        <v>45139</v>
      </c>
      <c r="B893" t="s">
        <v>12</v>
      </c>
      <c r="C893" s="9" t="str">
        <f>IFERROR(INDEX(자료실범례[],MATCH($B893,자료실범례[소장처명],0),2),"종합자료실")</f>
        <v>어린이자료실</v>
      </c>
      <c r="D893" t="s">
        <v>28</v>
      </c>
      <c r="E893">
        <v>0</v>
      </c>
      <c r="F893">
        <v>1</v>
      </c>
      <c r="G893">
        <v>0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2</v>
      </c>
      <c r="N893">
        <v>0</v>
      </c>
      <c r="O893">
        <v>0</v>
      </c>
      <c r="P893">
        <v>4</v>
      </c>
    </row>
    <row r="894" spans="1:16" x14ac:dyDescent="0.3">
      <c r="A894" s="1">
        <v>45139</v>
      </c>
      <c r="B894" t="s">
        <v>12</v>
      </c>
      <c r="C894" s="9" t="str">
        <f>IFERROR(INDEX(자료실범례[],MATCH($B894,자료실범례[소장처명],0),2),"종합자료실")</f>
        <v>어린이자료실</v>
      </c>
      <c r="D894" t="s">
        <v>25</v>
      </c>
      <c r="E894">
        <v>0</v>
      </c>
      <c r="F894">
        <v>1</v>
      </c>
      <c r="G894">
        <v>0</v>
      </c>
      <c r="H894">
        <v>1</v>
      </c>
      <c r="I894">
        <v>0</v>
      </c>
      <c r="J894">
        <v>0</v>
      </c>
      <c r="K894">
        <v>0</v>
      </c>
      <c r="L894">
        <v>1</v>
      </c>
      <c r="M894">
        <v>1</v>
      </c>
      <c r="N894">
        <v>0</v>
      </c>
      <c r="O894">
        <v>0</v>
      </c>
      <c r="P894">
        <v>4</v>
      </c>
    </row>
    <row r="895" spans="1:16" x14ac:dyDescent="0.3">
      <c r="A895" s="1">
        <v>45139</v>
      </c>
      <c r="B895" t="s">
        <v>0</v>
      </c>
      <c r="C895" s="9" t="str">
        <f>IFERROR(INDEX(자료실범례[],MATCH($B895,자료실범례[소장처명],0),2),"종합자료실")</f>
        <v>어린이자료실</v>
      </c>
      <c r="D895" t="s">
        <v>28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5</v>
      </c>
      <c r="M895">
        <v>6</v>
      </c>
      <c r="N895">
        <v>0</v>
      </c>
      <c r="O895">
        <v>0</v>
      </c>
      <c r="P895">
        <v>11</v>
      </c>
    </row>
    <row r="896" spans="1:16" x14ac:dyDescent="0.3">
      <c r="A896" s="1">
        <v>45139</v>
      </c>
      <c r="B896" t="s">
        <v>0</v>
      </c>
      <c r="C896" s="9" t="str">
        <f>IFERROR(INDEX(자료실범례[],MATCH($B896,자료실범례[소장처명],0),2),"종합자료실")</f>
        <v>어린이자료실</v>
      </c>
      <c r="D896" t="s">
        <v>25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</v>
      </c>
      <c r="K896">
        <v>0</v>
      </c>
      <c r="L896">
        <v>3</v>
      </c>
      <c r="M896">
        <v>13</v>
      </c>
      <c r="N896">
        <v>0</v>
      </c>
      <c r="O896">
        <v>0</v>
      </c>
      <c r="P896">
        <v>17</v>
      </c>
    </row>
    <row r="897" spans="1:16" x14ac:dyDescent="0.3">
      <c r="A897" s="1">
        <v>45139</v>
      </c>
      <c r="B897" t="s">
        <v>1</v>
      </c>
      <c r="C897" s="9" t="str">
        <f>IFERROR(INDEX(자료실범례[],MATCH($B897,자료실범례[소장처명],0),2),"종합자료실")</f>
        <v>어린이자료실</v>
      </c>
      <c r="D897" t="s">
        <v>28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1</v>
      </c>
      <c r="L897">
        <v>40</v>
      </c>
      <c r="M897">
        <v>12</v>
      </c>
      <c r="N897">
        <v>0</v>
      </c>
      <c r="O897">
        <v>0</v>
      </c>
      <c r="P897">
        <v>53</v>
      </c>
    </row>
    <row r="898" spans="1:16" x14ac:dyDescent="0.3">
      <c r="A898" s="1">
        <v>45139</v>
      </c>
      <c r="B898" t="s">
        <v>1</v>
      </c>
      <c r="C898" s="9" t="str">
        <f>IFERROR(INDEX(자료실범례[],MATCH($B898,자료실범례[소장처명],0),2),"종합자료실")</f>
        <v>어린이자료실</v>
      </c>
      <c r="D898" t="s">
        <v>25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45</v>
      </c>
      <c r="M898">
        <v>7</v>
      </c>
      <c r="N898">
        <v>0</v>
      </c>
      <c r="O898">
        <v>0</v>
      </c>
      <c r="P898">
        <v>52</v>
      </c>
    </row>
    <row r="899" spans="1:16" x14ac:dyDescent="0.3">
      <c r="A899" s="1">
        <v>45139</v>
      </c>
      <c r="B899" t="s">
        <v>1</v>
      </c>
      <c r="C899" s="9" t="str">
        <f>IFERROR(INDEX(자료실범례[],MATCH($B899,자료실범례[소장처명],0),2),"종합자료실")</f>
        <v>어린이자료실</v>
      </c>
      <c r="D899" t="s">
        <v>31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0</v>
      </c>
      <c r="P899">
        <v>1</v>
      </c>
    </row>
    <row r="900" spans="1:16" x14ac:dyDescent="0.3">
      <c r="A900" s="1">
        <v>45139</v>
      </c>
      <c r="B900" t="s">
        <v>6</v>
      </c>
      <c r="C900" s="9" t="str">
        <f>IFERROR(INDEX(자료실범례[],MATCH($B900,자료실범례[소장처명],0),2),"종합자료실")</f>
        <v>종합자료실</v>
      </c>
      <c r="D900" t="s">
        <v>28</v>
      </c>
      <c r="E900">
        <v>4</v>
      </c>
      <c r="F900">
        <v>2</v>
      </c>
      <c r="G900">
        <v>2</v>
      </c>
      <c r="H900">
        <v>1</v>
      </c>
      <c r="I900">
        <v>4</v>
      </c>
      <c r="J900">
        <v>5</v>
      </c>
      <c r="K900">
        <v>3</v>
      </c>
      <c r="L900">
        <v>0</v>
      </c>
      <c r="M900">
        <v>18</v>
      </c>
      <c r="N900">
        <v>10</v>
      </c>
      <c r="O900">
        <v>0</v>
      </c>
      <c r="P900">
        <v>49</v>
      </c>
    </row>
    <row r="901" spans="1:16" x14ac:dyDescent="0.3">
      <c r="A901" s="1">
        <v>45139</v>
      </c>
      <c r="B901" t="s">
        <v>6</v>
      </c>
      <c r="C901" s="9" t="str">
        <f>IFERROR(INDEX(자료실범례[],MATCH($B901,자료실범례[소장처명],0),2),"종합자료실")</f>
        <v>종합자료실</v>
      </c>
      <c r="D901" t="s">
        <v>25</v>
      </c>
      <c r="E901">
        <v>3</v>
      </c>
      <c r="F901">
        <v>4</v>
      </c>
      <c r="G901">
        <v>1</v>
      </c>
      <c r="H901">
        <v>0</v>
      </c>
      <c r="I901">
        <v>4</v>
      </c>
      <c r="J901">
        <v>2</v>
      </c>
      <c r="K901">
        <v>0</v>
      </c>
      <c r="L901">
        <v>0</v>
      </c>
      <c r="M901">
        <v>15</v>
      </c>
      <c r="N901">
        <v>5</v>
      </c>
      <c r="O901">
        <v>0</v>
      </c>
      <c r="P901">
        <v>34</v>
      </c>
    </row>
    <row r="902" spans="1:16" x14ac:dyDescent="0.3">
      <c r="A902" s="1">
        <v>45139</v>
      </c>
      <c r="B902" t="s">
        <v>6</v>
      </c>
      <c r="C902" s="9" t="str">
        <f>IFERROR(INDEX(자료실범례[],MATCH($B902,자료실범례[소장처명],0),2),"종합자료실")</f>
        <v>종합자료실</v>
      </c>
      <c r="D902" t="s">
        <v>31</v>
      </c>
      <c r="E902">
        <v>2</v>
      </c>
      <c r="F902">
        <v>1</v>
      </c>
      <c r="G902">
        <v>1</v>
      </c>
      <c r="H902">
        <v>0</v>
      </c>
      <c r="I902">
        <v>2</v>
      </c>
      <c r="J902">
        <v>1</v>
      </c>
      <c r="K902">
        <v>3</v>
      </c>
      <c r="L902">
        <v>0</v>
      </c>
      <c r="M902">
        <v>2</v>
      </c>
      <c r="N902">
        <v>1</v>
      </c>
      <c r="O902">
        <v>0</v>
      </c>
      <c r="P902">
        <v>13</v>
      </c>
    </row>
    <row r="903" spans="1:16" x14ac:dyDescent="0.3">
      <c r="A903" s="1">
        <v>45139</v>
      </c>
      <c r="B903" t="s">
        <v>18</v>
      </c>
      <c r="C903" s="9" t="str">
        <f>IFERROR(INDEX(자료실범례[],MATCH($B903,자료실범례[소장처명],0),2),"종합자료실")</f>
        <v>종합자료실</v>
      </c>
      <c r="D903" t="s">
        <v>28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2</v>
      </c>
      <c r="P903">
        <v>2</v>
      </c>
    </row>
    <row r="904" spans="1:16" x14ac:dyDescent="0.3">
      <c r="A904" s="1">
        <v>45139</v>
      </c>
      <c r="B904" t="s">
        <v>18</v>
      </c>
      <c r="C904" s="9" t="str">
        <f>IFERROR(INDEX(자료실범례[],MATCH($B904,자료실범례[소장처명],0),2),"종합자료실")</f>
        <v>종합자료실</v>
      </c>
      <c r="D904" t="s">
        <v>25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6</v>
      </c>
      <c r="P904">
        <v>6</v>
      </c>
    </row>
    <row r="905" spans="1:16" x14ac:dyDescent="0.3">
      <c r="A905" s="1">
        <v>45139</v>
      </c>
      <c r="B905" t="s">
        <v>18</v>
      </c>
      <c r="C905" s="9" t="str">
        <f>IFERROR(INDEX(자료실범례[],MATCH($B905,자료실범례[소장처명],0),2),"종합자료실")</f>
        <v>종합자료실</v>
      </c>
      <c r="D905" t="s">
        <v>31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3</v>
      </c>
      <c r="P905">
        <v>3</v>
      </c>
    </row>
    <row r="906" spans="1:16" x14ac:dyDescent="0.3">
      <c r="A906" s="1">
        <v>45139</v>
      </c>
      <c r="B906" t="s">
        <v>17</v>
      </c>
      <c r="C906" s="9" t="str">
        <f>IFERROR(INDEX(자료실범례[],MATCH($B906,자료실범례[소장처명],0),2),"종합자료실")</f>
        <v>어린이자료실</v>
      </c>
      <c r="D906" t="s">
        <v>28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5</v>
      </c>
      <c r="P906">
        <v>5</v>
      </c>
    </row>
    <row r="907" spans="1:16" x14ac:dyDescent="0.3">
      <c r="A907" s="1">
        <v>45139</v>
      </c>
      <c r="B907" t="s">
        <v>17</v>
      </c>
      <c r="C907" s="9" t="str">
        <f>IFERROR(INDEX(자료실범례[],MATCH($B907,자료실범례[소장처명],0),2),"종합자료실")</f>
        <v>어린이자료실</v>
      </c>
      <c r="D907" t="s">
        <v>25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6</v>
      </c>
      <c r="P907">
        <v>6</v>
      </c>
    </row>
    <row r="908" spans="1:16" x14ac:dyDescent="0.3">
      <c r="A908" s="1">
        <v>45139</v>
      </c>
      <c r="B908" t="s">
        <v>17</v>
      </c>
      <c r="C908" s="9" t="str">
        <f>IFERROR(INDEX(자료실범례[],MATCH($B908,자료실범례[소장처명],0),2),"종합자료실")</f>
        <v>어린이자료실</v>
      </c>
      <c r="D908" t="s">
        <v>31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1</v>
      </c>
    </row>
    <row r="909" spans="1:16" x14ac:dyDescent="0.3">
      <c r="A909" s="1">
        <v>45505</v>
      </c>
      <c r="B909" t="s">
        <v>21</v>
      </c>
      <c r="C909" s="9" t="str">
        <f>IFERROR(INDEX(자료실범례[],MATCH($B909,자료실범례[소장처명],0),2),"종합자료실")</f>
        <v>종합자료실</v>
      </c>
      <c r="D909" t="s">
        <v>28</v>
      </c>
      <c r="E909">
        <v>74</v>
      </c>
      <c r="F909">
        <v>151</v>
      </c>
      <c r="G909">
        <v>33</v>
      </c>
      <c r="H909">
        <v>240</v>
      </c>
      <c r="I909">
        <v>82</v>
      </c>
      <c r="J909">
        <v>133</v>
      </c>
      <c r="K909">
        <v>56</v>
      </c>
      <c r="L909">
        <v>14</v>
      </c>
      <c r="M909">
        <v>776</v>
      </c>
      <c r="N909">
        <v>53</v>
      </c>
      <c r="O909">
        <v>0</v>
      </c>
      <c r="P909">
        <v>1612</v>
      </c>
    </row>
    <row r="910" spans="1:16" x14ac:dyDescent="0.3">
      <c r="A910" s="1">
        <v>45505</v>
      </c>
      <c r="B910" t="s">
        <v>21</v>
      </c>
      <c r="C910" s="9" t="str">
        <f>IFERROR(INDEX(자료실범례[],MATCH($B910,자료실범례[소장처명],0),2),"종합자료실")</f>
        <v>종합자료실</v>
      </c>
      <c r="D910" t="s">
        <v>25</v>
      </c>
      <c r="E910">
        <v>70</v>
      </c>
      <c r="F910">
        <v>144</v>
      </c>
      <c r="G910">
        <v>36</v>
      </c>
      <c r="H910">
        <v>239</v>
      </c>
      <c r="I910">
        <v>72</v>
      </c>
      <c r="J910">
        <v>130</v>
      </c>
      <c r="K910">
        <v>65</v>
      </c>
      <c r="L910">
        <v>31</v>
      </c>
      <c r="M910">
        <v>774</v>
      </c>
      <c r="N910">
        <v>56</v>
      </c>
      <c r="O910">
        <v>0</v>
      </c>
      <c r="P910">
        <v>1617</v>
      </c>
    </row>
    <row r="911" spans="1:16" x14ac:dyDescent="0.3">
      <c r="A911" s="1">
        <v>45505</v>
      </c>
      <c r="B911" t="s">
        <v>21</v>
      </c>
      <c r="C911" s="9" t="str">
        <f>IFERROR(INDEX(자료실범례[],MATCH($B911,자료실범례[소장처명],0),2),"종합자료실")</f>
        <v>종합자료실</v>
      </c>
      <c r="D911" t="s">
        <v>31</v>
      </c>
      <c r="E911">
        <v>8</v>
      </c>
      <c r="F911">
        <v>47</v>
      </c>
      <c r="G911">
        <v>5</v>
      </c>
      <c r="H911">
        <v>116</v>
      </c>
      <c r="I911">
        <v>18</v>
      </c>
      <c r="J911">
        <v>42</v>
      </c>
      <c r="K911">
        <v>18</v>
      </c>
      <c r="L911">
        <v>6</v>
      </c>
      <c r="M911">
        <v>210</v>
      </c>
      <c r="N911">
        <v>16</v>
      </c>
      <c r="O911">
        <v>0</v>
      </c>
      <c r="P911">
        <v>486</v>
      </c>
    </row>
    <row r="912" spans="1:16" x14ac:dyDescent="0.3">
      <c r="A912" s="1">
        <v>45505</v>
      </c>
      <c r="B912" t="s">
        <v>16</v>
      </c>
      <c r="C912" s="9" t="str">
        <f>IFERROR(INDEX(자료실범례[],MATCH($B912,자료실범례[소장처명],0),2),"종합자료실")</f>
        <v>어린이자료실</v>
      </c>
      <c r="D912" t="s">
        <v>28</v>
      </c>
      <c r="E912">
        <v>39</v>
      </c>
      <c r="F912">
        <v>26</v>
      </c>
      <c r="G912">
        <v>60</v>
      </c>
      <c r="H912">
        <v>136</v>
      </c>
      <c r="I912">
        <v>178</v>
      </c>
      <c r="J912">
        <v>44</v>
      </c>
      <c r="K912">
        <v>53</v>
      </c>
      <c r="L912">
        <v>32</v>
      </c>
      <c r="M912">
        <v>1040</v>
      </c>
      <c r="N912">
        <v>161</v>
      </c>
      <c r="O912">
        <v>0</v>
      </c>
      <c r="P912">
        <v>1769</v>
      </c>
    </row>
    <row r="913" spans="1:16" x14ac:dyDescent="0.3">
      <c r="A913" s="1">
        <v>45505</v>
      </c>
      <c r="B913" t="s">
        <v>16</v>
      </c>
      <c r="C913" s="9" t="str">
        <f>IFERROR(INDEX(자료실범례[],MATCH($B913,자료실범례[소장처명],0),2),"종합자료실")</f>
        <v>어린이자료실</v>
      </c>
      <c r="D913" t="s">
        <v>25</v>
      </c>
      <c r="E913">
        <v>36</v>
      </c>
      <c r="F913">
        <v>28</v>
      </c>
      <c r="G913">
        <v>56</v>
      </c>
      <c r="H913">
        <v>128</v>
      </c>
      <c r="I913">
        <v>234</v>
      </c>
      <c r="J913">
        <v>36</v>
      </c>
      <c r="K913">
        <v>54</v>
      </c>
      <c r="L913">
        <v>31</v>
      </c>
      <c r="M913">
        <v>1081</v>
      </c>
      <c r="N913">
        <v>133</v>
      </c>
      <c r="O913">
        <v>1</v>
      </c>
      <c r="P913">
        <v>1818</v>
      </c>
    </row>
    <row r="914" spans="1:16" x14ac:dyDescent="0.3">
      <c r="A914" s="1">
        <v>45505</v>
      </c>
      <c r="B914" t="s">
        <v>16</v>
      </c>
      <c r="C914" s="9" t="str">
        <f>IFERROR(INDEX(자료실범례[],MATCH($B914,자료실범례[소장처명],0),2),"종합자료실")</f>
        <v>어린이자료실</v>
      </c>
      <c r="D914" t="s">
        <v>31</v>
      </c>
      <c r="E914">
        <v>1</v>
      </c>
      <c r="F914">
        <v>5</v>
      </c>
      <c r="G914">
        <v>1</v>
      </c>
      <c r="H914">
        <v>8</v>
      </c>
      <c r="I914">
        <v>45</v>
      </c>
      <c r="J914">
        <v>5</v>
      </c>
      <c r="K914">
        <v>2</v>
      </c>
      <c r="L914">
        <v>4</v>
      </c>
      <c r="M914">
        <v>126</v>
      </c>
      <c r="N914">
        <v>56</v>
      </c>
      <c r="O914">
        <v>0</v>
      </c>
      <c r="P914">
        <v>253</v>
      </c>
    </row>
    <row r="915" spans="1:16" x14ac:dyDescent="0.3">
      <c r="A915" s="1">
        <v>45505</v>
      </c>
      <c r="B915" t="s">
        <v>2</v>
      </c>
      <c r="C915" s="9" t="str">
        <f>IFERROR(INDEX(자료실범례[],MATCH($B915,자료실범례[소장처명],0),2),"종합자료실")</f>
        <v>디지털자료실</v>
      </c>
      <c r="D915" t="s">
        <v>28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57</v>
      </c>
      <c r="L915">
        <v>0</v>
      </c>
      <c r="M915">
        <v>0</v>
      </c>
      <c r="N915">
        <v>0</v>
      </c>
      <c r="O915">
        <v>0</v>
      </c>
      <c r="P915">
        <v>57</v>
      </c>
    </row>
    <row r="916" spans="1:16" x14ac:dyDescent="0.3">
      <c r="A916" s="1">
        <v>45505</v>
      </c>
      <c r="B916" t="s">
        <v>2</v>
      </c>
      <c r="C916" s="9" t="str">
        <f>IFERROR(INDEX(자료실범례[],MATCH($B916,자료실범례[소장처명],0),2),"종합자료실")</f>
        <v>디지털자료실</v>
      </c>
      <c r="D916" t="s">
        <v>25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63</v>
      </c>
      <c r="L916">
        <v>0</v>
      </c>
      <c r="M916">
        <v>0</v>
      </c>
      <c r="N916">
        <v>0</v>
      </c>
      <c r="O916">
        <v>0</v>
      </c>
      <c r="P916">
        <v>63</v>
      </c>
    </row>
    <row r="917" spans="1:16" x14ac:dyDescent="0.3">
      <c r="A917" s="1">
        <v>45505</v>
      </c>
      <c r="B917" t="s">
        <v>19</v>
      </c>
      <c r="C917" s="9" t="str">
        <f>IFERROR(INDEX(자료실범례[],MATCH($B917,자료실범례[소장처명],0),2),"종합자료실")</f>
        <v>종합자료실</v>
      </c>
      <c r="D917" t="s">
        <v>28</v>
      </c>
      <c r="E917">
        <v>17</v>
      </c>
      <c r="F917">
        <v>81</v>
      </c>
      <c r="G917">
        <v>13</v>
      </c>
      <c r="H917">
        <v>120</v>
      </c>
      <c r="I917">
        <v>27</v>
      </c>
      <c r="J917">
        <v>55</v>
      </c>
      <c r="K917">
        <v>29</v>
      </c>
      <c r="L917">
        <v>23</v>
      </c>
      <c r="M917">
        <v>215</v>
      </c>
      <c r="N917">
        <v>20</v>
      </c>
      <c r="O917">
        <v>0</v>
      </c>
      <c r="P917">
        <v>600</v>
      </c>
    </row>
    <row r="918" spans="1:16" x14ac:dyDescent="0.3">
      <c r="A918" s="1">
        <v>45505</v>
      </c>
      <c r="B918" t="s">
        <v>19</v>
      </c>
      <c r="C918" s="9" t="str">
        <f>IFERROR(INDEX(자료실범례[],MATCH($B918,자료실범례[소장처명],0),2),"종합자료실")</f>
        <v>종합자료실</v>
      </c>
      <c r="D918" t="s">
        <v>25</v>
      </c>
      <c r="E918">
        <v>18</v>
      </c>
      <c r="F918">
        <v>83</v>
      </c>
      <c r="G918">
        <v>14</v>
      </c>
      <c r="H918">
        <v>119</v>
      </c>
      <c r="I918">
        <v>24</v>
      </c>
      <c r="J918">
        <v>43</v>
      </c>
      <c r="K918">
        <v>36</v>
      </c>
      <c r="L918">
        <v>23</v>
      </c>
      <c r="M918">
        <v>225</v>
      </c>
      <c r="N918">
        <v>23</v>
      </c>
      <c r="O918">
        <v>0</v>
      </c>
      <c r="P918">
        <v>608</v>
      </c>
    </row>
    <row r="919" spans="1:16" x14ac:dyDescent="0.3">
      <c r="A919" s="1">
        <v>45505</v>
      </c>
      <c r="B919" t="s">
        <v>19</v>
      </c>
      <c r="C919" s="9" t="str">
        <f>IFERROR(INDEX(자료실범례[],MATCH($B919,자료실범례[소장처명],0),2),"종합자료실")</f>
        <v>종합자료실</v>
      </c>
      <c r="D919" t="s">
        <v>31</v>
      </c>
      <c r="E919">
        <v>5</v>
      </c>
      <c r="F919">
        <v>29</v>
      </c>
      <c r="G919">
        <v>5</v>
      </c>
      <c r="H919">
        <v>38</v>
      </c>
      <c r="I919">
        <v>11</v>
      </c>
      <c r="J919">
        <v>18</v>
      </c>
      <c r="K919">
        <v>15</v>
      </c>
      <c r="L919">
        <v>10</v>
      </c>
      <c r="M919">
        <v>64</v>
      </c>
      <c r="N919">
        <v>11</v>
      </c>
      <c r="O919">
        <v>0</v>
      </c>
      <c r="P919">
        <v>206</v>
      </c>
    </row>
    <row r="920" spans="1:16" x14ac:dyDescent="0.3">
      <c r="A920" s="1">
        <v>45505</v>
      </c>
      <c r="B920" t="s">
        <v>14</v>
      </c>
      <c r="C920" s="9" t="str">
        <f>IFERROR(INDEX(자료실범례[],MATCH($B920,자료실범례[소장처명],0),2),"종합자료실")</f>
        <v>어린이자료실</v>
      </c>
      <c r="D920" t="s">
        <v>28</v>
      </c>
      <c r="E920">
        <v>2</v>
      </c>
      <c r="F920">
        <v>17</v>
      </c>
      <c r="G920">
        <v>6</v>
      </c>
      <c r="H920">
        <v>27</v>
      </c>
      <c r="I920">
        <v>41</v>
      </c>
      <c r="J920">
        <v>13</v>
      </c>
      <c r="K920">
        <v>4</v>
      </c>
      <c r="L920">
        <v>6</v>
      </c>
      <c r="M920">
        <v>283</v>
      </c>
      <c r="N920">
        <v>28</v>
      </c>
      <c r="O920">
        <v>0</v>
      </c>
      <c r="P920">
        <v>427</v>
      </c>
    </row>
    <row r="921" spans="1:16" x14ac:dyDescent="0.3">
      <c r="A921" s="1">
        <v>45505</v>
      </c>
      <c r="B921" t="s">
        <v>14</v>
      </c>
      <c r="C921" s="9" t="str">
        <f>IFERROR(INDEX(자료실범례[],MATCH($B921,자료실범례[소장처명],0),2),"종합자료실")</f>
        <v>어린이자료실</v>
      </c>
      <c r="D921" t="s">
        <v>25</v>
      </c>
      <c r="E921">
        <v>3</v>
      </c>
      <c r="F921">
        <v>13</v>
      </c>
      <c r="G921">
        <v>6</v>
      </c>
      <c r="H921">
        <v>38</v>
      </c>
      <c r="I921">
        <v>40</v>
      </c>
      <c r="J921">
        <v>15</v>
      </c>
      <c r="K921">
        <v>4</v>
      </c>
      <c r="L921">
        <v>8</v>
      </c>
      <c r="M921">
        <v>261</v>
      </c>
      <c r="N921">
        <v>25</v>
      </c>
      <c r="O921">
        <v>0</v>
      </c>
      <c r="P921">
        <v>413</v>
      </c>
    </row>
    <row r="922" spans="1:16" x14ac:dyDescent="0.3">
      <c r="A922" s="1">
        <v>45505</v>
      </c>
      <c r="B922" t="s">
        <v>14</v>
      </c>
      <c r="C922" s="9" t="str">
        <f>IFERROR(INDEX(자료실범례[],MATCH($B922,자료실범례[소장처명],0),2),"종합자료실")</f>
        <v>어린이자료실</v>
      </c>
      <c r="D922" t="s">
        <v>31</v>
      </c>
      <c r="E922">
        <v>1</v>
      </c>
      <c r="F922">
        <v>3</v>
      </c>
      <c r="G922">
        <v>2</v>
      </c>
      <c r="H922">
        <v>7</v>
      </c>
      <c r="I922">
        <v>9</v>
      </c>
      <c r="J922">
        <v>3</v>
      </c>
      <c r="K922">
        <v>1</v>
      </c>
      <c r="L922">
        <v>2</v>
      </c>
      <c r="M922">
        <v>64</v>
      </c>
      <c r="N922">
        <v>6</v>
      </c>
      <c r="O922">
        <v>0</v>
      </c>
      <c r="P922">
        <v>98</v>
      </c>
    </row>
    <row r="923" spans="1:16" x14ac:dyDescent="0.3">
      <c r="A923" s="1">
        <v>45505</v>
      </c>
      <c r="B923" t="s">
        <v>197</v>
      </c>
      <c r="C923" s="9" t="str">
        <f>IFERROR(INDEX(자료실범례[],MATCH($B923,자료실범례[소장처명],0),2),"종합자료실")</f>
        <v>종합자료실</v>
      </c>
      <c r="D923" t="s">
        <v>28</v>
      </c>
      <c r="E923">
        <v>0</v>
      </c>
      <c r="F923">
        <v>2</v>
      </c>
      <c r="G923">
        <v>0</v>
      </c>
      <c r="H923">
        <v>4</v>
      </c>
      <c r="I923">
        <v>3</v>
      </c>
      <c r="J923">
        <v>3</v>
      </c>
      <c r="K923">
        <v>0</v>
      </c>
      <c r="L923">
        <v>0</v>
      </c>
      <c r="M923">
        <v>18</v>
      </c>
      <c r="N923">
        <v>2</v>
      </c>
      <c r="O923">
        <v>0</v>
      </c>
      <c r="P923">
        <v>32</v>
      </c>
    </row>
    <row r="924" spans="1:16" x14ac:dyDescent="0.3">
      <c r="A924" s="1">
        <v>45505</v>
      </c>
      <c r="B924" t="s">
        <v>197</v>
      </c>
      <c r="C924" s="9" t="str">
        <f>IFERROR(INDEX(자료실범례[],MATCH($B924,자료실범례[소장처명],0),2),"종합자료실")</f>
        <v>종합자료실</v>
      </c>
      <c r="D924" t="s">
        <v>25</v>
      </c>
      <c r="E924">
        <v>0</v>
      </c>
      <c r="F924">
        <v>2</v>
      </c>
      <c r="G924">
        <v>0</v>
      </c>
      <c r="H924">
        <v>6</v>
      </c>
      <c r="I924">
        <v>3</v>
      </c>
      <c r="J924">
        <v>4</v>
      </c>
      <c r="K924">
        <v>0</v>
      </c>
      <c r="L924">
        <v>0</v>
      </c>
      <c r="M924">
        <v>19</v>
      </c>
      <c r="N924">
        <v>1</v>
      </c>
      <c r="O924">
        <v>0</v>
      </c>
      <c r="P924">
        <v>35</v>
      </c>
    </row>
    <row r="925" spans="1:16" x14ac:dyDescent="0.3">
      <c r="A925" s="1">
        <v>45505</v>
      </c>
      <c r="B925" t="s">
        <v>197</v>
      </c>
      <c r="C925" s="9" t="str">
        <f>IFERROR(INDEX(자료실범례[],MATCH($B925,자료실범례[소장처명],0),2),"종합자료실")</f>
        <v>종합자료실</v>
      </c>
      <c r="D925" t="s">
        <v>31</v>
      </c>
      <c r="E925">
        <v>0</v>
      </c>
      <c r="F925">
        <v>1</v>
      </c>
      <c r="G925">
        <v>0</v>
      </c>
      <c r="H925">
        <v>1</v>
      </c>
      <c r="I925">
        <v>3</v>
      </c>
      <c r="J925">
        <v>1</v>
      </c>
      <c r="K925">
        <v>0</v>
      </c>
      <c r="L925">
        <v>0</v>
      </c>
      <c r="M925">
        <v>4</v>
      </c>
      <c r="N925">
        <v>0</v>
      </c>
      <c r="O925">
        <v>0</v>
      </c>
      <c r="P925">
        <v>10</v>
      </c>
    </row>
    <row r="926" spans="1:16" x14ac:dyDescent="0.3">
      <c r="A926" s="1">
        <v>45505</v>
      </c>
      <c r="B926" t="s">
        <v>198</v>
      </c>
      <c r="C926" s="9" t="str">
        <f>IFERROR(INDEX(자료실범례[],MATCH($B926,자료실범례[소장처명],0),2),"종합자료실")</f>
        <v>어린이자료실</v>
      </c>
      <c r="D926" t="s">
        <v>28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7</v>
      </c>
      <c r="K926">
        <v>5</v>
      </c>
      <c r="L926">
        <v>0</v>
      </c>
      <c r="M926">
        <v>36</v>
      </c>
      <c r="N926">
        <v>3</v>
      </c>
      <c r="O926">
        <v>0</v>
      </c>
      <c r="P926">
        <v>52</v>
      </c>
    </row>
    <row r="927" spans="1:16" x14ac:dyDescent="0.3">
      <c r="A927" s="1">
        <v>45505</v>
      </c>
      <c r="B927" t="s">
        <v>198</v>
      </c>
      <c r="C927" s="9" t="str">
        <f>IFERROR(INDEX(자료실범례[],MATCH($B927,자료실범례[소장처명],0),2),"종합자료실")</f>
        <v>어린이자료실</v>
      </c>
      <c r="D927" t="s">
        <v>25</v>
      </c>
      <c r="E927">
        <v>0</v>
      </c>
      <c r="F927">
        <v>0</v>
      </c>
      <c r="G927">
        <v>0</v>
      </c>
      <c r="H927">
        <v>1</v>
      </c>
      <c r="I927">
        <v>0</v>
      </c>
      <c r="J927">
        <v>8</v>
      </c>
      <c r="K927">
        <v>5</v>
      </c>
      <c r="L927">
        <v>0</v>
      </c>
      <c r="M927">
        <v>40</v>
      </c>
      <c r="N927">
        <v>5</v>
      </c>
      <c r="O927">
        <v>0</v>
      </c>
      <c r="P927">
        <v>59</v>
      </c>
    </row>
    <row r="928" spans="1:16" x14ac:dyDescent="0.3">
      <c r="A928" s="1">
        <v>45505</v>
      </c>
      <c r="B928" t="s">
        <v>198</v>
      </c>
      <c r="C928" s="9" t="str">
        <f>IFERROR(INDEX(자료실범례[],MATCH($B928,자료실범례[소장처명],0),2),"종합자료실")</f>
        <v>어린이자료실</v>
      </c>
      <c r="D928" t="s">
        <v>31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0</v>
      </c>
      <c r="L928">
        <v>0</v>
      </c>
      <c r="M928">
        <v>8</v>
      </c>
      <c r="N928">
        <v>0</v>
      </c>
      <c r="O928">
        <v>0</v>
      </c>
      <c r="P928">
        <v>9</v>
      </c>
    </row>
    <row r="929" spans="1:16" x14ac:dyDescent="0.3">
      <c r="A929" s="1">
        <v>45505</v>
      </c>
      <c r="B929" t="s">
        <v>13</v>
      </c>
      <c r="C929" s="9" t="str">
        <f>IFERROR(INDEX(자료실범례[],MATCH($B929,자료실범례[소장처명],0),2),"종합자료실")</f>
        <v>어린이자료실</v>
      </c>
      <c r="D929" t="s">
        <v>28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3</v>
      </c>
      <c r="N929">
        <v>0</v>
      </c>
      <c r="O929">
        <v>0</v>
      </c>
      <c r="P929">
        <v>3</v>
      </c>
    </row>
    <row r="930" spans="1:16" x14ac:dyDescent="0.3">
      <c r="A930" s="1">
        <v>45505</v>
      </c>
      <c r="B930" t="s">
        <v>13</v>
      </c>
      <c r="C930" s="9" t="str">
        <f>IFERROR(INDEX(자료실범례[],MATCH($B930,자료실범례[소장처명],0),2),"종합자료실")</f>
        <v>어린이자료실</v>
      </c>
      <c r="D930" t="s">
        <v>25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6</v>
      </c>
      <c r="N930">
        <v>0</v>
      </c>
      <c r="O930">
        <v>0</v>
      </c>
      <c r="P930">
        <v>6</v>
      </c>
    </row>
    <row r="931" spans="1:16" x14ac:dyDescent="0.3">
      <c r="A931" s="1">
        <v>45505</v>
      </c>
      <c r="B931" t="s">
        <v>15</v>
      </c>
      <c r="C931" s="9" t="str">
        <f>IFERROR(INDEX(자료실범례[],MATCH($B931,자료실범례[소장처명],0),2),"종합자료실")</f>
        <v>어린이자료실</v>
      </c>
      <c r="D931" t="s">
        <v>28</v>
      </c>
      <c r="E931">
        <v>0</v>
      </c>
      <c r="F931">
        <v>3</v>
      </c>
      <c r="G931">
        <v>18</v>
      </c>
      <c r="H931">
        <v>5</v>
      </c>
      <c r="I931">
        <v>153</v>
      </c>
      <c r="J931">
        <v>55</v>
      </c>
      <c r="K931">
        <v>0</v>
      </c>
      <c r="L931">
        <v>62</v>
      </c>
      <c r="M931">
        <v>26</v>
      </c>
      <c r="N931">
        <v>145</v>
      </c>
      <c r="O931">
        <v>0</v>
      </c>
      <c r="P931">
        <v>467</v>
      </c>
    </row>
    <row r="932" spans="1:16" x14ac:dyDescent="0.3">
      <c r="A932" s="1">
        <v>45505</v>
      </c>
      <c r="B932" t="s">
        <v>15</v>
      </c>
      <c r="C932" s="9" t="str">
        <f>IFERROR(INDEX(자료실범례[],MATCH($B932,자료실범례[소장처명],0),2),"종합자료실")</f>
        <v>어린이자료실</v>
      </c>
      <c r="D932" t="s">
        <v>25</v>
      </c>
      <c r="E932">
        <v>2</v>
      </c>
      <c r="F932">
        <v>0</v>
      </c>
      <c r="G932">
        <v>11</v>
      </c>
      <c r="H932">
        <v>6</v>
      </c>
      <c r="I932">
        <v>161</v>
      </c>
      <c r="J932">
        <v>35</v>
      </c>
      <c r="K932">
        <v>0</v>
      </c>
      <c r="L932">
        <v>54</v>
      </c>
      <c r="M932">
        <v>28</v>
      </c>
      <c r="N932">
        <v>150</v>
      </c>
      <c r="O932">
        <v>0</v>
      </c>
      <c r="P932">
        <v>447</v>
      </c>
    </row>
    <row r="933" spans="1:16" x14ac:dyDescent="0.3">
      <c r="A933" s="1">
        <v>45505</v>
      </c>
      <c r="B933" t="s">
        <v>15</v>
      </c>
      <c r="C933" s="9" t="str">
        <f>IFERROR(INDEX(자료실범례[],MATCH($B933,자료실범례[소장처명],0),2),"종합자료실")</f>
        <v>어린이자료실</v>
      </c>
      <c r="D933" t="s">
        <v>31</v>
      </c>
      <c r="E933">
        <v>0</v>
      </c>
      <c r="F933">
        <v>0</v>
      </c>
      <c r="G933">
        <v>0</v>
      </c>
      <c r="H933">
        <v>0</v>
      </c>
      <c r="I933">
        <v>23</v>
      </c>
      <c r="J933">
        <v>1</v>
      </c>
      <c r="K933">
        <v>0</v>
      </c>
      <c r="L933">
        <v>6</v>
      </c>
      <c r="M933">
        <v>10</v>
      </c>
      <c r="N933">
        <v>17</v>
      </c>
      <c r="O933">
        <v>0</v>
      </c>
      <c r="P933">
        <v>57</v>
      </c>
    </row>
    <row r="934" spans="1:16" x14ac:dyDescent="0.3">
      <c r="A934" s="1">
        <v>45505</v>
      </c>
      <c r="B934" t="s">
        <v>3</v>
      </c>
      <c r="C934" s="9" t="str">
        <f>IFERROR(INDEX(자료실범례[],MATCH($B934,자료실범례[소장처명],0),2),"종합자료실")</f>
        <v>디지털자료실</v>
      </c>
      <c r="D934" t="s">
        <v>28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1</v>
      </c>
    </row>
    <row r="935" spans="1:16" x14ac:dyDescent="0.3">
      <c r="A935" s="1">
        <v>45505</v>
      </c>
      <c r="B935" t="s">
        <v>4</v>
      </c>
      <c r="C935" s="9" t="str">
        <f>IFERROR(INDEX(자료실범례[],MATCH($B935,자료실범례[소장처명],0),2),"종합자료실")</f>
        <v>어린이자료실</v>
      </c>
      <c r="D935" t="s">
        <v>28</v>
      </c>
      <c r="E935">
        <v>0</v>
      </c>
      <c r="F935">
        <v>0</v>
      </c>
      <c r="G935">
        <v>0</v>
      </c>
      <c r="H935">
        <v>4</v>
      </c>
      <c r="I935">
        <v>0</v>
      </c>
      <c r="J935">
        <v>1</v>
      </c>
      <c r="K935">
        <v>0</v>
      </c>
      <c r="L935">
        <v>0</v>
      </c>
      <c r="M935">
        <v>8</v>
      </c>
      <c r="N935">
        <v>0</v>
      </c>
      <c r="O935">
        <v>0</v>
      </c>
      <c r="P935">
        <v>13</v>
      </c>
    </row>
    <row r="936" spans="1:16" x14ac:dyDescent="0.3">
      <c r="A936" s="1">
        <v>45505</v>
      </c>
      <c r="B936" t="s">
        <v>4</v>
      </c>
      <c r="C936" s="9" t="str">
        <f>IFERROR(INDEX(자료실범례[],MATCH($B936,자료실범례[소장처명],0),2),"종합자료실")</f>
        <v>어린이자료실</v>
      </c>
      <c r="D936" t="s">
        <v>25</v>
      </c>
      <c r="E936">
        <v>0</v>
      </c>
      <c r="F936">
        <v>0</v>
      </c>
      <c r="G936">
        <v>0</v>
      </c>
      <c r="H936">
        <v>3</v>
      </c>
      <c r="I936">
        <v>0</v>
      </c>
      <c r="J936">
        <v>0</v>
      </c>
      <c r="K936">
        <v>0</v>
      </c>
      <c r="L936">
        <v>1</v>
      </c>
      <c r="M936">
        <v>6</v>
      </c>
      <c r="N936">
        <v>0</v>
      </c>
      <c r="O936">
        <v>0</v>
      </c>
      <c r="P936">
        <v>10</v>
      </c>
    </row>
    <row r="937" spans="1:16" x14ac:dyDescent="0.3">
      <c r="A937" s="1">
        <v>45505</v>
      </c>
      <c r="B937" t="s">
        <v>4</v>
      </c>
      <c r="C937" s="9" t="str">
        <f>IFERROR(INDEX(자료실범례[],MATCH($B937,자료실범례[소장처명],0),2),"종합자료실")</f>
        <v>어린이자료실</v>
      </c>
      <c r="D937" t="s">
        <v>31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1</v>
      </c>
      <c r="N937">
        <v>0</v>
      </c>
      <c r="O937">
        <v>0</v>
      </c>
      <c r="P937">
        <v>2</v>
      </c>
    </row>
    <row r="938" spans="1:16" x14ac:dyDescent="0.3">
      <c r="A938" s="1">
        <v>45505</v>
      </c>
      <c r="B938" t="s">
        <v>5</v>
      </c>
      <c r="C938" s="9" t="str">
        <f>IFERROR(INDEX(자료실범례[],MATCH($B938,자료실범례[소장처명],0),2),"종합자료실")</f>
        <v>종합자료실</v>
      </c>
      <c r="D938" t="s">
        <v>28</v>
      </c>
      <c r="E938">
        <v>2</v>
      </c>
      <c r="F938">
        <v>2</v>
      </c>
      <c r="G938">
        <v>4</v>
      </c>
      <c r="H938">
        <v>11</v>
      </c>
      <c r="I938">
        <v>3</v>
      </c>
      <c r="J938">
        <v>9</v>
      </c>
      <c r="K938">
        <v>3</v>
      </c>
      <c r="L938">
        <v>1</v>
      </c>
      <c r="M938">
        <v>16</v>
      </c>
      <c r="N938">
        <v>0</v>
      </c>
      <c r="O938">
        <v>0</v>
      </c>
      <c r="P938">
        <v>51</v>
      </c>
    </row>
    <row r="939" spans="1:16" x14ac:dyDescent="0.3">
      <c r="A939" s="1">
        <v>45505</v>
      </c>
      <c r="B939" t="s">
        <v>5</v>
      </c>
      <c r="C939" s="9" t="str">
        <f>IFERROR(INDEX(자료실범례[],MATCH($B939,자료실범례[소장처명],0),2),"종합자료실")</f>
        <v>종합자료실</v>
      </c>
      <c r="D939" t="s">
        <v>25</v>
      </c>
      <c r="E939">
        <v>1</v>
      </c>
      <c r="F939">
        <v>4</v>
      </c>
      <c r="G939">
        <v>2</v>
      </c>
      <c r="H939">
        <v>10</v>
      </c>
      <c r="I939">
        <v>1</v>
      </c>
      <c r="J939">
        <v>2</v>
      </c>
      <c r="K939">
        <v>1</v>
      </c>
      <c r="L939">
        <v>1</v>
      </c>
      <c r="M939">
        <v>15</v>
      </c>
      <c r="N939">
        <v>0</v>
      </c>
      <c r="O939">
        <v>0</v>
      </c>
      <c r="P939">
        <v>37</v>
      </c>
    </row>
    <row r="940" spans="1:16" x14ac:dyDescent="0.3">
      <c r="A940" s="1">
        <v>45505</v>
      </c>
      <c r="B940" t="s">
        <v>5</v>
      </c>
      <c r="C940" s="9" t="str">
        <f>IFERROR(INDEX(자료실범례[],MATCH($B940,자료실범례[소장처명],0),2),"종합자료실")</f>
        <v>종합자료실</v>
      </c>
      <c r="D940" t="s">
        <v>31</v>
      </c>
      <c r="E940">
        <v>0</v>
      </c>
      <c r="F940">
        <v>4</v>
      </c>
      <c r="G940">
        <v>1</v>
      </c>
      <c r="H940">
        <v>5</v>
      </c>
      <c r="I940">
        <v>0</v>
      </c>
      <c r="J940">
        <v>1</v>
      </c>
      <c r="K940">
        <v>1</v>
      </c>
      <c r="L940">
        <v>1</v>
      </c>
      <c r="M940">
        <v>9</v>
      </c>
      <c r="N940">
        <v>0</v>
      </c>
      <c r="O940">
        <v>0</v>
      </c>
      <c r="P940">
        <v>22</v>
      </c>
    </row>
    <row r="941" spans="1:16" x14ac:dyDescent="0.3">
      <c r="A941" s="1">
        <v>45505</v>
      </c>
      <c r="B941" t="s">
        <v>7</v>
      </c>
      <c r="C941" s="9" t="str">
        <f>IFERROR(INDEX(자료실범례[],MATCH($B941,자료실범례[소장처명],0),2),"종합자료실")</f>
        <v>어린이자료실</v>
      </c>
      <c r="D941" t="s">
        <v>28</v>
      </c>
      <c r="E941">
        <v>0</v>
      </c>
      <c r="F941">
        <v>0</v>
      </c>
      <c r="G941">
        <v>0</v>
      </c>
      <c r="H941">
        <v>2</v>
      </c>
      <c r="I941">
        <v>0</v>
      </c>
      <c r="J941">
        <v>2</v>
      </c>
      <c r="K941">
        <v>0</v>
      </c>
      <c r="L941">
        <v>1</v>
      </c>
      <c r="M941">
        <v>12</v>
      </c>
      <c r="N941">
        <v>0</v>
      </c>
      <c r="O941">
        <v>0</v>
      </c>
      <c r="P941">
        <v>17</v>
      </c>
    </row>
    <row r="942" spans="1:16" x14ac:dyDescent="0.3">
      <c r="A942" s="1">
        <v>45505</v>
      </c>
      <c r="B942" t="s">
        <v>7</v>
      </c>
      <c r="C942" s="9" t="str">
        <f>IFERROR(INDEX(자료실범례[],MATCH($B942,자료실범례[소장처명],0),2),"종합자료실")</f>
        <v>어린이자료실</v>
      </c>
      <c r="D942" t="s">
        <v>25</v>
      </c>
      <c r="E942">
        <v>0</v>
      </c>
      <c r="F942">
        <v>0</v>
      </c>
      <c r="G942">
        <v>0</v>
      </c>
      <c r="H942">
        <v>0</v>
      </c>
      <c r="I942">
        <v>1</v>
      </c>
      <c r="J942">
        <v>1</v>
      </c>
      <c r="K942">
        <v>0</v>
      </c>
      <c r="L942">
        <v>0</v>
      </c>
      <c r="M942">
        <v>12</v>
      </c>
      <c r="N942">
        <v>0</v>
      </c>
      <c r="O942">
        <v>0</v>
      </c>
      <c r="P942">
        <v>14</v>
      </c>
    </row>
    <row r="943" spans="1:16" x14ac:dyDescent="0.3">
      <c r="A943" s="1">
        <v>45505</v>
      </c>
      <c r="B943" t="s">
        <v>7</v>
      </c>
      <c r="C943" s="9" t="str">
        <f>IFERROR(INDEX(자료실범례[],MATCH($B943,자료실범례[소장처명],0),2),"종합자료실")</f>
        <v>어린이자료실</v>
      </c>
      <c r="D943" t="s">
        <v>31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1</v>
      </c>
      <c r="N943">
        <v>0</v>
      </c>
      <c r="O943">
        <v>0</v>
      </c>
      <c r="P943">
        <v>1</v>
      </c>
    </row>
    <row r="944" spans="1:16" x14ac:dyDescent="0.3">
      <c r="A944" s="1">
        <v>45505</v>
      </c>
      <c r="B944" t="s">
        <v>8</v>
      </c>
      <c r="C944" s="9" t="str">
        <f>IFERROR(INDEX(자료실범례[],MATCH($B944,자료실범례[소장처명],0),2),"종합자료실")</f>
        <v>어린이자료실</v>
      </c>
      <c r="D944" t="s">
        <v>28</v>
      </c>
      <c r="E944">
        <v>0</v>
      </c>
      <c r="F944">
        <v>1</v>
      </c>
      <c r="G944">
        <v>0</v>
      </c>
      <c r="H944">
        <v>2</v>
      </c>
      <c r="I944">
        <v>1</v>
      </c>
      <c r="J944">
        <v>0</v>
      </c>
      <c r="K944">
        <v>0</v>
      </c>
      <c r="L944">
        <v>0</v>
      </c>
      <c r="M944">
        <v>11</v>
      </c>
      <c r="N944">
        <v>0</v>
      </c>
      <c r="O944">
        <v>0</v>
      </c>
      <c r="P944">
        <v>15</v>
      </c>
    </row>
    <row r="945" spans="1:16" x14ac:dyDescent="0.3">
      <c r="A945" s="1">
        <v>45505</v>
      </c>
      <c r="B945" t="s">
        <v>8</v>
      </c>
      <c r="C945" s="9" t="str">
        <f>IFERROR(INDEX(자료실범례[],MATCH($B945,자료실범례[소장처명],0),2),"종합자료실")</f>
        <v>어린이자료실</v>
      </c>
      <c r="D945" t="s">
        <v>25</v>
      </c>
      <c r="E945">
        <v>0</v>
      </c>
      <c r="F945">
        <v>2</v>
      </c>
      <c r="G945">
        <v>0</v>
      </c>
      <c r="H945">
        <v>2</v>
      </c>
      <c r="I945">
        <v>1</v>
      </c>
      <c r="J945">
        <v>0</v>
      </c>
      <c r="K945">
        <v>0</v>
      </c>
      <c r="L945">
        <v>0</v>
      </c>
      <c r="M945">
        <v>12</v>
      </c>
      <c r="N945">
        <v>0</v>
      </c>
      <c r="O945">
        <v>0</v>
      </c>
      <c r="P945">
        <v>17</v>
      </c>
    </row>
    <row r="946" spans="1:16" x14ac:dyDescent="0.3">
      <c r="A946" s="1">
        <v>45505</v>
      </c>
      <c r="B946" t="s">
        <v>9</v>
      </c>
      <c r="C946" s="9" t="str">
        <f>IFERROR(INDEX(자료실범례[],MATCH($B946,자료실범례[소장처명],0),2),"종합자료실")</f>
        <v>어린이자료실</v>
      </c>
      <c r="D946" t="s">
        <v>28</v>
      </c>
      <c r="E946">
        <v>0</v>
      </c>
      <c r="F946">
        <v>0</v>
      </c>
      <c r="G946">
        <v>0</v>
      </c>
      <c r="H946">
        <v>0</v>
      </c>
      <c r="I946">
        <v>1</v>
      </c>
      <c r="J946">
        <v>1</v>
      </c>
      <c r="K946">
        <v>0</v>
      </c>
      <c r="L946">
        <v>0</v>
      </c>
      <c r="M946">
        <v>12</v>
      </c>
      <c r="N946">
        <v>0</v>
      </c>
      <c r="O946">
        <v>0</v>
      </c>
      <c r="P946">
        <v>14</v>
      </c>
    </row>
    <row r="947" spans="1:16" x14ac:dyDescent="0.3">
      <c r="A947" s="1">
        <v>45505</v>
      </c>
      <c r="B947" t="s">
        <v>9</v>
      </c>
      <c r="C947" s="9" t="str">
        <f>IFERROR(INDEX(자료실범례[],MATCH($B947,자료실범례[소장처명],0),2),"종합자료실")</f>
        <v>어린이자료실</v>
      </c>
      <c r="D947" t="s">
        <v>25</v>
      </c>
      <c r="E947">
        <v>0</v>
      </c>
      <c r="F947">
        <v>0</v>
      </c>
      <c r="G947">
        <v>0</v>
      </c>
      <c r="H947">
        <v>0</v>
      </c>
      <c r="I947">
        <v>2</v>
      </c>
      <c r="J947">
        <v>0</v>
      </c>
      <c r="K947">
        <v>0</v>
      </c>
      <c r="L947">
        <v>0</v>
      </c>
      <c r="M947">
        <v>9</v>
      </c>
      <c r="N947">
        <v>1</v>
      </c>
      <c r="O947">
        <v>0</v>
      </c>
      <c r="P947">
        <v>12</v>
      </c>
    </row>
    <row r="948" spans="1:16" x14ac:dyDescent="0.3">
      <c r="A948" s="1">
        <v>45505</v>
      </c>
      <c r="B948" t="s">
        <v>10</v>
      </c>
      <c r="C948" s="9" t="str">
        <f>IFERROR(INDEX(자료실범례[],MATCH($B948,자료실범례[소장처명],0),2),"종합자료실")</f>
        <v>어린이자료실</v>
      </c>
      <c r="D948" t="s">
        <v>28</v>
      </c>
      <c r="E948">
        <v>0</v>
      </c>
      <c r="F948">
        <v>0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4</v>
      </c>
      <c r="N948">
        <v>0</v>
      </c>
      <c r="O948">
        <v>0</v>
      </c>
      <c r="P948">
        <v>5</v>
      </c>
    </row>
    <row r="949" spans="1:16" x14ac:dyDescent="0.3">
      <c r="A949" s="1">
        <v>45505</v>
      </c>
      <c r="B949" t="s">
        <v>10</v>
      </c>
      <c r="C949" s="9" t="str">
        <f>IFERROR(INDEX(자료실범례[],MATCH($B949,자료실범례[소장처명],0),2),"종합자료실")</f>
        <v>어린이자료실</v>
      </c>
      <c r="D949" t="s">
        <v>25</v>
      </c>
      <c r="E949">
        <v>0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1</v>
      </c>
      <c r="M949">
        <v>6</v>
      </c>
      <c r="N949">
        <v>0</v>
      </c>
      <c r="O949">
        <v>0</v>
      </c>
      <c r="P949">
        <v>8</v>
      </c>
    </row>
    <row r="950" spans="1:16" x14ac:dyDescent="0.3">
      <c r="A950" s="1">
        <v>45505</v>
      </c>
      <c r="B950" t="s">
        <v>10</v>
      </c>
      <c r="C950" s="9" t="str">
        <f>IFERROR(INDEX(자료실범례[],MATCH($B950,자료실범례[소장처명],0),2),"종합자료실")</f>
        <v>어린이자료실</v>
      </c>
      <c r="D950" t="s">
        <v>31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1</v>
      </c>
      <c r="N950">
        <v>0</v>
      </c>
      <c r="O950">
        <v>0</v>
      </c>
      <c r="P950">
        <v>1</v>
      </c>
    </row>
    <row r="951" spans="1:16" x14ac:dyDescent="0.3">
      <c r="A951" s="1">
        <v>45505</v>
      </c>
      <c r="B951" t="s">
        <v>11</v>
      </c>
      <c r="C951" s="9" t="str">
        <f>IFERROR(INDEX(자료실범례[],MATCH($B951,자료실범례[소장처명],0),2),"종합자료실")</f>
        <v>어린이자료실</v>
      </c>
      <c r="D951" t="s">
        <v>28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12</v>
      </c>
      <c r="N951">
        <v>1</v>
      </c>
      <c r="O951">
        <v>0</v>
      </c>
      <c r="P951">
        <v>15</v>
      </c>
    </row>
    <row r="952" spans="1:16" x14ac:dyDescent="0.3">
      <c r="A952" s="1">
        <v>45505</v>
      </c>
      <c r="B952" t="s">
        <v>11</v>
      </c>
      <c r="C952" s="9" t="str">
        <f>IFERROR(INDEX(자료실범례[],MATCH($B952,자료실범례[소장처명],0),2),"종합자료실")</f>
        <v>어린이자료실</v>
      </c>
      <c r="D952" t="s">
        <v>25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8</v>
      </c>
      <c r="N952">
        <v>0</v>
      </c>
      <c r="O952">
        <v>0</v>
      </c>
      <c r="P952">
        <v>8</v>
      </c>
    </row>
    <row r="953" spans="1:16" x14ac:dyDescent="0.3">
      <c r="A953" s="1">
        <v>45505</v>
      </c>
      <c r="B953" t="s">
        <v>12</v>
      </c>
      <c r="C953" s="9" t="str">
        <f>IFERROR(INDEX(자료실범례[],MATCH($B953,자료실범례[소장처명],0),2),"종합자료실")</f>
        <v>어린이자료실</v>
      </c>
      <c r="D953" t="s">
        <v>28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4</v>
      </c>
      <c r="K953">
        <v>0</v>
      </c>
      <c r="L953">
        <v>0</v>
      </c>
      <c r="M953">
        <v>5</v>
      </c>
      <c r="N953">
        <v>2</v>
      </c>
      <c r="O953">
        <v>0</v>
      </c>
      <c r="P953">
        <v>11</v>
      </c>
    </row>
    <row r="954" spans="1:16" x14ac:dyDescent="0.3">
      <c r="A954" s="1">
        <v>45505</v>
      </c>
      <c r="B954" t="s">
        <v>12</v>
      </c>
      <c r="C954" s="9" t="str">
        <f>IFERROR(INDEX(자료실범례[],MATCH($B954,자료실범례[소장처명],0),2),"종합자료실")</f>
        <v>어린이자료실</v>
      </c>
      <c r="D954" t="s">
        <v>25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3</v>
      </c>
      <c r="K954">
        <v>0</v>
      </c>
      <c r="L954">
        <v>0</v>
      </c>
      <c r="M954">
        <v>6</v>
      </c>
      <c r="N954">
        <v>2</v>
      </c>
      <c r="O954">
        <v>0</v>
      </c>
      <c r="P954">
        <v>11</v>
      </c>
    </row>
    <row r="955" spans="1:16" x14ac:dyDescent="0.3">
      <c r="A955" s="1">
        <v>45505</v>
      </c>
      <c r="B955" t="s">
        <v>12</v>
      </c>
      <c r="C955" s="9" t="str">
        <f>IFERROR(INDEX(자료실범례[],MATCH($B955,자료실범례[소장처명],0),2),"종합자료실")</f>
        <v>어린이자료실</v>
      </c>
      <c r="D955" t="s">
        <v>31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O955">
        <v>0</v>
      </c>
      <c r="P955">
        <v>1</v>
      </c>
    </row>
    <row r="956" spans="1:16" x14ac:dyDescent="0.3">
      <c r="A956" s="1">
        <v>45505</v>
      </c>
      <c r="B956" t="s">
        <v>0</v>
      </c>
      <c r="C956" s="9" t="str">
        <f>IFERROR(INDEX(자료실범례[],MATCH($B956,자료실범례[소장처명],0),2),"종합자료실")</f>
        <v>어린이자료실</v>
      </c>
      <c r="D956" t="s">
        <v>28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5</v>
      </c>
      <c r="M956">
        <v>20</v>
      </c>
      <c r="N956">
        <v>0</v>
      </c>
      <c r="O956">
        <v>0</v>
      </c>
      <c r="P956">
        <v>25</v>
      </c>
    </row>
    <row r="957" spans="1:16" x14ac:dyDescent="0.3">
      <c r="A957" s="1">
        <v>45505</v>
      </c>
      <c r="B957" t="s">
        <v>0</v>
      </c>
      <c r="C957" s="9" t="str">
        <f>IFERROR(INDEX(자료실범례[],MATCH($B957,자료실범례[소장처명],0),2),"종합자료실")</f>
        <v>어린이자료실</v>
      </c>
      <c r="D957" t="s">
        <v>25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5</v>
      </c>
      <c r="M957">
        <v>37</v>
      </c>
      <c r="N957">
        <v>0</v>
      </c>
      <c r="O957">
        <v>0</v>
      </c>
      <c r="P957">
        <v>42</v>
      </c>
    </row>
    <row r="958" spans="1:16" x14ac:dyDescent="0.3">
      <c r="A958" s="1">
        <v>45505</v>
      </c>
      <c r="B958" t="s">
        <v>0</v>
      </c>
      <c r="C958" s="9" t="str">
        <f>IFERROR(INDEX(자료실범례[],MATCH($B958,자료실범례[소장처명],0),2),"종합자료실")</f>
        <v>어린이자료실</v>
      </c>
      <c r="D958" t="s">
        <v>31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3</v>
      </c>
      <c r="M958">
        <v>21</v>
      </c>
      <c r="N958">
        <v>0</v>
      </c>
      <c r="O958">
        <v>0</v>
      </c>
      <c r="P958">
        <v>24</v>
      </c>
    </row>
    <row r="959" spans="1:16" x14ac:dyDescent="0.3">
      <c r="A959" s="1">
        <v>45505</v>
      </c>
      <c r="B959" t="s">
        <v>1</v>
      </c>
      <c r="C959" s="9" t="str">
        <f>IFERROR(INDEX(자료실범례[],MATCH($B959,자료실범례[소장처명],0),2),"종합자료실")</f>
        <v>어린이자료실</v>
      </c>
      <c r="D959" t="s">
        <v>28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0</v>
      </c>
      <c r="K959">
        <v>0</v>
      </c>
      <c r="L959">
        <v>26</v>
      </c>
      <c r="M959">
        <v>11</v>
      </c>
      <c r="N959">
        <v>0</v>
      </c>
      <c r="O959">
        <v>0</v>
      </c>
      <c r="P959">
        <v>38</v>
      </c>
    </row>
    <row r="960" spans="1:16" x14ac:dyDescent="0.3">
      <c r="A960" s="1">
        <v>45505</v>
      </c>
      <c r="B960" t="s">
        <v>1</v>
      </c>
      <c r="C960" s="9" t="str">
        <f>IFERROR(INDEX(자료실범례[],MATCH($B960,자료실범례[소장처명],0),2),"종합자료실")</f>
        <v>어린이자료실</v>
      </c>
      <c r="D960" t="s">
        <v>25</v>
      </c>
      <c r="E960">
        <v>0</v>
      </c>
      <c r="F960">
        <v>0</v>
      </c>
      <c r="G960">
        <v>0</v>
      </c>
      <c r="H960">
        <v>3</v>
      </c>
      <c r="I960">
        <v>0</v>
      </c>
      <c r="J960">
        <v>0</v>
      </c>
      <c r="K960">
        <v>1</v>
      </c>
      <c r="L960">
        <v>16</v>
      </c>
      <c r="M960">
        <v>23</v>
      </c>
      <c r="N960">
        <v>0</v>
      </c>
      <c r="O960">
        <v>0</v>
      </c>
      <c r="P960">
        <v>43</v>
      </c>
    </row>
    <row r="961" spans="1:16" x14ac:dyDescent="0.3">
      <c r="A961" s="1">
        <v>45505</v>
      </c>
      <c r="B961" t="s">
        <v>1</v>
      </c>
      <c r="C961" s="9" t="str">
        <f>IFERROR(INDEX(자료실범례[],MATCH($B961,자료실범례[소장처명],0),2),"종합자료실")</f>
        <v>어린이자료실</v>
      </c>
      <c r="D961" t="s">
        <v>31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13</v>
      </c>
      <c r="M961">
        <v>5</v>
      </c>
      <c r="N961">
        <v>0</v>
      </c>
      <c r="O961">
        <v>0</v>
      </c>
      <c r="P961">
        <v>18</v>
      </c>
    </row>
    <row r="962" spans="1:16" x14ac:dyDescent="0.3">
      <c r="A962" s="1">
        <v>45505</v>
      </c>
      <c r="B962" t="s">
        <v>6</v>
      </c>
      <c r="C962" s="9" t="str">
        <f>IFERROR(INDEX(자료실범례[],MATCH($B962,자료실범례[소장처명],0),2),"종합자료실")</f>
        <v>종합자료실</v>
      </c>
      <c r="D962" t="s">
        <v>28</v>
      </c>
      <c r="E962">
        <v>2</v>
      </c>
      <c r="F962">
        <v>1</v>
      </c>
      <c r="G962">
        <v>1</v>
      </c>
      <c r="H962">
        <v>2</v>
      </c>
      <c r="I962">
        <v>1</v>
      </c>
      <c r="J962">
        <v>1</v>
      </c>
      <c r="K962">
        <v>0</v>
      </c>
      <c r="L962">
        <v>2</v>
      </c>
      <c r="M962">
        <v>20</v>
      </c>
      <c r="N962">
        <v>0</v>
      </c>
      <c r="O962">
        <v>0</v>
      </c>
      <c r="P962">
        <v>30</v>
      </c>
    </row>
    <row r="963" spans="1:16" x14ac:dyDescent="0.3">
      <c r="A963" s="1">
        <v>45505</v>
      </c>
      <c r="B963" t="s">
        <v>6</v>
      </c>
      <c r="C963" s="9" t="str">
        <f>IFERROR(INDEX(자료실범례[],MATCH($B963,자료실범례[소장처명],0),2),"종합자료실")</f>
        <v>종합자료실</v>
      </c>
      <c r="D963" t="s">
        <v>25</v>
      </c>
      <c r="E963">
        <v>1</v>
      </c>
      <c r="F963">
        <v>1</v>
      </c>
      <c r="G963">
        <v>0</v>
      </c>
      <c r="H963">
        <v>0</v>
      </c>
      <c r="I963">
        <v>1</v>
      </c>
      <c r="J963">
        <v>1</v>
      </c>
      <c r="K963">
        <v>0</v>
      </c>
      <c r="L963">
        <v>3</v>
      </c>
      <c r="M963">
        <v>31</v>
      </c>
      <c r="N963">
        <v>2</v>
      </c>
      <c r="O963">
        <v>0</v>
      </c>
      <c r="P963">
        <v>40</v>
      </c>
    </row>
    <row r="964" spans="1:16" x14ac:dyDescent="0.3">
      <c r="A964" s="1">
        <v>45505</v>
      </c>
      <c r="B964" t="s">
        <v>6</v>
      </c>
      <c r="C964" s="9" t="str">
        <f>IFERROR(INDEX(자료실범례[],MATCH($B964,자료실범례[소장처명],0),2),"종합자료실")</f>
        <v>종합자료실</v>
      </c>
      <c r="D964" t="s">
        <v>31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4</v>
      </c>
      <c r="N964">
        <v>0</v>
      </c>
      <c r="O964">
        <v>0</v>
      </c>
      <c r="P964">
        <v>4</v>
      </c>
    </row>
    <row r="965" spans="1:16" x14ac:dyDescent="0.3">
      <c r="A965" s="1">
        <v>45505</v>
      </c>
      <c r="B965" t="s">
        <v>18</v>
      </c>
      <c r="C965" s="9" t="str">
        <f>IFERROR(INDEX(자료실범례[],MATCH($B965,자료실범례[소장처명],0),2),"종합자료실")</f>
        <v>종합자료실</v>
      </c>
      <c r="D965" t="s">
        <v>28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3</v>
      </c>
      <c r="P965">
        <v>3</v>
      </c>
    </row>
    <row r="966" spans="1:16" x14ac:dyDescent="0.3">
      <c r="A966" s="1">
        <v>45505</v>
      </c>
      <c r="B966" t="s">
        <v>18</v>
      </c>
      <c r="C966" s="9" t="str">
        <f>IFERROR(INDEX(자료실범례[],MATCH($B966,자료실범례[소장처명],0),2),"종합자료실")</f>
        <v>종합자료실</v>
      </c>
      <c r="D966" t="s">
        <v>25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3</v>
      </c>
      <c r="P966">
        <v>3</v>
      </c>
    </row>
    <row r="967" spans="1:16" x14ac:dyDescent="0.3">
      <c r="A967" s="1">
        <v>45505</v>
      </c>
      <c r="B967" t="s">
        <v>17</v>
      </c>
      <c r="C967" s="9" t="str">
        <f>IFERROR(INDEX(자료실범례[],MATCH($B967,자료실범례[소장처명],0),2),"종합자료실")</f>
        <v>어린이자료실</v>
      </c>
      <c r="D967" t="s">
        <v>28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4</v>
      </c>
      <c r="P967">
        <v>4</v>
      </c>
    </row>
    <row r="968" spans="1:16" x14ac:dyDescent="0.3">
      <c r="A968" s="1">
        <v>45505</v>
      </c>
      <c r="B968" t="s">
        <v>17</v>
      </c>
      <c r="C968" s="9" t="str">
        <f>IFERROR(INDEX(자료실범례[],MATCH($B968,자료실범례[소장처명],0),2),"종합자료실")</f>
        <v>어린이자료실</v>
      </c>
      <c r="D968" t="s">
        <v>25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10</v>
      </c>
      <c r="P968">
        <v>10</v>
      </c>
    </row>
    <row r="969" spans="1:16" x14ac:dyDescent="0.3">
      <c r="A969" s="1">
        <v>45536</v>
      </c>
      <c r="B969" t="s">
        <v>21</v>
      </c>
      <c r="C969" s="9" t="str">
        <f>IFERROR(INDEX(자료실범례[],MATCH($B969,자료실범례[소장처명],0),2),"종합자료실")</f>
        <v>종합자료실</v>
      </c>
      <c r="D969" t="s">
        <v>28</v>
      </c>
      <c r="E969">
        <v>32</v>
      </c>
      <c r="F969">
        <v>119</v>
      </c>
      <c r="G969">
        <v>37</v>
      </c>
      <c r="H969">
        <v>186</v>
      </c>
      <c r="I969">
        <v>41</v>
      </c>
      <c r="J969">
        <v>109</v>
      </c>
      <c r="K969">
        <v>33</v>
      </c>
      <c r="L969">
        <v>40</v>
      </c>
      <c r="M969">
        <v>589</v>
      </c>
      <c r="N969">
        <v>82</v>
      </c>
      <c r="O969">
        <v>0</v>
      </c>
      <c r="P969">
        <v>1268</v>
      </c>
    </row>
    <row r="970" spans="1:16" x14ac:dyDescent="0.3">
      <c r="A970" s="1">
        <v>45536</v>
      </c>
      <c r="B970" t="s">
        <v>21</v>
      </c>
      <c r="C970" s="9" t="str">
        <f>IFERROR(INDEX(자료실범례[],MATCH($B970,자료실범례[소장처명],0),2),"종합자료실")</f>
        <v>종합자료실</v>
      </c>
      <c r="D970" t="s">
        <v>25</v>
      </c>
      <c r="E970">
        <v>39</v>
      </c>
      <c r="F970">
        <v>130</v>
      </c>
      <c r="G970">
        <v>36</v>
      </c>
      <c r="H970">
        <v>211</v>
      </c>
      <c r="I970">
        <v>48</v>
      </c>
      <c r="J970">
        <v>134</v>
      </c>
      <c r="K970">
        <v>40</v>
      </c>
      <c r="L970">
        <v>31</v>
      </c>
      <c r="M970">
        <v>608</v>
      </c>
      <c r="N970">
        <v>73</v>
      </c>
      <c r="O970">
        <v>0</v>
      </c>
      <c r="P970">
        <v>1350</v>
      </c>
    </row>
    <row r="971" spans="1:16" x14ac:dyDescent="0.3">
      <c r="A971" s="1">
        <v>45536</v>
      </c>
      <c r="B971" t="s">
        <v>21</v>
      </c>
      <c r="C971" s="9" t="str">
        <f>IFERROR(INDEX(자료실범례[],MATCH($B971,자료실범례[소장처명],0),2),"종합자료실")</f>
        <v>종합자료실</v>
      </c>
      <c r="D971" t="s">
        <v>31</v>
      </c>
      <c r="E971">
        <v>6</v>
      </c>
      <c r="F971">
        <v>37</v>
      </c>
      <c r="G971">
        <v>14</v>
      </c>
      <c r="H971">
        <v>72</v>
      </c>
      <c r="I971">
        <v>19</v>
      </c>
      <c r="J971">
        <v>46</v>
      </c>
      <c r="K971">
        <v>20</v>
      </c>
      <c r="L971">
        <v>13</v>
      </c>
      <c r="M971">
        <v>182</v>
      </c>
      <c r="N971">
        <v>15</v>
      </c>
      <c r="O971">
        <v>0</v>
      </c>
      <c r="P971">
        <v>424</v>
      </c>
    </row>
    <row r="972" spans="1:16" x14ac:dyDescent="0.3">
      <c r="A972" s="1">
        <v>45536</v>
      </c>
      <c r="B972" t="s">
        <v>16</v>
      </c>
      <c r="C972" s="9" t="str">
        <f>IFERROR(INDEX(자료실범례[],MATCH($B972,자료실범례[소장처명],0),2),"종합자료실")</f>
        <v>어린이자료실</v>
      </c>
      <c r="D972" t="s">
        <v>28</v>
      </c>
      <c r="E972">
        <v>33</v>
      </c>
      <c r="F972">
        <v>17</v>
      </c>
      <c r="G972">
        <v>21</v>
      </c>
      <c r="H972">
        <v>118</v>
      </c>
      <c r="I972">
        <v>213</v>
      </c>
      <c r="J972">
        <v>44</v>
      </c>
      <c r="K972">
        <v>42</v>
      </c>
      <c r="L972">
        <v>46</v>
      </c>
      <c r="M972">
        <v>1100</v>
      </c>
      <c r="N972">
        <v>142</v>
      </c>
      <c r="O972">
        <v>4</v>
      </c>
      <c r="P972">
        <v>1780</v>
      </c>
    </row>
    <row r="973" spans="1:16" x14ac:dyDescent="0.3">
      <c r="A973" s="1">
        <v>45536</v>
      </c>
      <c r="B973" t="s">
        <v>16</v>
      </c>
      <c r="C973" s="9" t="str">
        <f>IFERROR(INDEX(자료실범례[],MATCH($B973,자료실범례[소장처명],0),2),"종합자료실")</f>
        <v>어린이자료실</v>
      </c>
      <c r="D973" t="s">
        <v>25</v>
      </c>
      <c r="E973">
        <v>23</v>
      </c>
      <c r="F973">
        <v>24</v>
      </c>
      <c r="G973">
        <v>33</v>
      </c>
      <c r="H973">
        <v>131</v>
      </c>
      <c r="I973">
        <v>196</v>
      </c>
      <c r="J973">
        <v>38</v>
      </c>
      <c r="K973">
        <v>40</v>
      </c>
      <c r="L973">
        <v>36</v>
      </c>
      <c r="M973">
        <v>1097</v>
      </c>
      <c r="N973">
        <v>144</v>
      </c>
      <c r="O973">
        <v>1</v>
      </c>
      <c r="P973">
        <v>1763</v>
      </c>
    </row>
    <row r="974" spans="1:16" x14ac:dyDescent="0.3">
      <c r="A974" s="1">
        <v>45536</v>
      </c>
      <c r="B974" t="s">
        <v>16</v>
      </c>
      <c r="C974" s="9" t="str">
        <f>IFERROR(INDEX(자료실범례[],MATCH($B974,자료실범례[소장처명],0),2),"종합자료실")</f>
        <v>어린이자료실</v>
      </c>
      <c r="D974" t="s">
        <v>31</v>
      </c>
      <c r="E974">
        <v>0</v>
      </c>
      <c r="F974">
        <v>1</v>
      </c>
      <c r="G974">
        <v>4</v>
      </c>
      <c r="H974">
        <v>19</v>
      </c>
      <c r="I974">
        <v>42</v>
      </c>
      <c r="J974">
        <v>10</v>
      </c>
      <c r="K974">
        <v>4</v>
      </c>
      <c r="L974">
        <v>11</v>
      </c>
      <c r="M974">
        <v>174</v>
      </c>
      <c r="N974">
        <v>20</v>
      </c>
      <c r="O974">
        <v>0</v>
      </c>
      <c r="P974">
        <v>285</v>
      </c>
    </row>
    <row r="975" spans="1:16" x14ac:dyDescent="0.3">
      <c r="A975" s="1">
        <v>45536</v>
      </c>
      <c r="B975" t="s">
        <v>2</v>
      </c>
      <c r="C975" s="9" t="str">
        <f>IFERROR(INDEX(자료실범례[],MATCH($B975,자료실범례[소장처명],0),2),"종합자료실")</f>
        <v>디지털자료실</v>
      </c>
      <c r="D975" t="s">
        <v>28</v>
      </c>
      <c r="E975">
        <v>0</v>
      </c>
      <c r="F975">
        <v>0</v>
      </c>
      <c r="G975">
        <v>0</v>
      </c>
      <c r="H975">
        <v>0</v>
      </c>
      <c r="I975">
        <v>1</v>
      </c>
      <c r="J975">
        <v>0</v>
      </c>
      <c r="K975">
        <v>46</v>
      </c>
      <c r="L975">
        <v>0</v>
      </c>
      <c r="M975">
        <v>0</v>
      </c>
      <c r="N975">
        <v>0</v>
      </c>
      <c r="O975">
        <v>0</v>
      </c>
      <c r="P975">
        <v>47</v>
      </c>
    </row>
    <row r="976" spans="1:16" x14ac:dyDescent="0.3">
      <c r="A976" s="1">
        <v>45536</v>
      </c>
      <c r="B976" t="s">
        <v>2</v>
      </c>
      <c r="C976" s="9" t="str">
        <f>IFERROR(INDEX(자료실범례[],MATCH($B976,자료실범례[소장처명],0),2),"종합자료실")</f>
        <v>디지털자료실</v>
      </c>
      <c r="D976" t="s">
        <v>25</v>
      </c>
      <c r="E976">
        <v>0</v>
      </c>
      <c r="F976">
        <v>0</v>
      </c>
      <c r="G976">
        <v>0</v>
      </c>
      <c r="H976">
        <v>0</v>
      </c>
      <c r="I976">
        <v>1</v>
      </c>
      <c r="J976">
        <v>0</v>
      </c>
      <c r="K976">
        <v>50</v>
      </c>
      <c r="L976">
        <v>0</v>
      </c>
      <c r="M976">
        <v>0</v>
      </c>
      <c r="N976">
        <v>0</v>
      </c>
      <c r="O976">
        <v>0</v>
      </c>
      <c r="P976">
        <v>51</v>
      </c>
    </row>
    <row r="977" spans="1:16" x14ac:dyDescent="0.3">
      <c r="A977" s="1">
        <v>45536</v>
      </c>
      <c r="B977" t="s">
        <v>19</v>
      </c>
      <c r="C977" s="9" t="str">
        <f>IFERROR(INDEX(자료실범례[],MATCH($B977,자료실범례[소장처명],0),2),"종합자료실")</f>
        <v>종합자료실</v>
      </c>
      <c r="D977" t="s">
        <v>28</v>
      </c>
      <c r="E977">
        <v>25</v>
      </c>
      <c r="F977">
        <v>63</v>
      </c>
      <c r="G977">
        <v>10</v>
      </c>
      <c r="H977">
        <v>93</v>
      </c>
      <c r="I977">
        <v>24</v>
      </c>
      <c r="J977">
        <v>32</v>
      </c>
      <c r="K977">
        <v>15</v>
      </c>
      <c r="L977">
        <v>22</v>
      </c>
      <c r="M977">
        <v>182</v>
      </c>
      <c r="N977">
        <v>11</v>
      </c>
      <c r="O977">
        <v>0</v>
      </c>
      <c r="P977">
        <v>477</v>
      </c>
    </row>
    <row r="978" spans="1:16" x14ac:dyDescent="0.3">
      <c r="A978" s="1">
        <v>45536</v>
      </c>
      <c r="B978" t="s">
        <v>19</v>
      </c>
      <c r="C978" s="9" t="str">
        <f>IFERROR(INDEX(자료실범례[],MATCH($B978,자료실범례[소장처명],0),2),"종합자료실")</f>
        <v>종합자료실</v>
      </c>
      <c r="D978" t="s">
        <v>25</v>
      </c>
      <c r="E978">
        <v>19</v>
      </c>
      <c r="F978">
        <v>62</v>
      </c>
      <c r="G978">
        <v>13</v>
      </c>
      <c r="H978">
        <v>93</v>
      </c>
      <c r="I978">
        <v>30</v>
      </c>
      <c r="J978">
        <v>43</v>
      </c>
      <c r="K978">
        <v>18</v>
      </c>
      <c r="L978">
        <v>25</v>
      </c>
      <c r="M978">
        <v>161</v>
      </c>
      <c r="N978">
        <v>11</v>
      </c>
      <c r="O978">
        <v>0</v>
      </c>
      <c r="P978">
        <v>475</v>
      </c>
    </row>
    <row r="979" spans="1:16" x14ac:dyDescent="0.3">
      <c r="A979" s="1">
        <v>45536</v>
      </c>
      <c r="B979" t="s">
        <v>19</v>
      </c>
      <c r="C979" s="9" t="str">
        <f>IFERROR(INDEX(자료실범례[],MATCH($B979,자료실범례[소장처명],0),2),"종합자료실")</f>
        <v>종합자료실</v>
      </c>
      <c r="D979" t="s">
        <v>31</v>
      </c>
      <c r="E979">
        <v>12</v>
      </c>
      <c r="F979">
        <v>32</v>
      </c>
      <c r="G979">
        <v>3</v>
      </c>
      <c r="H979">
        <v>48</v>
      </c>
      <c r="I979">
        <v>6</v>
      </c>
      <c r="J979">
        <v>14</v>
      </c>
      <c r="K979">
        <v>13</v>
      </c>
      <c r="L979">
        <v>8</v>
      </c>
      <c r="M979">
        <v>70</v>
      </c>
      <c r="N979">
        <v>5</v>
      </c>
      <c r="O979">
        <v>0</v>
      </c>
      <c r="P979">
        <v>211</v>
      </c>
    </row>
    <row r="980" spans="1:16" x14ac:dyDescent="0.3">
      <c r="A980" s="1">
        <v>45536</v>
      </c>
      <c r="B980" t="s">
        <v>14</v>
      </c>
      <c r="C980" s="9" t="str">
        <f>IFERROR(INDEX(자료실범례[],MATCH($B980,자료실범례[소장처명],0),2),"종합자료실")</f>
        <v>어린이자료실</v>
      </c>
      <c r="D980" t="s">
        <v>28</v>
      </c>
      <c r="E980">
        <v>4</v>
      </c>
      <c r="F980">
        <v>15</v>
      </c>
      <c r="G980">
        <v>5</v>
      </c>
      <c r="H980">
        <v>23</v>
      </c>
      <c r="I980">
        <v>41</v>
      </c>
      <c r="J980">
        <v>8</v>
      </c>
      <c r="K980">
        <v>10</v>
      </c>
      <c r="L980">
        <v>11</v>
      </c>
      <c r="M980">
        <v>295</v>
      </c>
      <c r="N980">
        <v>32</v>
      </c>
      <c r="O980">
        <v>0</v>
      </c>
      <c r="P980">
        <v>444</v>
      </c>
    </row>
    <row r="981" spans="1:16" x14ac:dyDescent="0.3">
      <c r="A981" s="1">
        <v>45536</v>
      </c>
      <c r="B981" t="s">
        <v>14</v>
      </c>
      <c r="C981" s="9" t="str">
        <f>IFERROR(INDEX(자료실범례[],MATCH($B981,자료실범례[소장처명],0),2),"종합자료실")</f>
        <v>어린이자료실</v>
      </c>
      <c r="D981" t="s">
        <v>25</v>
      </c>
      <c r="E981">
        <v>2</v>
      </c>
      <c r="F981">
        <v>20</v>
      </c>
      <c r="G981">
        <v>5</v>
      </c>
      <c r="H981">
        <v>21</v>
      </c>
      <c r="I981">
        <v>41</v>
      </c>
      <c r="J981">
        <v>6</v>
      </c>
      <c r="K981">
        <v>9</v>
      </c>
      <c r="L981">
        <v>9</v>
      </c>
      <c r="M981">
        <v>291</v>
      </c>
      <c r="N981">
        <v>26</v>
      </c>
      <c r="O981">
        <v>0</v>
      </c>
      <c r="P981">
        <v>430</v>
      </c>
    </row>
    <row r="982" spans="1:16" x14ac:dyDescent="0.3">
      <c r="A982" s="1">
        <v>45536</v>
      </c>
      <c r="B982" t="s">
        <v>14</v>
      </c>
      <c r="C982" s="9" t="str">
        <f>IFERROR(INDEX(자료실범례[],MATCH($B982,자료실범례[소장처명],0),2),"종합자료실")</f>
        <v>어린이자료실</v>
      </c>
      <c r="D982" t="s">
        <v>31</v>
      </c>
      <c r="E982">
        <v>2</v>
      </c>
      <c r="F982">
        <v>2</v>
      </c>
      <c r="G982">
        <v>0</v>
      </c>
      <c r="H982">
        <v>2</v>
      </c>
      <c r="I982">
        <v>7</v>
      </c>
      <c r="J982">
        <v>2</v>
      </c>
      <c r="K982">
        <v>0</v>
      </c>
      <c r="L982">
        <v>0</v>
      </c>
      <c r="M982">
        <v>64</v>
      </c>
      <c r="N982">
        <v>16</v>
      </c>
      <c r="O982">
        <v>0</v>
      </c>
      <c r="P982">
        <v>95</v>
      </c>
    </row>
    <row r="983" spans="1:16" x14ac:dyDescent="0.3">
      <c r="A983" s="1">
        <v>45536</v>
      </c>
      <c r="B983" t="s">
        <v>197</v>
      </c>
      <c r="C983" s="9" t="str">
        <f>IFERROR(INDEX(자료실범례[],MATCH($B983,자료실범례[소장처명],0),2),"종합자료실")</f>
        <v>종합자료실</v>
      </c>
      <c r="D983" t="s">
        <v>28</v>
      </c>
      <c r="E983">
        <v>0</v>
      </c>
      <c r="F983">
        <v>3</v>
      </c>
      <c r="G983">
        <v>0</v>
      </c>
      <c r="H983">
        <v>1</v>
      </c>
      <c r="I983">
        <v>0</v>
      </c>
      <c r="J983">
        <v>2</v>
      </c>
      <c r="K983">
        <v>0</v>
      </c>
      <c r="L983">
        <v>0</v>
      </c>
      <c r="M983">
        <v>5</v>
      </c>
      <c r="N983">
        <v>0</v>
      </c>
      <c r="O983">
        <v>0</v>
      </c>
      <c r="P983">
        <v>11</v>
      </c>
    </row>
    <row r="984" spans="1:16" x14ac:dyDescent="0.3">
      <c r="A984" s="1">
        <v>45536</v>
      </c>
      <c r="B984" t="s">
        <v>197</v>
      </c>
      <c r="C984" s="9" t="str">
        <f>IFERROR(INDEX(자료실범례[],MATCH($B984,자료실범례[소장처명],0),2),"종합자료실")</f>
        <v>종합자료실</v>
      </c>
      <c r="D984" t="s">
        <v>25</v>
      </c>
      <c r="E984">
        <v>0</v>
      </c>
      <c r="F984">
        <v>0</v>
      </c>
      <c r="G984">
        <v>0</v>
      </c>
      <c r="H984">
        <v>2</v>
      </c>
      <c r="I984">
        <v>2</v>
      </c>
      <c r="J984">
        <v>0</v>
      </c>
      <c r="K984">
        <v>0</v>
      </c>
      <c r="L984">
        <v>0</v>
      </c>
      <c r="M984">
        <v>5</v>
      </c>
      <c r="N984">
        <v>0</v>
      </c>
      <c r="O984">
        <v>0</v>
      </c>
      <c r="P984">
        <v>9</v>
      </c>
    </row>
    <row r="985" spans="1:16" x14ac:dyDescent="0.3">
      <c r="A985" s="1">
        <v>45536</v>
      </c>
      <c r="B985" t="s">
        <v>197</v>
      </c>
      <c r="C985" s="9" t="str">
        <f>IFERROR(INDEX(자료실범례[],MATCH($B985,자료실범례[소장처명],0),2),"종합자료실")</f>
        <v>종합자료실</v>
      </c>
      <c r="D985" t="s">
        <v>31</v>
      </c>
      <c r="E985">
        <v>0</v>
      </c>
      <c r="F985">
        <v>0</v>
      </c>
      <c r="G985">
        <v>0</v>
      </c>
      <c r="H985">
        <v>0</v>
      </c>
      <c r="I985">
        <v>1</v>
      </c>
      <c r="J985">
        <v>1</v>
      </c>
      <c r="K985">
        <v>0</v>
      </c>
      <c r="L985">
        <v>0</v>
      </c>
      <c r="M985">
        <v>4</v>
      </c>
      <c r="N985">
        <v>0</v>
      </c>
      <c r="O985">
        <v>0</v>
      </c>
      <c r="P985">
        <v>6</v>
      </c>
    </row>
    <row r="986" spans="1:16" x14ac:dyDescent="0.3">
      <c r="A986" s="1">
        <v>45536</v>
      </c>
      <c r="B986" t="s">
        <v>198</v>
      </c>
      <c r="C986" s="9" t="str">
        <f>IFERROR(INDEX(자료실범례[],MATCH($B986,자료실범례[소장처명],0),2),"종합자료실")</f>
        <v>어린이자료실</v>
      </c>
      <c r="D986" t="s">
        <v>28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4</v>
      </c>
      <c r="K986">
        <v>2</v>
      </c>
      <c r="L986">
        <v>0</v>
      </c>
      <c r="M986">
        <v>36</v>
      </c>
      <c r="N986">
        <v>3</v>
      </c>
      <c r="O986">
        <v>0</v>
      </c>
      <c r="P986">
        <v>45</v>
      </c>
    </row>
    <row r="987" spans="1:16" x14ac:dyDescent="0.3">
      <c r="A987" s="1">
        <v>45536</v>
      </c>
      <c r="B987" t="s">
        <v>198</v>
      </c>
      <c r="C987" s="9" t="str">
        <f>IFERROR(INDEX(자료실범례[],MATCH($B987,자료실범례[소장처명],0),2),"종합자료실")</f>
        <v>어린이자료실</v>
      </c>
      <c r="D987" t="s">
        <v>25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6</v>
      </c>
      <c r="K987">
        <v>3</v>
      </c>
      <c r="L987">
        <v>0</v>
      </c>
      <c r="M987">
        <v>41</v>
      </c>
      <c r="N987">
        <v>3</v>
      </c>
      <c r="O987">
        <v>0</v>
      </c>
      <c r="P987">
        <v>53</v>
      </c>
    </row>
    <row r="988" spans="1:16" x14ac:dyDescent="0.3">
      <c r="A988" s="1">
        <v>45536</v>
      </c>
      <c r="B988" t="s">
        <v>198</v>
      </c>
      <c r="C988" s="9" t="str">
        <f>IFERROR(INDEX(자료실범례[],MATCH($B988,자료실범례[소장처명],0),2),"종합자료실")</f>
        <v>어린이자료실</v>
      </c>
      <c r="D988" t="s">
        <v>31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2</v>
      </c>
      <c r="K988">
        <v>0</v>
      </c>
      <c r="L988">
        <v>0</v>
      </c>
      <c r="M988">
        <v>7</v>
      </c>
      <c r="N988">
        <v>0</v>
      </c>
      <c r="O988">
        <v>0</v>
      </c>
      <c r="P988">
        <v>9</v>
      </c>
    </row>
    <row r="989" spans="1:16" x14ac:dyDescent="0.3">
      <c r="A989" s="1">
        <v>45536</v>
      </c>
      <c r="B989" t="s">
        <v>13</v>
      </c>
      <c r="C989" s="9" t="str">
        <f>IFERROR(INDEX(자료실범례[],MATCH($B989,자료실범례[소장처명],0),2),"종합자료실")</f>
        <v>어린이자료실</v>
      </c>
      <c r="D989" t="s">
        <v>28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1</v>
      </c>
      <c r="L989">
        <v>0</v>
      </c>
      <c r="M989">
        <v>5</v>
      </c>
      <c r="N989">
        <v>0</v>
      </c>
      <c r="O989">
        <v>0</v>
      </c>
      <c r="P989">
        <v>6</v>
      </c>
    </row>
    <row r="990" spans="1:16" x14ac:dyDescent="0.3">
      <c r="A990" s="1">
        <v>45536</v>
      </c>
      <c r="B990" t="s">
        <v>13</v>
      </c>
      <c r="C990" s="9" t="str">
        <f>IFERROR(INDEX(자료실범례[],MATCH($B990,자료실범례[소장처명],0),2),"종합자료실")</f>
        <v>어린이자료실</v>
      </c>
      <c r="D990" t="s">
        <v>25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1</v>
      </c>
      <c r="L990">
        <v>0</v>
      </c>
      <c r="M990">
        <v>2</v>
      </c>
      <c r="N990">
        <v>0</v>
      </c>
      <c r="O990">
        <v>0</v>
      </c>
      <c r="P990">
        <v>3</v>
      </c>
    </row>
    <row r="991" spans="1:16" x14ac:dyDescent="0.3">
      <c r="A991" s="1">
        <v>45536</v>
      </c>
      <c r="B991" t="s">
        <v>15</v>
      </c>
      <c r="C991" s="9" t="str">
        <f>IFERROR(INDEX(자료실범례[],MATCH($B991,자료실범례[소장처명],0),2),"종합자료실")</f>
        <v>어린이자료실</v>
      </c>
      <c r="D991" t="s">
        <v>28</v>
      </c>
      <c r="E991">
        <v>8</v>
      </c>
      <c r="F991">
        <v>0</v>
      </c>
      <c r="G991">
        <v>49</v>
      </c>
      <c r="H991">
        <v>1</v>
      </c>
      <c r="I991">
        <v>285</v>
      </c>
      <c r="J991">
        <v>34</v>
      </c>
      <c r="K991">
        <v>0</v>
      </c>
      <c r="L991">
        <v>66</v>
      </c>
      <c r="M991">
        <v>7</v>
      </c>
      <c r="N991">
        <v>147</v>
      </c>
      <c r="O991">
        <v>0</v>
      </c>
      <c r="P991">
        <v>597</v>
      </c>
    </row>
    <row r="992" spans="1:16" x14ac:dyDescent="0.3">
      <c r="A992" s="1">
        <v>45536</v>
      </c>
      <c r="B992" t="s">
        <v>15</v>
      </c>
      <c r="C992" s="9" t="str">
        <f>IFERROR(INDEX(자료실범례[],MATCH($B992,자료실범례[소장처명],0),2),"종합자료실")</f>
        <v>어린이자료실</v>
      </c>
      <c r="D992" t="s">
        <v>25</v>
      </c>
      <c r="E992">
        <v>1</v>
      </c>
      <c r="F992">
        <v>3</v>
      </c>
      <c r="G992">
        <v>46</v>
      </c>
      <c r="H992">
        <v>1</v>
      </c>
      <c r="I992">
        <v>286</v>
      </c>
      <c r="J992">
        <v>52</v>
      </c>
      <c r="K992">
        <v>0</v>
      </c>
      <c r="L992">
        <v>68</v>
      </c>
      <c r="M992">
        <v>12</v>
      </c>
      <c r="N992">
        <v>140</v>
      </c>
      <c r="O992">
        <v>0</v>
      </c>
      <c r="P992">
        <v>609</v>
      </c>
    </row>
    <row r="993" spans="1:16" x14ac:dyDescent="0.3">
      <c r="A993" s="1">
        <v>45536</v>
      </c>
      <c r="B993" t="s">
        <v>15</v>
      </c>
      <c r="C993" s="9" t="str">
        <f>IFERROR(INDEX(자료실범례[],MATCH($B993,자료실범례[소장처명],0),2),"종합자료실")</f>
        <v>어린이자료실</v>
      </c>
      <c r="D993" t="s">
        <v>31</v>
      </c>
      <c r="E993">
        <v>0</v>
      </c>
      <c r="F993">
        <v>0</v>
      </c>
      <c r="G993">
        <v>7</v>
      </c>
      <c r="H993">
        <v>0</v>
      </c>
      <c r="I993">
        <v>21</v>
      </c>
      <c r="J993">
        <v>19</v>
      </c>
      <c r="K993">
        <v>0</v>
      </c>
      <c r="L993">
        <v>0</v>
      </c>
      <c r="M993">
        <v>3</v>
      </c>
      <c r="N993">
        <v>5</v>
      </c>
      <c r="O993">
        <v>0</v>
      </c>
      <c r="P993">
        <v>55</v>
      </c>
    </row>
    <row r="994" spans="1:16" x14ac:dyDescent="0.3">
      <c r="A994" s="1">
        <v>45536</v>
      </c>
      <c r="B994" t="s">
        <v>3</v>
      </c>
      <c r="C994" s="9" t="str">
        <f>IFERROR(INDEX(자료실범례[],MATCH($B994,자료실범례[소장처명],0),2),"종합자료실")</f>
        <v>디지털자료실</v>
      </c>
      <c r="D994" t="s">
        <v>25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0</v>
      </c>
      <c r="P994">
        <v>1</v>
      </c>
    </row>
    <row r="995" spans="1:16" x14ac:dyDescent="0.3">
      <c r="A995" s="1">
        <v>45536</v>
      </c>
      <c r="B995" t="s">
        <v>4</v>
      </c>
      <c r="C995" s="9" t="str">
        <f>IFERROR(INDEX(자료실범례[],MATCH($B995,자료실범례[소장처명],0),2),"종합자료실")</f>
        <v>어린이자료실</v>
      </c>
      <c r="D995" t="s">
        <v>28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1</v>
      </c>
      <c r="L995">
        <v>0</v>
      </c>
      <c r="M995">
        <v>2</v>
      </c>
      <c r="N995">
        <v>0</v>
      </c>
      <c r="O995">
        <v>0</v>
      </c>
      <c r="P995">
        <v>3</v>
      </c>
    </row>
    <row r="996" spans="1:16" x14ac:dyDescent="0.3">
      <c r="A996" s="1">
        <v>45536</v>
      </c>
      <c r="B996" t="s">
        <v>4</v>
      </c>
      <c r="C996" s="9" t="str">
        <f>IFERROR(INDEX(자료실범례[],MATCH($B996,자료실범례[소장처명],0),2),"종합자료실")</f>
        <v>어린이자료실</v>
      </c>
      <c r="D996" t="s">
        <v>25</v>
      </c>
      <c r="E996">
        <v>0</v>
      </c>
      <c r="F996">
        <v>0</v>
      </c>
      <c r="G996">
        <v>0</v>
      </c>
      <c r="H996">
        <v>1</v>
      </c>
      <c r="I996">
        <v>0</v>
      </c>
      <c r="J996">
        <v>1</v>
      </c>
      <c r="K996">
        <v>0</v>
      </c>
      <c r="L996">
        <v>0</v>
      </c>
      <c r="M996">
        <v>3</v>
      </c>
      <c r="N996">
        <v>0</v>
      </c>
      <c r="O996">
        <v>0</v>
      </c>
      <c r="P996">
        <v>5</v>
      </c>
    </row>
    <row r="997" spans="1:16" x14ac:dyDescent="0.3">
      <c r="A997" s="1">
        <v>45536</v>
      </c>
      <c r="B997" t="s">
        <v>4</v>
      </c>
      <c r="C997" s="9" t="str">
        <f>IFERROR(INDEX(자료실범례[],MATCH($B997,자료실범례[소장처명],0),2),"종합자료실")</f>
        <v>어린이자료실</v>
      </c>
      <c r="D997" t="s">
        <v>31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O997">
        <v>0</v>
      </c>
      <c r="P997">
        <v>2</v>
      </c>
    </row>
    <row r="998" spans="1:16" x14ac:dyDescent="0.3">
      <c r="A998" s="1">
        <v>45536</v>
      </c>
      <c r="B998" t="s">
        <v>5</v>
      </c>
      <c r="C998" s="9" t="str">
        <f>IFERROR(INDEX(자료실범례[],MATCH($B998,자료실범례[소장처명],0),2),"종합자료실")</f>
        <v>종합자료실</v>
      </c>
      <c r="D998" t="s">
        <v>28</v>
      </c>
      <c r="E998">
        <v>0</v>
      </c>
      <c r="F998">
        <v>11</v>
      </c>
      <c r="G998">
        <v>2</v>
      </c>
      <c r="H998">
        <v>7</v>
      </c>
      <c r="I998">
        <v>0</v>
      </c>
      <c r="J998">
        <v>1</v>
      </c>
      <c r="K998">
        <v>4</v>
      </c>
      <c r="L998">
        <v>0</v>
      </c>
      <c r="M998">
        <v>12</v>
      </c>
      <c r="N998">
        <v>0</v>
      </c>
      <c r="O998">
        <v>0</v>
      </c>
      <c r="P998">
        <v>37</v>
      </c>
    </row>
    <row r="999" spans="1:16" x14ac:dyDescent="0.3">
      <c r="A999" s="1">
        <v>45536</v>
      </c>
      <c r="B999" t="s">
        <v>5</v>
      </c>
      <c r="C999" s="9" t="str">
        <f>IFERROR(INDEX(자료실범례[],MATCH($B999,자료실범례[소장처명],0),2),"종합자료실")</f>
        <v>종합자료실</v>
      </c>
      <c r="D999" t="s">
        <v>25</v>
      </c>
      <c r="E999">
        <v>1</v>
      </c>
      <c r="F999">
        <v>7</v>
      </c>
      <c r="G999">
        <v>4</v>
      </c>
      <c r="H999">
        <v>6</v>
      </c>
      <c r="I999">
        <v>2</v>
      </c>
      <c r="J999">
        <v>8</v>
      </c>
      <c r="K999">
        <v>4</v>
      </c>
      <c r="L999">
        <v>1</v>
      </c>
      <c r="M999">
        <v>17</v>
      </c>
      <c r="N999">
        <v>0</v>
      </c>
      <c r="O999">
        <v>0</v>
      </c>
      <c r="P999">
        <v>50</v>
      </c>
    </row>
    <row r="1000" spans="1:16" x14ac:dyDescent="0.3">
      <c r="A1000" s="1">
        <v>45536</v>
      </c>
      <c r="B1000" t="s">
        <v>5</v>
      </c>
      <c r="C1000" s="9" t="str">
        <f>IFERROR(INDEX(자료실범례[],MATCH($B1000,자료실범례[소장처명],0),2),"종합자료실")</f>
        <v>종합자료실</v>
      </c>
      <c r="D1000" t="s">
        <v>31</v>
      </c>
      <c r="E1000">
        <v>0</v>
      </c>
      <c r="F1000">
        <v>3</v>
      </c>
      <c r="G1000">
        <v>3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4</v>
      </c>
      <c r="N1000">
        <v>0</v>
      </c>
      <c r="O1000">
        <v>0</v>
      </c>
      <c r="P1000">
        <v>11</v>
      </c>
    </row>
    <row r="1001" spans="1:16" x14ac:dyDescent="0.3">
      <c r="A1001" s="1">
        <v>45536</v>
      </c>
      <c r="B1001" t="s">
        <v>7</v>
      </c>
      <c r="C1001" s="9" t="str">
        <f>IFERROR(INDEX(자료실범례[],MATCH($B1001,자료실범례[소장처명],0),2),"종합자료실")</f>
        <v>어린이자료실</v>
      </c>
      <c r="D1001" t="s">
        <v>28</v>
      </c>
      <c r="E1001">
        <v>0</v>
      </c>
      <c r="F1001">
        <v>0</v>
      </c>
      <c r="G1001">
        <v>0</v>
      </c>
      <c r="H1001">
        <v>4</v>
      </c>
      <c r="I1001">
        <v>0</v>
      </c>
      <c r="J1001">
        <v>0</v>
      </c>
      <c r="K1001">
        <v>0</v>
      </c>
      <c r="L1001">
        <v>5</v>
      </c>
      <c r="M1001">
        <v>28</v>
      </c>
      <c r="N1001">
        <v>0</v>
      </c>
      <c r="O1001">
        <v>0</v>
      </c>
      <c r="P1001">
        <v>37</v>
      </c>
    </row>
    <row r="1002" spans="1:16" x14ac:dyDescent="0.3">
      <c r="A1002" s="1">
        <v>45536</v>
      </c>
      <c r="B1002" t="s">
        <v>7</v>
      </c>
      <c r="C1002" s="9" t="str">
        <f>IFERROR(INDEX(자료실범례[],MATCH($B1002,자료실범례[소장처명],0),2),"종합자료실")</f>
        <v>어린이자료실</v>
      </c>
      <c r="D1002" t="s">
        <v>25</v>
      </c>
      <c r="E1002">
        <v>0</v>
      </c>
      <c r="F1002">
        <v>1</v>
      </c>
      <c r="G1002">
        <v>0</v>
      </c>
      <c r="H1002">
        <v>5</v>
      </c>
      <c r="I1002">
        <v>0</v>
      </c>
      <c r="J1002">
        <v>2</v>
      </c>
      <c r="K1002">
        <v>0</v>
      </c>
      <c r="L1002">
        <v>4</v>
      </c>
      <c r="M1002">
        <v>15</v>
      </c>
      <c r="N1002">
        <v>0</v>
      </c>
      <c r="O1002">
        <v>0</v>
      </c>
      <c r="P1002">
        <v>27</v>
      </c>
    </row>
    <row r="1003" spans="1:16" x14ac:dyDescent="0.3">
      <c r="A1003" s="1">
        <v>45536</v>
      </c>
      <c r="B1003" t="s">
        <v>7</v>
      </c>
      <c r="C1003" s="9" t="str">
        <f>IFERROR(INDEX(자료실범례[],MATCH($B1003,자료실범례[소장처명],0),2),"종합자료실")</f>
        <v>어린이자료실</v>
      </c>
      <c r="D1003" t="s">
        <v>31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  <c r="K1003">
        <v>0</v>
      </c>
      <c r="L1003">
        <v>1</v>
      </c>
      <c r="M1003">
        <v>5</v>
      </c>
      <c r="N1003">
        <v>0</v>
      </c>
      <c r="O1003">
        <v>0</v>
      </c>
      <c r="P1003">
        <v>7</v>
      </c>
    </row>
    <row r="1004" spans="1:16" x14ac:dyDescent="0.3">
      <c r="A1004" s="1">
        <v>45536</v>
      </c>
      <c r="B1004" t="s">
        <v>8</v>
      </c>
      <c r="C1004" s="9" t="str">
        <f>IFERROR(INDEX(자료실범례[],MATCH($B1004,자료실범례[소장처명],0),2),"종합자료실")</f>
        <v>어린이자료실</v>
      </c>
      <c r="D1004" t="s">
        <v>28</v>
      </c>
      <c r="E1004">
        <v>0</v>
      </c>
      <c r="F1004">
        <v>2</v>
      </c>
      <c r="G1004">
        <v>0</v>
      </c>
      <c r="H1004">
        <v>5</v>
      </c>
      <c r="I1004">
        <v>2</v>
      </c>
      <c r="J1004">
        <v>0</v>
      </c>
      <c r="K1004">
        <v>0</v>
      </c>
      <c r="L1004">
        <v>0</v>
      </c>
      <c r="M1004">
        <v>10</v>
      </c>
      <c r="N1004">
        <v>1</v>
      </c>
      <c r="O1004">
        <v>0</v>
      </c>
      <c r="P1004">
        <v>20</v>
      </c>
    </row>
    <row r="1005" spans="1:16" x14ac:dyDescent="0.3">
      <c r="A1005" s="1">
        <v>45536</v>
      </c>
      <c r="B1005" t="s">
        <v>8</v>
      </c>
      <c r="C1005" s="9" t="str">
        <f>IFERROR(INDEX(자료실범례[],MATCH($B1005,자료실범례[소장처명],0),2),"종합자료실")</f>
        <v>어린이자료실</v>
      </c>
      <c r="D1005" t="s">
        <v>25</v>
      </c>
      <c r="E1005">
        <v>0</v>
      </c>
      <c r="F1005">
        <v>0</v>
      </c>
      <c r="G1005">
        <v>0</v>
      </c>
      <c r="H1005">
        <v>3</v>
      </c>
      <c r="I1005">
        <v>1</v>
      </c>
      <c r="J1005">
        <v>0</v>
      </c>
      <c r="K1005">
        <v>0</v>
      </c>
      <c r="L1005">
        <v>0</v>
      </c>
      <c r="M1005">
        <v>6</v>
      </c>
      <c r="N1005">
        <v>1</v>
      </c>
      <c r="O1005">
        <v>0</v>
      </c>
      <c r="P1005">
        <v>11</v>
      </c>
    </row>
    <row r="1006" spans="1:16" x14ac:dyDescent="0.3">
      <c r="A1006" s="1">
        <v>45536</v>
      </c>
      <c r="B1006" t="s">
        <v>8</v>
      </c>
      <c r="C1006" s="9" t="str">
        <f>IFERROR(INDEX(자료실범례[],MATCH($B1006,자료실범례[소장처명],0),2),"종합자료실")</f>
        <v>어린이자료실</v>
      </c>
      <c r="D1006" t="s">
        <v>31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2</v>
      </c>
      <c r="N1006">
        <v>0</v>
      </c>
      <c r="O1006">
        <v>0</v>
      </c>
      <c r="P1006">
        <v>2</v>
      </c>
    </row>
    <row r="1007" spans="1:16" x14ac:dyDescent="0.3">
      <c r="A1007" s="1">
        <v>45536</v>
      </c>
      <c r="B1007" t="s">
        <v>9</v>
      </c>
      <c r="C1007" s="9" t="str">
        <f>IFERROR(INDEX(자료실범례[],MATCH($B1007,자료실범례[소장처명],0),2),"종합자료실")</f>
        <v>어린이자료실</v>
      </c>
      <c r="D1007" t="s">
        <v>28</v>
      </c>
      <c r="E1007">
        <v>0</v>
      </c>
      <c r="F1007">
        <v>0</v>
      </c>
      <c r="G1007">
        <v>0</v>
      </c>
      <c r="H1007">
        <v>1</v>
      </c>
      <c r="I1007">
        <v>1</v>
      </c>
      <c r="J1007">
        <v>0</v>
      </c>
      <c r="K1007">
        <v>0</v>
      </c>
      <c r="L1007">
        <v>0</v>
      </c>
      <c r="M1007">
        <v>9</v>
      </c>
      <c r="N1007">
        <v>0</v>
      </c>
      <c r="O1007">
        <v>0</v>
      </c>
      <c r="P1007">
        <v>11</v>
      </c>
    </row>
    <row r="1008" spans="1:16" x14ac:dyDescent="0.3">
      <c r="A1008" s="1">
        <v>45536</v>
      </c>
      <c r="B1008" t="s">
        <v>9</v>
      </c>
      <c r="C1008" s="9" t="str">
        <f>IFERROR(INDEX(자료실범례[],MATCH($B1008,자료실범례[소장처명],0),2),"종합자료실")</f>
        <v>어린이자료실</v>
      </c>
      <c r="D1008" t="s">
        <v>25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9</v>
      </c>
      <c r="N1008">
        <v>0</v>
      </c>
      <c r="O1008">
        <v>0</v>
      </c>
      <c r="P1008">
        <v>10</v>
      </c>
    </row>
    <row r="1009" spans="1:16" x14ac:dyDescent="0.3">
      <c r="A1009" s="1">
        <v>45536</v>
      </c>
      <c r="B1009" t="s">
        <v>10</v>
      </c>
      <c r="C1009" s="9" t="str">
        <f>IFERROR(INDEX(자료실범례[],MATCH($B1009,자료실범례[소장처명],0),2),"종합자료실")</f>
        <v>어린이자료실</v>
      </c>
      <c r="D1009" t="s">
        <v>28</v>
      </c>
      <c r="E1009">
        <v>0</v>
      </c>
      <c r="F1009">
        <v>0</v>
      </c>
      <c r="G1009">
        <v>0</v>
      </c>
      <c r="H1009">
        <v>0</v>
      </c>
      <c r="I1009">
        <v>4</v>
      </c>
      <c r="J1009">
        <v>1</v>
      </c>
      <c r="K1009">
        <v>0</v>
      </c>
      <c r="L1009">
        <v>0</v>
      </c>
      <c r="M1009">
        <v>4</v>
      </c>
      <c r="N1009">
        <v>0</v>
      </c>
      <c r="O1009">
        <v>0</v>
      </c>
      <c r="P1009">
        <v>9</v>
      </c>
    </row>
    <row r="1010" spans="1:16" x14ac:dyDescent="0.3">
      <c r="A1010" s="1">
        <v>45536</v>
      </c>
      <c r="B1010" t="s">
        <v>10</v>
      </c>
      <c r="C1010" s="9" t="str">
        <f>IFERROR(INDEX(자료실범례[],MATCH($B1010,자료실범례[소장처명],0),2),"종합자료실")</f>
        <v>어린이자료실</v>
      </c>
      <c r="D1010" t="s">
        <v>25</v>
      </c>
      <c r="E1010">
        <v>0</v>
      </c>
      <c r="F1010">
        <v>0</v>
      </c>
      <c r="G1010">
        <v>0</v>
      </c>
      <c r="H1010">
        <v>0</v>
      </c>
      <c r="I1010">
        <v>4</v>
      </c>
      <c r="J1010">
        <v>0</v>
      </c>
      <c r="K1010">
        <v>0</v>
      </c>
      <c r="L1010">
        <v>0</v>
      </c>
      <c r="M1010">
        <v>3</v>
      </c>
      <c r="N1010">
        <v>0</v>
      </c>
      <c r="O1010">
        <v>0</v>
      </c>
      <c r="P1010">
        <v>7</v>
      </c>
    </row>
    <row r="1011" spans="1:16" x14ac:dyDescent="0.3">
      <c r="A1011" s="1">
        <v>45536</v>
      </c>
      <c r="B1011" t="s">
        <v>10</v>
      </c>
      <c r="C1011" s="9" t="str">
        <f>IFERROR(INDEX(자료실범례[],MATCH($B1011,자료실범례[소장처명],0),2),"종합자료실")</f>
        <v>어린이자료실</v>
      </c>
      <c r="D1011" t="s">
        <v>31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1</v>
      </c>
      <c r="N1011">
        <v>0</v>
      </c>
      <c r="O1011">
        <v>0</v>
      </c>
      <c r="P1011">
        <v>2</v>
      </c>
    </row>
    <row r="1012" spans="1:16" x14ac:dyDescent="0.3">
      <c r="A1012" s="1">
        <v>45536</v>
      </c>
      <c r="B1012" t="s">
        <v>11</v>
      </c>
      <c r="C1012" s="9" t="str">
        <f>IFERROR(INDEX(자료실범례[],MATCH($B1012,자료실범례[소장처명],0),2),"종합자료실")</f>
        <v>어린이자료실</v>
      </c>
      <c r="D1012" t="s">
        <v>28</v>
      </c>
      <c r="E1012">
        <v>0</v>
      </c>
      <c r="F1012">
        <v>0</v>
      </c>
      <c r="G1012">
        <v>0</v>
      </c>
      <c r="H1012">
        <v>1</v>
      </c>
      <c r="I1012">
        <v>0</v>
      </c>
      <c r="J1012">
        <v>1</v>
      </c>
      <c r="K1012">
        <v>0</v>
      </c>
      <c r="L1012">
        <v>0</v>
      </c>
      <c r="M1012">
        <v>12</v>
      </c>
      <c r="N1012">
        <v>5</v>
      </c>
      <c r="O1012">
        <v>0</v>
      </c>
      <c r="P1012">
        <v>19</v>
      </c>
    </row>
    <row r="1013" spans="1:16" x14ac:dyDescent="0.3">
      <c r="A1013" s="1">
        <v>45536</v>
      </c>
      <c r="B1013" t="s">
        <v>11</v>
      </c>
      <c r="C1013" s="9" t="str">
        <f>IFERROR(INDEX(자료실범례[],MATCH($B1013,자료실범례[소장처명],0),2),"종합자료실")</f>
        <v>어린이자료실</v>
      </c>
      <c r="D1013" t="s">
        <v>25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1</v>
      </c>
      <c r="K1013">
        <v>0</v>
      </c>
      <c r="L1013">
        <v>0</v>
      </c>
      <c r="M1013">
        <v>15</v>
      </c>
      <c r="N1013">
        <v>5</v>
      </c>
      <c r="O1013">
        <v>0</v>
      </c>
      <c r="P1013">
        <v>22</v>
      </c>
    </row>
    <row r="1014" spans="1:16" x14ac:dyDescent="0.3">
      <c r="A1014" s="1">
        <v>45536</v>
      </c>
      <c r="B1014" t="s">
        <v>11</v>
      </c>
      <c r="C1014" s="9" t="str">
        <f>IFERROR(INDEX(자료실범례[],MATCH($B1014,자료실범례[소장처명],0),2),"종합자료실")</f>
        <v>어린이자료실</v>
      </c>
      <c r="D1014" t="s">
        <v>31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2</v>
      </c>
      <c r="K1014">
        <v>0</v>
      </c>
      <c r="L1014">
        <v>0</v>
      </c>
      <c r="M1014">
        <v>2</v>
      </c>
      <c r="N1014">
        <v>2</v>
      </c>
      <c r="O1014">
        <v>0</v>
      </c>
      <c r="P1014">
        <v>7</v>
      </c>
    </row>
    <row r="1015" spans="1:16" x14ac:dyDescent="0.3">
      <c r="A1015" s="1">
        <v>45536</v>
      </c>
      <c r="B1015" t="s">
        <v>12</v>
      </c>
      <c r="C1015" s="9" t="str">
        <f>IFERROR(INDEX(자료실범례[],MATCH($B1015,자료실범례[소장처명],0),2),"종합자료실")</f>
        <v>어린이자료실</v>
      </c>
      <c r="D1015" t="s">
        <v>28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1</v>
      </c>
    </row>
    <row r="1016" spans="1:16" x14ac:dyDescent="0.3">
      <c r="A1016" s="1">
        <v>45536</v>
      </c>
      <c r="B1016" t="s">
        <v>12</v>
      </c>
      <c r="C1016" s="9" t="str">
        <f>IFERROR(INDEX(자료실범례[],MATCH($B1016,자료실범례[소장처명],0),2),"종합자료실")</f>
        <v>어린이자료실</v>
      </c>
      <c r="D1016" t="s">
        <v>25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1</v>
      </c>
      <c r="K1016">
        <v>0</v>
      </c>
      <c r="L1016">
        <v>0</v>
      </c>
      <c r="M1016">
        <v>1</v>
      </c>
      <c r="N1016">
        <v>0</v>
      </c>
      <c r="O1016">
        <v>0</v>
      </c>
      <c r="P1016">
        <v>2</v>
      </c>
    </row>
    <row r="1017" spans="1:16" x14ac:dyDescent="0.3">
      <c r="A1017" s="1">
        <v>45536</v>
      </c>
      <c r="B1017" t="s">
        <v>0</v>
      </c>
      <c r="C1017" s="9" t="str">
        <f>IFERROR(INDEX(자료실범례[],MATCH($B1017,자료실범례[소장처명],0),2),"종합자료실")</f>
        <v>어린이자료실</v>
      </c>
      <c r="D1017" t="s">
        <v>28</v>
      </c>
      <c r="E1017">
        <v>0</v>
      </c>
      <c r="F1017">
        <v>0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10</v>
      </c>
      <c r="M1017">
        <v>18</v>
      </c>
      <c r="N1017">
        <v>0</v>
      </c>
      <c r="O1017">
        <v>0</v>
      </c>
      <c r="P1017">
        <v>29</v>
      </c>
    </row>
    <row r="1018" spans="1:16" x14ac:dyDescent="0.3">
      <c r="A1018" s="1">
        <v>45536</v>
      </c>
      <c r="B1018" t="s">
        <v>0</v>
      </c>
      <c r="C1018" s="9" t="str">
        <f>IFERROR(INDEX(자료실범례[],MATCH($B1018,자료실범례[소장처명],0),2),"종합자료실")</f>
        <v>어린이자료실</v>
      </c>
      <c r="D1018" t="s">
        <v>25</v>
      </c>
      <c r="E1018">
        <v>0</v>
      </c>
      <c r="F1018">
        <v>0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12</v>
      </c>
      <c r="M1018">
        <v>21</v>
      </c>
      <c r="N1018">
        <v>0</v>
      </c>
      <c r="O1018">
        <v>0</v>
      </c>
      <c r="P1018">
        <v>34</v>
      </c>
    </row>
    <row r="1019" spans="1:16" x14ac:dyDescent="0.3">
      <c r="A1019" s="1">
        <v>45536</v>
      </c>
      <c r="B1019" t="s">
        <v>0</v>
      </c>
      <c r="C1019" s="9" t="str">
        <f>IFERROR(INDEX(자료실범례[],MATCH($B1019,자료실범례[소장처명],0),2),"종합자료실")</f>
        <v>어린이자료실</v>
      </c>
      <c r="D1019" t="s">
        <v>31</v>
      </c>
      <c r="E1019">
        <v>0</v>
      </c>
      <c r="F1019">
        <v>0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1</v>
      </c>
      <c r="M1019">
        <v>4</v>
      </c>
      <c r="N1019">
        <v>0</v>
      </c>
      <c r="O1019">
        <v>0</v>
      </c>
      <c r="P1019">
        <v>6</v>
      </c>
    </row>
    <row r="1020" spans="1:16" x14ac:dyDescent="0.3">
      <c r="A1020" s="1">
        <v>45536</v>
      </c>
      <c r="B1020" t="s">
        <v>1</v>
      </c>
      <c r="C1020" s="9" t="str">
        <f>IFERROR(INDEX(자료실범례[],MATCH($B1020,자료실범례[소장처명],0),2),"종합자료실")</f>
        <v>어린이자료실</v>
      </c>
      <c r="D1020" t="s">
        <v>28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33</v>
      </c>
      <c r="M1020">
        <v>4</v>
      </c>
      <c r="N1020">
        <v>0</v>
      </c>
      <c r="O1020">
        <v>0</v>
      </c>
      <c r="P1020">
        <v>37</v>
      </c>
    </row>
    <row r="1021" spans="1:16" x14ac:dyDescent="0.3">
      <c r="A1021" s="1">
        <v>45536</v>
      </c>
      <c r="B1021" t="s">
        <v>1</v>
      </c>
      <c r="C1021" s="9" t="str">
        <f>IFERROR(INDEX(자료실범례[],MATCH($B1021,자료실범례[소장처명],0),2),"종합자료실")</f>
        <v>어린이자료실</v>
      </c>
      <c r="D1021" t="s">
        <v>25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41</v>
      </c>
      <c r="M1021">
        <v>6</v>
      </c>
      <c r="N1021">
        <v>0</v>
      </c>
      <c r="O1021">
        <v>0</v>
      </c>
      <c r="P1021">
        <v>47</v>
      </c>
    </row>
    <row r="1022" spans="1:16" x14ac:dyDescent="0.3">
      <c r="A1022" s="1">
        <v>45536</v>
      </c>
      <c r="B1022" t="s">
        <v>6</v>
      </c>
      <c r="C1022" s="9" t="str">
        <f>IFERROR(INDEX(자료실범례[],MATCH($B1022,자료실범례[소장처명],0),2),"종합자료실")</f>
        <v>종합자료실</v>
      </c>
      <c r="D1022" t="s">
        <v>28</v>
      </c>
      <c r="E1022">
        <v>0</v>
      </c>
      <c r="F1022">
        <v>2</v>
      </c>
      <c r="G1022">
        <v>2</v>
      </c>
      <c r="H1022">
        <v>2</v>
      </c>
      <c r="I1022">
        <v>2</v>
      </c>
      <c r="J1022">
        <v>4</v>
      </c>
      <c r="K1022">
        <v>2</v>
      </c>
      <c r="L1022">
        <v>0</v>
      </c>
      <c r="M1022">
        <v>31</v>
      </c>
      <c r="N1022">
        <v>1</v>
      </c>
      <c r="O1022">
        <v>0</v>
      </c>
      <c r="P1022">
        <v>46</v>
      </c>
    </row>
    <row r="1023" spans="1:16" x14ac:dyDescent="0.3">
      <c r="A1023" s="1">
        <v>45536</v>
      </c>
      <c r="B1023" t="s">
        <v>6</v>
      </c>
      <c r="C1023" s="9" t="str">
        <f>IFERROR(INDEX(자료실범례[],MATCH($B1023,자료실범례[소장처명],0),2),"종합자료실")</f>
        <v>종합자료실</v>
      </c>
      <c r="D1023" t="s">
        <v>25</v>
      </c>
      <c r="E1023">
        <v>1</v>
      </c>
      <c r="F1023">
        <v>3</v>
      </c>
      <c r="G1023">
        <v>2</v>
      </c>
      <c r="H1023">
        <v>3</v>
      </c>
      <c r="I1023">
        <v>1</v>
      </c>
      <c r="J1023">
        <v>3</v>
      </c>
      <c r="K1023">
        <v>1</v>
      </c>
      <c r="L1023">
        <v>1</v>
      </c>
      <c r="M1023">
        <v>33</v>
      </c>
      <c r="N1023">
        <v>0</v>
      </c>
      <c r="O1023">
        <v>0</v>
      </c>
      <c r="P1023">
        <v>48</v>
      </c>
    </row>
    <row r="1024" spans="1:16" x14ac:dyDescent="0.3">
      <c r="A1024" s="1">
        <v>45536</v>
      </c>
      <c r="B1024" t="s">
        <v>6</v>
      </c>
      <c r="C1024" s="9" t="str">
        <f>IFERROR(INDEX(자료실범례[],MATCH($B1024,자료실범례[소장처명],0),2),"종합자료실")</f>
        <v>종합자료실</v>
      </c>
      <c r="D1024" t="s">
        <v>31</v>
      </c>
      <c r="E1024">
        <v>0</v>
      </c>
      <c r="F1024">
        <v>0</v>
      </c>
      <c r="G1024">
        <v>0</v>
      </c>
      <c r="H1024">
        <v>0</v>
      </c>
      <c r="I1024">
        <v>2</v>
      </c>
      <c r="J1024">
        <v>0</v>
      </c>
      <c r="K1024">
        <v>0</v>
      </c>
      <c r="L1024">
        <v>0</v>
      </c>
      <c r="M1024">
        <v>2</v>
      </c>
      <c r="N1024">
        <v>1</v>
      </c>
      <c r="O1024">
        <v>0</v>
      </c>
      <c r="P1024">
        <v>5</v>
      </c>
    </row>
    <row r="1025" spans="1:16" x14ac:dyDescent="0.3">
      <c r="A1025" s="1">
        <v>45536</v>
      </c>
      <c r="B1025" t="s">
        <v>18</v>
      </c>
      <c r="C1025" s="9" t="str">
        <f>IFERROR(INDEX(자료실범례[],MATCH($B1025,자료실범례[소장처명],0),2),"종합자료실")</f>
        <v>종합자료실</v>
      </c>
      <c r="D1025" t="s">
        <v>25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3</v>
      </c>
      <c r="P1025">
        <v>3</v>
      </c>
    </row>
    <row r="1026" spans="1:16" x14ac:dyDescent="0.3">
      <c r="A1026" s="1">
        <v>45536</v>
      </c>
      <c r="B1026" t="s">
        <v>17</v>
      </c>
      <c r="C1026" s="9" t="str">
        <f>IFERROR(INDEX(자료실범례[],MATCH($B1026,자료실범례[소장처명],0),2),"종합자료실")</f>
        <v>어린이자료실</v>
      </c>
      <c r="D1026" t="s">
        <v>28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6</v>
      </c>
      <c r="P1026">
        <v>6</v>
      </c>
    </row>
    <row r="1027" spans="1:16" x14ac:dyDescent="0.3">
      <c r="A1027" s="1">
        <v>45536</v>
      </c>
      <c r="B1027" t="s">
        <v>17</v>
      </c>
      <c r="C1027" s="9" t="str">
        <f>IFERROR(INDEX(자료실범례[],MATCH($B1027,자료실범례[소장처명],0),2),"종합자료실")</f>
        <v>어린이자료실</v>
      </c>
      <c r="D1027" t="s">
        <v>25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7</v>
      </c>
      <c r="P1027">
        <v>7</v>
      </c>
    </row>
    <row r="1028" spans="1:16" x14ac:dyDescent="0.3">
      <c r="A1028" s="1">
        <v>45536</v>
      </c>
      <c r="B1028" t="s">
        <v>17</v>
      </c>
      <c r="C1028" s="9" t="str">
        <f>IFERROR(INDEX(자료실범례[],MATCH($B1028,자료실범례[소장처명],0),2),"종합자료실")</f>
        <v>어린이자료실</v>
      </c>
      <c r="D1028" t="s">
        <v>31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3</v>
      </c>
      <c r="P1028">
        <v>3</v>
      </c>
    </row>
    <row r="1029" spans="1:16" x14ac:dyDescent="0.3">
      <c r="A1029" s="1">
        <v>45170</v>
      </c>
      <c r="B1029" t="s">
        <v>21</v>
      </c>
      <c r="C1029" s="9" t="str">
        <f>IFERROR(INDEX(자료실범례[],MATCH($B1029,자료실범례[소장처명],0),2),"종합자료실")</f>
        <v>종합자료실</v>
      </c>
      <c r="D1029" t="s">
        <v>28</v>
      </c>
      <c r="E1029">
        <v>61</v>
      </c>
      <c r="F1029">
        <v>144</v>
      </c>
      <c r="G1029">
        <v>29</v>
      </c>
      <c r="H1029">
        <v>260</v>
      </c>
      <c r="I1029">
        <v>58</v>
      </c>
      <c r="J1029">
        <v>201</v>
      </c>
      <c r="K1029">
        <v>65</v>
      </c>
      <c r="L1029">
        <v>44</v>
      </c>
      <c r="M1029">
        <v>607</v>
      </c>
      <c r="N1029">
        <v>78</v>
      </c>
      <c r="O1029">
        <v>0</v>
      </c>
      <c r="P1029">
        <v>1547</v>
      </c>
    </row>
    <row r="1030" spans="1:16" x14ac:dyDescent="0.3">
      <c r="A1030" s="1">
        <v>45170</v>
      </c>
      <c r="B1030" t="s">
        <v>21</v>
      </c>
      <c r="C1030" s="9" t="str">
        <f>IFERROR(INDEX(자료실범례[],MATCH($B1030,자료실범례[소장처명],0),2),"종합자료실")</f>
        <v>종합자료실</v>
      </c>
      <c r="D1030" t="s">
        <v>25</v>
      </c>
      <c r="E1030">
        <v>55</v>
      </c>
      <c r="F1030">
        <v>127</v>
      </c>
      <c r="G1030">
        <v>30</v>
      </c>
      <c r="H1030">
        <v>267</v>
      </c>
      <c r="I1030">
        <v>49</v>
      </c>
      <c r="J1030">
        <v>184</v>
      </c>
      <c r="K1030">
        <v>56</v>
      </c>
      <c r="L1030">
        <v>41</v>
      </c>
      <c r="M1030">
        <v>557</v>
      </c>
      <c r="N1030">
        <v>85</v>
      </c>
      <c r="O1030">
        <v>0</v>
      </c>
      <c r="P1030">
        <v>1451</v>
      </c>
    </row>
    <row r="1031" spans="1:16" x14ac:dyDescent="0.3">
      <c r="A1031" s="1">
        <v>45170</v>
      </c>
      <c r="B1031" t="s">
        <v>21</v>
      </c>
      <c r="C1031" s="9" t="str">
        <f>IFERROR(INDEX(자료실범례[],MATCH($B1031,자료실범례[소장처명],0),2),"종합자료실")</f>
        <v>종합자료실</v>
      </c>
      <c r="D1031" t="s">
        <v>31</v>
      </c>
      <c r="E1031">
        <v>28</v>
      </c>
      <c r="F1031">
        <v>57</v>
      </c>
      <c r="G1031">
        <v>21</v>
      </c>
      <c r="H1031">
        <v>100</v>
      </c>
      <c r="I1031">
        <v>25</v>
      </c>
      <c r="J1031">
        <v>48</v>
      </c>
      <c r="K1031">
        <v>27</v>
      </c>
      <c r="L1031">
        <v>13</v>
      </c>
      <c r="M1031">
        <v>200</v>
      </c>
      <c r="N1031">
        <v>20</v>
      </c>
      <c r="O1031">
        <v>0</v>
      </c>
      <c r="P1031">
        <v>539</v>
      </c>
    </row>
    <row r="1032" spans="1:16" x14ac:dyDescent="0.3">
      <c r="A1032" s="1">
        <v>45170</v>
      </c>
      <c r="B1032" t="s">
        <v>16</v>
      </c>
      <c r="C1032" s="9" t="str">
        <f>IFERROR(INDEX(자료실범례[],MATCH($B1032,자료실범례[소장처명],0),2),"종합자료실")</f>
        <v>어린이자료실</v>
      </c>
      <c r="D1032" t="s">
        <v>28</v>
      </c>
      <c r="E1032">
        <v>26</v>
      </c>
      <c r="F1032">
        <v>12</v>
      </c>
      <c r="G1032">
        <v>1</v>
      </c>
      <c r="H1032">
        <v>128</v>
      </c>
      <c r="I1032">
        <v>132</v>
      </c>
      <c r="J1032">
        <v>47</v>
      </c>
      <c r="K1032">
        <v>18</v>
      </c>
      <c r="L1032">
        <v>41</v>
      </c>
      <c r="M1032">
        <v>823</v>
      </c>
      <c r="N1032">
        <v>73</v>
      </c>
      <c r="O1032">
        <v>0</v>
      </c>
      <c r="P1032">
        <v>1301</v>
      </c>
    </row>
    <row r="1033" spans="1:16" x14ac:dyDescent="0.3">
      <c r="A1033" s="1">
        <v>45170</v>
      </c>
      <c r="B1033" t="s">
        <v>16</v>
      </c>
      <c r="C1033" s="9" t="str">
        <f>IFERROR(INDEX(자료실범례[],MATCH($B1033,자료실범례[소장처명],0),2),"종합자료실")</f>
        <v>어린이자료실</v>
      </c>
      <c r="D1033" t="s">
        <v>25</v>
      </c>
      <c r="E1033">
        <v>27</v>
      </c>
      <c r="F1033">
        <v>23</v>
      </c>
      <c r="G1033">
        <v>7</v>
      </c>
      <c r="H1033">
        <v>144</v>
      </c>
      <c r="I1033">
        <v>173</v>
      </c>
      <c r="J1033">
        <v>39</v>
      </c>
      <c r="K1033">
        <v>20</v>
      </c>
      <c r="L1033">
        <v>38</v>
      </c>
      <c r="M1033">
        <v>919</v>
      </c>
      <c r="N1033">
        <v>69</v>
      </c>
      <c r="O1033">
        <v>0</v>
      </c>
      <c r="P1033">
        <v>1459</v>
      </c>
    </row>
    <row r="1034" spans="1:16" x14ac:dyDescent="0.3">
      <c r="A1034" s="1">
        <v>45170</v>
      </c>
      <c r="B1034" t="s">
        <v>16</v>
      </c>
      <c r="C1034" s="9" t="str">
        <f>IFERROR(INDEX(자료실범례[],MATCH($B1034,자료실범례[소장처명],0),2),"종합자료실")</f>
        <v>어린이자료실</v>
      </c>
      <c r="D1034" t="s">
        <v>31</v>
      </c>
      <c r="E1034">
        <v>2</v>
      </c>
      <c r="F1034">
        <v>9</v>
      </c>
      <c r="G1034">
        <v>0</v>
      </c>
      <c r="H1034">
        <v>22</v>
      </c>
      <c r="I1034">
        <v>17</v>
      </c>
      <c r="J1034">
        <v>3</v>
      </c>
      <c r="K1034">
        <v>1</v>
      </c>
      <c r="L1034">
        <v>6</v>
      </c>
      <c r="M1034">
        <v>127</v>
      </c>
      <c r="N1034">
        <v>9</v>
      </c>
      <c r="O1034">
        <v>0</v>
      </c>
      <c r="P1034">
        <v>196</v>
      </c>
    </row>
    <row r="1035" spans="1:16" x14ac:dyDescent="0.3">
      <c r="A1035" s="1">
        <v>45170</v>
      </c>
      <c r="B1035" t="s">
        <v>2</v>
      </c>
      <c r="C1035" s="9" t="str">
        <f>IFERROR(INDEX(자료실범례[],MATCH($B1035,자료실범례[소장처명],0),2),"종합자료실")</f>
        <v>디지털자료실</v>
      </c>
      <c r="D1035" t="s">
        <v>28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1</v>
      </c>
      <c r="K1035">
        <v>15</v>
      </c>
      <c r="L1035">
        <v>0</v>
      </c>
      <c r="M1035">
        <v>0</v>
      </c>
      <c r="N1035">
        <v>0</v>
      </c>
      <c r="O1035">
        <v>0</v>
      </c>
      <c r="P1035">
        <v>16</v>
      </c>
    </row>
    <row r="1036" spans="1:16" x14ac:dyDescent="0.3">
      <c r="A1036" s="1">
        <v>45170</v>
      </c>
      <c r="B1036" t="s">
        <v>2</v>
      </c>
      <c r="C1036" s="9" t="str">
        <f>IFERROR(INDEX(자료실범례[],MATCH($B1036,자료실범례[소장처명],0),2),"종합자료실")</f>
        <v>디지털자료실</v>
      </c>
      <c r="D1036" t="s">
        <v>25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1</v>
      </c>
      <c r="K1036">
        <v>11</v>
      </c>
      <c r="L1036">
        <v>0</v>
      </c>
      <c r="M1036">
        <v>0</v>
      </c>
      <c r="N1036">
        <v>0</v>
      </c>
      <c r="O1036">
        <v>0</v>
      </c>
      <c r="P1036">
        <v>12</v>
      </c>
    </row>
    <row r="1037" spans="1:16" x14ac:dyDescent="0.3">
      <c r="A1037" s="1">
        <v>45170</v>
      </c>
      <c r="B1037" t="s">
        <v>19</v>
      </c>
      <c r="C1037" s="9" t="str">
        <f>IFERROR(INDEX(자료실범례[],MATCH($B1037,자료실범례[소장처명],0),2),"종합자료실")</f>
        <v>종합자료실</v>
      </c>
      <c r="D1037" t="s">
        <v>28</v>
      </c>
      <c r="E1037">
        <v>3</v>
      </c>
      <c r="F1037">
        <v>3</v>
      </c>
      <c r="G1037">
        <v>0</v>
      </c>
      <c r="H1037">
        <v>1</v>
      </c>
      <c r="I1037">
        <v>1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9</v>
      </c>
    </row>
    <row r="1038" spans="1:16" x14ac:dyDescent="0.3">
      <c r="A1038" s="1">
        <v>45170</v>
      </c>
      <c r="B1038" t="s">
        <v>19</v>
      </c>
      <c r="C1038" s="9" t="str">
        <f>IFERROR(INDEX(자료실범례[],MATCH($B1038,자료실범례[소장처명],0),2),"종합자료실")</f>
        <v>종합자료실</v>
      </c>
      <c r="D1038" t="s">
        <v>25</v>
      </c>
      <c r="E1038">
        <v>2</v>
      </c>
      <c r="F1038">
        <v>1</v>
      </c>
      <c r="G1038">
        <v>0</v>
      </c>
      <c r="H1038">
        <v>3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7</v>
      </c>
    </row>
    <row r="1039" spans="1:16" x14ac:dyDescent="0.3">
      <c r="A1039" s="1">
        <v>45170</v>
      </c>
      <c r="B1039" t="s">
        <v>19</v>
      </c>
      <c r="C1039" s="9" t="str">
        <f>IFERROR(INDEX(자료실범례[],MATCH($B1039,자료실범례[소장처명],0),2),"종합자료실")</f>
        <v>종합자료실</v>
      </c>
      <c r="D1039" t="s">
        <v>31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1</v>
      </c>
    </row>
    <row r="1040" spans="1:16" x14ac:dyDescent="0.3">
      <c r="A1040" s="1">
        <v>45170</v>
      </c>
      <c r="B1040" t="s">
        <v>13</v>
      </c>
      <c r="C1040" s="9" t="str">
        <f>IFERROR(INDEX(자료실범례[],MATCH($B1040,자료실범례[소장처명],0),2),"종합자료실")</f>
        <v>어린이자료실</v>
      </c>
      <c r="D1040" t="s">
        <v>28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2</v>
      </c>
      <c r="L1040">
        <v>0</v>
      </c>
      <c r="M1040">
        <v>1</v>
      </c>
      <c r="N1040">
        <v>0</v>
      </c>
      <c r="O1040">
        <v>0</v>
      </c>
      <c r="P1040">
        <v>3</v>
      </c>
    </row>
    <row r="1041" spans="1:16" x14ac:dyDescent="0.3">
      <c r="A1041" s="1">
        <v>45170</v>
      </c>
      <c r="B1041" t="s">
        <v>13</v>
      </c>
      <c r="C1041" s="9" t="str">
        <f>IFERROR(INDEX(자료실범례[],MATCH($B1041,자료실범례[소장처명],0),2),"종합자료실")</f>
        <v>어린이자료실</v>
      </c>
      <c r="D1041" t="s">
        <v>25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1</v>
      </c>
      <c r="N1041">
        <v>0</v>
      </c>
      <c r="O1041">
        <v>0</v>
      </c>
      <c r="P1041">
        <v>2</v>
      </c>
    </row>
    <row r="1042" spans="1:16" x14ac:dyDescent="0.3">
      <c r="A1042" s="1">
        <v>45170</v>
      </c>
      <c r="B1042" t="s">
        <v>15</v>
      </c>
      <c r="C1042" s="9" t="str">
        <f>IFERROR(INDEX(자료실범례[],MATCH($B1042,자료실범례[소장처명],0),2),"종합자료실")</f>
        <v>어린이자료실</v>
      </c>
      <c r="D1042" t="s">
        <v>28</v>
      </c>
      <c r="E1042">
        <v>2</v>
      </c>
      <c r="F1042">
        <v>0</v>
      </c>
      <c r="G1042">
        <v>9</v>
      </c>
      <c r="H1042">
        <v>4</v>
      </c>
      <c r="I1042">
        <v>231</v>
      </c>
      <c r="J1042">
        <v>43</v>
      </c>
      <c r="K1042">
        <v>0</v>
      </c>
      <c r="L1042">
        <v>76</v>
      </c>
      <c r="M1042">
        <v>46</v>
      </c>
      <c r="N1042">
        <v>78</v>
      </c>
      <c r="O1042">
        <v>0</v>
      </c>
      <c r="P1042">
        <v>489</v>
      </c>
    </row>
    <row r="1043" spans="1:16" x14ac:dyDescent="0.3">
      <c r="A1043" s="1">
        <v>45170</v>
      </c>
      <c r="B1043" t="s">
        <v>15</v>
      </c>
      <c r="C1043" s="9" t="str">
        <f>IFERROR(INDEX(자료실범례[],MATCH($B1043,자료실범례[소장처명],0),2),"종합자료실")</f>
        <v>어린이자료실</v>
      </c>
      <c r="D1043" t="s">
        <v>25</v>
      </c>
      <c r="E1043">
        <v>3</v>
      </c>
      <c r="F1043">
        <v>0</v>
      </c>
      <c r="G1043">
        <v>6</v>
      </c>
      <c r="H1043">
        <v>7</v>
      </c>
      <c r="I1043">
        <v>235</v>
      </c>
      <c r="J1043">
        <v>31</v>
      </c>
      <c r="K1043">
        <v>1</v>
      </c>
      <c r="L1043">
        <v>61</v>
      </c>
      <c r="M1043">
        <v>28</v>
      </c>
      <c r="N1043">
        <v>118</v>
      </c>
      <c r="O1043">
        <v>0</v>
      </c>
      <c r="P1043">
        <v>490</v>
      </c>
    </row>
    <row r="1044" spans="1:16" x14ac:dyDescent="0.3">
      <c r="A1044" s="1">
        <v>45170</v>
      </c>
      <c r="B1044" t="s">
        <v>15</v>
      </c>
      <c r="C1044" s="9" t="str">
        <f>IFERROR(INDEX(자료실범례[],MATCH($B1044,자료실범례[소장처명],0),2),"종합자료실")</f>
        <v>어린이자료실</v>
      </c>
      <c r="D1044" t="s">
        <v>31</v>
      </c>
      <c r="E1044">
        <v>0</v>
      </c>
      <c r="F1044">
        <v>0</v>
      </c>
      <c r="G1044">
        <v>0</v>
      </c>
      <c r="H1044">
        <v>0</v>
      </c>
      <c r="I1044">
        <v>13</v>
      </c>
      <c r="J1044">
        <v>0</v>
      </c>
      <c r="K1044">
        <v>0</v>
      </c>
      <c r="L1044">
        <v>4</v>
      </c>
      <c r="M1044">
        <v>0</v>
      </c>
      <c r="N1044">
        <v>16</v>
      </c>
      <c r="O1044">
        <v>0</v>
      </c>
      <c r="P1044">
        <v>33</v>
      </c>
    </row>
    <row r="1045" spans="1:16" x14ac:dyDescent="0.3">
      <c r="A1045" s="1">
        <v>45170</v>
      </c>
      <c r="B1045" t="s">
        <v>20</v>
      </c>
      <c r="C1045" s="9" t="str">
        <f>IFERROR(INDEX(자료실범례[],MATCH($B1045,자료실범례[소장처명],0),2),"종합자료실")</f>
        <v>종합자료실</v>
      </c>
      <c r="D1045" t="s">
        <v>28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1</v>
      </c>
    </row>
    <row r="1046" spans="1:16" x14ac:dyDescent="0.3">
      <c r="A1046" s="1">
        <v>45170</v>
      </c>
      <c r="B1046" t="s">
        <v>20</v>
      </c>
      <c r="C1046" s="9" t="str">
        <f>IFERROR(INDEX(자료실범례[],MATCH($B1046,자료실범례[소장처명],0),2),"종합자료실")</f>
        <v>종합자료실</v>
      </c>
      <c r="D1046" t="s">
        <v>25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</v>
      </c>
      <c r="K1046">
        <v>1</v>
      </c>
      <c r="L1046">
        <v>0</v>
      </c>
      <c r="M1046">
        <v>1</v>
      </c>
      <c r="N1046">
        <v>1</v>
      </c>
      <c r="O1046">
        <v>0</v>
      </c>
      <c r="P1046">
        <v>4</v>
      </c>
    </row>
    <row r="1047" spans="1:16" x14ac:dyDescent="0.3">
      <c r="A1047" s="1">
        <v>45170</v>
      </c>
      <c r="B1047" t="s">
        <v>4</v>
      </c>
      <c r="C1047" s="9" t="str">
        <f>IFERROR(INDEX(자료실범례[],MATCH($B1047,자료실범례[소장처명],0),2),"종합자료실")</f>
        <v>어린이자료실</v>
      </c>
      <c r="D1047" t="s">
        <v>28</v>
      </c>
      <c r="E1047">
        <v>0</v>
      </c>
      <c r="F1047">
        <v>0</v>
      </c>
      <c r="G1047">
        <v>0</v>
      </c>
      <c r="H1047">
        <v>1</v>
      </c>
      <c r="I1047">
        <v>1</v>
      </c>
      <c r="J1047">
        <v>0</v>
      </c>
      <c r="K1047">
        <v>0</v>
      </c>
      <c r="L1047">
        <v>2</v>
      </c>
      <c r="M1047">
        <v>19</v>
      </c>
      <c r="N1047">
        <v>0</v>
      </c>
      <c r="O1047">
        <v>0</v>
      </c>
      <c r="P1047">
        <v>23</v>
      </c>
    </row>
    <row r="1048" spans="1:16" x14ac:dyDescent="0.3">
      <c r="A1048" s="1">
        <v>45170</v>
      </c>
      <c r="B1048" t="s">
        <v>4</v>
      </c>
      <c r="C1048" s="9" t="str">
        <f>IFERROR(INDEX(자료실범례[],MATCH($B1048,자료실범례[소장처명],0),2),"종합자료실")</f>
        <v>어린이자료실</v>
      </c>
      <c r="D1048" t="s">
        <v>25</v>
      </c>
      <c r="E1048">
        <v>0</v>
      </c>
      <c r="F1048">
        <v>1</v>
      </c>
      <c r="G1048">
        <v>0</v>
      </c>
      <c r="H1048">
        <v>2</v>
      </c>
      <c r="I1048">
        <v>1</v>
      </c>
      <c r="J1048">
        <v>0</v>
      </c>
      <c r="K1048">
        <v>0</v>
      </c>
      <c r="L1048">
        <v>2</v>
      </c>
      <c r="M1048">
        <v>27</v>
      </c>
      <c r="N1048">
        <v>0</v>
      </c>
      <c r="O1048">
        <v>0</v>
      </c>
      <c r="P1048">
        <v>33</v>
      </c>
    </row>
    <row r="1049" spans="1:16" x14ac:dyDescent="0.3">
      <c r="A1049" s="1">
        <v>45170</v>
      </c>
      <c r="B1049" t="s">
        <v>4</v>
      </c>
      <c r="C1049" s="9" t="str">
        <f>IFERROR(INDEX(자료실범례[],MATCH($B1049,자료실범례[소장처명],0),2),"종합자료실")</f>
        <v>어린이자료실</v>
      </c>
      <c r="D1049" t="s">
        <v>31</v>
      </c>
      <c r="E1049">
        <v>0</v>
      </c>
      <c r="F1049">
        <v>0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3</v>
      </c>
      <c r="N1049">
        <v>0</v>
      </c>
      <c r="O1049">
        <v>0</v>
      </c>
      <c r="P1049">
        <v>4</v>
      </c>
    </row>
    <row r="1050" spans="1:16" x14ac:dyDescent="0.3">
      <c r="A1050" s="1">
        <v>45170</v>
      </c>
      <c r="B1050" t="s">
        <v>5</v>
      </c>
      <c r="C1050" s="9" t="str">
        <f>IFERROR(INDEX(자료실범례[],MATCH($B1050,자료실범례[소장처명],0),2),"종합자료실")</f>
        <v>종합자료실</v>
      </c>
      <c r="D1050" t="s">
        <v>28</v>
      </c>
      <c r="E1050">
        <v>0</v>
      </c>
      <c r="F1050">
        <v>3</v>
      </c>
      <c r="G1050">
        <v>3</v>
      </c>
      <c r="H1050">
        <v>7</v>
      </c>
      <c r="I1050">
        <v>9</v>
      </c>
      <c r="J1050">
        <v>5</v>
      </c>
      <c r="K1050">
        <v>2</v>
      </c>
      <c r="L1050">
        <v>0</v>
      </c>
      <c r="M1050">
        <v>17</v>
      </c>
      <c r="N1050">
        <v>1</v>
      </c>
      <c r="O1050">
        <v>0</v>
      </c>
      <c r="P1050">
        <v>47</v>
      </c>
    </row>
    <row r="1051" spans="1:16" x14ac:dyDescent="0.3">
      <c r="A1051" s="1">
        <v>45170</v>
      </c>
      <c r="B1051" t="s">
        <v>5</v>
      </c>
      <c r="C1051" s="9" t="str">
        <f>IFERROR(INDEX(자료실범례[],MATCH($B1051,자료실범례[소장처명],0),2),"종합자료실")</f>
        <v>종합자료실</v>
      </c>
      <c r="D1051" t="s">
        <v>25</v>
      </c>
      <c r="E1051">
        <v>0</v>
      </c>
      <c r="F1051">
        <v>1</v>
      </c>
      <c r="G1051">
        <v>1</v>
      </c>
      <c r="H1051">
        <v>6</v>
      </c>
      <c r="I1051">
        <v>6</v>
      </c>
      <c r="J1051">
        <v>3</v>
      </c>
      <c r="K1051">
        <v>2</v>
      </c>
      <c r="L1051">
        <v>0</v>
      </c>
      <c r="M1051">
        <v>13</v>
      </c>
      <c r="N1051">
        <v>0</v>
      </c>
      <c r="O1051">
        <v>0</v>
      </c>
      <c r="P1051">
        <v>32</v>
      </c>
    </row>
    <row r="1052" spans="1:16" x14ac:dyDescent="0.3">
      <c r="A1052" s="1">
        <v>45170</v>
      </c>
      <c r="B1052" t="s">
        <v>5</v>
      </c>
      <c r="C1052" s="9" t="str">
        <f>IFERROR(INDEX(자료실범례[],MATCH($B1052,자료실범례[소장처명],0),2),"종합자료실")</f>
        <v>종합자료실</v>
      </c>
      <c r="D1052" t="s">
        <v>31</v>
      </c>
      <c r="E1052">
        <v>0</v>
      </c>
      <c r="F1052">
        <v>1</v>
      </c>
      <c r="G1052">
        <v>1</v>
      </c>
      <c r="H1052">
        <v>4</v>
      </c>
      <c r="I1052">
        <v>4</v>
      </c>
      <c r="J1052">
        <v>2</v>
      </c>
      <c r="K1052">
        <v>1</v>
      </c>
      <c r="L1052">
        <v>0</v>
      </c>
      <c r="M1052">
        <v>8</v>
      </c>
      <c r="N1052">
        <v>0</v>
      </c>
      <c r="O1052">
        <v>0</v>
      </c>
      <c r="P1052">
        <v>21</v>
      </c>
    </row>
    <row r="1053" spans="1:16" x14ac:dyDescent="0.3">
      <c r="A1053" s="1">
        <v>45170</v>
      </c>
      <c r="B1053" t="s">
        <v>7</v>
      </c>
      <c r="C1053" s="9" t="str">
        <f>IFERROR(INDEX(자료실범례[],MATCH($B1053,자료실범례[소장처명],0),2),"종합자료실")</f>
        <v>어린이자료실</v>
      </c>
      <c r="D1053" t="s">
        <v>28</v>
      </c>
      <c r="E1053">
        <v>1</v>
      </c>
      <c r="F1053">
        <v>0</v>
      </c>
      <c r="G1053">
        <v>0</v>
      </c>
      <c r="H1053">
        <v>10</v>
      </c>
      <c r="I1053">
        <v>1</v>
      </c>
      <c r="J1053">
        <v>3</v>
      </c>
      <c r="K1053">
        <v>0</v>
      </c>
      <c r="L1053">
        <v>1</v>
      </c>
      <c r="M1053">
        <v>56</v>
      </c>
      <c r="N1053">
        <v>0</v>
      </c>
      <c r="O1053">
        <v>0</v>
      </c>
      <c r="P1053">
        <v>72</v>
      </c>
    </row>
    <row r="1054" spans="1:16" x14ac:dyDescent="0.3">
      <c r="A1054" s="1">
        <v>45170</v>
      </c>
      <c r="B1054" t="s">
        <v>7</v>
      </c>
      <c r="C1054" s="9" t="str">
        <f>IFERROR(INDEX(자료실범례[],MATCH($B1054,자료실범례[소장처명],0),2),"종합자료실")</f>
        <v>어린이자료실</v>
      </c>
      <c r="D1054" t="s">
        <v>25</v>
      </c>
      <c r="E1054">
        <v>1</v>
      </c>
      <c r="F1054">
        <v>0</v>
      </c>
      <c r="G1054">
        <v>0</v>
      </c>
      <c r="H1054">
        <v>4</v>
      </c>
      <c r="I1054">
        <v>2</v>
      </c>
      <c r="J1054">
        <v>2</v>
      </c>
      <c r="K1054">
        <v>0</v>
      </c>
      <c r="L1054">
        <v>0</v>
      </c>
      <c r="M1054">
        <v>38</v>
      </c>
      <c r="N1054">
        <v>0</v>
      </c>
      <c r="O1054">
        <v>0</v>
      </c>
      <c r="P1054">
        <v>47</v>
      </c>
    </row>
    <row r="1055" spans="1:16" x14ac:dyDescent="0.3">
      <c r="A1055" s="1">
        <v>45170</v>
      </c>
      <c r="B1055" t="s">
        <v>7</v>
      </c>
      <c r="C1055" s="9" t="str">
        <f>IFERROR(INDEX(자료실범례[],MATCH($B1055,자료실범례[소장처명],0),2),"종합자료실")</f>
        <v>어린이자료실</v>
      </c>
      <c r="D1055" t="s">
        <v>31</v>
      </c>
      <c r="E1055">
        <v>1</v>
      </c>
      <c r="F1055">
        <v>0</v>
      </c>
      <c r="G1055">
        <v>0</v>
      </c>
      <c r="H1055">
        <v>4</v>
      </c>
      <c r="I1055">
        <v>0</v>
      </c>
      <c r="J1055">
        <v>0</v>
      </c>
      <c r="K1055">
        <v>0</v>
      </c>
      <c r="L1055">
        <v>0</v>
      </c>
      <c r="M1055">
        <v>2</v>
      </c>
      <c r="N1055">
        <v>0</v>
      </c>
      <c r="O1055">
        <v>0</v>
      </c>
      <c r="P1055">
        <v>7</v>
      </c>
    </row>
    <row r="1056" spans="1:16" x14ac:dyDescent="0.3">
      <c r="A1056" s="1">
        <v>45170</v>
      </c>
      <c r="B1056" t="s">
        <v>8</v>
      </c>
      <c r="C1056" s="9" t="str">
        <f>IFERROR(INDEX(자료실범례[],MATCH($B1056,자료실범례[소장처명],0),2),"종합자료실")</f>
        <v>어린이자료실</v>
      </c>
      <c r="D1056" t="s">
        <v>28</v>
      </c>
      <c r="E1056">
        <v>0</v>
      </c>
      <c r="F1056">
        <v>0</v>
      </c>
      <c r="G1056">
        <v>0</v>
      </c>
      <c r="H1056">
        <v>5</v>
      </c>
      <c r="I1056">
        <v>1</v>
      </c>
      <c r="J1056">
        <v>2</v>
      </c>
      <c r="K1056">
        <v>0</v>
      </c>
      <c r="L1056">
        <v>0</v>
      </c>
      <c r="M1056">
        <v>26</v>
      </c>
      <c r="N1056">
        <v>1</v>
      </c>
      <c r="O1056">
        <v>0</v>
      </c>
      <c r="P1056">
        <v>35</v>
      </c>
    </row>
    <row r="1057" spans="1:16" x14ac:dyDescent="0.3">
      <c r="A1057" s="1">
        <v>45170</v>
      </c>
      <c r="B1057" t="s">
        <v>8</v>
      </c>
      <c r="C1057" s="9" t="str">
        <f>IFERROR(INDEX(자료실범례[],MATCH($B1057,자료실범례[소장처명],0),2),"종합자료실")</f>
        <v>어린이자료실</v>
      </c>
      <c r="D1057" t="s">
        <v>25</v>
      </c>
      <c r="E1057">
        <v>0</v>
      </c>
      <c r="F1057">
        <v>1</v>
      </c>
      <c r="G1057">
        <v>0</v>
      </c>
      <c r="H1057">
        <v>2</v>
      </c>
      <c r="I1057">
        <v>1</v>
      </c>
      <c r="J1057">
        <v>2</v>
      </c>
      <c r="K1057">
        <v>0</v>
      </c>
      <c r="L1057">
        <v>0</v>
      </c>
      <c r="M1057">
        <v>43</v>
      </c>
      <c r="N1057">
        <v>0</v>
      </c>
      <c r="O1057">
        <v>0</v>
      </c>
      <c r="P1057">
        <v>49</v>
      </c>
    </row>
    <row r="1058" spans="1:16" x14ac:dyDescent="0.3">
      <c r="A1058" s="1">
        <v>45170</v>
      </c>
      <c r="B1058" t="s">
        <v>9</v>
      </c>
      <c r="C1058" s="9" t="str">
        <f>IFERROR(INDEX(자료실범례[],MATCH($B1058,자료실범례[소장처명],0),2),"종합자료실")</f>
        <v>어린이자료실</v>
      </c>
      <c r="D1058" t="s">
        <v>28</v>
      </c>
      <c r="E1058">
        <v>0</v>
      </c>
      <c r="F1058">
        <v>0</v>
      </c>
      <c r="G1058">
        <v>0</v>
      </c>
      <c r="H1058">
        <v>4</v>
      </c>
      <c r="I1058">
        <v>1</v>
      </c>
      <c r="J1058">
        <v>0</v>
      </c>
      <c r="K1058">
        <v>0</v>
      </c>
      <c r="L1058">
        <v>0</v>
      </c>
      <c r="M1058">
        <v>6</v>
      </c>
      <c r="N1058">
        <v>0</v>
      </c>
      <c r="O1058">
        <v>0</v>
      </c>
      <c r="P1058">
        <v>11</v>
      </c>
    </row>
    <row r="1059" spans="1:16" x14ac:dyDescent="0.3">
      <c r="A1059" s="1">
        <v>45170</v>
      </c>
      <c r="B1059" t="s">
        <v>9</v>
      </c>
      <c r="C1059" s="9" t="str">
        <f>IFERROR(INDEX(자료실범례[],MATCH($B1059,자료실범례[소장처명],0),2),"종합자료실")</f>
        <v>어린이자료실</v>
      </c>
      <c r="D1059" t="s">
        <v>25</v>
      </c>
      <c r="E1059">
        <v>0</v>
      </c>
      <c r="F1059">
        <v>0</v>
      </c>
      <c r="G1059">
        <v>0</v>
      </c>
      <c r="H1059">
        <v>3</v>
      </c>
      <c r="I1059">
        <v>4</v>
      </c>
      <c r="J1059">
        <v>0</v>
      </c>
      <c r="K1059">
        <v>0</v>
      </c>
      <c r="L1059">
        <v>0</v>
      </c>
      <c r="M1059">
        <v>1</v>
      </c>
      <c r="N1059">
        <v>2</v>
      </c>
      <c r="O1059">
        <v>0</v>
      </c>
      <c r="P1059">
        <v>10</v>
      </c>
    </row>
    <row r="1060" spans="1:16" x14ac:dyDescent="0.3">
      <c r="A1060" s="1">
        <v>45170</v>
      </c>
      <c r="B1060" t="s">
        <v>9</v>
      </c>
      <c r="C1060" s="9" t="str">
        <f>IFERROR(INDEX(자료실범례[],MATCH($B1060,자료실범례[소장처명],0),2),"종합자료실")</f>
        <v>어린이자료실</v>
      </c>
      <c r="D1060" t="s">
        <v>31</v>
      </c>
      <c r="E1060">
        <v>0</v>
      </c>
      <c r="F1060">
        <v>0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2</v>
      </c>
      <c r="O1060">
        <v>0</v>
      </c>
      <c r="P1060">
        <v>3</v>
      </c>
    </row>
    <row r="1061" spans="1:16" x14ac:dyDescent="0.3">
      <c r="A1061" s="1">
        <v>45170</v>
      </c>
      <c r="B1061" t="s">
        <v>10</v>
      </c>
      <c r="C1061" s="9" t="str">
        <f>IFERROR(INDEX(자료실범례[],MATCH($B1061,자료실범례[소장처명],0),2),"종합자료실")</f>
        <v>어린이자료실</v>
      </c>
      <c r="D1061" t="s">
        <v>28</v>
      </c>
      <c r="E1061">
        <v>0</v>
      </c>
      <c r="F1061">
        <v>0</v>
      </c>
      <c r="G1061">
        <v>0</v>
      </c>
      <c r="H1061">
        <v>5</v>
      </c>
      <c r="I1061">
        <v>0</v>
      </c>
      <c r="J1061">
        <v>1</v>
      </c>
      <c r="K1061">
        <v>1</v>
      </c>
      <c r="L1061">
        <v>0</v>
      </c>
      <c r="M1061">
        <v>24</v>
      </c>
      <c r="N1061">
        <v>1</v>
      </c>
      <c r="O1061">
        <v>0</v>
      </c>
      <c r="P1061">
        <v>32</v>
      </c>
    </row>
    <row r="1062" spans="1:16" x14ac:dyDescent="0.3">
      <c r="A1062" s="1">
        <v>45170</v>
      </c>
      <c r="B1062" t="s">
        <v>10</v>
      </c>
      <c r="C1062" s="9" t="str">
        <f>IFERROR(INDEX(자료실범례[],MATCH($B1062,자료실범례[소장처명],0),2),"종합자료실")</f>
        <v>어린이자료실</v>
      </c>
      <c r="D1062" t="s">
        <v>25</v>
      </c>
      <c r="E1062">
        <v>0</v>
      </c>
      <c r="F1062">
        <v>1</v>
      </c>
      <c r="G1062">
        <v>0</v>
      </c>
      <c r="H1062">
        <v>5</v>
      </c>
      <c r="I1062">
        <v>0</v>
      </c>
      <c r="J1062">
        <v>0</v>
      </c>
      <c r="K1062">
        <v>1</v>
      </c>
      <c r="L1062">
        <v>0</v>
      </c>
      <c r="M1062">
        <v>22</v>
      </c>
      <c r="N1062">
        <v>1</v>
      </c>
      <c r="O1062">
        <v>0</v>
      </c>
      <c r="P1062">
        <v>30</v>
      </c>
    </row>
    <row r="1063" spans="1:16" x14ac:dyDescent="0.3">
      <c r="A1063" s="1">
        <v>45170</v>
      </c>
      <c r="B1063" t="s">
        <v>10</v>
      </c>
      <c r="C1063" s="9" t="str">
        <f>IFERROR(INDEX(자료실범례[],MATCH($B1063,자료실범례[소장처명],0),2),"종합자료실")</f>
        <v>어린이자료실</v>
      </c>
      <c r="D1063" t="s">
        <v>31</v>
      </c>
      <c r="E1063">
        <v>0</v>
      </c>
      <c r="F1063">
        <v>1</v>
      </c>
      <c r="G1063">
        <v>0</v>
      </c>
      <c r="H1063">
        <v>3</v>
      </c>
      <c r="I1063">
        <v>0</v>
      </c>
      <c r="J1063">
        <v>1</v>
      </c>
      <c r="K1063">
        <v>0</v>
      </c>
      <c r="L1063">
        <v>0</v>
      </c>
      <c r="M1063">
        <v>3</v>
      </c>
      <c r="N1063">
        <v>1</v>
      </c>
      <c r="O1063">
        <v>0</v>
      </c>
      <c r="P1063">
        <v>9</v>
      </c>
    </row>
    <row r="1064" spans="1:16" x14ac:dyDescent="0.3">
      <c r="A1064" s="1">
        <v>45170</v>
      </c>
      <c r="B1064" t="s">
        <v>11</v>
      </c>
      <c r="C1064" s="9" t="str">
        <f>IFERROR(INDEX(자료실범례[],MATCH($B1064,자료실범례[소장처명],0),2),"종합자료실")</f>
        <v>어린이자료실</v>
      </c>
      <c r="D1064" t="s">
        <v>28</v>
      </c>
      <c r="E1064">
        <v>1</v>
      </c>
      <c r="F1064">
        <v>0</v>
      </c>
      <c r="G1064">
        <v>0</v>
      </c>
      <c r="H1064">
        <v>1</v>
      </c>
      <c r="I1064">
        <v>1</v>
      </c>
      <c r="J1064">
        <v>0</v>
      </c>
      <c r="K1064">
        <v>0</v>
      </c>
      <c r="L1064">
        <v>0</v>
      </c>
      <c r="M1064">
        <v>13</v>
      </c>
      <c r="N1064">
        <v>1</v>
      </c>
      <c r="O1064">
        <v>0</v>
      </c>
      <c r="P1064">
        <v>17</v>
      </c>
    </row>
    <row r="1065" spans="1:16" x14ac:dyDescent="0.3">
      <c r="A1065" s="1">
        <v>45170</v>
      </c>
      <c r="B1065" t="s">
        <v>11</v>
      </c>
      <c r="C1065" s="9" t="str">
        <f>IFERROR(INDEX(자료실범례[],MATCH($B1065,자료실범례[소장처명],0),2),"종합자료실")</f>
        <v>어린이자료실</v>
      </c>
      <c r="D1065" t="s">
        <v>25</v>
      </c>
      <c r="E1065">
        <v>0</v>
      </c>
      <c r="F1065">
        <v>1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12</v>
      </c>
      <c r="N1065">
        <v>0</v>
      </c>
      <c r="O1065">
        <v>0</v>
      </c>
      <c r="P1065">
        <v>14</v>
      </c>
    </row>
    <row r="1066" spans="1:16" x14ac:dyDescent="0.3">
      <c r="A1066" s="1">
        <v>45170</v>
      </c>
      <c r="B1066" t="s">
        <v>11</v>
      </c>
      <c r="C1066" s="9" t="str">
        <f>IFERROR(INDEX(자료실범례[],MATCH($B1066,자료실범례[소장처명],0),2),"종합자료실")</f>
        <v>어린이자료실</v>
      </c>
      <c r="D1066" t="s">
        <v>31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2</v>
      </c>
      <c r="N1066">
        <v>0</v>
      </c>
      <c r="O1066">
        <v>0</v>
      </c>
      <c r="P1066">
        <v>3</v>
      </c>
    </row>
    <row r="1067" spans="1:16" x14ac:dyDescent="0.3">
      <c r="A1067" s="1">
        <v>45170</v>
      </c>
      <c r="B1067" t="s">
        <v>12</v>
      </c>
      <c r="C1067" s="9" t="str">
        <f>IFERROR(INDEX(자료실범례[],MATCH($B1067,자료실범례[소장처명],0),2),"종합자료실")</f>
        <v>어린이자료실</v>
      </c>
      <c r="D1067" t="s">
        <v>25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O1067">
        <v>0</v>
      </c>
      <c r="P1067">
        <v>1</v>
      </c>
    </row>
    <row r="1068" spans="1:16" x14ac:dyDescent="0.3">
      <c r="A1068" s="1">
        <v>45170</v>
      </c>
      <c r="B1068" t="s">
        <v>0</v>
      </c>
      <c r="C1068" s="9" t="str">
        <f>IFERROR(INDEX(자료실범례[],MATCH($B1068,자료실범례[소장처명],0),2),"종합자료실")</f>
        <v>어린이자료실</v>
      </c>
      <c r="D1068" t="s">
        <v>28</v>
      </c>
      <c r="E1068">
        <v>0</v>
      </c>
      <c r="F1068">
        <v>0</v>
      </c>
      <c r="G1068">
        <v>0</v>
      </c>
      <c r="H1068">
        <v>3</v>
      </c>
      <c r="I1068">
        <v>0</v>
      </c>
      <c r="J1068">
        <v>0</v>
      </c>
      <c r="K1068">
        <v>0</v>
      </c>
      <c r="L1068">
        <v>6</v>
      </c>
      <c r="M1068">
        <v>17</v>
      </c>
      <c r="N1068">
        <v>0</v>
      </c>
      <c r="O1068">
        <v>0</v>
      </c>
      <c r="P1068">
        <v>26</v>
      </c>
    </row>
    <row r="1069" spans="1:16" x14ac:dyDescent="0.3">
      <c r="A1069" s="1">
        <v>45170</v>
      </c>
      <c r="B1069" t="s">
        <v>0</v>
      </c>
      <c r="C1069" s="9" t="str">
        <f>IFERROR(INDEX(자료실범례[],MATCH($B1069,자료실범례[소장처명],0),2),"종합자료실")</f>
        <v>어린이자료실</v>
      </c>
      <c r="D1069" t="s">
        <v>25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7</v>
      </c>
      <c r="M1069">
        <v>19</v>
      </c>
      <c r="N1069">
        <v>0</v>
      </c>
      <c r="O1069">
        <v>0</v>
      </c>
      <c r="P1069">
        <v>26</v>
      </c>
    </row>
    <row r="1070" spans="1:16" x14ac:dyDescent="0.3">
      <c r="A1070" s="1">
        <v>45170</v>
      </c>
      <c r="B1070" t="s">
        <v>0</v>
      </c>
      <c r="C1070" s="9" t="str">
        <f>IFERROR(INDEX(자료실범례[],MATCH($B1070,자료실범례[소장처명],0),2),"종합자료실")</f>
        <v>어린이자료실</v>
      </c>
      <c r="D1070" t="s">
        <v>31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4</v>
      </c>
      <c r="M1070">
        <v>9</v>
      </c>
      <c r="N1070">
        <v>0</v>
      </c>
      <c r="O1070">
        <v>0</v>
      </c>
      <c r="P1070">
        <v>13</v>
      </c>
    </row>
    <row r="1071" spans="1:16" x14ac:dyDescent="0.3">
      <c r="A1071" s="1">
        <v>45170</v>
      </c>
      <c r="B1071" t="s">
        <v>1</v>
      </c>
      <c r="C1071" s="9" t="str">
        <f>IFERROR(INDEX(자료실범례[],MATCH($B1071,자료실범례[소장처명],0),2),"종합자료실")</f>
        <v>어린이자료실</v>
      </c>
      <c r="D1071" t="s">
        <v>28</v>
      </c>
      <c r="E1071">
        <v>0</v>
      </c>
      <c r="F1071">
        <v>0</v>
      </c>
      <c r="G1071">
        <v>0</v>
      </c>
      <c r="H1071">
        <v>2</v>
      </c>
      <c r="I1071">
        <v>1</v>
      </c>
      <c r="J1071">
        <v>0</v>
      </c>
      <c r="K1071">
        <v>1</v>
      </c>
      <c r="L1071">
        <v>36</v>
      </c>
      <c r="M1071">
        <v>8</v>
      </c>
      <c r="N1071">
        <v>0</v>
      </c>
      <c r="O1071">
        <v>0</v>
      </c>
      <c r="P1071">
        <v>48</v>
      </c>
    </row>
    <row r="1072" spans="1:16" x14ac:dyDescent="0.3">
      <c r="A1072" s="1">
        <v>45170</v>
      </c>
      <c r="B1072" t="s">
        <v>1</v>
      </c>
      <c r="C1072" s="9" t="str">
        <f>IFERROR(INDEX(자료실범례[],MATCH($B1072,자료실범례[소장처명],0),2),"종합자료실")</f>
        <v>어린이자료실</v>
      </c>
      <c r="D1072" t="s">
        <v>25</v>
      </c>
      <c r="E1072">
        <v>0</v>
      </c>
      <c r="F1072">
        <v>0</v>
      </c>
      <c r="G1072">
        <v>0</v>
      </c>
      <c r="H1072">
        <v>1</v>
      </c>
      <c r="I1072">
        <v>0</v>
      </c>
      <c r="J1072">
        <v>0</v>
      </c>
      <c r="K1072">
        <v>1</v>
      </c>
      <c r="L1072">
        <v>31</v>
      </c>
      <c r="M1072">
        <v>6</v>
      </c>
      <c r="N1072">
        <v>0</v>
      </c>
      <c r="O1072">
        <v>0</v>
      </c>
      <c r="P1072">
        <v>39</v>
      </c>
    </row>
    <row r="1073" spans="1:16" x14ac:dyDescent="0.3">
      <c r="A1073" s="1">
        <v>45170</v>
      </c>
      <c r="B1073" t="s">
        <v>1</v>
      </c>
      <c r="C1073" s="9" t="str">
        <f>IFERROR(INDEX(자료실범례[],MATCH($B1073,자료실범례[소장처명],0),2),"종합자료실")</f>
        <v>어린이자료실</v>
      </c>
      <c r="D1073" t="s">
        <v>31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16</v>
      </c>
      <c r="M1073">
        <v>8</v>
      </c>
      <c r="N1073">
        <v>0</v>
      </c>
      <c r="O1073">
        <v>0</v>
      </c>
      <c r="P1073">
        <v>25</v>
      </c>
    </row>
    <row r="1074" spans="1:16" x14ac:dyDescent="0.3">
      <c r="A1074" s="1">
        <v>45170</v>
      </c>
      <c r="B1074" t="s">
        <v>6</v>
      </c>
      <c r="C1074" s="9" t="str">
        <f>IFERROR(INDEX(자료실범례[],MATCH($B1074,자료실범례[소장처명],0),2),"종합자료실")</f>
        <v>종합자료실</v>
      </c>
      <c r="D1074" t="s">
        <v>28</v>
      </c>
      <c r="E1074">
        <v>2</v>
      </c>
      <c r="F1074">
        <v>4</v>
      </c>
      <c r="G1074">
        <v>0</v>
      </c>
      <c r="H1074">
        <v>2</v>
      </c>
      <c r="I1074">
        <v>1</v>
      </c>
      <c r="J1074">
        <v>4</v>
      </c>
      <c r="K1074">
        <v>1</v>
      </c>
      <c r="L1074">
        <v>0</v>
      </c>
      <c r="M1074">
        <v>9</v>
      </c>
      <c r="N1074">
        <v>8</v>
      </c>
      <c r="O1074">
        <v>0</v>
      </c>
      <c r="P1074">
        <v>31</v>
      </c>
    </row>
    <row r="1075" spans="1:16" x14ac:dyDescent="0.3">
      <c r="A1075" s="1">
        <v>45170</v>
      </c>
      <c r="B1075" t="s">
        <v>6</v>
      </c>
      <c r="C1075" s="9" t="str">
        <f>IFERROR(INDEX(자료실범례[],MATCH($B1075,자료실범례[소장처명],0),2),"종합자료실")</f>
        <v>종합자료실</v>
      </c>
      <c r="D1075" t="s">
        <v>25</v>
      </c>
      <c r="E1075">
        <v>4</v>
      </c>
      <c r="F1075">
        <v>4</v>
      </c>
      <c r="G1075">
        <v>1</v>
      </c>
      <c r="H1075">
        <v>2</v>
      </c>
      <c r="I1075">
        <v>2</v>
      </c>
      <c r="J1075">
        <v>5</v>
      </c>
      <c r="K1075">
        <v>3</v>
      </c>
      <c r="L1075">
        <v>0</v>
      </c>
      <c r="M1075">
        <v>16</v>
      </c>
      <c r="N1075">
        <v>12</v>
      </c>
      <c r="O1075">
        <v>0</v>
      </c>
      <c r="P1075">
        <v>49</v>
      </c>
    </row>
    <row r="1076" spans="1:16" x14ac:dyDescent="0.3">
      <c r="A1076" s="1">
        <v>45170</v>
      </c>
      <c r="B1076" t="s">
        <v>6</v>
      </c>
      <c r="C1076" s="9" t="str">
        <f>IFERROR(INDEX(자료실범례[],MATCH($B1076,자료실범례[소장처명],0),2),"종합자료실")</f>
        <v>종합자료실</v>
      </c>
      <c r="D1076" t="s">
        <v>31</v>
      </c>
      <c r="E1076">
        <v>1</v>
      </c>
      <c r="F1076">
        <v>0</v>
      </c>
      <c r="G1076">
        <v>0</v>
      </c>
      <c r="H1076">
        <v>1</v>
      </c>
      <c r="I1076">
        <v>1</v>
      </c>
      <c r="J1076">
        <v>4</v>
      </c>
      <c r="K1076">
        <v>0</v>
      </c>
      <c r="L1076">
        <v>0</v>
      </c>
      <c r="M1076">
        <v>7</v>
      </c>
      <c r="N1076">
        <v>5</v>
      </c>
      <c r="O1076">
        <v>0</v>
      </c>
      <c r="P1076">
        <v>19</v>
      </c>
    </row>
    <row r="1077" spans="1:16" x14ac:dyDescent="0.3">
      <c r="A1077" s="1">
        <v>45170</v>
      </c>
      <c r="B1077" t="s">
        <v>18</v>
      </c>
      <c r="C1077" s="9" t="str">
        <f>IFERROR(INDEX(자료실범례[],MATCH($B1077,자료실범례[소장처명],0),2),"종합자료실")</f>
        <v>종합자료실</v>
      </c>
      <c r="D1077" t="s">
        <v>28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3</v>
      </c>
      <c r="P1077">
        <v>3</v>
      </c>
    </row>
    <row r="1078" spans="1:16" x14ac:dyDescent="0.3">
      <c r="A1078" s="1">
        <v>45170</v>
      </c>
      <c r="B1078" t="s">
        <v>17</v>
      </c>
      <c r="C1078" s="9" t="str">
        <f>IFERROR(INDEX(자료실범례[],MATCH($B1078,자료실범례[소장처명],0),2),"종합자료실")</f>
        <v>어린이자료실</v>
      </c>
      <c r="D1078" t="s">
        <v>28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6</v>
      </c>
      <c r="P1078">
        <v>6</v>
      </c>
    </row>
    <row r="1079" spans="1:16" x14ac:dyDescent="0.3">
      <c r="A1079" s="1">
        <v>45170</v>
      </c>
      <c r="B1079" t="s">
        <v>17</v>
      </c>
      <c r="C1079" s="9" t="str">
        <f>IFERROR(INDEX(자료실범례[],MATCH($B1079,자료실범례[소장처명],0),2),"종합자료실")</f>
        <v>어린이자료실</v>
      </c>
      <c r="D1079" t="s">
        <v>25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5</v>
      </c>
      <c r="P1079">
        <v>5</v>
      </c>
    </row>
    <row r="1080" spans="1:16" x14ac:dyDescent="0.3">
      <c r="A1080" s="1">
        <v>45566</v>
      </c>
      <c r="B1080" t="s">
        <v>21</v>
      </c>
      <c r="C1080" s="9" t="str">
        <f>IFERROR(INDEX(자료실범례[],MATCH($B1080,자료실범례[소장처명],0),2),"종합자료실")</f>
        <v>종합자료실</v>
      </c>
      <c r="D1080" t="s">
        <v>28</v>
      </c>
      <c r="E1080">
        <v>40</v>
      </c>
      <c r="F1080">
        <v>93</v>
      </c>
      <c r="G1080">
        <v>33</v>
      </c>
      <c r="H1080">
        <v>201</v>
      </c>
      <c r="I1080">
        <v>36</v>
      </c>
      <c r="J1080">
        <v>95</v>
      </c>
      <c r="K1080">
        <v>49</v>
      </c>
      <c r="L1080">
        <v>28</v>
      </c>
      <c r="M1080">
        <v>614</v>
      </c>
      <c r="N1080">
        <v>60</v>
      </c>
      <c r="O1080">
        <v>0</v>
      </c>
      <c r="P1080">
        <v>1249</v>
      </c>
    </row>
    <row r="1081" spans="1:16" x14ac:dyDescent="0.3">
      <c r="A1081" s="1">
        <v>45566</v>
      </c>
      <c r="B1081" t="s">
        <v>21</v>
      </c>
      <c r="C1081" s="9" t="str">
        <f>IFERROR(INDEX(자료실범례[],MATCH($B1081,자료실범례[소장처명],0),2),"종합자료실")</f>
        <v>종합자료실</v>
      </c>
      <c r="D1081" t="s">
        <v>25</v>
      </c>
      <c r="E1081">
        <v>54</v>
      </c>
      <c r="F1081">
        <v>107</v>
      </c>
      <c r="G1081">
        <v>32</v>
      </c>
      <c r="H1081">
        <v>226</v>
      </c>
      <c r="I1081">
        <v>43</v>
      </c>
      <c r="J1081">
        <v>116</v>
      </c>
      <c r="K1081">
        <v>41</v>
      </c>
      <c r="L1081">
        <v>35</v>
      </c>
      <c r="M1081">
        <v>647</v>
      </c>
      <c r="N1081">
        <v>62</v>
      </c>
      <c r="O1081">
        <v>0</v>
      </c>
      <c r="P1081">
        <v>1363</v>
      </c>
    </row>
    <row r="1082" spans="1:16" x14ac:dyDescent="0.3">
      <c r="A1082" s="1">
        <v>45566</v>
      </c>
      <c r="B1082" t="s">
        <v>21</v>
      </c>
      <c r="C1082" s="9" t="str">
        <f>IFERROR(INDEX(자료실범례[],MATCH($B1082,자료실범례[소장처명],0),2),"종합자료실")</f>
        <v>종합자료실</v>
      </c>
      <c r="D1082" t="s">
        <v>31</v>
      </c>
      <c r="E1082">
        <v>24</v>
      </c>
      <c r="F1082">
        <v>34</v>
      </c>
      <c r="G1082">
        <v>15</v>
      </c>
      <c r="H1082">
        <v>71</v>
      </c>
      <c r="I1082">
        <v>9</v>
      </c>
      <c r="J1082">
        <v>20</v>
      </c>
      <c r="K1082">
        <v>21</v>
      </c>
      <c r="L1082">
        <v>8</v>
      </c>
      <c r="M1082">
        <v>183</v>
      </c>
      <c r="N1082">
        <v>31</v>
      </c>
      <c r="O1082">
        <v>0</v>
      </c>
      <c r="P1082">
        <v>416</v>
      </c>
    </row>
    <row r="1083" spans="1:16" x14ac:dyDescent="0.3">
      <c r="A1083" s="1">
        <v>45566</v>
      </c>
      <c r="B1083" t="s">
        <v>16</v>
      </c>
      <c r="C1083" s="9" t="str">
        <f>IFERROR(INDEX(자료실범례[],MATCH($B1083,자료실범례[소장처명],0),2),"종합자료실")</f>
        <v>어린이자료실</v>
      </c>
      <c r="D1083" t="s">
        <v>28</v>
      </c>
      <c r="E1083">
        <v>19</v>
      </c>
      <c r="F1083">
        <v>18</v>
      </c>
      <c r="G1083">
        <v>11</v>
      </c>
      <c r="H1083">
        <v>114</v>
      </c>
      <c r="I1083">
        <v>161</v>
      </c>
      <c r="J1083">
        <v>28</v>
      </c>
      <c r="K1083">
        <v>43</v>
      </c>
      <c r="L1083">
        <v>25</v>
      </c>
      <c r="M1083">
        <v>793</v>
      </c>
      <c r="N1083">
        <v>79</v>
      </c>
      <c r="O1083">
        <v>7</v>
      </c>
      <c r="P1083">
        <v>1298</v>
      </c>
    </row>
    <row r="1084" spans="1:16" x14ac:dyDescent="0.3">
      <c r="A1084" s="1">
        <v>45566</v>
      </c>
      <c r="B1084" t="s">
        <v>16</v>
      </c>
      <c r="C1084" s="9" t="str">
        <f>IFERROR(INDEX(자료실범례[],MATCH($B1084,자료실범례[소장처명],0),2),"종합자료실")</f>
        <v>어린이자료실</v>
      </c>
      <c r="D1084" t="s">
        <v>25</v>
      </c>
      <c r="E1084">
        <v>33</v>
      </c>
      <c r="F1084">
        <v>13</v>
      </c>
      <c r="G1084">
        <v>10</v>
      </c>
      <c r="H1084">
        <v>101</v>
      </c>
      <c r="I1084">
        <v>167</v>
      </c>
      <c r="J1084">
        <v>47</v>
      </c>
      <c r="K1084">
        <v>45</v>
      </c>
      <c r="L1084">
        <v>37</v>
      </c>
      <c r="M1084">
        <v>899</v>
      </c>
      <c r="N1084">
        <v>123</v>
      </c>
      <c r="O1084">
        <v>10</v>
      </c>
      <c r="P1084">
        <v>1485</v>
      </c>
    </row>
    <row r="1085" spans="1:16" x14ac:dyDescent="0.3">
      <c r="A1085" s="1">
        <v>45566</v>
      </c>
      <c r="B1085" t="s">
        <v>16</v>
      </c>
      <c r="C1085" s="9" t="str">
        <f>IFERROR(INDEX(자료실범례[],MATCH($B1085,자료실범례[소장처명],0),2),"종합자료실")</f>
        <v>어린이자료실</v>
      </c>
      <c r="D1085" t="s">
        <v>31</v>
      </c>
      <c r="E1085">
        <v>5</v>
      </c>
      <c r="F1085">
        <v>2</v>
      </c>
      <c r="G1085">
        <v>1</v>
      </c>
      <c r="H1085">
        <v>15</v>
      </c>
      <c r="I1085">
        <v>22</v>
      </c>
      <c r="J1085">
        <v>1</v>
      </c>
      <c r="K1085">
        <v>4</v>
      </c>
      <c r="L1085">
        <v>2</v>
      </c>
      <c r="M1085">
        <v>113</v>
      </c>
      <c r="N1085">
        <v>31</v>
      </c>
      <c r="O1085">
        <v>0</v>
      </c>
      <c r="P1085">
        <v>196</v>
      </c>
    </row>
    <row r="1086" spans="1:16" x14ac:dyDescent="0.3">
      <c r="A1086" s="1">
        <v>45566</v>
      </c>
      <c r="B1086" t="s">
        <v>2</v>
      </c>
      <c r="C1086" s="9" t="str">
        <f>IFERROR(INDEX(자료실범례[],MATCH($B1086,자료실범례[소장처명],0),2),"종합자료실")</f>
        <v>디지털자료실</v>
      </c>
      <c r="D1086" t="s">
        <v>28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21</v>
      </c>
      <c r="L1086">
        <v>0</v>
      </c>
      <c r="M1086">
        <v>0</v>
      </c>
      <c r="N1086">
        <v>0</v>
      </c>
      <c r="O1086">
        <v>0</v>
      </c>
      <c r="P1086">
        <v>21</v>
      </c>
    </row>
    <row r="1087" spans="1:16" x14ac:dyDescent="0.3">
      <c r="A1087" s="1">
        <v>45566</v>
      </c>
      <c r="B1087" t="s">
        <v>2</v>
      </c>
      <c r="C1087" s="9" t="str">
        <f>IFERROR(INDEX(자료실범례[],MATCH($B1087,자료실범례[소장처명],0),2),"종합자료실")</f>
        <v>디지털자료실</v>
      </c>
      <c r="D1087" t="s">
        <v>25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24</v>
      </c>
      <c r="L1087">
        <v>0</v>
      </c>
      <c r="M1087">
        <v>0</v>
      </c>
      <c r="N1087">
        <v>0</v>
      </c>
      <c r="O1087">
        <v>0</v>
      </c>
      <c r="P1087">
        <v>24</v>
      </c>
    </row>
    <row r="1088" spans="1:16" x14ac:dyDescent="0.3">
      <c r="A1088" s="1">
        <v>45566</v>
      </c>
      <c r="B1088" t="s">
        <v>19</v>
      </c>
      <c r="C1088" s="9" t="str">
        <f>IFERROR(INDEX(자료실범례[],MATCH($B1088,자료실범례[소장처명],0),2),"종합자료실")</f>
        <v>종합자료실</v>
      </c>
      <c r="D1088" t="s">
        <v>28</v>
      </c>
      <c r="E1088">
        <v>15</v>
      </c>
      <c r="F1088">
        <v>77</v>
      </c>
      <c r="G1088">
        <v>12</v>
      </c>
      <c r="H1088">
        <v>92</v>
      </c>
      <c r="I1088">
        <v>21</v>
      </c>
      <c r="J1088">
        <v>51</v>
      </c>
      <c r="K1088">
        <v>32</v>
      </c>
      <c r="L1088">
        <v>13</v>
      </c>
      <c r="M1088">
        <v>175</v>
      </c>
      <c r="N1088">
        <v>22</v>
      </c>
      <c r="O1088">
        <v>0</v>
      </c>
      <c r="P1088">
        <v>510</v>
      </c>
    </row>
    <row r="1089" spans="1:16" x14ac:dyDescent="0.3">
      <c r="A1089" s="1">
        <v>45566</v>
      </c>
      <c r="B1089" t="s">
        <v>19</v>
      </c>
      <c r="C1089" s="9" t="str">
        <f>IFERROR(INDEX(자료실범례[],MATCH($B1089,자료실범례[소장처명],0),2),"종합자료실")</f>
        <v>종합자료실</v>
      </c>
      <c r="D1089" t="s">
        <v>25</v>
      </c>
      <c r="E1089">
        <v>20</v>
      </c>
      <c r="F1089">
        <v>72</v>
      </c>
      <c r="G1089">
        <v>10</v>
      </c>
      <c r="H1089">
        <v>84</v>
      </c>
      <c r="I1089">
        <v>13</v>
      </c>
      <c r="J1089">
        <v>49</v>
      </c>
      <c r="K1089">
        <v>27</v>
      </c>
      <c r="L1089">
        <v>17</v>
      </c>
      <c r="M1089">
        <v>176</v>
      </c>
      <c r="N1089">
        <v>16</v>
      </c>
      <c r="O1089">
        <v>0</v>
      </c>
      <c r="P1089">
        <v>484</v>
      </c>
    </row>
    <row r="1090" spans="1:16" x14ac:dyDescent="0.3">
      <c r="A1090" s="1">
        <v>45566</v>
      </c>
      <c r="B1090" t="s">
        <v>19</v>
      </c>
      <c r="C1090" s="9" t="str">
        <f>IFERROR(INDEX(자료실범례[],MATCH($B1090,자료실범례[소장처명],0),2),"종합자료실")</f>
        <v>종합자료실</v>
      </c>
      <c r="D1090" t="s">
        <v>31</v>
      </c>
      <c r="E1090">
        <v>4</v>
      </c>
      <c r="F1090">
        <v>36</v>
      </c>
      <c r="G1090">
        <v>8</v>
      </c>
      <c r="H1090">
        <v>30</v>
      </c>
      <c r="I1090">
        <v>9</v>
      </c>
      <c r="J1090">
        <v>17</v>
      </c>
      <c r="K1090">
        <v>22</v>
      </c>
      <c r="L1090">
        <v>7</v>
      </c>
      <c r="M1090">
        <v>70</v>
      </c>
      <c r="N1090">
        <v>11</v>
      </c>
      <c r="O1090">
        <v>0</v>
      </c>
      <c r="P1090">
        <v>214</v>
      </c>
    </row>
    <row r="1091" spans="1:16" x14ac:dyDescent="0.3">
      <c r="A1091" s="1">
        <v>45566</v>
      </c>
      <c r="B1091" t="s">
        <v>14</v>
      </c>
      <c r="C1091" s="9" t="str">
        <f>IFERROR(INDEX(자료실범례[],MATCH($B1091,자료실범례[소장처명],0),2),"종합자료실")</f>
        <v>어린이자료실</v>
      </c>
      <c r="D1091" t="s">
        <v>28</v>
      </c>
      <c r="E1091">
        <v>5</v>
      </c>
      <c r="F1091">
        <v>8</v>
      </c>
      <c r="G1091">
        <v>4</v>
      </c>
      <c r="H1091">
        <v>15</v>
      </c>
      <c r="I1091">
        <v>24</v>
      </c>
      <c r="J1091">
        <v>4</v>
      </c>
      <c r="K1091">
        <v>5</v>
      </c>
      <c r="L1091">
        <v>6</v>
      </c>
      <c r="M1091">
        <v>176</v>
      </c>
      <c r="N1091">
        <v>23</v>
      </c>
      <c r="O1091">
        <v>0</v>
      </c>
      <c r="P1091">
        <v>270</v>
      </c>
    </row>
    <row r="1092" spans="1:16" x14ac:dyDescent="0.3">
      <c r="A1092" s="1">
        <v>45566</v>
      </c>
      <c r="B1092" t="s">
        <v>14</v>
      </c>
      <c r="C1092" s="9" t="str">
        <f>IFERROR(INDEX(자료실범례[],MATCH($B1092,자료실범례[소장처명],0),2),"종합자료실")</f>
        <v>어린이자료실</v>
      </c>
      <c r="D1092" t="s">
        <v>25</v>
      </c>
      <c r="E1092">
        <v>6</v>
      </c>
      <c r="F1092">
        <v>9</v>
      </c>
      <c r="G1092">
        <v>4</v>
      </c>
      <c r="H1092">
        <v>19</v>
      </c>
      <c r="I1092">
        <v>28</v>
      </c>
      <c r="J1092">
        <v>6</v>
      </c>
      <c r="K1092">
        <v>7</v>
      </c>
      <c r="L1092">
        <v>8</v>
      </c>
      <c r="M1092">
        <v>236</v>
      </c>
      <c r="N1092">
        <v>31</v>
      </c>
      <c r="O1092">
        <v>0</v>
      </c>
      <c r="P1092">
        <v>354</v>
      </c>
    </row>
    <row r="1093" spans="1:16" x14ac:dyDescent="0.3">
      <c r="A1093" s="1">
        <v>45566</v>
      </c>
      <c r="B1093" t="s">
        <v>14</v>
      </c>
      <c r="C1093" s="9" t="str">
        <f>IFERROR(INDEX(자료실범례[],MATCH($B1093,자료실범례[소장처명],0),2),"종합자료실")</f>
        <v>어린이자료실</v>
      </c>
      <c r="D1093" t="s">
        <v>31</v>
      </c>
      <c r="E1093">
        <v>0</v>
      </c>
      <c r="F1093">
        <v>3</v>
      </c>
      <c r="G1093">
        <v>1</v>
      </c>
      <c r="H1093">
        <v>3</v>
      </c>
      <c r="I1093">
        <v>2</v>
      </c>
      <c r="J1093">
        <v>2</v>
      </c>
      <c r="K1093">
        <v>3</v>
      </c>
      <c r="L1093">
        <v>2</v>
      </c>
      <c r="M1093">
        <v>51</v>
      </c>
      <c r="N1093">
        <v>2</v>
      </c>
      <c r="O1093">
        <v>0</v>
      </c>
      <c r="P1093">
        <v>69</v>
      </c>
    </row>
    <row r="1094" spans="1:16" x14ac:dyDescent="0.3">
      <c r="A1094" s="1">
        <v>45566</v>
      </c>
      <c r="B1094" t="s">
        <v>197</v>
      </c>
      <c r="C1094" s="9" t="str">
        <f>IFERROR(INDEX(자료실범례[],MATCH($B1094,자료실범례[소장처명],0),2),"종합자료실")</f>
        <v>종합자료실</v>
      </c>
      <c r="D1094" t="s">
        <v>28</v>
      </c>
      <c r="E1094">
        <v>0</v>
      </c>
      <c r="F1094">
        <v>1</v>
      </c>
      <c r="G1094">
        <v>0</v>
      </c>
      <c r="H1094">
        <v>0</v>
      </c>
      <c r="I1094">
        <v>1</v>
      </c>
      <c r="J1094">
        <v>2</v>
      </c>
      <c r="K1094">
        <v>0</v>
      </c>
      <c r="L1094">
        <v>0</v>
      </c>
      <c r="M1094">
        <v>4</v>
      </c>
      <c r="N1094">
        <v>1</v>
      </c>
      <c r="O1094">
        <v>0</v>
      </c>
      <c r="P1094">
        <v>9</v>
      </c>
    </row>
    <row r="1095" spans="1:16" x14ac:dyDescent="0.3">
      <c r="A1095" s="1">
        <v>45566</v>
      </c>
      <c r="B1095" t="s">
        <v>197</v>
      </c>
      <c r="C1095" s="9" t="str">
        <f>IFERROR(INDEX(자료실범례[],MATCH($B1095,자료실범례[소장처명],0),2),"종합자료실")</f>
        <v>종합자료실</v>
      </c>
      <c r="D1095" t="s">
        <v>25</v>
      </c>
      <c r="E1095">
        <v>0</v>
      </c>
      <c r="F1095">
        <v>5</v>
      </c>
      <c r="G1095">
        <v>0</v>
      </c>
      <c r="H1095">
        <v>1</v>
      </c>
      <c r="I1095">
        <v>1</v>
      </c>
      <c r="J1095">
        <v>3</v>
      </c>
      <c r="K1095">
        <v>0</v>
      </c>
      <c r="L1095">
        <v>0</v>
      </c>
      <c r="M1095">
        <v>7</v>
      </c>
      <c r="N1095">
        <v>2</v>
      </c>
      <c r="O1095">
        <v>0</v>
      </c>
      <c r="P1095">
        <v>19</v>
      </c>
    </row>
    <row r="1096" spans="1:16" x14ac:dyDescent="0.3">
      <c r="A1096" s="1">
        <v>45566</v>
      </c>
      <c r="B1096" t="s">
        <v>197</v>
      </c>
      <c r="C1096" s="9" t="str">
        <f>IFERROR(INDEX(자료실범례[],MATCH($B1096,자료실범례[소장처명],0),2),"종합자료실")</f>
        <v>종합자료실</v>
      </c>
      <c r="D1096" t="s">
        <v>31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1</v>
      </c>
      <c r="N1096">
        <v>0</v>
      </c>
      <c r="O1096">
        <v>0</v>
      </c>
      <c r="P1096">
        <v>2</v>
      </c>
    </row>
    <row r="1097" spans="1:16" x14ac:dyDescent="0.3">
      <c r="A1097" s="1">
        <v>45566</v>
      </c>
      <c r="B1097" t="s">
        <v>198</v>
      </c>
      <c r="C1097" s="9" t="str">
        <f>IFERROR(INDEX(자료실범례[],MATCH($B1097,자료실범례[소장처명],0),2),"종합자료실")</f>
        <v>어린이자료실</v>
      </c>
      <c r="D1097" t="s">
        <v>28</v>
      </c>
      <c r="E1097">
        <v>0</v>
      </c>
      <c r="F1097">
        <v>0</v>
      </c>
      <c r="G1097">
        <v>0</v>
      </c>
      <c r="H1097">
        <v>2</v>
      </c>
      <c r="I1097">
        <v>0</v>
      </c>
      <c r="J1097">
        <v>2</v>
      </c>
      <c r="K1097">
        <v>1</v>
      </c>
      <c r="L1097">
        <v>0</v>
      </c>
      <c r="M1097">
        <v>21</v>
      </c>
      <c r="N1097">
        <v>0</v>
      </c>
      <c r="O1097">
        <v>0</v>
      </c>
      <c r="P1097">
        <v>26</v>
      </c>
    </row>
    <row r="1098" spans="1:16" x14ac:dyDescent="0.3">
      <c r="A1098" s="1">
        <v>45566</v>
      </c>
      <c r="B1098" t="s">
        <v>198</v>
      </c>
      <c r="C1098" s="9" t="str">
        <f>IFERROR(INDEX(자료실범례[],MATCH($B1098,자료실범례[소장처명],0),2),"종합자료실")</f>
        <v>어린이자료실</v>
      </c>
      <c r="D1098" t="s">
        <v>25</v>
      </c>
      <c r="E1098">
        <v>0</v>
      </c>
      <c r="F1098">
        <v>0</v>
      </c>
      <c r="G1098">
        <v>0</v>
      </c>
      <c r="H1098">
        <v>2</v>
      </c>
      <c r="I1098">
        <v>0</v>
      </c>
      <c r="J1098">
        <v>2</v>
      </c>
      <c r="K1098">
        <v>3</v>
      </c>
      <c r="L1098">
        <v>0</v>
      </c>
      <c r="M1098">
        <v>27</v>
      </c>
      <c r="N1098">
        <v>0</v>
      </c>
      <c r="O1098">
        <v>0</v>
      </c>
      <c r="P1098">
        <v>34</v>
      </c>
    </row>
    <row r="1099" spans="1:16" x14ac:dyDescent="0.3">
      <c r="A1099" s="1">
        <v>45566</v>
      </c>
      <c r="B1099" t="s">
        <v>13</v>
      </c>
      <c r="C1099" s="9" t="str">
        <f>IFERROR(INDEX(자료실범례[],MATCH($B1099,자료실범례[소장처명],0),2),"종합자료실")</f>
        <v>어린이자료실</v>
      </c>
      <c r="D1099" t="s">
        <v>28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1</v>
      </c>
      <c r="L1099">
        <v>0</v>
      </c>
      <c r="M1099">
        <v>3</v>
      </c>
      <c r="N1099">
        <v>0</v>
      </c>
      <c r="O1099">
        <v>0</v>
      </c>
      <c r="P1099">
        <v>4</v>
      </c>
    </row>
    <row r="1100" spans="1:16" x14ac:dyDescent="0.3">
      <c r="A1100" s="1">
        <v>45566</v>
      </c>
      <c r="B1100" t="s">
        <v>13</v>
      </c>
      <c r="C1100" s="9" t="str">
        <f>IFERROR(INDEX(자료실범례[],MATCH($B1100,자료실범례[소장처명],0),2),"종합자료실")</f>
        <v>어린이자료실</v>
      </c>
      <c r="D1100" t="s">
        <v>25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1</v>
      </c>
      <c r="L1100">
        <v>0</v>
      </c>
      <c r="M1100">
        <v>2</v>
      </c>
      <c r="N1100">
        <v>0</v>
      </c>
      <c r="O1100">
        <v>0</v>
      </c>
      <c r="P1100">
        <v>3</v>
      </c>
    </row>
    <row r="1101" spans="1:16" x14ac:dyDescent="0.3">
      <c r="A1101" s="1">
        <v>45566</v>
      </c>
      <c r="B1101" t="s">
        <v>13</v>
      </c>
      <c r="C1101" s="9" t="str">
        <f>IFERROR(INDEX(자료실범례[],MATCH($B1101,자료실범례[소장처명],0),2),"종합자료실")</f>
        <v>어린이자료실</v>
      </c>
      <c r="D1101" t="s">
        <v>31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1</v>
      </c>
      <c r="N1101">
        <v>0</v>
      </c>
      <c r="O1101">
        <v>0</v>
      </c>
      <c r="P1101">
        <v>1</v>
      </c>
    </row>
    <row r="1102" spans="1:16" x14ac:dyDescent="0.3">
      <c r="A1102" s="1">
        <v>45566</v>
      </c>
      <c r="B1102" t="s">
        <v>15</v>
      </c>
      <c r="C1102" s="9" t="str">
        <f>IFERROR(INDEX(자료실범례[],MATCH($B1102,자료실범례[소장처명],0),2),"종합자료실")</f>
        <v>어린이자료실</v>
      </c>
      <c r="D1102" t="s">
        <v>28</v>
      </c>
      <c r="E1102">
        <v>1</v>
      </c>
      <c r="F1102">
        <v>1</v>
      </c>
      <c r="G1102">
        <v>12</v>
      </c>
      <c r="H1102">
        <v>3</v>
      </c>
      <c r="I1102">
        <v>192</v>
      </c>
      <c r="J1102">
        <v>4</v>
      </c>
      <c r="K1102">
        <v>2</v>
      </c>
      <c r="L1102">
        <v>53</v>
      </c>
      <c r="M1102">
        <v>28</v>
      </c>
      <c r="N1102">
        <v>131</v>
      </c>
      <c r="O1102">
        <v>0</v>
      </c>
      <c r="P1102">
        <v>427</v>
      </c>
    </row>
    <row r="1103" spans="1:16" x14ac:dyDescent="0.3">
      <c r="A1103" s="1">
        <v>45566</v>
      </c>
      <c r="B1103" t="s">
        <v>15</v>
      </c>
      <c r="C1103" s="9" t="str">
        <f>IFERROR(INDEX(자료실범례[],MATCH($B1103,자료실범례[소장처명],0),2),"종합자료실")</f>
        <v>어린이자료실</v>
      </c>
      <c r="D1103" t="s">
        <v>25</v>
      </c>
      <c r="E1103">
        <v>7</v>
      </c>
      <c r="F1103">
        <v>1</v>
      </c>
      <c r="G1103">
        <v>19</v>
      </c>
      <c r="H1103">
        <v>3</v>
      </c>
      <c r="I1103">
        <v>218</v>
      </c>
      <c r="J1103">
        <v>13</v>
      </c>
      <c r="K1103">
        <v>2</v>
      </c>
      <c r="L1103">
        <v>52</v>
      </c>
      <c r="M1103">
        <v>22</v>
      </c>
      <c r="N1103">
        <v>147</v>
      </c>
      <c r="O1103">
        <v>0</v>
      </c>
      <c r="P1103">
        <v>484</v>
      </c>
    </row>
    <row r="1104" spans="1:16" x14ac:dyDescent="0.3">
      <c r="A1104" s="1">
        <v>45566</v>
      </c>
      <c r="B1104" t="s">
        <v>15</v>
      </c>
      <c r="C1104" s="9" t="str">
        <f>IFERROR(INDEX(자료실범례[],MATCH($B1104,자료실범례[소장처명],0),2),"종합자료실")</f>
        <v>어린이자료실</v>
      </c>
      <c r="D1104" t="s">
        <v>31</v>
      </c>
      <c r="E1104">
        <v>0</v>
      </c>
      <c r="F1104">
        <v>0</v>
      </c>
      <c r="G1104">
        <v>0</v>
      </c>
      <c r="H1104">
        <v>0</v>
      </c>
      <c r="I1104">
        <v>24</v>
      </c>
      <c r="J1104">
        <v>0</v>
      </c>
      <c r="K1104">
        <v>0</v>
      </c>
      <c r="L1104">
        <v>7</v>
      </c>
      <c r="M1104">
        <v>0</v>
      </c>
      <c r="N1104">
        <v>21</v>
      </c>
      <c r="O1104">
        <v>0</v>
      </c>
      <c r="P1104">
        <v>52</v>
      </c>
    </row>
    <row r="1105" spans="1:16" x14ac:dyDescent="0.3">
      <c r="A1105" s="1">
        <v>45566</v>
      </c>
      <c r="B1105" t="s">
        <v>20</v>
      </c>
      <c r="C1105" s="9" t="str">
        <f>IFERROR(INDEX(자료실범례[],MATCH($B1105,자료실범례[소장처명],0),2),"종합자료실")</f>
        <v>종합자료실</v>
      </c>
      <c r="D1105" t="s">
        <v>28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1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2</v>
      </c>
    </row>
    <row r="1106" spans="1:16" x14ac:dyDescent="0.3">
      <c r="A1106" s="1">
        <v>45566</v>
      </c>
      <c r="B1106" t="s">
        <v>20</v>
      </c>
      <c r="C1106" s="9" t="str">
        <f>IFERROR(INDEX(자료실범례[],MATCH($B1106,자료실범례[소장처명],0),2),"종합자료실")</f>
        <v>종합자료실</v>
      </c>
      <c r="D1106" t="s">
        <v>31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1</v>
      </c>
      <c r="L1106">
        <v>0</v>
      </c>
      <c r="M1106">
        <v>0</v>
      </c>
      <c r="N1106">
        <v>0</v>
      </c>
      <c r="O1106">
        <v>0</v>
      </c>
      <c r="P1106">
        <v>2</v>
      </c>
    </row>
    <row r="1107" spans="1:16" x14ac:dyDescent="0.3">
      <c r="A1107" s="1">
        <v>45566</v>
      </c>
      <c r="B1107" t="s">
        <v>3</v>
      </c>
      <c r="C1107" s="9" t="str">
        <f>IFERROR(INDEX(자료실범례[],MATCH($B1107,자료실범례[소장처명],0),2),"종합자료실")</f>
        <v>디지털자료실</v>
      </c>
      <c r="D1107" t="s">
        <v>28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2</v>
      </c>
      <c r="L1107">
        <v>0</v>
      </c>
      <c r="M1107">
        <v>0</v>
      </c>
      <c r="N1107">
        <v>0</v>
      </c>
      <c r="O1107">
        <v>0</v>
      </c>
      <c r="P1107">
        <v>2</v>
      </c>
    </row>
    <row r="1108" spans="1:16" x14ac:dyDescent="0.3">
      <c r="A1108" s="1">
        <v>45566</v>
      </c>
      <c r="B1108" t="s">
        <v>3</v>
      </c>
      <c r="C1108" s="9" t="str">
        <f>IFERROR(INDEX(자료실범례[],MATCH($B1108,자료실범례[소장처명],0),2),"종합자료실")</f>
        <v>디지털자료실</v>
      </c>
      <c r="D1108" t="s">
        <v>25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1</v>
      </c>
      <c r="L1108">
        <v>0</v>
      </c>
      <c r="M1108">
        <v>0</v>
      </c>
      <c r="N1108">
        <v>0</v>
      </c>
      <c r="O1108">
        <v>0</v>
      </c>
      <c r="P1108">
        <v>1</v>
      </c>
    </row>
    <row r="1109" spans="1:16" x14ac:dyDescent="0.3">
      <c r="A1109" s="1">
        <v>45566</v>
      </c>
      <c r="B1109" t="s">
        <v>4</v>
      </c>
      <c r="C1109" s="9" t="str">
        <f>IFERROR(INDEX(자료실범례[],MATCH($B1109,자료실범례[소장처명],0),2),"종합자료실")</f>
        <v>어린이자료실</v>
      </c>
      <c r="D1109" t="s">
        <v>28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11</v>
      </c>
      <c r="N1109">
        <v>1</v>
      </c>
      <c r="O1109">
        <v>0</v>
      </c>
      <c r="P1109">
        <v>13</v>
      </c>
    </row>
    <row r="1110" spans="1:16" x14ac:dyDescent="0.3">
      <c r="A1110" s="1">
        <v>45566</v>
      </c>
      <c r="B1110" t="s">
        <v>4</v>
      </c>
      <c r="C1110" s="9" t="str">
        <f>IFERROR(INDEX(자료실범례[],MATCH($B1110,자료실범례[소장처명],0),2),"종합자료실")</f>
        <v>어린이자료실</v>
      </c>
      <c r="D1110" t="s">
        <v>25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0</v>
      </c>
      <c r="K1110">
        <v>1</v>
      </c>
      <c r="L1110">
        <v>0</v>
      </c>
      <c r="M1110">
        <v>4</v>
      </c>
      <c r="N1110">
        <v>1</v>
      </c>
      <c r="O1110">
        <v>0</v>
      </c>
      <c r="P1110">
        <v>7</v>
      </c>
    </row>
    <row r="1111" spans="1:16" x14ac:dyDescent="0.3">
      <c r="A1111" s="1">
        <v>45566</v>
      </c>
      <c r="B1111" t="s">
        <v>4</v>
      </c>
      <c r="C1111" s="9" t="str">
        <f>IFERROR(INDEX(자료실범례[],MATCH($B1111,자료실범례[소장처명],0),2),"종합자료실")</f>
        <v>어린이자료실</v>
      </c>
      <c r="D1111" t="s">
        <v>31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4</v>
      </c>
      <c r="N1111">
        <v>0</v>
      </c>
      <c r="O1111">
        <v>0</v>
      </c>
      <c r="P1111">
        <v>4</v>
      </c>
    </row>
    <row r="1112" spans="1:16" x14ac:dyDescent="0.3">
      <c r="A1112" s="1">
        <v>45566</v>
      </c>
      <c r="B1112" t="s">
        <v>5</v>
      </c>
      <c r="C1112" s="9" t="str">
        <f>IFERROR(INDEX(자료실범례[],MATCH($B1112,자료실범례[소장처명],0),2),"종합자료실")</f>
        <v>종합자료실</v>
      </c>
      <c r="D1112" t="s">
        <v>28</v>
      </c>
      <c r="E1112">
        <v>1</v>
      </c>
      <c r="F1112">
        <v>11</v>
      </c>
      <c r="G1112">
        <v>2</v>
      </c>
      <c r="H1112">
        <v>4</v>
      </c>
      <c r="I1112">
        <v>1</v>
      </c>
      <c r="J1112">
        <v>7</v>
      </c>
      <c r="K1112">
        <v>0</v>
      </c>
      <c r="L1112">
        <v>0</v>
      </c>
      <c r="M1112">
        <v>43</v>
      </c>
      <c r="N1112">
        <v>1</v>
      </c>
      <c r="O1112">
        <v>0</v>
      </c>
      <c r="P1112">
        <v>70</v>
      </c>
    </row>
    <row r="1113" spans="1:16" x14ac:dyDescent="0.3">
      <c r="A1113" s="1">
        <v>45566</v>
      </c>
      <c r="B1113" t="s">
        <v>5</v>
      </c>
      <c r="C1113" s="9" t="str">
        <f>IFERROR(INDEX(자료실범례[],MATCH($B1113,자료실범례[소장처명],0),2),"종합자료실")</f>
        <v>종합자료실</v>
      </c>
      <c r="D1113" t="s">
        <v>25</v>
      </c>
      <c r="E1113">
        <v>1</v>
      </c>
      <c r="F1113">
        <v>9</v>
      </c>
      <c r="G1113">
        <v>1</v>
      </c>
      <c r="H1113">
        <v>6</v>
      </c>
      <c r="I1113">
        <v>1</v>
      </c>
      <c r="J1113">
        <v>4</v>
      </c>
      <c r="K1113">
        <v>3</v>
      </c>
      <c r="L1113">
        <v>0</v>
      </c>
      <c r="M1113">
        <v>35</v>
      </c>
      <c r="N1113">
        <v>0</v>
      </c>
      <c r="O1113">
        <v>0</v>
      </c>
      <c r="P1113">
        <v>60</v>
      </c>
    </row>
    <row r="1114" spans="1:16" x14ac:dyDescent="0.3">
      <c r="A1114" s="1">
        <v>45566</v>
      </c>
      <c r="B1114" t="s">
        <v>5</v>
      </c>
      <c r="C1114" s="9" t="str">
        <f>IFERROR(INDEX(자료실범례[],MATCH($B1114,자료실범례[소장처명],0),2),"종합자료실")</f>
        <v>종합자료실</v>
      </c>
      <c r="D1114" t="s">
        <v>31</v>
      </c>
      <c r="E1114">
        <v>1</v>
      </c>
      <c r="F1114">
        <v>7</v>
      </c>
      <c r="G1114">
        <v>1</v>
      </c>
      <c r="H1114">
        <v>1</v>
      </c>
      <c r="I1114">
        <v>1</v>
      </c>
      <c r="J1114">
        <v>0</v>
      </c>
      <c r="K1114">
        <v>0</v>
      </c>
      <c r="L1114">
        <v>0</v>
      </c>
      <c r="M1114">
        <v>10</v>
      </c>
      <c r="N1114">
        <v>1</v>
      </c>
      <c r="O1114">
        <v>0</v>
      </c>
      <c r="P1114">
        <v>22</v>
      </c>
    </row>
    <row r="1115" spans="1:16" x14ac:dyDescent="0.3">
      <c r="A1115" s="1">
        <v>45566</v>
      </c>
      <c r="B1115" t="s">
        <v>7</v>
      </c>
      <c r="C1115" s="9" t="str">
        <f>IFERROR(INDEX(자료실범례[],MATCH($B1115,자료실범례[소장처명],0),2),"종합자료실")</f>
        <v>어린이자료실</v>
      </c>
      <c r="D1115" t="s">
        <v>28</v>
      </c>
      <c r="E1115">
        <v>0</v>
      </c>
      <c r="F1115">
        <v>2</v>
      </c>
      <c r="G1115">
        <v>0</v>
      </c>
      <c r="H1115">
        <v>1</v>
      </c>
      <c r="I1115">
        <v>0</v>
      </c>
      <c r="J1115">
        <v>2</v>
      </c>
      <c r="K1115">
        <v>0</v>
      </c>
      <c r="L1115">
        <v>1</v>
      </c>
      <c r="M1115">
        <v>11</v>
      </c>
      <c r="N1115">
        <v>1</v>
      </c>
      <c r="O1115">
        <v>0</v>
      </c>
      <c r="P1115">
        <v>18</v>
      </c>
    </row>
    <row r="1116" spans="1:16" x14ac:dyDescent="0.3">
      <c r="A1116" s="1">
        <v>45566</v>
      </c>
      <c r="B1116" t="s">
        <v>7</v>
      </c>
      <c r="C1116" s="9" t="str">
        <f>IFERROR(INDEX(자료실범례[],MATCH($B1116,자료실범례[소장처명],0),2),"종합자료실")</f>
        <v>어린이자료실</v>
      </c>
      <c r="D1116" t="s">
        <v>25</v>
      </c>
      <c r="E1116">
        <v>0</v>
      </c>
      <c r="F1116">
        <v>2</v>
      </c>
      <c r="G1116">
        <v>0</v>
      </c>
      <c r="H1116">
        <v>4</v>
      </c>
      <c r="I1116">
        <v>0</v>
      </c>
      <c r="J1116">
        <v>0</v>
      </c>
      <c r="K1116">
        <v>0</v>
      </c>
      <c r="L1116">
        <v>4</v>
      </c>
      <c r="M1116">
        <v>24</v>
      </c>
      <c r="N1116">
        <v>1</v>
      </c>
      <c r="O1116">
        <v>0</v>
      </c>
      <c r="P1116">
        <v>35</v>
      </c>
    </row>
    <row r="1117" spans="1:16" x14ac:dyDescent="0.3">
      <c r="A1117" s="1">
        <v>45566</v>
      </c>
      <c r="B1117" t="s">
        <v>7</v>
      </c>
      <c r="C1117" s="9" t="str">
        <f>IFERROR(INDEX(자료실범례[],MATCH($B1117,자료실범례[소장처명],0),2),"종합자료실")</f>
        <v>어린이자료실</v>
      </c>
      <c r="D1117" t="s">
        <v>31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3</v>
      </c>
      <c r="N1117">
        <v>0</v>
      </c>
      <c r="O1117">
        <v>0</v>
      </c>
      <c r="P1117">
        <v>3</v>
      </c>
    </row>
    <row r="1118" spans="1:16" x14ac:dyDescent="0.3">
      <c r="A1118" s="1">
        <v>45566</v>
      </c>
      <c r="B1118" t="s">
        <v>8</v>
      </c>
      <c r="C1118" s="9" t="str">
        <f>IFERROR(INDEX(자료실범례[],MATCH($B1118,자료실범례[소장처명],0),2),"종합자료실")</f>
        <v>어린이자료실</v>
      </c>
      <c r="D1118" t="s">
        <v>28</v>
      </c>
      <c r="E1118">
        <v>0</v>
      </c>
      <c r="F1118">
        <v>4</v>
      </c>
      <c r="G1118">
        <v>0</v>
      </c>
      <c r="H1118">
        <v>2</v>
      </c>
      <c r="I1118">
        <v>2</v>
      </c>
      <c r="J1118">
        <v>0</v>
      </c>
      <c r="K1118">
        <v>0</v>
      </c>
      <c r="L1118">
        <v>0</v>
      </c>
      <c r="M1118">
        <v>17</v>
      </c>
      <c r="N1118">
        <v>2</v>
      </c>
      <c r="O1118">
        <v>0</v>
      </c>
      <c r="P1118">
        <v>27</v>
      </c>
    </row>
    <row r="1119" spans="1:16" x14ac:dyDescent="0.3">
      <c r="A1119" s="1">
        <v>45566</v>
      </c>
      <c r="B1119" t="s">
        <v>8</v>
      </c>
      <c r="C1119" s="9" t="str">
        <f>IFERROR(INDEX(자료실범례[],MATCH($B1119,자료실범례[소장처명],0),2),"종합자료실")</f>
        <v>어린이자료실</v>
      </c>
      <c r="D1119" t="s">
        <v>25</v>
      </c>
      <c r="E1119">
        <v>0</v>
      </c>
      <c r="F1119">
        <v>2</v>
      </c>
      <c r="G1119">
        <v>0</v>
      </c>
      <c r="H1119">
        <v>3</v>
      </c>
      <c r="I1119">
        <v>3</v>
      </c>
      <c r="J1119">
        <v>0</v>
      </c>
      <c r="K1119">
        <v>0</v>
      </c>
      <c r="L1119">
        <v>0</v>
      </c>
      <c r="M1119">
        <v>16</v>
      </c>
      <c r="N1119">
        <v>0</v>
      </c>
      <c r="O1119">
        <v>0</v>
      </c>
      <c r="P1119">
        <v>24</v>
      </c>
    </row>
    <row r="1120" spans="1:16" x14ac:dyDescent="0.3">
      <c r="A1120" s="1">
        <v>45566</v>
      </c>
      <c r="B1120" t="s">
        <v>8</v>
      </c>
      <c r="C1120" s="9" t="str">
        <f>IFERROR(INDEX(자료실범례[],MATCH($B1120,자료실범례[소장처명],0),2),"종합자료실")</f>
        <v>어린이자료실</v>
      </c>
      <c r="D1120" t="s">
        <v>31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2</v>
      </c>
      <c r="N1120">
        <v>0</v>
      </c>
      <c r="O1120">
        <v>0</v>
      </c>
      <c r="P1120">
        <v>2</v>
      </c>
    </row>
    <row r="1121" spans="1:16" x14ac:dyDescent="0.3">
      <c r="A1121" s="1">
        <v>45566</v>
      </c>
      <c r="B1121" t="s">
        <v>9</v>
      </c>
      <c r="C1121" s="9" t="str">
        <f>IFERROR(INDEX(자료실범례[],MATCH($B1121,자료실범례[소장처명],0),2),"종합자료실")</f>
        <v>어린이자료실</v>
      </c>
      <c r="D1121" t="s">
        <v>28</v>
      </c>
      <c r="E1121">
        <v>0</v>
      </c>
      <c r="F1121">
        <v>1</v>
      </c>
      <c r="G1121">
        <v>0</v>
      </c>
      <c r="H1121">
        <v>2</v>
      </c>
      <c r="I1121">
        <v>3</v>
      </c>
      <c r="J1121">
        <v>0</v>
      </c>
      <c r="K1121">
        <v>0</v>
      </c>
      <c r="L1121">
        <v>0</v>
      </c>
      <c r="M1121">
        <v>4</v>
      </c>
      <c r="N1121">
        <v>1</v>
      </c>
      <c r="O1121">
        <v>0</v>
      </c>
      <c r="P1121">
        <v>11</v>
      </c>
    </row>
    <row r="1122" spans="1:16" x14ac:dyDescent="0.3">
      <c r="A1122" s="1">
        <v>45566</v>
      </c>
      <c r="B1122" t="s">
        <v>9</v>
      </c>
      <c r="C1122" s="9" t="str">
        <f>IFERROR(INDEX(자료실범례[],MATCH($B1122,자료실범례[소장처명],0),2),"종합자료실")</f>
        <v>어린이자료실</v>
      </c>
      <c r="D1122" t="s">
        <v>25</v>
      </c>
      <c r="E1122">
        <v>0</v>
      </c>
      <c r="F1122">
        <v>1</v>
      </c>
      <c r="G1122">
        <v>0</v>
      </c>
      <c r="H1122">
        <v>3</v>
      </c>
      <c r="I1122">
        <v>4</v>
      </c>
      <c r="J1122">
        <v>0</v>
      </c>
      <c r="K1122">
        <v>0</v>
      </c>
      <c r="L1122">
        <v>0</v>
      </c>
      <c r="M1122">
        <v>7</v>
      </c>
      <c r="N1122">
        <v>1</v>
      </c>
      <c r="O1122">
        <v>0</v>
      </c>
      <c r="P1122">
        <v>16</v>
      </c>
    </row>
    <row r="1123" spans="1:16" x14ac:dyDescent="0.3">
      <c r="A1123" s="1">
        <v>45566</v>
      </c>
      <c r="B1123" t="s">
        <v>10</v>
      </c>
      <c r="C1123" s="9" t="str">
        <f>IFERROR(INDEX(자료실범례[],MATCH($B1123,자료실범례[소장처명],0),2),"종합자료실")</f>
        <v>어린이자료실</v>
      </c>
      <c r="D1123" t="s">
        <v>28</v>
      </c>
      <c r="E1123">
        <v>0</v>
      </c>
      <c r="F1123">
        <v>0</v>
      </c>
      <c r="G1123">
        <v>0</v>
      </c>
      <c r="H1123">
        <v>0</v>
      </c>
      <c r="I1123">
        <v>2</v>
      </c>
      <c r="J1123">
        <v>0</v>
      </c>
      <c r="K1123">
        <v>0</v>
      </c>
      <c r="L1123">
        <v>0</v>
      </c>
      <c r="M1123">
        <v>3</v>
      </c>
      <c r="N1123">
        <v>2</v>
      </c>
      <c r="O1123">
        <v>0</v>
      </c>
      <c r="P1123">
        <v>7</v>
      </c>
    </row>
    <row r="1124" spans="1:16" x14ac:dyDescent="0.3">
      <c r="A1124" s="1">
        <v>45566</v>
      </c>
      <c r="B1124" t="s">
        <v>10</v>
      </c>
      <c r="C1124" s="9" t="str">
        <f>IFERROR(INDEX(자료실범례[],MATCH($B1124,자료실범례[소장처명],0),2),"종합자료실")</f>
        <v>어린이자료실</v>
      </c>
      <c r="D1124" t="s">
        <v>25</v>
      </c>
      <c r="E1124">
        <v>0</v>
      </c>
      <c r="F1124">
        <v>0</v>
      </c>
      <c r="G1124">
        <v>0</v>
      </c>
      <c r="H1124">
        <v>0</v>
      </c>
      <c r="I1124">
        <v>3</v>
      </c>
      <c r="J1124">
        <v>1</v>
      </c>
      <c r="K1124">
        <v>0</v>
      </c>
      <c r="L1124">
        <v>0</v>
      </c>
      <c r="M1124">
        <v>6</v>
      </c>
      <c r="N1124">
        <v>2</v>
      </c>
      <c r="O1124">
        <v>0</v>
      </c>
      <c r="P1124">
        <v>12</v>
      </c>
    </row>
    <row r="1125" spans="1:16" x14ac:dyDescent="0.3">
      <c r="A1125" s="1">
        <v>45566</v>
      </c>
      <c r="B1125" t="s">
        <v>10</v>
      </c>
      <c r="C1125" s="9" t="str">
        <f>IFERROR(INDEX(자료실범례[],MATCH($B1125,자료실범례[소장처명],0),2),"종합자료실")</f>
        <v>어린이자료실</v>
      </c>
      <c r="D1125" t="s">
        <v>31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</v>
      </c>
      <c r="N1125">
        <v>0</v>
      </c>
      <c r="O1125">
        <v>0</v>
      </c>
      <c r="P1125">
        <v>1</v>
      </c>
    </row>
    <row r="1126" spans="1:16" x14ac:dyDescent="0.3">
      <c r="A1126" s="1">
        <v>45566</v>
      </c>
      <c r="B1126" t="s">
        <v>11</v>
      </c>
      <c r="C1126" s="9" t="str">
        <f>IFERROR(INDEX(자료실범례[],MATCH($B1126,자료실범례[소장처명],0),2),"종합자료실")</f>
        <v>어린이자료실</v>
      </c>
      <c r="D1126" t="s">
        <v>28</v>
      </c>
      <c r="E1126">
        <v>0</v>
      </c>
      <c r="F1126">
        <v>0</v>
      </c>
      <c r="G1126">
        <v>0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19</v>
      </c>
      <c r="N1126">
        <v>1</v>
      </c>
      <c r="O1126">
        <v>0</v>
      </c>
      <c r="P1126">
        <v>21</v>
      </c>
    </row>
    <row r="1127" spans="1:16" x14ac:dyDescent="0.3">
      <c r="A1127" s="1">
        <v>45566</v>
      </c>
      <c r="B1127" t="s">
        <v>11</v>
      </c>
      <c r="C1127" s="9" t="str">
        <f>IFERROR(INDEX(자료실범례[],MATCH($B1127,자료실범례[소장처명],0),2),"종합자료실")</f>
        <v>어린이자료실</v>
      </c>
      <c r="D1127" t="s">
        <v>25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1</v>
      </c>
      <c r="K1127">
        <v>0</v>
      </c>
      <c r="L1127">
        <v>0</v>
      </c>
      <c r="M1127">
        <v>5</v>
      </c>
      <c r="N1127">
        <v>1</v>
      </c>
      <c r="O1127">
        <v>0</v>
      </c>
      <c r="P1127">
        <v>8</v>
      </c>
    </row>
    <row r="1128" spans="1:16" x14ac:dyDescent="0.3">
      <c r="A1128" s="1">
        <v>45566</v>
      </c>
      <c r="B1128" t="s">
        <v>11</v>
      </c>
      <c r="C1128" s="9" t="str">
        <f>IFERROR(INDEX(자료실범례[],MATCH($B1128,자료실범례[소장처명],0),2),"종합자료실")</f>
        <v>어린이자료실</v>
      </c>
      <c r="D1128" t="s">
        <v>31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1</v>
      </c>
      <c r="N1128">
        <v>0</v>
      </c>
      <c r="O1128">
        <v>0</v>
      </c>
      <c r="P1128">
        <v>1</v>
      </c>
    </row>
    <row r="1129" spans="1:16" x14ac:dyDescent="0.3">
      <c r="A1129" s="1">
        <v>45566</v>
      </c>
      <c r="B1129" t="s">
        <v>12</v>
      </c>
      <c r="C1129" s="9" t="str">
        <f>IFERROR(INDEX(자료실범례[],MATCH($B1129,자료실범례[소장처명],0),2),"종합자료실")</f>
        <v>어린이자료실</v>
      </c>
      <c r="D1129" t="s">
        <v>28</v>
      </c>
      <c r="E1129">
        <v>0</v>
      </c>
      <c r="F1129">
        <v>0</v>
      </c>
      <c r="G1129">
        <v>0</v>
      </c>
      <c r="H1129">
        <v>3</v>
      </c>
      <c r="I1129">
        <v>1</v>
      </c>
      <c r="J1129">
        <v>3</v>
      </c>
      <c r="K1129">
        <v>0</v>
      </c>
      <c r="L1129">
        <v>0</v>
      </c>
      <c r="M1129">
        <v>2</v>
      </c>
      <c r="N1129">
        <v>0</v>
      </c>
      <c r="O1129">
        <v>0</v>
      </c>
      <c r="P1129">
        <v>9</v>
      </c>
    </row>
    <row r="1130" spans="1:16" x14ac:dyDescent="0.3">
      <c r="A1130" s="1">
        <v>45566</v>
      </c>
      <c r="B1130" t="s">
        <v>12</v>
      </c>
      <c r="C1130" s="9" t="str">
        <f>IFERROR(INDEX(자료실범례[],MATCH($B1130,자료실범례[소장처명],0),2),"종합자료실")</f>
        <v>어린이자료실</v>
      </c>
      <c r="D1130" t="s">
        <v>25</v>
      </c>
      <c r="E1130">
        <v>0</v>
      </c>
      <c r="F1130">
        <v>0</v>
      </c>
      <c r="G1130">
        <v>0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</v>
      </c>
    </row>
    <row r="1131" spans="1:16" x14ac:dyDescent="0.3">
      <c r="A1131" s="1">
        <v>45566</v>
      </c>
      <c r="B1131" t="s">
        <v>0</v>
      </c>
      <c r="C1131" s="9" t="str">
        <f>IFERROR(INDEX(자료실범례[],MATCH($B1131,자료실범례[소장처명],0),2),"종합자료실")</f>
        <v>어린이자료실</v>
      </c>
      <c r="D1131" t="s">
        <v>28</v>
      </c>
      <c r="E1131">
        <v>0</v>
      </c>
      <c r="F1131">
        <v>0</v>
      </c>
      <c r="G1131">
        <v>0</v>
      </c>
      <c r="H1131">
        <v>1</v>
      </c>
      <c r="I1131">
        <v>0</v>
      </c>
      <c r="J1131">
        <v>0</v>
      </c>
      <c r="K1131">
        <v>0</v>
      </c>
      <c r="L1131">
        <v>1</v>
      </c>
      <c r="M1131">
        <v>8</v>
      </c>
      <c r="N1131">
        <v>0</v>
      </c>
      <c r="O1131">
        <v>0</v>
      </c>
      <c r="P1131">
        <v>10</v>
      </c>
    </row>
    <row r="1132" spans="1:16" x14ac:dyDescent="0.3">
      <c r="A1132" s="1">
        <v>45566</v>
      </c>
      <c r="B1132" t="s">
        <v>0</v>
      </c>
      <c r="C1132" s="9" t="str">
        <f>IFERROR(INDEX(자료실범례[],MATCH($B1132,자료실범례[소장처명],0),2),"종합자료실")</f>
        <v>어린이자료실</v>
      </c>
      <c r="D1132" t="s">
        <v>25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1</v>
      </c>
      <c r="M1132">
        <v>7</v>
      </c>
      <c r="N1132">
        <v>0</v>
      </c>
      <c r="O1132">
        <v>0</v>
      </c>
      <c r="P1132">
        <v>8</v>
      </c>
    </row>
    <row r="1133" spans="1:16" x14ac:dyDescent="0.3">
      <c r="A1133" s="1">
        <v>45566</v>
      </c>
      <c r="B1133" t="s">
        <v>0</v>
      </c>
      <c r="C1133" s="9" t="str">
        <f>IFERROR(INDEX(자료실범례[],MATCH($B1133,자료실범례[소장처명],0),2),"종합자료실")</f>
        <v>어린이자료실</v>
      </c>
      <c r="D1133" t="s">
        <v>31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4</v>
      </c>
      <c r="N1133">
        <v>0</v>
      </c>
      <c r="O1133">
        <v>0</v>
      </c>
      <c r="P1133">
        <v>4</v>
      </c>
    </row>
    <row r="1134" spans="1:16" x14ac:dyDescent="0.3">
      <c r="A1134" s="1">
        <v>45566</v>
      </c>
      <c r="B1134" t="s">
        <v>1</v>
      </c>
      <c r="C1134" s="9" t="str">
        <f>IFERROR(INDEX(자료실범례[],MATCH($B1134,자료실범례[소장처명],0),2),"종합자료실")</f>
        <v>어린이자료실</v>
      </c>
      <c r="D1134" t="s">
        <v>28</v>
      </c>
      <c r="E1134">
        <v>0</v>
      </c>
      <c r="F1134">
        <v>0</v>
      </c>
      <c r="G1134">
        <v>0</v>
      </c>
      <c r="H1134">
        <v>1</v>
      </c>
      <c r="I1134">
        <v>0</v>
      </c>
      <c r="J1134">
        <v>0</v>
      </c>
      <c r="K1134">
        <v>0</v>
      </c>
      <c r="L1134">
        <v>13</v>
      </c>
      <c r="M1134">
        <v>5</v>
      </c>
      <c r="N1134">
        <v>0</v>
      </c>
      <c r="O1134">
        <v>0</v>
      </c>
      <c r="P1134">
        <v>19</v>
      </c>
    </row>
    <row r="1135" spans="1:16" x14ac:dyDescent="0.3">
      <c r="A1135" s="1">
        <v>45566</v>
      </c>
      <c r="B1135" t="s">
        <v>1</v>
      </c>
      <c r="C1135" s="9" t="str">
        <f>IFERROR(INDEX(자료실범례[],MATCH($B1135,자료실범례[소장처명],0),2),"종합자료실")</f>
        <v>어린이자료실</v>
      </c>
      <c r="D1135" t="s">
        <v>25</v>
      </c>
      <c r="E1135">
        <v>0</v>
      </c>
      <c r="F1135">
        <v>0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16</v>
      </c>
      <c r="M1135">
        <v>0</v>
      </c>
      <c r="N1135">
        <v>0</v>
      </c>
      <c r="O1135">
        <v>0</v>
      </c>
      <c r="P1135">
        <v>17</v>
      </c>
    </row>
    <row r="1136" spans="1:16" x14ac:dyDescent="0.3">
      <c r="A1136" s="1">
        <v>45566</v>
      </c>
      <c r="B1136" t="s">
        <v>1</v>
      </c>
      <c r="C1136" s="9" t="str">
        <f>IFERROR(INDEX(자료실범례[],MATCH($B1136,자료실범례[소장처명],0),2),"종합자료실")</f>
        <v>어린이자료실</v>
      </c>
      <c r="D1136" t="s">
        <v>31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7</v>
      </c>
      <c r="M1136">
        <v>0</v>
      </c>
      <c r="N1136">
        <v>0</v>
      </c>
      <c r="O1136">
        <v>0</v>
      </c>
      <c r="P1136">
        <v>7</v>
      </c>
    </row>
    <row r="1137" spans="1:16" x14ac:dyDescent="0.3">
      <c r="A1137" s="1">
        <v>45566</v>
      </c>
      <c r="B1137" t="s">
        <v>6</v>
      </c>
      <c r="C1137" s="9" t="str">
        <f>IFERROR(INDEX(자료실범례[],MATCH($B1137,자료실범례[소장처명],0),2),"종합자료실")</f>
        <v>종합자료실</v>
      </c>
      <c r="D1137" t="s">
        <v>28</v>
      </c>
      <c r="E1137">
        <v>1</v>
      </c>
      <c r="F1137">
        <v>7</v>
      </c>
      <c r="G1137">
        <v>2</v>
      </c>
      <c r="H1137">
        <v>12</v>
      </c>
      <c r="I1137">
        <v>3</v>
      </c>
      <c r="J1137">
        <v>9</v>
      </c>
      <c r="K1137">
        <v>4</v>
      </c>
      <c r="L1137">
        <v>4</v>
      </c>
      <c r="M1137">
        <v>63</v>
      </c>
      <c r="N1137">
        <v>3</v>
      </c>
      <c r="O1137">
        <v>0</v>
      </c>
      <c r="P1137">
        <v>108</v>
      </c>
    </row>
    <row r="1138" spans="1:16" x14ac:dyDescent="0.3">
      <c r="A1138" s="1">
        <v>45566</v>
      </c>
      <c r="B1138" t="s">
        <v>6</v>
      </c>
      <c r="C1138" s="9" t="str">
        <f>IFERROR(INDEX(자료실범례[],MATCH($B1138,자료실범례[소장처명],0),2),"종합자료실")</f>
        <v>종합자료실</v>
      </c>
      <c r="D1138" t="s">
        <v>25</v>
      </c>
      <c r="E1138">
        <v>1</v>
      </c>
      <c r="F1138">
        <v>4</v>
      </c>
      <c r="G1138">
        <v>2</v>
      </c>
      <c r="H1138">
        <v>7</v>
      </c>
      <c r="I1138">
        <v>4</v>
      </c>
      <c r="J1138">
        <v>8</v>
      </c>
      <c r="K1138">
        <v>5</v>
      </c>
      <c r="L1138">
        <v>4</v>
      </c>
      <c r="M1138">
        <v>54</v>
      </c>
      <c r="N1138">
        <v>2</v>
      </c>
      <c r="O1138">
        <v>0</v>
      </c>
      <c r="P1138">
        <v>91</v>
      </c>
    </row>
    <row r="1139" spans="1:16" x14ac:dyDescent="0.3">
      <c r="A1139" s="1">
        <v>45566</v>
      </c>
      <c r="B1139" t="s">
        <v>6</v>
      </c>
      <c r="C1139" s="9" t="str">
        <f>IFERROR(INDEX(자료실범례[],MATCH($B1139,자료실범례[소장처명],0),2),"종합자료실")</f>
        <v>종합자료실</v>
      </c>
      <c r="D1139" t="s">
        <v>31</v>
      </c>
      <c r="E1139">
        <v>1</v>
      </c>
      <c r="F1139">
        <v>0</v>
      </c>
      <c r="G1139">
        <v>0</v>
      </c>
      <c r="H1139">
        <v>1</v>
      </c>
      <c r="I1139">
        <v>0</v>
      </c>
      <c r="J1139">
        <v>0</v>
      </c>
      <c r="K1139">
        <v>1</v>
      </c>
      <c r="L1139">
        <v>0</v>
      </c>
      <c r="M1139">
        <v>9</v>
      </c>
      <c r="N1139">
        <v>0</v>
      </c>
      <c r="O1139">
        <v>0</v>
      </c>
      <c r="P1139">
        <v>12</v>
      </c>
    </row>
    <row r="1140" spans="1:16" x14ac:dyDescent="0.3">
      <c r="A1140" s="1">
        <v>45566</v>
      </c>
      <c r="B1140" t="s">
        <v>18</v>
      </c>
      <c r="C1140" s="9" t="str">
        <f>IFERROR(INDEX(자료실범례[],MATCH($B1140,자료실범례[소장처명],0),2),"종합자료실")</f>
        <v>종합자료실</v>
      </c>
      <c r="D1140" t="s">
        <v>28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7</v>
      </c>
      <c r="P1140">
        <v>7</v>
      </c>
    </row>
    <row r="1141" spans="1:16" x14ac:dyDescent="0.3">
      <c r="A1141" s="1">
        <v>45566</v>
      </c>
      <c r="B1141" t="s">
        <v>18</v>
      </c>
      <c r="C1141" s="9" t="str">
        <f>IFERROR(INDEX(자료실범례[],MATCH($B1141,자료실범례[소장처명],0),2),"종합자료실")</f>
        <v>종합자료실</v>
      </c>
      <c r="D1141" t="s">
        <v>25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7</v>
      </c>
      <c r="P1141">
        <v>7</v>
      </c>
    </row>
    <row r="1142" spans="1:16" x14ac:dyDescent="0.3">
      <c r="A1142" s="1">
        <v>45566</v>
      </c>
      <c r="B1142" t="s">
        <v>18</v>
      </c>
      <c r="C1142" s="9" t="str">
        <f>IFERROR(INDEX(자료실범례[],MATCH($B1142,자료실범례[소장처명],0),2),"종합자료실")</f>
        <v>종합자료실</v>
      </c>
      <c r="D1142" t="s">
        <v>31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3</v>
      </c>
      <c r="P1142">
        <v>3</v>
      </c>
    </row>
    <row r="1143" spans="1:16" x14ac:dyDescent="0.3">
      <c r="A1143" s="1">
        <v>45566</v>
      </c>
      <c r="B1143" t="s">
        <v>17</v>
      </c>
      <c r="C1143" s="9" t="str">
        <f>IFERROR(INDEX(자료실범례[],MATCH($B1143,자료실범례[소장처명],0),2),"종합자료실")</f>
        <v>어린이자료실</v>
      </c>
      <c r="D1143" t="s">
        <v>28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4</v>
      </c>
      <c r="P1143">
        <v>4</v>
      </c>
    </row>
    <row r="1144" spans="1:16" x14ac:dyDescent="0.3">
      <c r="A1144" s="1">
        <v>45566</v>
      </c>
      <c r="B1144" t="s">
        <v>17</v>
      </c>
      <c r="C1144" s="9" t="str">
        <f>IFERROR(INDEX(자료실범례[],MATCH($B1144,자료실범례[소장처명],0),2),"종합자료실")</f>
        <v>어린이자료실</v>
      </c>
      <c r="D1144" t="s">
        <v>25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6</v>
      </c>
    </row>
    <row r="1145" spans="1:16" x14ac:dyDescent="0.3">
      <c r="A1145" s="1">
        <v>45200</v>
      </c>
      <c r="B1145" t="s">
        <v>21</v>
      </c>
      <c r="C1145" s="9" t="str">
        <f>IFERROR(INDEX(자료실범례[],MATCH($B1145,자료실범례[소장처명],0),2),"종합자료실")</f>
        <v>종합자료실</v>
      </c>
      <c r="D1145" t="s">
        <v>28</v>
      </c>
      <c r="E1145">
        <v>37</v>
      </c>
      <c r="F1145">
        <v>117</v>
      </c>
      <c r="G1145">
        <v>43</v>
      </c>
      <c r="H1145">
        <v>256</v>
      </c>
      <c r="I1145">
        <v>32</v>
      </c>
      <c r="J1145">
        <v>138</v>
      </c>
      <c r="K1145">
        <v>55</v>
      </c>
      <c r="L1145">
        <v>34</v>
      </c>
      <c r="M1145">
        <v>532</v>
      </c>
      <c r="N1145">
        <v>84</v>
      </c>
      <c r="O1145">
        <v>0</v>
      </c>
      <c r="P1145">
        <v>1328</v>
      </c>
    </row>
    <row r="1146" spans="1:16" x14ac:dyDescent="0.3">
      <c r="A1146" s="1">
        <v>45200</v>
      </c>
      <c r="B1146" t="s">
        <v>21</v>
      </c>
      <c r="C1146" s="9" t="str">
        <f>IFERROR(INDEX(자료실범례[],MATCH($B1146,자료실범례[소장처명],0),2),"종합자료실")</f>
        <v>종합자료실</v>
      </c>
      <c r="D1146" t="s">
        <v>25</v>
      </c>
      <c r="E1146">
        <v>50</v>
      </c>
      <c r="F1146">
        <v>141</v>
      </c>
      <c r="G1146">
        <v>49</v>
      </c>
      <c r="H1146">
        <v>252</v>
      </c>
      <c r="I1146">
        <v>44</v>
      </c>
      <c r="J1146">
        <v>174</v>
      </c>
      <c r="K1146">
        <v>58</v>
      </c>
      <c r="L1146">
        <v>30</v>
      </c>
      <c r="M1146">
        <v>632</v>
      </c>
      <c r="N1146">
        <v>92</v>
      </c>
      <c r="O1146">
        <v>0</v>
      </c>
      <c r="P1146">
        <v>1522</v>
      </c>
    </row>
    <row r="1147" spans="1:16" x14ac:dyDescent="0.3">
      <c r="A1147" s="1">
        <v>45200</v>
      </c>
      <c r="B1147" t="s">
        <v>21</v>
      </c>
      <c r="C1147" s="9" t="str">
        <f>IFERROR(INDEX(자료실범례[],MATCH($B1147,자료실범례[소장처명],0),2),"종합자료실")</f>
        <v>종합자료실</v>
      </c>
      <c r="D1147" t="s">
        <v>31</v>
      </c>
      <c r="E1147">
        <v>25</v>
      </c>
      <c r="F1147">
        <v>58</v>
      </c>
      <c r="G1147">
        <v>26</v>
      </c>
      <c r="H1147">
        <v>118</v>
      </c>
      <c r="I1147">
        <v>9</v>
      </c>
      <c r="J1147">
        <v>51</v>
      </c>
      <c r="K1147">
        <v>29</v>
      </c>
      <c r="L1147">
        <v>17</v>
      </c>
      <c r="M1147">
        <v>173</v>
      </c>
      <c r="N1147">
        <v>38</v>
      </c>
      <c r="O1147">
        <v>0</v>
      </c>
      <c r="P1147">
        <v>544</v>
      </c>
    </row>
    <row r="1148" spans="1:16" x14ac:dyDescent="0.3">
      <c r="A1148" s="1">
        <v>45200</v>
      </c>
      <c r="B1148" t="s">
        <v>16</v>
      </c>
      <c r="C1148" s="9" t="str">
        <f>IFERROR(INDEX(자료실범례[],MATCH($B1148,자료실범례[소장처명],0),2),"종합자료실")</f>
        <v>어린이자료실</v>
      </c>
      <c r="D1148" t="s">
        <v>28</v>
      </c>
      <c r="E1148">
        <v>22</v>
      </c>
      <c r="F1148">
        <v>13</v>
      </c>
      <c r="G1148">
        <v>4</v>
      </c>
      <c r="H1148">
        <v>149</v>
      </c>
      <c r="I1148">
        <v>132</v>
      </c>
      <c r="J1148">
        <v>30</v>
      </c>
      <c r="K1148">
        <v>14</v>
      </c>
      <c r="L1148">
        <v>16</v>
      </c>
      <c r="M1148">
        <v>791</v>
      </c>
      <c r="N1148">
        <v>63</v>
      </c>
      <c r="O1148">
        <v>0</v>
      </c>
      <c r="P1148">
        <v>1234</v>
      </c>
    </row>
    <row r="1149" spans="1:16" x14ac:dyDescent="0.3">
      <c r="A1149" s="1">
        <v>45200</v>
      </c>
      <c r="B1149" t="s">
        <v>16</v>
      </c>
      <c r="C1149" s="9" t="str">
        <f>IFERROR(INDEX(자료실범례[],MATCH($B1149,자료실범례[소장처명],0),2),"종합자료실")</f>
        <v>어린이자료실</v>
      </c>
      <c r="D1149" t="s">
        <v>25</v>
      </c>
      <c r="E1149">
        <v>28</v>
      </c>
      <c r="F1149">
        <v>11</v>
      </c>
      <c r="G1149">
        <v>2</v>
      </c>
      <c r="H1149">
        <v>148</v>
      </c>
      <c r="I1149">
        <v>141</v>
      </c>
      <c r="J1149">
        <v>40</v>
      </c>
      <c r="K1149">
        <v>19</v>
      </c>
      <c r="L1149">
        <v>23</v>
      </c>
      <c r="M1149">
        <v>826</v>
      </c>
      <c r="N1149">
        <v>69</v>
      </c>
      <c r="O1149">
        <v>0</v>
      </c>
      <c r="P1149">
        <v>1307</v>
      </c>
    </row>
    <row r="1150" spans="1:16" x14ac:dyDescent="0.3">
      <c r="A1150" s="1">
        <v>45200</v>
      </c>
      <c r="B1150" t="s">
        <v>16</v>
      </c>
      <c r="C1150" s="9" t="str">
        <f>IFERROR(INDEX(자료실범례[],MATCH($B1150,자료실범례[소장처명],0),2),"종합자료실")</f>
        <v>어린이자료실</v>
      </c>
      <c r="D1150" t="s">
        <v>31</v>
      </c>
      <c r="E1150">
        <v>8</v>
      </c>
      <c r="F1150">
        <v>4</v>
      </c>
      <c r="G1150">
        <v>3</v>
      </c>
      <c r="H1150">
        <v>33</v>
      </c>
      <c r="I1150">
        <v>23</v>
      </c>
      <c r="J1150">
        <v>14</v>
      </c>
      <c r="K1150">
        <v>2</v>
      </c>
      <c r="L1150">
        <v>7</v>
      </c>
      <c r="M1150">
        <v>169</v>
      </c>
      <c r="N1150">
        <v>13</v>
      </c>
      <c r="O1150">
        <v>0</v>
      </c>
      <c r="P1150">
        <v>276</v>
      </c>
    </row>
    <row r="1151" spans="1:16" x14ac:dyDescent="0.3">
      <c r="A1151" s="1">
        <v>45200</v>
      </c>
      <c r="B1151" t="s">
        <v>2</v>
      </c>
      <c r="C1151" s="9" t="str">
        <f>IFERROR(INDEX(자료실범례[],MATCH($B1151,자료실범례[소장처명],0),2),"종합자료실")</f>
        <v>디지털자료실</v>
      </c>
      <c r="D1151" t="s">
        <v>28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18</v>
      </c>
      <c r="L1151">
        <v>0</v>
      </c>
      <c r="M1151">
        <v>0</v>
      </c>
      <c r="N1151">
        <v>0</v>
      </c>
      <c r="O1151">
        <v>0</v>
      </c>
      <c r="P1151">
        <v>18</v>
      </c>
    </row>
    <row r="1152" spans="1:16" x14ac:dyDescent="0.3">
      <c r="A1152" s="1">
        <v>45200</v>
      </c>
      <c r="B1152" t="s">
        <v>2</v>
      </c>
      <c r="C1152" s="9" t="str">
        <f>IFERROR(INDEX(자료실범례[],MATCH($B1152,자료실범례[소장처명],0),2),"종합자료실")</f>
        <v>디지털자료실</v>
      </c>
      <c r="D1152" t="s">
        <v>25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21</v>
      </c>
      <c r="L1152">
        <v>0</v>
      </c>
      <c r="M1152">
        <v>0</v>
      </c>
      <c r="N1152">
        <v>0</v>
      </c>
      <c r="O1152">
        <v>0</v>
      </c>
      <c r="P1152">
        <v>21</v>
      </c>
    </row>
    <row r="1153" spans="1:16" x14ac:dyDescent="0.3">
      <c r="A1153" s="1">
        <v>45200</v>
      </c>
      <c r="B1153" t="s">
        <v>2</v>
      </c>
      <c r="C1153" s="9" t="str">
        <f>IFERROR(INDEX(자료실범례[],MATCH($B1153,자료실범례[소장처명],0),2),"종합자료실")</f>
        <v>디지털자료실</v>
      </c>
      <c r="D1153" t="s">
        <v>31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2</v>
      </c>
      <c r="L1153">
        <v>0</v>
      </c>
      <c r="M1153">
        <v>0</v>
      </c>
      <c r="N1153">
        <v>0</v>
      </c>
      <c r="O1153">
        <v>0</v>
      </c>
      <c r="P1153">
        <v>2</v>
      </c>
    </row>
    <row r="1154" spans="1:16" x14ac:dyDescent="0.3">
      <c r="A1154" s="1">
        <v>45200</v>
      </c>
      <c r="B1154" t="s">
        <v>19</v>
      </c>
      <c r="C1154" s="9" t="str">
        <f>IFERROR(INDEX(자료실범례[],MATCH($B1154,자료실범례[소장처명],0),2),"종합자료실")</f>
        <v>종합자료실</v>
      </c>
      <c r="D1154" t="s">
        <v>28</v>
      </c>
      <c r="E1154">
        <v>4</v>
      </c>
      <c r="F1154">
        <v>2</v>
      </c>
      <c r="G1154">
        <v>0</v>
      </c>
      <c r="H1154">
        <v>1</v>
      </c>
      <c r="I1154">
        <v>0</v>
      </c>
      <c r="J1154">
        <v>1</v>
      </c>
      <c r="K1154">
        <v>0</v>
      </c>
      <c r="L1154">
        <v>0</v>
      </c>
      <c r="M1154">
        <v>1</v>
      </c>
      <c r="N1154">
        <v>0</v>
      </c>
      <c r="O1154">
        <v>0</v>
      </c>
      <c r="P1154">
        <v>9</v>
      </c>
    </row>
    <row r="1155" spans="1:16" x14ac:dyDescent="0.3">
      <c r="A1155" s="1">
        <v>45200</v>
      </c>
      <c r="B1155" t="s">
        <v>19</v>
      </c>
      <c r="C1155" s="9" t="str">
        <f>IFERROR(INDEX(자료실범례[],MATCH($B1155,자료실범례[소장처명],0),2),"종합자료실")</f>
        <v>종합자료실</v>
      </c>
      <c r="D1155" t="s">
        <v>25</v>
      </c>
      <c r="E1155">
        <v>5</v>
      </c>
      <c r="F1155">
        <v>4</v>
      </c>
      <c r="G1155">
        <v>0</v>
      </c>
      <c r="H1155">
        <v>0</v>
      </c>
      <c r="I1155">
        <v>0</v>
      </c>
      <c r="J1155">
        <v>1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10</v>
      </c>
    </row>
    <row r="1156" spans="1:16" x14ac:dyDescent="0.3">
      <c r="A1156" s="1">
        <v>45200</v>
      </c>
      <c r="B1156" t="s">
        <v>19</v>
      </c>
      <c r="C1156" s="9" t="str">
        <f>IFERROR(INDEX(자료실범례[],MATCH($B1156,자료실범례[소장처명],0),2),"종합자료실")</f>
        <v>종합자료실</v>
      </c>
      <c r="D1156" t="s">
        <v>31</v>
      </c>
      <c r="E1156">
        <v>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2</v>
      </c>
    </row>
    <row r="1157" spans="1:16" x14ac:dyDescent="0.3">
      <c r="A1157" s="1">
        <v>45200</v>
      </c>
      <c r="B1157" t="s">
        <v>13</v>
      </c>
      <c r="C1157" s="9" t="str">
        <f>IFERROR(INDEX(자료실범례[],MATCH($B1157,자료실범례[소장처명],0),2),"종합자료실")</f>
        <v>어린이자료실</v>
      </c>
      <c r="D1157" t="s">
        <v>28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16</v>
      </c>
      <c r="N1157">
        <v>0</v>
      </c>
      <c r="O1157">
        <v>0</v>
      </c>
      <c r="P1157">
        <v>16</v>
      </c>
    </row>
    <row r="1158" spans="1:16" x14ac:dyDescent="0.3">
      <c r="A1158" s="1">
        <v>45200</v>
      </c>
      <c r="B1158" t="s">
        <v>13</v>
      </c>
      <c r="C1158" s="9" t="str">
        <f>IFERROR(INDEX(자료실범례[],MATCH($B1158,자료실범례[소장처명],0),2),"종합자료실")</f>
        <v>어린이자료실</v>
      </c>
      <c r="D1158" t="s">
        <v>25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2</v>
      </c>
      <c r="L1158">
        <v>0</v>
      </c>
      <c r="M1158">
        <v>5</v>
      </c>
      <c r="N1158">
        <v>0</v>
      </c>
      <c r="O1158">
        <v>0</v>
      </c>
      <c r="P1158">
        <v>7</v>
      </c>
    </row>
    <row r="1159" spans="1:16" x14ac:dyDescent="0.3">
      <c r="A1159" s="1">
        <v>45200</v>
      </c>
      <c r="B1159" t="s">
        <v>15</v>
      </c>
      <c r="C1159" s="9" t="str">
        <f>IFERROR(INDEX(자료실범례[],MATCH($B1159,자료실범례[소장처명],0),2),"종합자료실")</f>
        <v>어린이자료실</v>
      </c>
      <c r="D1159" t="s">
        <v>28</v>
      </c>
      <c r="E1159">
        <v>6</v>
      </c>
      <c r="F1159">
        <v>0</v>
      </c>
      <c r="G1159">
        <v>12</v>
      </c>
      <c r="H1159">
        <v>2</v>
      </c>
      <c r="I1159">
        <v>209</v>
      </c>
      <c r="J1159">
        <v>53</v>
      </c>
      <c r="K1159">
        <v>0</v>
      </c>
      <c r="L1159">
        <v>75</v>
      </c>
      <c r="M1159">
        <v>26</v>
      </c>
      <c r="N1159">
        <v>144</v>
      </c>
      <c r="O1159">
        <v>0</v>
      </c>
      <c r="P1159">
        <v>527</v>
      </c>
    </row>
    <row r="1160" spans="1:16" x14ac:dyDescent="0.3">
      <c r="A1160" s="1">
        <v>45200</v>
      </c>
      <c r="B1160" t="s">
        <v>15</v>
      </c>
      <c r="C1160" s="9" t="str">
        <f>IFERROR(INDEX(자료실범례[],MATCH($B1160,자료실범례[소장처명],0),2),"종합자료실")</f>
        <v>어린이자료실</v>
      </c>
      <c r="D1160" t="s">
        <v>25</v>
      </c>
      <c r="E1160">
        <v>2</v>
      </c>
      <c r="F1160">
        <v>0</v>
      </c>
      <c r="G1160">
        <v>8</v>
      </c>
      <c r="H1160">
        <v>1</v>
      </c>
      <c r="I1160">
        <v>226</v>
      </c>
      <c r="J1160">
        <v>54</v>
      </c>
      <c r="K1160">
        <v>0</v>
      </c>
      <c r="L1160">
        <v>82</v>
      </c>
      <c r="M1160">
        <v>43</v>
      </c>
      <c r="N1160">
        <v>111</v>
      </c>
      <c r="O1160">
        <v>0</v>
      </c>
      <c r="P1160">
        <v>527</v>
      </c>
    </row>
    <row r="1161" spans="1:16" x14ac:dyDescent="0.3">
      <c r="A1161" s="1">
        <v>45200</v>
      </c>
      <c r="B1161" t="s">
        <v>15</v>
      </c>
      <c r="C1161" s="9" t="str">
        <f>IFERROR(INDEX(자료실범례[],MATCH($B1161,자료실범례[소장처명],0),2),"종합자료실")</f>
        <v>어린이자료실</v>
      </c>
      <c r="D1161" t="s">
        <v>31</v>
      </c>
      <c r="E1161">
        <v>0</v>
      </c>
      <c r="F1161">
        <v>0</v>
      </c>
      <c r="G1161">
        <v>2</v>
      </c>
      <c r="H1161">
        <v>0</v>
      </c>
      <c r="I1161">
        <v>18</v>
      </c>
      <c r="J1161">
        <v>0</v>
      </c>
      <c r="K1161">
        <v>0</v>
      </c>
      <c r="L1161">
        <v>19</v>
      </c>
      <c r="M1161">
        <v>12</v>
      </c>
      <c r="N1161">
        <v>9</v>
      </c>
      <c r="O1161">
        <v>0</v>
      </c>
      <c r="P1161">
        <v>60</v>
      </c>
    </row>
    <row r="1162" spans="1:16" x14ac:dyDescent="0.3">
      <c r="A1162" s="1">
        <v>45200</v>
      </c>
      <c r="B1162" t="s">
        <v>20</v>
      </c>
      <c r="C1162" s="9" t="str">
        <f>IFERROR(INDEX(자료실범례[],MATCH($B1162,자료실범례[소장처명],0),2),"종합자료실")</f>
        <v>종합자료실</v>
      </c>
      <c r="D1162" t="s">
        <v>28</v>
      </c>
      <c r="E1162">
        <v>0</v>
      </c>
      <c r="F1162">
        <v>0</v>
      </c>
      <c r="G1162">
        <v>0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</v>
      </c>
    </row>
    <row r="1163" spans="1:16" x14ac:dyDescent="0.3">
      <c r="A1163" s="1">
        <v>45200</v>
      </c>
      <c r="B1163" t="s">
        <v>20</v>
      </c>
      <c r="C1163" s="9" t="str">
        <f>IFERROR(INDEX(자료실범례[],MATCH($B1163,자료실범례[소장처명],0),2),"종합자료실")</f>
        <v>종합자료실</v>
      </c>
      <c r="D1163" t="s">
        <v>25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1</v>
      </c>
    </row>
    <row r="1164" spans="1:16" x14ac:dyDescent="0.3">
      <c r="A1164" s="1">
        <v>45200</v>
      </c>
      <c r="B1164" t="s">
        <v>3</v>
      </c>
      <c r="C1164" s="9" t="str">
        <f>IFERROR(INDEX(자료실범례[],MATCH($B1164,자료실범례[소장처명],0),2),"종합자료실")</f>
        <v>디지털자료실</v>
      </c>
      <c r="D1164" t="s">
        <v>28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1</v>
      </c>
    </row>
    <row r="1165" spans="1:16" x14ac:dyDescent="0.3">
      <c r="A1165" s="1">
        <v>45200</v>
      </c>
      <c r="B1165" t="s">
        <v>3</v>
      </c>
      <c r="C1165" s="9" t="str">
        <f>IFERROR(INDEX(자료실범례[],MATCH($B1165,자료실범례[소장처명],0),2),"종합자료실")</f>
        <v>디지털자료실</v>
      </c>
      <c r="D1165" t="s">
        <v>25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1</v>
      </c>
      <c r="L1165">
        <v>0</v>
      </c>
      <c r="M1165">
        <v>0</v>
      </c>
      <c r="N1165">
        <v>0</v>
      </c>
      <c r="O1165">
        <v>0</v>
      </c>
      <c r="P1165">
        <v>1</v>
      </c>
    </row>
    <row r="1166" spans="1:16" x14ac:dyDescent="0.3">
      <c r="A1166" s="1">
        <v>45200</v>
      </c>
      <c r="B1166" t="s">
        <v>4</v>
      </c>
      <c r="C1166" s="9" t="str">
        <f>IFERROR(INDEX(자료실범례[],MATCH($B1166,자료실범례[소장처명],0),2),"종합자료실")</f>
        <v>어린이자료실</v>
      </c>
      <c r="D1166" t="s">
        <v>28</v>
      </c>
      <c r="E1166">
        <v>0</v>
      </c>
      <c r="F1166">
        <v>0</v>
      </c>
      <c r="G1166">
        <v>0</v>
      </c>
      <c r="H1166">
        <v>0</v>
      </c>
      <c r="I1166">
        <v>2</v>
      </c>
      <c r="J1166">
        <v>0</v>
      </c>
      <c r="K1166">
        <v>0</v>
      </c>
      <c r="L1166">
        <v>1</v>
      </c>
      <c r="M1166">
        <v>9</v>
      </c>
      <c r="N1166">
        <v>2</v>
      </c>
      <c r="O1166">
        <v>0</v>
      </c>
      <c r="P1166">
        <v>14</v>
      </c>
    </row>
    <row r="1167" spans="1:16" x14ac:dyDescent="0.3">
      <c r="A1167" s="1">
        <v>45200</v>
      </c>
      <c r="B1167" t="s">
        <v>4</v>
      </c>
      <c r="C1167" s="9" t="str">
        <f>IFERROR(INDEX(자료실범례[],MATCH($B1167,자료실범례[소장처명],0),2),"종합자료실")</f>
        <v>어린이자료실</v>
      </c>
      <c r="D1167" t="s">
        <v>25</v>
      </c>
      <c r="E1167">
        <v>0</v>
      </c>
      <c r="F1167">
        <v>0</v>
      </c>
      <c r="G1167">
        <v>0</v>
      </c>
      <c r="H1167">
        <v>0</v>
      </c>
      <c r="I1167">
        <v>2</v>
      </c>
      <c r="J1167">
        <v>0</v>
      </c>
      <c r="K1167">
        <v>0</v>
      </c>
      <c r="L1167">
        <v>1</v>
      </c>
      <c r="M1167">
        <v>15</v>
      </c>
      <c r="N1167">
        <v>1</v>
      </c>
      <c r="O1167">
        <v>0</v>
      </c>
      <c r="P1167">
        <v>19</v>
      </c>
    </row>
    <row r="1168" spans="1:16" x14ac:dyDescent="0.3">
      <c r="A1168" s="1">
        <v>45200</v>
      </c>
      <c r="B1168" t="s">
        <v>4</v>
      </c>
      <c r="C1168" s="9" t="str">
        <f>IFERROR(INDEX(자료실범례[],MATCH($B1168,자료실범례[소장처명],0),2),"종합자료실")</f>
        <v>어린이자료실</v>
      </c>
      <c r="D1168" t="s">
        <v>31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O1168">
        <v>0</v>
      </c>
      <c r="P1168">
        <v>1</v>
      </c>
    </row>
    <row r="1169" spans="1:16" x14ac:dyDescent="0.3">
      <c r="A1169" s="1">
        <v>45200</v>
      </c>
      <c r="B1169" t="s">
        <v>5</v>
      </c>
      <c r="C1169" s="9" t="str">
        <f>IFERROR(INDEX(자료실범례[],MATCH($B1169,자료실범례[소장처명],0),2),"종합자료실")</f>
        <v>종합자료실</v>
      </c>
      <c r="D1169" t="s">
        <v>28</v>
      </c>
      <c r="E1169">
        <v>2</v>
      </c>
      <c r="F1169">
        <v>8</v>
      </c>
      <c r="G1169">
        <v>1</v>
      </c>
      <c r="H1169">
        <v>8</v>
      </c>
      <c r="I1169">
        <v>0</v>
      </c>
      <c r="J1169">
        <v>4</v>
      </c>
      <c r="K1169">
        <v>1</v>
      </c>
      <c r="L1169">
        <v>0</v>
      </c>
      <c r="M1169">
        <v>9</v>
      </c>
      <c r="N1169">
        <v>0</v>
      </c>
      <c r="O1169">
        <v>0</v>
      </c>
      <c r="P1169">
        <v>33</v>
      </c>
    </row>
    <row r="1170" spans="1:16" x14ac:dyDescent="0.3">
      <c r="A1170" s="1">
        <v>45200</v>
      </c>
      <c r="B1170" t="s">
        <v>5</v>
      </c>
      <c r="C1170" s="9" t="str">
        <f>IFERROR(INDEX(자료실범례[],MATCH($B1170,자료실범례[소장처명],0),2),"종합자료실")</f>
        <v>종합자료실</v>
      </c>
      <c r="D1170" t="s">
        <v>25</v>
      </c>
      <c r="E1170">
        <v>2</v>
      </c>
      <c r="F1170">
        <v>7</v>
      </c>
      <c r="G1170">
        <v>3</v>
      </c>
      <c r="H1170">
        <v>8</v>
      </c>
      <c r="I1170">
        <v>4</v>
      </c>
      <c r="J1170">
        <v>4</v>
      </c>
      <c r="K1170">
        <v>1</v>
      </c>
      <c r="L1170">
        <v>0</v>
      </c>
      <c r="M1170">
        <v>14</v>
      </c>
      <c r="N1170">
        <v>1</v>
      </c>
      <c r="O1170">
        <v>0</v>
      </c>
      <c r="P1170">
        <v>44</v>
      </c>
    </row>
    <row r="1171" spans="1:16" x14ac:dyDescent="0.3">
      <c r="A1171" s="1">
        <v>45200</v>
      </c>
      <c r="B1171" t="s">
        <v>5</v>
      </c>
      <c r="C1171" s="9" t="str">
        <f>IFERROR(INDEX(자료실범례[],MATCH($B1171,자료실범례[소장처명],0),2),"종합자료실")</f>
        <v>종합자료실</v>
      </c>
      <c r="D1171" t="s">
        <v>31</v>
      </c>
      <c r="E1171">
        <v>1</v>
      </c>
      <c r="F1171">
        <v>3</v>
      </c>
      <c r="G1171">
        <v>1</v>
      </c>
      <c r="H1171">
        <v>3</v>
      </c>
      <c r="I1171">
        <v>4</v>
      </c>
      <c r="J1171">
        <v>2</v>
      </c>
      <c r="K1171">
        <v>1</v>
      </c>
      <c r="L1171">
        <v>0</v>
      </c>
      <c r="M1171">
        <v>3</v>
      </c>
      <c r="N1171">
        <v>1</v>
      </c>
      <c r="O1171">
        <v>0</v>
      </c>
      <c r="P1171">
        <v>19</v>
      </c>
    </row>
    <row r="1172" spans="1:16" x14ac:dyDescent="0.3">
      <c r="A1172" s="1">
        <v>45200</v>
      </c>
      <c r="B1172" t="s">
        <v>7</v>
      </c>
      <c r="C1172" s="9" t="str">
        <f>IFERROR(INDEX(자료실범례[],MATCH($B1172,자료실범례[소장처명],0),2),"종합자료실")</f>
        <v>어린이자료실</v>
      </c>
      <c r="D1172" t="s">
        <v>28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18</v>
      </c>
      <c r="N1172">
        <v>0</v>
      </c>
      <c r="O1172">
        <v>0</v>
      </c>
      <c r="P1172">
        <v>19</v>
      </c>
    </row>
    <row r="1173" spans="1:16" x14ac:dyDescent="0.3">
      <c r="A1173" s="1">
        <v>45200</v>
      </c>
      <c r="B1173" t="s">
        <v>7</v>
      </c>
      <c r="C1173" s="9" t="str">
        <f>IFERROR(INDEX(자료실범례[],MATCH($B1173,자료실범례[소장처명],0),2),"종합자료실")</f>
        <v>어린이자료실</v>
      </c>
      <c r="D1173" t="s">
        <v>25</v>
      </c>
      <c r="E1173">
        <v>0</v>
      </c>
      <c r="F1173">
        <v>0</v>
      </c>
      <c r="G1173">
        <v>0</v>
      </c>
      <c r="H1173">
        <v>5</v>
      </c>
      <c r="I1173">
        <v>0</v>
      </c>
      <c r="J1173">
        <v>1</v>
      </c>
      <c r="K1173">
        <v>0</v>
      </c>
      <c r="L1173">
        <v>1</v>
      </c>
      <c r="M1173">
        <v>30</v>
      </c>
      <c r="N1173">
        <v>0</v>
      </c>
      <c r="O1173">
        <v>0</v>
      </c>
      <c r="P1173">
        <v>37</v>
      </c>
    </row>
    <row r="1174" spans="1:16" x14ac:dyDescent="0.3">
      <c r="A1174" s="1">
        <v>45200</v>
      </c>
      <c r="B1174" t="s">
        <v>7</v>
      </c>
      <c r="C1174" s="9" t="str">
        <f>IFERROR(INDEX(자료실범례[],MATCH($B1174,자료실범례[소장처명],0),2),"종합자료실")</f>
        <v>어린이자료실</v>
      </c>
      <c r="D1174" t="s">
        <v>31</v>
      </c>
      <c r="E1174">
        <v>0</v>
      </c>
      <c r="F1174">
        <v>0</v>
      </c>
      <c r="G1174">
        <v>0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5</v>
      </c>
      <c r="N1174">
        <v>0</v>
      </c>
      <c r="O1174">
        <v>0</v>
      </c>
      <c r="P1174">
        <v>6</v>
      </c>
    </row>
    <row r="1175" spans="1:16" x14ac:dyDescent="0.3">
      <c r="A1175" s="1">
        <v>45200</v>
      </c>
      <c r="B1175" t="s">
        <v>8</v>
      </c>
      <c r="C1175" s="9" t="str">
        <f>IFERROR(INDEX(자료실범례[],MATCH($B1175,자료실범례[소장처명],0),2),"종합자료실")</f>
        <v>어린이자료실</v>
      </c>
      <c r="D1175" t="s">
        <v>28</v>
      </c>
      <c r="E1175">
        <v>0</v>
      </c>
      <c r="F1175">
        <v>4</v>
      </c>
      <c r="G1175">
        <v>0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22</v>
      </c>
      <c r="N1175">
        <v>4</v>
      </c>
      <c r="O1175">
        <v>0</v>
      </c>
      <c r="P1175">
        <v>31</v>
      </c>
    </row>
    <row r="1176" spans="1:16" x14ac:dyDescent="0.3">
      <c r="A1176" s="1">
        <v>45200</v>
      </c>
      <c r="B1176" t="s">
        <v>8</v>
      </c>
      <c r="C1176" s="9" t="str">
        <f>IFERROR(INDEX(자료실범례[],MATCH($B1176,자료실범례[소장처명],0),2),"종합자료실")</f>
        <v>어린이자료실</v>
      </c>
      <c r="D1176" t="s">
        <v>25</v>
      </c>
      <c r="E1176">
        <v>0</v>
      </c>
      <c r="F1176">
        <v>0</v>
      </c>
      <c r="G1176">
        <v>0</v>
      </c>
      <c r="H1176">
        <v>4</v>
      </c>
      <c r="I1176">
        <v>0</v>
      </c>
      <c r="J1176">
        <v>1</v>
      </c>
      <c r="K1176">
        <v>0</v>
      </c>
      <c r="L1176">
        <v>0</v>
      </c>
      <c r="M1176">
        <v>32</v>
      </c>
      <c r="N1176">
        <v>2</v>
      </c>
      <c r="O1176">
        <v>0</v>
      </c>
      <c r="P1176">
        <v>39</v>
      </c>
    </row>
    <row r="1177" spans="1:16" x14ac:dyDescent="0.3">
      <c r="A1177" s="1">
        <v>45200</v>
      </c>
      <c r="B1177" t="s">
        <v>8</v>
      </c>
      <c r="C1177" s="9" t="str">
        <f>IFERROR(INDEX(자료실범례[],MATCH($B1177,자료실범례[소장처명],0),2),"종합자료실")</f>
        <v>어린이자료실</v>
      </c>
      <c r="D1177" t="s">
        <v>31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3</v>
      </c>
      <c r="N1177">
        <v>0</v>
      </c>
      <c r="O1177">
        <v>0</v>
      </c>
      <c r="P1177">
        <v>3</v>
      </c>
    </row>
    <row r="1178" spans="1:16" x14ac:dyDescent="0.3">
      <c r="A1178" s="1">
        <v>45200</v>
      </c>
      <c r="B1178" t="s">
        <v>9</v>
      </c>
      <c r="C1178" s="9" t="str">
        <f>IFERROR(INDEX(자료실범례[],MATCH($B1178,자료실범례[소장처명],0),2),"종합자료실")</f>
        <v>어린이자료실</v>
      </c>
      <c r="D1178" t="s">
        <v>28</v>
      </c>
      <c r="E1178">
        <v>0</v>
      </c>
      <c r="F1178">
        <v>0</v>
      </c>
      <c r="G1178">
        <v>0</v>
      </c>
      <c r="H1178">
        <v>2</v>
      </c>
      <c r="I1178">
        <v>3</v>
      </c>
      <c r="J1178">
        <v>1</v>
      </c>
      <c r="K1178">
        <v>0</v>
      </c>
      <c r="L1178">
        <v>0</v>
      </c>
      <c r="M1178">
        <v>2</v>
      </c>
      <c r="N1178">
        <v>2</v>
      </c>
      <c r="O1178">
        <v>0</v>
      </c>
      <c r="P1178">
        <v>10</v>
      </c>
    </row>
    <row r="1179" spans="1:16" x14ac:dyDescent="0.3">
      <c r="A1179" s="1">
        <v>45200</v>
      </c>
      <c r="B1179" t="s">
        <v>9</v>
      </c>
      <c r="C1179" s="9" t="str">
        <f>IFERROR(INDEX(자료실범례[],MATCH($B1179,자료실범례[소장처명],0),2),"종합자료실")</f>
        <v>어린이자료실</v>
      </c>
      <c r="D1179" t="s">
        <v>25</v>
      </c>
      <c r="E1179">
        <v>0</v>
      </c>
      <c r="F1179">
        <v>0</v>
      </c>
      <c r="G1179">
        <v>0</v>
      </c>
      <c r="H1179">
        <v>2</v>
      </c>
      <c r="I1179">
        <v>2</v>
      </c>
      <c r="J1179">
        <v>0</v>
      </c>
      <c r="K1179">
        <v>0</v>
      </c>
      <c r="L1179">
        <v>0</v>
      </c>
      <c r="M1179">
        <v>7</v>
      </c>
      <c r="N1179">
        <v>1</v>
      </c>
      <c r="O1179">
        <v>0</v>
      </c>
      <c r="P1179">
        <v>12</v>
      </c>
    </row>
    <row r="1180" spans="1:16" x14ac:dyDescent="0.3">
      <c r="A1180" s="1">
        <v>45200</v>
      </c>
      <c r="B1180" t="s">
        <v>9</v>
      </c>
      <c r="C1180" s="9" t="str">
        <f>IFERROR(INDEX(자료실범례[],MATCH($B1180,자료실범례[소장처명],0),2),"종합자료실")</f>
        <v>어린이자료실</v>
      </c>
      <c r="D1180" t="s">
        <v>31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3</v>
      </c>
      <c r="N1180">
        <v>1</v>
      </c>
      <c r="O1180">
        <v>0</v>
      </c>
      <c r="P1180">
        <v>4</v>
      </c>
    </row>
    <row r="1181" spans="1:16" x14ac:dyDescent="0.3">
      <c r="A1181" s="1">
        <v>45200</v>
      </c>
      <c r="B1181" t="s">
        <v>10</v>
      </c>
      <c r="C1181" s="9" t="str">
        <f>IFERROR(INDEX(자료실범례[],MATCH($B1181,자료실범례[소장처명],0),2),"종합자료실")</f>
        <v>어린이자료실</v>
      </c>
      <c r="D1181" t="s">
        <v>28</v>
      </c>
      <c r="E1181">
        <v>0</v>
      </c>
      <c r="F1181">
        <v>0</v>
      </c>
      <c r="G1181">
        <v>0</v>
      </c>
      <c r="H1181">
        <v>2</v>
      </c>
      <c r="I1181">
        <v>1</v>
      </c>
      <c r="J1181">
        <v>0</v>
      </c>
      <c r="K1181">
        <v>0</v>
      </c>
      <c r="L1181">
        <v>1</v>
      </c>
      <c r="M1181">
        <v>3</v>
      </c>
      <c r="N1181">
        <v>0</v>
      </c>
      <c r="O1181">
        <v>0</v>
      </c>
      <c r="P1181">
        <v>7</v>
      </c>
    </row>
    <row r="1182" spans="1:16" x14ac:dyDescent="0.3">
      <c r="A1182" s="1">
        <v>45200</v>
      </c>
      <c r="B1182" t="s">
        <v>10</v>
      </c>
      <c r="C1182" s="9" t="str">
        <f>IFERROR(INDEX(자료실범례[],MATCH($B1182,자료실범례[소장처명],0),2),"종합자료실")</f>
        <v>어린이자료실</v>
      </c>
      <c r="D1182" t="s">
        <v>25</v>
      </c>
      <c r="E1182">
        <v>0</v>
      </c>
      <c r="F1182">
        <v>0</v>
      </c>
      <c r="G1182">
        <v>0</v>
      </c>
      <c r="H1182">
        <v>4</v>
      </c>
      <c r="I1182">
        <v>1</v>
      </c>
      <c r="J1182">
        <v>1</v>
      </c>
      <c r="K1182">
        <v>0</v>
      </c>
      <c r="L1182">
        <v>0</v>
      </c>
      <c r="M1182">
        <v>8</v>
      </c>
      <c r="N1182">
        <v>0</v>
      </c>
      <c r="O1182">
        <v>0</v>
      </c>
      <c r="P1182">
        <v>14</v>
      </c>
    </row>
    <row r="1183" spans="1:16" x14ac:dyDescent="0.3">
      <c r="A1183" s="1">
        <v>45200</v>
      </c>
      <c r="B1183" t="s">
        <v>10</v>
      </c>
      <c r="C1183" s="9" t="str">
        <f>IFERROR(INDEX(자료실범례[],MATCH($B1183,자료실범례[소장처명],0),2),"종합자료실")</f>
        <v>어린이자료실</v>
      </c>
      <c r="D1183" t="s">
        <v>31</v>
      </c>
      <c r="E1183">
        <v>0</v>
      </c>
      <c r="F1183">
        <v>0</v>
      </c>
      <c r="G1183">
        <v>0</v>
      </c>
      <c r="H1183">
        <v>4</v>
      </c>
      <c r="I1183">
        <v>0</v>
      </c>
      <c r="J1183">
        <v>0</v>
      </c>
      <c r="K1183">
        <v>0</v>
      </c>
      <c r="L1183">
        <v>1</v>
      </c>
      <c r="M1183">
        <v>6</v>
      </c>
      <c r="N1183">
        <v>0</v>
      </c>
      <c r="O1183">
        <v>0</v>
      </c>
      <c r="P1183">
        <v>11</v>
      </c>
    </row>
    <row r="1184" spans="1:16" x14ac:dyDescent="0.3">
      <c r="A1184" s="1">
        <v>45200</v>
      </c>
      <c r="B1184" t="s">
        <v>11</v>
      </c>
      <c r="C1184" s="9" t="str">
        <f>IFERROR(INDEX(자료실범례[],MATCH($B1184,자료실범례[소장처명],0),2),"종합자료실")</f>
        <v>어린이자료실</v>
      </c>
      <c r="D1184" t="s">
        <v>28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7</v>
      </c>
      <c r="N1184">
        <v>1</v>
      </c>
      <c r="O1184">
        <v>0</v>
      </c>
      <c r="P1184">
        <v>8</v>
      </c>
    </row>
    <row r="1185" spans="1:16" x14ac:dyDescent="0.3">
      <c r="A1185" s="1">
        <v>45200</v>
      </c>
      <c r="B1185" t="s">
        <v>11</v>
      </c>
      <c r="C1185" s="9" t="str">
        <f>IFERROR(INDEX(자료실범례[],MATCH($B1185,자료실범례[소장처명],0),2),"종합자료실")</f>
        <v>어린이자료실</v>
      </c>
      <c r="D1185" t="s">
        <v>25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8</v>
      </c>
      <c r="N1185">
        <v>1</v>
      </c>
      <c r="O1185">
        <v>0</v>
      </c>
      <c r="P1185">
        <v>10</v>
      </c>
    </row>
    <row r="1186" spans="1:16" x14ac:dyDescent="0.3">
      <c r="A1186" s="1">
        <v>45200</v>
      </c>
      <c r="B1186" t="s">
        <v>11</v>
      </c>
      <c r="C1186" s="9" t="str">
        <f>IFERROR(INDEX(자료실범례[],MATCH($B1186,자료실범례[소장처명],0),2),"종합자료실")</f>
        <v>어린이자료실</v>
      </c>
      <c r="D1186" t="s">
        <v>31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4</v>
      </c>
      <c r="N1186">
        <v>1</v>
      </c>
      <c r="O1186">
        <v>0</v>
      </c>
      <c r="P1186">
        <v>5</v>
      </c>
    </row>
    <row r="1187" spans="1:16" x14ac:dyDescent="0.3">
      <c r="A1187" s="1">
        <v>45200</v>
      </c>
      <c r="B1187" t="s">
        <v>12</v>
      </c>
      <c r="C1187" s="9" t="str">
        <f>IFERROR(INDEX(자료실범례[],MATCH($B1187,자료실범례[소장처명],0),2),"종합자료실")</f>
        <v>어린이자료실</v>
      </c>
      <c r="D1187" t="s">
        <v>28</v>
      </c>
      <c r="E1187">
        <v>0</v>
      </c>
      <c r="F1187">
        <v>0</v>
      </c>
      <c r="G1187">
        <v>0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3</v>
      </c>
      <c r="N1187">
        <v>0</v>
      </c>
      <c r="O1187">
        <v>0</v>
      </c>
      <c r="P1187">
        <v>4</v>
      </c>
    </row>
    <row r="1188" spans="1:16" x14ac:dyDescent="0.3">
      <c r="A1188" s="1">
        <v>45200</v>
      </c>
      <c r="B1188" t="s">
        <v>12</v>
      </c>
      <c r="C1188" s="9" t="str">
        <f>IFERROR(INDEX(자료실범례[],MATCH($B1188,자료실범례[소장처명],0),2),"종합자료실")</f>
        <v>어린이자료실</v>
      </c>
      <c r="D1188" t="s">
        <v>31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2</v>
      </c>
      <c r="N1188">
        <v>0</v>
      </c>
      <c r="O1188">
        <v>0</v>
      </c>
      <c r="P1188">
        <v>2</v>
      </c>
    </row>
    <row r="1189" spans="1:16" x14ac:dyDescent="0.3">
      <c r="A1189" s="1">
        <v>45200</v>
      </c>
      <c r="B1189" t="s">
        <v>0</v>
      </c>
      <c r="C1189" s="9" t="str">
        <f>IFERROR(INDEX(자료실범례[],MATCH($B1189,자료실범례[소장처명],0),2),"종합자료실")</f>
        <v>어린이자료실</v>
      </c>
      <c r="D1189" t="s">
        <v>28</v>
      </c>
      <c r="E1189">
        <v>0</v>
      </c>
      <c r="F1189">
        <v>0</v>
      </c>
      <c r="G1189">
        <v>1</v>
      </c>
      <c r="H1189">
        <v>2</v>
      </c>
      <c r="I1189">
        <v>0</v>
      </c>
      <c r="J1189">
        <v>0</v>
      </c>
      <c r="K1189">
        <v>1</v>
      </c>
      <c r="L1189">
        <v>7</v>
      </c>
      <c r="M1189">
        <v>22</v>
      </c>
      <c r="N1189">
        <v>0</v>
      </c>
      <c r="O1189">
        <v>0</v>
      </c>
      <c r="P1189">
        <v>33</v>
      </c>
    </row>
    <row r="1190" spans="1:16" x14ac:dyDescent="0.3">
      <c r="A1190" s="1">
        <v>45200</v>
      </c>
      <c r="B1190" t="s">
        <v>0</v>
      </c>
      <c r="C1190" s="9" t="str">
        <f>IFERROR(INDEX(자료실범례[],MATCH($B1190,자료실범례[소장처명],0),2),"종합자료실")</f>
        <v>어린이자료실</v>
      </c>
      <c r="D1190" t="s">
        <v>25</v>
      </c>
      <c r="E1190">
        <v>0</v>
      </c>
      <c r="F1190">
        <v>0</v>
      </c>
      <c r="G1190">
        <v>1</v>
      </c>
      <c r="H1190">
        <v>5</v>
      </c>
      <c r="I1190">
        <v>0</v>
      </c>
      <c r="J1190">
        <v>0</v>
      </c>
      <c r="K1190">
        <v>0</v>
      </c>
      <c r="L1190">
        <v>7</v>
      </c>
      <c r="M1190">
        <v>14</v>
      </c>
      <c r="N1190">
        <v>0</v>
      </c>
      <c r="O1190">
        <v>0</v>
      </c>
      <c r="P1190">
        <v>27</v>
      </c>
    </row>
    <row r="1191" spans="1:16" x14ac:dyDescent="0.3">
      <c r="A1191" s="1">
        <v>45200</v>
      </c>
      <c r="B1191" t="s">
        <v>0</v>
      </c>
      <c r="C1191" s="9" t="str">
        <f>IFERROR(INDEX(자료실범례[],MATCH($B1191,자료실범례[소장처명],0),2),"종합자료실")</f>
        <v>어린이자료실</v>
      </c>
      <c r="D1191" t="s">
        <v>31</v>
      </c>
      <c r="E1191">
        <v>0</v>
      </c>
      <c r="F1191">
        <v>0</v>
      </c>
      <c r="G1191">
        <v>0</v>
      </c>
      <c r="H1191">
        <v>2</v>
      </c>
      <c r="I1191">
        <v>0</v>
      </c>
      <c r="J1191">
        <v>0</v>
      </c>
      <c r="K1191">
        <v>0</v>
      </c>
      <c r="L1191">
        <v>1</v>
      </c>
      <c r="M1191">
        <v>3</v>
      </c>
      <c r="N1191">
        <v>0</v>
      </c>
      <c r="O1191">
        <v>0</v>
      </c>
      <c r="P1191">
        <v>6</v>
      </c>
    </row>
    <row r="1192" spans="1:16" x14ac:dyDescent="0.3">
      <c r="A1192" s="1">
        <v>45200</v>
      </c>
      <c r="B1192" t="s">
        <v>1</v>
      </c>
      <c r="C1192" s="9" t="str">
        <f>IFERROR(INDEX(자료실범례[],MATCH($B1192,자료실범례[소장처명],0),2),"종합자료실")</f>
        <v>어린이자료실</v>
      </c>
      <c r="D1192" t="s">
        <v>28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65</v>
      </c>
      <c r="M1192">
        <v>0</v>
      </c>
      <c r="N1192">
        <v>0</v>
      </c>
      <c r="O1192">
        <v>0</v>
      </c>
      <c r="P1192">
        <v>65</v>
      </c>
    </row>
    <row r="1193" spans="1:16" x14ac:dyDescent="0.3">
      <c r="A1193" s="1">
        <v>45200</v>
      </c>
      <c r="B1193" t="s">
        <v>1</v>
      </c>
      <c r="C1193" s="9" t="str">
        <f>IFERROR(INDEX(자료실범례[],MATCH($B1193,자료실범례[소장처명],0),2),"종합자료실")</f>
        <v>어린이자료실</v>
      </c>
      <c r="D1193" t="s">
        <v>25</v>
      </c>
      <c r="E1193">
        <v>0</v>
      </c>
      <c r="F1193">
        <v>0</v>
      </c>
      <c r="G1193">
        <v>0</v>
      </c>
      <c r="H1193">
        <v>1</v>
      </c>
      <c r="I1193">
        <v>1</v>
      </c>
      <c r="J1193">
        <v>0</v>
      </c>
      <c r="K1193">
        <v>1</v>
      </c>
      <c r="L1193">
        <v>55</v>
      </c>
      <c r="M1193">
        <v>8</v>
      </c>
      <c r="N1193">
        <v>0</v>
      </c>
      <c r="O1193">
        <v>0</v>
      </c>
      <c r="P1193">
        <v>66</v>
      </c>
    </row>
    <row r="1194" spans="1:16" x14ac:dyDescent="0.3">
      <c r="A1194" s="1">
        <v>45200</v>
      </c>
      <c r="B1194" t="s">
        <v>1</v>
      </c>
      <c r="C1194" s="9" t="str">
        <f>IFERROR(INDEX(자료실범례[],MATCH($B1194,자료실범례[소장처명],0),2),"종합자료실")</f>
        <v>어린이자료실</v>
      </c>
      <c r="D1194" t="s">
        <v>31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27</v>
      </c>
      <c r="M1194">
        <v>0</v>
      </c>
      <c r="N1194">
        <v>0</v>
      </c>
      <c r="O1194">
        <v>0</v>
      </c>
      <c r="P1194">
        <v>27</v>
      </c>
    </row>
    <row r="1195" spans="1:16" x14ac:dyDescent="0.3">
      <c r="A1195" s="1">
        <v>45200</v>
      </c>
      <c r="B1195" t="s">
        <v>6</v>
      </c>
      <c r="C1195" s="9" t="str">
        <f>IFERROR(INDEX(자료실범례[],MATCH($B1195,자료실범례[소장처명],0),2),"종합자료실")</f>
        <v>종합자료실</v>
      </c>
      <c r="D1195" t="s">
        <v>28</v>
      </c>
      <c r="E1195">
        <v>1</v>
      </c>
      <c r="F1195">
        <v>3</v>
      </c>
      <c r="G1195">
        <v>0</v>
      </c>
      <c r="H1195">
        <v>1</v>
      </c>
      <c r="I1195">
        <v>3</v>
      </c>
      <c r="J1195">
        <v>3</v>
      </c>
      <c r="K1195">
        <v>0</v>
      </c>
      <c r="L1195">
        <v>0</v>
      </c>
      <c r="M1195">
        <v>12</v>
      </c>
      <c r="N1195">
        <v>13</v>
      </c>
      <c r="O1195">
        <v>0</v>
      </c>
      <c r="P1195">
        <v>36</v>
      </c>
    </row>
    <row r="1196" spans="1:16" x14ac:dyDescent="0.3">
      <c r="A1196" s="1">
        <v>45200</v>
      </c>
      <c r="B1196" t="s">
        <v>6</v>
      </c>
      <c r="C1196" s="9" t="str">
        <f>IFERROR(INDEX(자료실범례[],MATCH($B1196,자료실범례[소장처명],0),2),"종합자료실")</f>
        <v>종합자료실</v>
      </c>
      <c r="D1196" t="s">
        <v>25</v>
      </c>
      <c r="E1196">
        <v>1</v>
      </c>
      <c r="F1196">
        <v>2</v>
      </c>
      <c r="G1196">
        <v>0</v>
      </c>
      <c r="H1196">
        <v>2</v>
      </c>
      <c r="I1196">
        <v>3</v>
      </c>
      <c r="J1196">
        <v>3</v>
      </c>
      <c r="K1196">
        <v>1</v>
      </c>
      <c r="L1196">
        <v>0</v>
      </c>
      <c r="M1196">
        <v>8</v>
      </c>
      <c r="N1196">
        <v>12</v>
      </c>
      <c r="O1196">
        <v>0</v>
      </c>
      <c r="P1196">
        <v>32</v>
      </c>
    </row>
    <row r="1197" spans="1:16" x14ac:dyDescent="0.3">
      <c r="A1197" s="1">
        <v>45200</v>
      </c>
      <c r="B1197" t="s">
        <v>6</v>
      </c>
      <c r="C1197" s="9" t="str">
        <f>IFERROR(INDEX(자료실범례[],MATCH($B1197,자료실범례[소장처명],0),2),"종합자료실")</f>
        <v>종합자료실</v>
      </c>
      <c r="D1197" t="s">
        <v>31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1</v>
      </c>
      <c r="O1197">
        <v>0</v>
      </c>
      <c r="P1197">
        <v>2</v>
      </c>
    </row>
    <row r="1198" spans="1:16" x14ac:dyDescent="0.3">
      <c r="A1198" s="1">
        <v>45200</v>
      </c>
      <c r="B1198" t="s">
        <v>18</v>
      </c>
      <c r="C1198" s="9" t="str">
        <f>IFERROR(INDEX(자료실범례[],MATCH($B1198,자료실범례[소장처명],0),2),"종합자료실")</f>
        <v>종합자료실</v>
      </c>
      <c r="D1198" t="s">
        <v>28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2</v>
      </c>
      <c r="P1198">
        <v>2</v>
      </c>
    </row>
    <row r="1199" spans="1:16" x14ac:dyDescent="0.3">
      <c r="A1199" s="1">
        <v>45200</v>
      </c>
      <c r="B1199" t="s">
        <v>18</v>
      </c>
      <c r="C1199" s="9" t="str">
        <f>IFERROR(INDEX(자료실범례[],MATCH($B1199,자료실범례[소장처명],0),2),"종합자료실")</f>
        <v>종합자료실</v>
      </c>
      <c r="D1199" t="s">
        <v>25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3</v>
      </c>
    </row>
    <row r="1200" spans="1:16" x14ac:dyDescent="0.3">
      <c r="A1200" s="1">
        <v>45200</v>
      </c>
      <c r="B1200" t="s">
        <v>18</v>
      </c>
      <c r="C1200" s="9" t="str">
        <f>IFERROR(INDEX(자료실범례[],MATCH($B1200,자료실범례[소장처명],0),2),"종합자료실")</f>
        <v>종합자료실</v>
      </c>
      <c r="D1200" t="s">
        <v>31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3</v>
      </c>
      <c r="P1200">
        <v>3</v>
      </c>
    </row>
    <row r="1201" spans="1:16" x14ac:dyDescent="0.3">
      <c r="A1201" s="1">
        <v>45200</v>
      </c>
      <c r="B1201" t="s">
        <v>17</v>
      </c>
      <c r="C1201" s="9" t="str">
        <f>IFERROR(INDEX(자료실범례[],MATCH($B1201,자료실범례[소장처명],0),2),"종합자료실")</f>
        <v>어린이자료실</v>
      </c>
      <c r="D1201" t="s">
        <v>28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7</v>
      </c>
      <c r="P1201">
        <v>7</v>
      </c>
    </row>
    <row r="1202" spans="1:16" x14ac:dyDescent="0.3">
      <c r="A1202" s="1">
        <v>45200</v>
      </c>
      <c r="B1202" t="s">
        <v>17</v>
      </c>
      <c r="C1202" s="9" t="str">
        <f>IFERROR(INDEX(자료실범례[],MATCH($B1202,자료실범례[소장처명],0),2),"종합자료실")</f>
        <v>어린이자료실</v>
      </c>
      <c r="D1202" t="s">
        <v>25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9</v>
      </c>
      <c r="P1202">
        <v>9</v>
      </c>
    </row>
    <row r="1203" spans="1:16" x14ac:dyDescent="0.3">
      <c r="A1203" s="1">
        <v>45597</v>
      </c>
      <c r="B1203" t="s">
        <v>24</v>
      </c>
      <c r="C1203" s="9" t="str">
        <f>IFERROR(INDEX(자료실범례[],MATCH($B1203,자료실범례[소장처명],0),2),"종합자료실")</f>
        <v>종합자료실</v>
      </c>
      <c r="D1203" t="s">
        <v>643</v>
      </c>
      <c r="E1203">
        <v>0</v>
      </c>
      <c r="F1203">
        <v>0</v>
      </c>
      <c r="G1203">
        <v>0</v>
      </c>
      <c r="H1203">
        <v>3</v>
      </c>
      <c r="I1203">
        <v>3</v>
      </c>
      <c r="J1203">
        <v>0</v>
      </c>
      <c r="K1203">
        <v>2</v>
      </c>
      <c r="L1203">
        <v>2</v>
      </c>
      <c r="M1203">
        <v>15</v>
      </c>
      <c r="N1203">
        <v>0</v>
      </c>
      <c r="O1203">
        <v>0</v>
      </c>
      <c r="P1203">
        <v>25</v>
      </c>
    </row>
    <row r="1204" spans="1:16" x14ac:dyDescent="0.3">
      <c r="A1204" s="1">
        <v>45597</v>
      </c>
      <c r="B1204" t="s">
        <v>21</v>
      </c>
      <c r="C1204" s="9" t="str">
        <f>IFERROR(INDEX(자료실범례[],MATCH($B1204,자료실범례[소장처명],0),2),"종합자료실")</f>
        <v>종합자료실</v>
      </c>
      <c r="D1204" s="17" t="s">
        <v>643</v>
      </c>
      <c r="E1204">
        <v>47</v>
      </c>
      <c r="F1204">
        <v>142</v>
      </c>
      <c r="G1204">
        <v>32</v>
      </c>
      <c r="H1204">
        <v>203</v>
      </c>
      <c r="I1204">
        <v>89</v>
      </c>
      <c r="J1204">
        <v>120</v>
      </c>
      <c r="K1204">
        <v>31</v>
      </c>
      <c r="L1204">
        <v>26</v>
      </c>
      <c r="M1204">
        <v>665</v>
      </c>
      <c r="N1204">
        <v>82</v>
      </c>
      <c r="O1204">
        <v>0</v>
      </c>
      <c r="P1204">
        <v>1437</v>
      </c>
    </row>
    <row r="1205" spans="1:16" x14ac:dyDescent="0.3">
      <c r="A1205" s="1">
        <v>45597</v>
      </c>
      <c r="B1205" t="s">
        <v>16</v>
      </c>
      <c r="C1205" s="9" t="str">
        <f>IFERROR(INDEX(자료실범례[],MATCH($B1205,자료실범례[소장처명],0),2),"종합자료실")</f>
        <v>어린이자료실</v>
      </c>
      <c r="D1205" s="17" t="s">
        <v>643</v>
      </c>
      <c r="E1205">
        <v>32</v>
      </c>
      <c r="F1205">
        <v>14</v>
      </c>
      <c r="G1205">
        <v>19</v>
      </c>
      <c r="H1205">
        <v>88</v>
      </c>
      <c r="I1205">
        <v>154</v>
      </c>
      <c r="J1205">
        <v>42</v>
      </c>
      <c r="K1205">
        <v>27</v>
      </c>
      <c r="L1205">
        <v>30</v>
      </c>
      <c r="M1205">
        <v>907</v>
      </c>
      <c r="N1205">
        <v>117</v>
      </c>
      <c r="O1205">
        <v>3</v>
      </c>
      <c r="P1205">
        <v>1433</v>
      </c>
    </row>
    <row r="1206" spans="1:16" x14ac:dyDescent="0.3">
      <c r="A1206" s="1">
        <v>45597</v>
      </c>
      <c r="B1206" t="s">
        <v>2</v>
      </c>
      <c r="C1206" s="9" t="str">
        <f>IFERROR(INDEX(자료실범례[],MATCH($B1206,자료실범례[소장처명],0),2),"종합자료실")</f>
        <v>디지털자료실</v>
      </c>
      <c r="D1206" s="17" t="s">
        <v>643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12</v>
      </c>
      <c r="L1206">
        <v>0</v>
      </c>
      <c r="M1206">
        <v>0</v>
      </c>
      <c r="N1206">
        <v>0</v>
      </c>
      <c r="O1206">
        <v>0</v>
      </c>
      <c r="P1206">
        <v>12</v>
      </c>
    </row>
    <row r="1207" spans="1:16" x14ac:dyDescent="0.3">
      <c r="A1207" s="1">
        <v>45597</v>
      </c>
      <c r="B1207" t="s">
        <v>19</v>
      </c>
      <c r="C1207" s="9" t="str">
        <f>IFERROR(INDEX(자료실범례[],MATCH($B1207,자료실범례[소장처명],0),2),"종합자료실")</f>
        <v>종합자료실</v>
      </c>
      <c r="D1207" s="17" t="s">
        <v>643</v>
      </c>
      <c r="E1207">
        <v>12</v>
      </c>
      <c r="F1207">
        <v>84</v>
      </c>
      <c r="G1207">
        <v>7</v>
      </c>
      <c r="H1207">
        <v>72</v>
      </c>
      <c r="I1207">
        <v>27</v>
      </c>
      <c r="J1207">
        <v>44</v>
      </c>
      <c r="K1207">
        <v>13</v>
      </c>
      <c r="L1207">
        <v>15</v>
      </c>
      <c r="M1207">
        <v>195</v>
      </c>
      <c r="N1207">
        <v>20</v>
      </c>
      <c r="O1207">
        <v>0</v>
      </c>
      <c r="P1207">
        <v>489</v>
      </c>
    </row>
    <row r="1208" spans="1:16" x14ac:dyDescent="0.3">
      <c r="A1208" s="1">
        <v>45597</v>
      </c>
      <c r="B1208" t="s">
        <v>14</v>
      </c>
      <c r="C1208" s="9" t="str">
        <f>IFERROR(INDEX(자료실범례[],MATCH($B1208,자료실범례[소장처명],0),2),"종합자료실")</f>
        <v>어린이자료실</v>
      </c>
      <c r="D1208" s="17" t="s">
        <v>643</v>
      </c>
      <c r="E1208">
        <v>13</v>
      </c>
      <c r="F1208">
        <v>14</v>
      </c>
      <c r="G1208">
        <v>2</v>
      </c>
      <c r="H1208">
        <v>16</v>
      </c>
      <c r="I1208">
        <v>180</v>
      </c>
      <c r="J1208">
        <v>8</v>
      </c>
      <c r="K1208">
        <v>11</v>
      </c>
      <c r="L1208">
        <v>4</v>
      </c>
      <c r="M1208">
        <v>178</v>
      </c>
      <c r="N1208">
        <v>33</v>
      </c>
      <c r="O1208">
        <v>0</v>
      </c>
      <c r="P1208">
        <v>459</v>
      </c>
    </row>
    <row r="1209" spans="1:16" x14ac:dyDescent="0.3">
      <c r="A1209" s="1">
        <v>45597</v>
      </c>
      <c r="B1209" t="s">
        <v>197</v>
      </c>
      <c r="C1209" s="9" t="str">
        <f>IFERROR(INDEX(자료실범례[],MATCH($B1209,자료실범례[소장처명],0),2),"종합자료실")</f>
        <v>종합자료실</v>
      </c>
      <c r="D1209" s="17" t="s">
        <v>643</v>
      </c>
      <c r="E1209">
        <v>0</v>
      </c>
      <c r="F1209">
        <v>2</v>
      </c>
      <c r="G1209">
        <v>0</v>
      </c>
      <c r="H1209">
        <v>2</v>
      </c>
      <c r="I1209">
        <v>1</v>
      </c>
      <c r="J1209">
        <v>1</v>
      </c>
      <c r="K1209">
        <v>0</v>
      </c>
      <c r="L1209">
        <v>0</v>
      </c>
      <c r="M1209">
        <v>2</v>
      </c>
      <c r="N1209">
        <v>1</v>
      </c>
      <c r="O1209">
        <v>0</v>
      </c>
      <c r="P1209">
        <v>9</v>
      </c>
    </row>
    <row r="1210" spans="1:16" x14ac:dyDescent="0.3">
      <c r="A1210" s="1">
        <v>45597</v>
      </c>
      <c r="B1210" t="s">
        <v>198</v>
      </c>
      <c r="C1210" s="9" t="str">
        <f>IFERROR(INDEX(자료실범례[],MATCH($B1210,자료실범례[소장처명],0),2),"종합자료실")</f>
        <v>어린이자료실</v>
      </c>
      <c r="D1210" s="17" t="s">
        <v>643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2</v>
      </c>
      <c r="K1210">
        <v>1</v>
      </c>
      <c r="L1210">
        <v>0</v>
      </c>
      <c r="M1210">
        <v>24</v>
      </c>
      <c r="N1210">
        <v>1</v>
      </c>
      <c r="O1210">
        <v>0</v>
      </c>
      <c r="P1210">
        <v>28</v>
      </c>
    </row>
    <row r="1211" spans="1:16" x14ac:dyDescent="0.3">
      <c r="A1211" s="1">
        <v>45597</v>
      </c>
      <c r="B1211" t="s">
        <v>13</v>
      </c>
      <c r="C1211" s="9" t="str">
        <f>IFERROR(INDEX(자료실범례[],MATCH($B1211,자료실범례[소장처명],0),2),"종합자료실")</f>
        <v>어린이자료실</v>
      </c>
      <c r="D1211" s="17" t="s">
        <v>643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2</v>
      </c>
      <c r="L1211">
        <v>0</v>
      </c>
      <c r="M1211">
        <v>7</v>
      </c>
      <c r="N1211">
        <v>0</v>
      </c>
      <c r="O1211">
        <v>0</v>
      </c>
      <c r="P1211">
        <v>9</v>
      </c>
    </row>
    <row r="1212" spans="1:16" x14ac:dyDescent="0.3">
      <c r="A1212" s="1">
        <v>45597</v>
      </c>
      <c r="B1212" t="s">
        <v>15</v>
      </c>
      <c r="C1212" s="9" t="str">
        <f>IFERROR(INDEX(자료실범례[],MATCH($B1212,자료실범례[소장처명],0),2),"종합자료실")</f>
        <v>어린이자료실</v>
      </c>
      <c r="D1212" s="17" t="s">
        <v>643</v>
      </c>
      <c r="E1212">
        <v>6</v>
      </c>
      <c r="F1212">
        <v>0</v>
      </c>
      <c r="G1212">
        <v>16</v>
      </c>
      <c r="H1212">
        <v>2</v>
      </c>
      <c r="I1212">
        <v>189</v>
      </c>
      <c r="J1212">
        <v>2</v>
      </c>
      <c r="K1212">
        <v>2</v>
      </c>
      <c r="L1212">
        <v>101</v>
      </c>
      <c r="M1212">
        <v>41</v>
      </c>
      <c r="N1212">
        <v>148</v>
      </c>
      <c r="O1212">
        <v>0</v>
      </c>
      <c r="P1212">
        <v>507</v>
      </c>
    </row>
    <row r="1213" spans="1:16" x14ac:dyDescent="0.3">
      <c r="A1213" s="1">
        <v>45597</v>
      </c>
      <c r="B1213" t="s">
        <v>4</v>
      </c>
      <c r="C1213" s="9" t="str">
        <f>IFERROR(INDEX(자료실범례[],MATCH($B1213,자료실범례[소장처명],0),2),"종합자료실")</f>
        <v>어린이자료실</v>
      </c>
      <c r="D1213" s="17" t="s">
        <v>643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0</v>
      </c>
      <c r="K1213">
        <v>3</v>
      </c>
      <c r="L1213">
        <v>0</v>
      </c>
      <c r="M1213">
        <v>5</v>
      </c>
      <c r="N1213">
        <v>1</v>
      </c>
      <c r="O1213">
        <v>0</v>
      </c>
      <c r="P1213">
        <v>10</v>
      </c>
    </row>
    <row r="1214" spans="1:16" x14ac:dyDescent="0.3">
      <c r="A1214" s="1">
        <v>45597</v>
      </c>
      <c r="B1214" t="s">
        <v>5</v>
      </c>
      <c r="C1214" s="9" t="str">
        <f>IFERROR(INDEX(자료실범례[],MATCH($B1214,자료실범례[소장처명],0),2),"종합자료실")</f>
        <v>종합자료실</v>
      </c>
      <c r="D1214" s="17" t="s">
        <v>643</v>
      </c>
      <c r="E1214">
        <v>0</v>
      </c>
      <c r="F1214">
        <v>2</v>
      </c>
      <c r="G1214">
        <v>0</v>
      </c>
      <c r="H1214">
        <v>3</v>
      </c>
      <c r="I1214">
        <v>0</v>
      </c>
      <c r="J1214">
        <v>3</v>
      </c>
      <c r="K1214">
        <v>0</v>
      </c>
      <c r="L1214">
        <v>1</v>
      </c>
      <c r="M1214">
        <v>14</v>
      </c>
      <c r="N1214">
        <v>0</v>
      </c>
      <c r="O1214">
        <v>0</v>
      </c>
      <c r="P1214">
        <v>23</v>
      </c>
    </row>
    <row r="1215" spans="1:16" x14ac:dyDescent="0.3">
      <c r="A1215" s="1">
        <v>45597</v>
      </c>
      <c r="B1215" t="s">
        <v>7</v>
      </c>
      <c r="C1215" s="9" t="str">
        <f>IFERROR(INDEX(자료실범례[],MATCH($B1215,자료실범례[소장처명],0),2),"종합자료실")</f>
        <v>어린이자료실</v>
      </c>
      <c r="D1215" s="17" t="s">
        <v>643</v>
      </c>
      <c r="E1215">
        <v>0</v>
      </c>
      <c r="F1215">
        <v>1</v>
      </c>
      <c r="G1215">
        <v>0</v>
      </c>
      <c r="H1215">
        <v>2</v>
      </c>
      <c r="I1215">
        <v>0</v>
      </c>
      <c r="J1215">
        <v>0</v>
      </c>
      <c r="K1215">
        <v>0</v>
      </c>
      <c r="L1215">
        <v>1</v>
      </c>
      <c r="M1215">
        <v>18</v>
      </c>
      <c r="N1215">
        <v>0</v>
      </c>
      <c r="O1215">
        <v>0</v>
      </c>
      <c r="P1215">
        <v>22</v>
      </c>
    </row>
    <row r="1216" spans="1:16" x14ac:dyDescent="0.3">
      <c r="A1216" s="1">
        <v>45597</v>
      </c>
      <c r="B1216" t="s">
        <v>8</v>
      </c>
      <c r="C1216" s="9" t="str">
        <f>IFERROR(INDEX(자료실범례[],MATCH($B1216,자료실범례[소장처명],0),2),"종합자료실")</f>
        <v>어린이자료실</v>
      </c>
      <c r="D1216" s="17" t="s">
        <v>643</v>
      </c>
      <c r="E1216">
        <v>0</v>
      </c>
      <c r="F1216">
        <v>1</v>
      </c>
      <c r="G1216">
        <v>0</v>
      </c>
      <c r="H1216">
        <v>2</v>
      </c>
      <c r="I1216">
        <v>1</v>
      </c>
      <c r="J1216">
        <v>0</v>
      </c>
      <c r="K1216">
        <v>0</v>
      </c>
      <c r="L1216">
        <v>0</v>
      </c>
      <c r="M1216">
        <v>9</v>
      </c>
      <c r="N1216">
        <v>0</v>
      </c>
      <c r="O1216">
        <v>0</v>
      </c>
      <c r="P1216">
        <v>13</v>
      </c>
    </row>
    <row r="1217" spans="1:16" x14ac:dyDescent="0.3">
      <c r="A1217" s="1">
        <v>45597</v>
      </c>
      <c r="B1217" t="s">
        <v>9</v>
      </c>
      <c r="C1217" s="9" t="str">
        <f>IFERROR(INDEX(자료실범례[],MATCH($B1217,자료실범례[소장처명],0),2),"종합자료실")</f>
        <v>어린이자료실</v>
      </c>
      <c r="D1217" s="17" t="s">
        <v>643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4</v>
      </c>
      <c r="N1217">
        <v>0</v>
      </c>
      <c r="O1217">
        <v>0</v>
      </c>
      <c r="P1217">
        <v>5</v>
      </c>
    </row>
    <row r="1218" spans="1:16" x14ac:dyDescent="0.3">
      <c r="A1218" s="1">
        <v>45597</v>
      </c>
      <c r="B1218" t="s">
        <v>10</v>
      </c>
      <c r="C1218" s="9" t="str">
        <f>IFERROR(INDEX(자료실범례[],MATCH($B1218,자료실범례[소장처명],0),2),"종합자료실")</f>
        <v>어린이자료실</v>
      </c>
      <c r="D1218" s="17" t="s">
        <v>643</v>
      </c>
      <c r="E1218">
        <v>0</v>
      </c>
      <c r="F1218">
        <v>0</v>
      </c>
      <c r="G1218">
        <v>0</v>
      </c>
      <c r="H1218">
        <v>1</v>
      </c>
      <c r="I1218">
        <v>0</v>
      </c>
      <c r="J1218">
        <v>0</v>
      </c>
      <c r="K1218">
        <v>0</v>
      </c>
      <c r="L1218">
        <v>0</v>
      </c>
      <c r="M1218">
        <v>4</v>
      </c>
      <c r="N1218">
        <v>1</v>
      </c>
      <c r="O1218">
        <v>0</v>
      </c>
      <c r="P1218">
        <v>6</v>
      </c>
    </row>
    <row r="1219" spans="1:16" x14ac:dyDescent="0.3">
      <c r="A1219" s="1">
        <v>45597</v>
      </c>
      <c r="B1219" t="s">
        <v>11</v>
      </c>
      <c r="C1219" s="9" t="str">
        <f>IFERROR(INDEX(자료실범례[],MATCH($B1219,자료실범례[소장처명],0),2),"종합자료실")</f>
        <v>어린이자료실</v>
      </c>
      <c r="D1219" s="17" t="s">
        <v>643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5</v>
      </c>
      <c r="N1219">
        <v>0</v>
      </c>
      <c r="O1219">
        <v>0</v>
      </c>
      <c r="P1219">
        <v>5</v>
      </c>
    </row>
    <row r="1220" spans="1:16" x14ac:dyDescent="0.3">
      <c r="A1220" s="1">
        <v>45597</v>
      </c>
      <c r="B1220" t="s">
        <v>12</v>
      </c>
      <c r="C1220" s="9" t="str">
        <f>IFERROR(INDEX(자료실범례[],MATCH($B1220,자료실범례[소장처명],0),2),"종합자료실")</f>
        <v>어린이자료실</v>
      </c>
      <c r="D1220" s="17" t="s">
        <v>643</v>
      </c>
      <c r="E1220">
        <v>0</v>
      </c>
      <c r="F1220">
        <v>0</v>
      </c>
      <c r="G1220">
        <v>0</v>
      </c>
      <c r="H1220">
        <v>2</v>
      </c>
      <c r="I1220">
        <v>1</v>
      </c>
      <c r="J1220">
        <v>2</v>
      </c>
      <c r="K1220">
        <v>0</v>
      </c>
      <c r="L1220">
        <v>0</v>
      </c>
      <c r="M1220">
        <v>3</v>
      </c>
      <c r="N1220">
        <v>0</v>
      </c>
      <c r="O1220">
        <v>0</v>
      </c>
      <c r="P1220">
        <v>8</v>
      </c>
    </row>
    <row r="1221" spans="1:16" x14ac:dyDescent="0.3">
      <c r="A1221" s="1">
        <v>45597</v>
      </c>
      <c r="B1221" t="s">
        <v>0</v>
      </c>
      <c r="C1221" s="9" t="str">
        <f>IFERROR(INDEX(자료실범례[],MATCH($B1221,자료실범례[소장처명],0),2),"종합자료실")</f>
        <v>어린이자료실</v>
      </c>
      <c r="D1221" s="17" t="s">
        <v>643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7</v>
      </c>
      <c r="N1221">
        <v>0</v>
      </c>
      <c r="O1221">
        <v>0</v>
      </c>
      <c r="P1221">
        <v>8</v>
      </c>
    </row>
    <row r="1222" spans="1:16" x14ac:dyDescent="0.3">
      <c r="A1222" s="1">
        <v>45597</v>
      </c>
      <c r="B1222" t="s">
        <v>1</v>
      </c>
      <c r="C1222" s="9" t="str">
        <f>IFERROR(INDEX(자료실범례[],MATCH($B1222,자료실범례[소장처명],0),2),"종합자료실")</f>
        <v>어린이자료실</v>
      </c>
      <c r="D1222" s="17" t="s">
        <v>643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52</v>
      </c>
      <c r="M1222">
        <v>8</v>
      </c>
      <c r="N1222">
        <v>0</v>
      </c>
      <c r="O1222">
        <v>0</v>
      </c>
      <c r="P1222">
        <v>60</v>
      </c>
    </row>
    <row r="1223" spans="1:16" x14ac:dyDescent="0.3">
      <c r="A1223" s="1">
        <v>45597</v>
      </c>
      <c r="B1223" t="s">
        <v>6</v>
      </c>
      <c r="C1223" s="9" t="str">
        <f>IFERROR(INDEX(자료실범례[],MATCH($B1223,자료실범례[소장처명],0),2),"종합자료실")</f>
        <v>종합자료실</v>
      </c>
      <c r="D1223" s="17" t="s">
        <v>643</v>
      </c>
      <c r="E1223">
        <v>1</v>
      </c>
      <c r="F1223">
        <v>0</v>
      </c>
      <c r="G1223">
        <v>0</v>
      </c>
      <c r="H1223">
        <v>11</v>
      </c>
      <c r="I1223">
        <v>4</v>
      </c>
      <c r="J1223">
        <v>5</v>
      </c>
      <c r="K1223">
        <v>4</v>
      </c>
      <c r="L1223">
        <v>1</v>
      </c>
      <c r="M1223">
        <v>67</v>
      </c>
      <c r="N1223">
        <v>0</v>
      </c>
      <c r="O1223">
        <v>0</v>
      </c>
      <c r="P1223">
        <v>93</v>
      </c>
    </row>
    <row r="1224" spans="1:16" x14ac:dyDescent="0.3">
      <c r="A1224" s="1">
        <v>45597</v>
      </c>
      <c r="B1224" t="s">
        <v>18</v>
      </c>
      <c r="C1224" s="9" t="str">
        <f>IFERROR(INDEX(자료실범례[],MATCH($B1224,자료실범례[소장처명],0),2),"종합자료실")</f>
        <v>종합자료실</v>
      </c>
      <c r="D1224" s="17" t="s">
        <v>643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</v>
      </c>
      <c r="P1224">
        <v>1</v>
      </c>
    </row>
    <row r="1225" spans="1:16" x14ac:dyDescent="0.3">
      <c r="A1225" s="1">
        <v>45597</v>
      </c>
      <c r="B1225" t="s">
        <v>17</v>
      </c>
      <c r="C1225" s="9" t="str">
        <f>IFERROR(INDEX(자료실범례[],MATCH($B1225,자료실범례[소장처명],0),2),"종합자료실")</f>
        <v>어린이자료실</v>
      </c>
      <c r="D1225" s="17" t="s">
        <v>643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12</v>
      </c>
      <c r="P1225">
        <v>12</v>
      </c>
    </row>
    <row r="1226" spans="1:16" x14ac:dyDescent="0.3">
      <c r="A1226" s="1">
        <v>45231</v>
      </c>
      <c r="B1226" t="s">
        <v>21</v>
      </c>
      <c r="C1226" s="9" t="str">
        <f>IFERROR(INDEX(자료실범례[],MATCH($B1226,자료실범례[소장처명],0),2),"종합자료실")</f>
        <v>종합자료실</v>
      </c>
      <c r="D1226" t="s">
        <v>28</v>
      </c>
      <c r="E1226">
        <v>56</v>
      </c>
      <c r="F1226">
        <v>162</v>
      </c>
      <c r="G1226">
        <v>43</v>
      </c>
      <c r="H1226">
        <v>319</v>
      </c>
      <c r="I1226">
        <v>78</v>
      </c>
      <c r="J1226">
        <v>176</v>
      </c>
      <c r="K1226">
        <v>58</v>
      </c>
      <c r="L1226">
        <v>31</v>
      </c>
      <c r="M1226">
        <v>552</v>
      </c>
      <c r="N1226">
        <v>77</v>
      </c>
      <c r="O1226">
        <v>0</v>
      </c>
      <c r="P1226">
        <v>1552</v>
      </c>
    </row>
    <row r="1227" spans="1:16" x14ac:dyDescent="0.3">
      <c r="A1227" s="1">
        <v>45231</v>
      </c>
      <c r="B1227" t="s">
        <v>21</v>
      </c>
      <c r="C1227" s="9" t="str">
        <f>IFERROR(INDEX(자료실범례[],MATCH($B1227,자료실범례[소장처명],0),2),"종합자료실")</f>
        <v>종합자료실</v>
      </c>
      <c r="D1227" t="s">
        <v>25</v>
      </c>
      <c r="E1227">
        <v>62</v>
      </c>
      <c r="F1227">
        <v>121</v>
      </c>
      <c r="G1227">
        <v>43</v>
      </c>
      <c r="H1227">
        <v>308</v>
      </c>
      <c r="I1227">
        <v>76</v>
      </c>
      <c r="J1227">
        <v>184</v>
      </c>
      <c r="K1227">
        <v>80</v>
      </c>
      <c r="L1227">
        <v>39</v>
      </c>
      <c r="M1227">
        <v>516</v>
      </c>
      <c r="N1227">
        <v>79</v>
      </c>
      <c r="O1227">
        <v>0</v>
      </c>
      <c r="P1227">
        <v>1508</v>
      </c>
    </row>
    <row r="1228" spans="1:16" x14ac:dyDescent="0.3">
      <c r="A1228" s="1">
        <v>45231</v>
      </c>
      <c r="B1228" t="s">
        <v>21</v>
      </c>
      <c r="C1228" s="9" t="str">
        <f>IFERROR(INDEX(자료실범례[],MATCH($B1228,자료실범례[소장처명],0),2),"종합자료실")</f>
        <v>종합자료실</v>
      </c>
      <c r="D1228" t="s">
        <v>31</v>
      </c>
      <c r="E1228">
        <v>15</v>
      </c>
      <c r="F1228">
        <v>47</v>
      </c>
      <c r="G1228">
        <v>27</v>
      </c>
      <c r="H1228">
        <v>110</v>
      </c>
      <c r="I1228">
        <v>18</v>
      </c>
      <c r="J1228">
        <v>57</v>
      </c>
      <c r="K1228">
        <v>23</v>
      </c>
      <c r="L1228">
        <v>9</v>
      </c>
      <c r="M1228">
        <v>146</v>
      </c>
      <c r="N1228">
        <v>22</v>
      </c>
      <c r="O1228">
        <v>0</v>
      </c>
      <c r="P1228">
        <v>474</v>
      </c>
    </row>
    <row r="1229" spans="1:16" x14ac:dyDescent="0.3">
      <c r="A1229" s="1">
        <v>45231</v>
      </c>
      <c r="B1229" t="s">
        <v>16</v>
      </c>
      <c r="C1229" s="9" t="str">
        <f>IFERROR(INDEX(자료실범례[],MATCH($B1229,자료실범례[소장처명],0),2),"종합자료실")</f>
        <v>어린이자료실</v>
      </c>
      <c r="D1229" t="s">
        <v>28</v>
      </c>
      <c r="E1229">
        <v>35</v>
      </c>
      <c r="F1229">
        <v>5</v>
      </c>
      <c r="G1229">
        <v>4</v>
      </c>
      <c r="H1229">
        <v>132</v>
      </c>
      <c r="I1229">
        <v>164</v>
      </c>
      <c r="J1229">
        <v>41</v>
      </c>
      <c r="K1229">
        <v>29</v>
      </c>
      <c r="L1229">
        <v>22</v>
      </c>
      <c r="M1229">
        <v>786</v>
      </c>
      <c r="N1229">
        <v>69</v>
      </c>
      <c r="O1229">
        <v>0</v>
      </c>
      <c r="P1229">
        <v>1287</v>
      </c>
    </row>
    <row r="1230" spans="1:16" x14ac:dyDescent="0.3">
      <c r="A1230" s="1">
        <v>45231</v>
      </c>
      <c r="B1230" t="s">
        <v>16</v>
      </c>
      <c r="C1230" s="9" t="str">
        <f>IFERROR(INDEX(자료실범례[],MATCH($B1230,자료실범례[소장처명],0),2),"종합자료실")</f>
        <v>어린이자료실</v>
      </c>
      <c r="D1230" t="s">
        <v>25</v>
      </c>
      <c r="E1230">
        <v>40</v>
      </c>
      <c r="F1230">
        <v>10</v>
      </c>
      <c r="G1230">
        <v>4</v>
      </c>
      <c r="H1230">
        <v>147</v>
      </c>
      <c r="I1230">
        <v>148</v>
      </c>
      <c r="J1230">
        <v>38</v>
      </c>
      <c r="K1230">
        <v>22</v>
      </c>
      <c r="L1230">
        <v>23</v>
      </c>
      <c r="M1230">
        <v>797</v>
      </c>
      <c r="N1230">
        <v>81</v>
      </c>
      <c r="O1230">
        <v>0</v>
      </c>
      <c r="P1230">
        <v>1310</v>
      </c>
    </row>
    <row r="1231" spans="1:16" x14ac:dyDescent="0.3">
      <c r="A1231" s="1">
        <v>45231</v>
      </c>
      <c r="B1231" t="s">
        <v>16</v>
      </c>
      <c r="C1231" s="9" t="str">
        <f>IFERROR(INDEX(자료실범례[],MATCH($B1231,자료실범례[소장처명],0),2),"종합자료실")</f>
        <v>어린이자료실</v>
      </c>
      <c r="D1231" t="s">
        <v>31</v>
      </c>
      <c r="E1231">
        <v>5</v>
      </c>
      <c r="F1231">
        <v>0</v>
      </c>
      <c r="G1231">
        <v>0</v>
      </c>
      <c r="H1231">
        <v>19</v>
      </c>
      <c r="I1231">
        <v>26</v>
      </c>
      <c r="J1231">
        <v>8</v>
      </c>
      <c r="K1231">
        <v>2</v>
      </c>
      <c r="L1231">
        <v>1</v>
      </c>
      <c r="M1231">
        <v>122</v>
      </c>
      <c r="N1231">
        <v>0</v>
      </c>
      <c r="O1231">
        <v>0</v>
      </c>
      <c r="P1231">
        <v>183</v>
      </c>
    </row>
    <row r="1232" spans="1:16" x14ac:dyDescent="0.3">
      <c r="A1232" s="1">
        <v>45231</v>
      </c>
      <c r="B1232" t="s">
        <v>2</v>
      </c>
      <c r="C1232" s="9" t="str">
        <f>IFERROR(INDEX(자료실범례[],MATCH($B1232,자료실범례[소장처명],0),2),"종합자료실")</f>
        <v>디지털자료실</v>
      </c>
      <c r="D1232" t="s">
        <v>28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12</v>
      </c>
      <c r="L1232">
        <v>0</v>
      </c>
      <c r="M1232">
        <v>0</v>
      </c>
      <c r="N1232">
        <v>0</v>
      </c>
      <c r="O1232">
        <v>0</v>
      </c>
      <c r="P1232">
        <v>12</v>
      </c>
    </row>
    <row r="1233" spans="1:16" x14ac:dyDescent="0.3">
      <c r="A1233" s="1">
        <v>45231</v>
      </c>
      <c r="B1233" t="s">
        <v>2</v>
      </c>
      <c r="C1233" s="9" t="str">
        <f>IFERROR(INDEX(자료실범례[],MATCH($B1233,자료실범례[소장처명],0),2),"종합자료실")</f>
        <v>디지털자료실</v>
      </c>
      <c r="D1233" t="s">
        <v>25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7</v>
      </c>
      <c r="L1233">
        <v>0</v>
      </c>
      <c r="M1233">
        <v>0</v>
      </c>
      <c r="N1233">
        <v>0</v>
      </c>
      <c r="O1233">
        <v>0</v>
      </c>
      <c r="P1233">
        <v>7</v>
      </c>
    </row>
    <row r="1234" spans="1:16" x14ac:dyDescent="0.3">
      <c r="A1234" s="1">
        <v>45231</v>
      </c>
      <c r="B1234" t="s">
        <v>19</v>
      </c>
      <c r="C1234" s="9" t="str">
        <f>IFERROR(INDEX(자료실범례[],MATCH($B1234,자료실범례[소장처명],0),2),"종합자료실")</f>
        <v>종합자료실</v>
      </c>
      <c r="D1234" t="s">
        <v>28</v>
      </c>
      <c r="E1234">
        <v>8</v>
      </c>
      <c r="F1234">
        <v>9</v>
      </c>
      <c r="G1234">
        <v>1</v>
      </c>
      <c r="H1234">
        <v>15</v>
      </c>
      <c r="I1234">
        <v>5</v>
      </c>
      <c r="J1234">
        <v>34</v>
      </c>
      <c r="K1234">
        <v>7</v>
      </c>
      <c r="L1234">
        <v>6</v>
      </c>
      <c r="M1234">
        <v>106</v>
      </c>
      <c r="N1234">
        <v>11</v>
      </c>
      <c r="O1234">
        <v>0</v>
      </c>
      <c r="P1234">
        <v>202</v>
      </c>
    </row>
    <row r="1235" spans="1:16" x14ac:dyDescent="0.3">
      <c r="A1235" s="1">
        <v>45231</v>
      </c>
      <c r="B1235" t="s">
        <v>19</v>
      </c>
      <c r="C1235" s="9" t="str">
        <f>IFERROR(INDEX(자료실범례[],MATCH($B1235,자료실범례[소장처명],0),2),"종합자료실")</f>
        <v>종합자료실</v>
      </c>
      <c r="D1235" t="s">
        <v>25</v>
      </c>
      <c r="E1235">
        <v>4</v>
      </c>
      <c r="F1235">
        <v>3</v>
      </c>
      <c r="G1235">
        <v>1</v>
      </c>
      <c r="H1235">
        <v>5</v>
      </c>
      <c r="I1235">
        <v>2</v>
      </c>
      <c r="J1235">
        <v>19</v>
      </c>
      <c r="K1235">
        <v>4</v>
      </c>
      <c r="L1235">
        <v>4</v>
      </c>
      <c r="M1235">
        <v>47</v>
      </c>
      <c r="N1235">
        <v>8</v>
      </c>
      <c r="O1235">
        <v>0</v>
      </c>
      <c r="P1235">
        <v>97</v>
      </c>
    </row>
    <row r="1236" spans="1:16" x14ac:dyDescent="0.3">
      <c r="A1236" s="1">
        <v>45231</v>
      </c>
      <c r="B1236" t="s">
        <v>19</v>
      </c>
      <c r="C1236" s="9" t="str">
        <f>IFERROR(INDEX(자료실범례[],MATCH($B1236,자료실범례[소장처명],0),2),"종합자료실")</f>
        <v>종합자료실</v>
      </c>
      <c r="D1236" t="s">
        <v>31</v>
      </c>
      <c r="E1236">
        <v>5</v>
      </c>
      <c r="F1236">
        <v>2</v>
      </c>
      <c r="G1236">
        <v>0</v>
      </c>
      <c r="H1236">
        <v>7</v>
      </c>
      <c r="I1236">
        <v>0</v>
      </c>
      <c r="J1236">
        <v>12</v>
      </c>
      <c r="K1236">
        <v>5</v>
      </c>
      <c r="L1236">
        <v>3</v>
      </c>
      <c r="M1236">
        <v>38</v>
      </c>
      <c r="N1236">
        <v>3</v>
      </c>
      <c r="O1236">
        <v>0</v>
      </c>
      <c r="P1236">
        <v>75</v>
      </c>
    </row>
    <row r="1237" spans="1:16" x14ac:dyDescent="0.3">
      <c r="A1237" s="1">
        <v>45231</v>
      </c>
      <c r="B1237" t="s">
        <v>14</v>
      </c>
      <c r="C1237" s="9" t="str">
        <f>IFERROR(INDEX(자료실범례[],MATCH($B1237,자료실범례[소장처명],0),2),"종합자료실")</f>
        <v>어린이자료실</v>
      </c>
      <c r="D1237" t="s">
        <v>28</v>
      </c>
      <c r="E1237">
        <v>2</v>
      </c>
      <c r="F1237">
        <v>9</v>
      </c>
      <c r="G1237">
        <v>0</v>
      </c>
      <c r="H1237">
        <v>3</v>
      </c>
      <c r="I1237">
        <v>16</v>
      </c>
      <c r="J1237">
        <v>7</v>
      </c>
      <c r="K1237">
        <v>1</v>
      </c>
      <c r="L1237">
        <v>2</v>
      </c>
      <c r="M1237">
        <v>125</v>
      </c>
      <c r="N1237">
        <v>11</v>
      </c>
      <c r="O1237">
        <v>0</v>
      </c>
      <c r="P1237">
        <v>176</v>
      </c>
    </row>
    <row r="1238" spans="1:16" x14ac:dyDescent="0.3">
      <c r="A1238" s="1">
        <v>45231</v>
      </c>
      <c r="B1238" t="s">
        <v>14</v>
      </c>
      <c r="C1238" s="9" t="str">
        <f>IFERROR(INDEX(자료실범례[],MATCH($B1238,자료실범례[소장처명],0),2),"종합자료실")</f>
        <v>어린이자료실</v>
      </c>
      <c r="D1238" t="s">
        <v>25</v>
      </c>
      <c r="E1238">
        <v>1</v>
      </c>
      <c r="F1238">
        <v>6</v>
      </c>
      <c r="G1238">
        <v>0</v>
      </c>
      <c r="H1238">
        <v>0</v>
      </c>
      <c r="I1238">
        <v>8</v>
      </c>
      <c r="J1238">
        <v>5</v>
      </c>
      <c r="K1238">
        <v>0</v>
      </c>
      <c r="L1238">
        <v>0</v>
      </c>
      <c r="M1238">
        <v>77</v>
      </c>
      <c r="N1238">
        <v>8</v>
      </c>
      <c r="O1238">
        <v>0</v>
      </c>
      <c r="P1238">
        <v>105</v>
      </c>
    </row>
    <row r="1239" spans="1:16" x14ac:dyDescent="0.3">
      <c r="A1239" s="1">
        <v>45231</v>
      </c>
      <c r="B1239" t="s">
        <v>14</v>
      </c>
      <c r="C1239" s="9" t="str">
        <f>IFERROR(INDEX(자료실범례[],MATCH($B1239,자료실범례[소장처명],0),2),"종합자료실")</f>
        <v>어린이자료실</v>
      </c>
      <c r="D1239" t="s">
        <v>31</v>
      </c>
      <c r="E1239">
        <v>0</v>
      </c>
      <c r="F1239">
        <v>3</v>
      </c>
      <c r="G1239">
        <v>0</v>
      </c>
      <c r="H1239">
        <v>0</v>
      </c>
      <c r="I1239">
        <v>2</v>
      </c>
      <c r="J1239">
        <v>3</v>
      </c>
      <c r="K1239">
        <v>0</v>
      </c>
      <c r="L1239">
        <v>0</v>
      </c>
      <c r="M1239">
        <v>14</v>
      </c>
      <c r="N1239">
        <v>2</v>
      </c>
      <c r="O1239">
        <v>0</v>
      </c>
      <c r="P1239">
        <v>24</v>
      </c>
    </row>
    <row r="1240" spans="1:16" x14ac:dyDescent="0.3">
      <c r="A1240" s="1">
        <v>45231</v>
      </c>
      <c r="B1240" t="s">
        <v>13</v>
      </c>
      <c r="C1240" s="9" t="str">
        <f>IFERROR(INDEX(자료실범례[],MATCH($B1240,자료실범례[소장처명],0),2),"종합자료실")</f>
        <v>어린이자료실</v>
      </c>
      <c r="D1240" t="s">
        <v>28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2</v>
      </c>
      <c r="N1240">
        <v>0</v>
      </c>
      <c r="O1240">
        <v>0</v>
      </c>
      <c r="P1240">
        <v>2</v>
      </c>
    </row>
    <row r="1241" spans="1:16" x14ac:dyDescent="0.3">
      <c r="A1241" s="1">
        <v>45231</v>
      </c>
      <c r="B1241" t="s">
        <v>13</v>
      </c>
      <c r="C1241" s="9" t="str">
        <f>IFERROR(INDEX(자료실범례[],MATCH($B1241,자료실범례[소장처명],0),2),"종합자료실")</f>
        <v>어린이자료실</v>
      </c>
      <c r="D1241" t="s">
        <v>25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15</v>
      </c>
      <c r="N1241">
        <v>0</v>
      </c>
      <c r="O1241">
        <v>0</v>
      </c>
      <c r="P1241">
        <v>15</v>
      </c>
    </row>
    <row r="1242" spans="1:16" x14ac:dyDescent="0.3">
      <c r="A1242" s="1">
        <v>45231</v>
      </c>
      <c r="B1242" t="s">
        <v>13</v>
      </c>
      <c r="C1242" s="9" t="str">
        <f>IFERROR(INDEX(자료실범례[],MATCH($B1242,자료실범례[소장처명],0),2),"종합자료실")</f>
        <v>어린이자료실</v>
      </c>
      <c r="D1242" t="s">
        <v>31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6</v>
      </c>
      <c r="N1242">
        <v>0</v>
      </c>
      <c r="O1242">
        <v>0</v>
      </c>
      <c r="P1242">
        <v>6</v>
      </c>
    </row>
    <row r="1243" spans="1:16" x14ac:dyDescent="0.3">
      <c r="A1243" s="1">
        <v>45231</v>
      </c>
      <c r="B1243" t="s">
        <v>15</v>
      </c>
      <c r="C1243" s="9" t="str">
        <f>IFERROR(INDEX(자료실범례[],MATCH($B1243,자료실범례[소장처명],0),2),"종합자료실")</f>
        <v>어린이자료실</v>
      </c>
      <c r="D1243" t="s">
        <v>28</v>
      </c>
      <c r="E1243">
        <v>4</v>
      </c>
      <c r="F1243">
        <v>0</v>
      </c>
      <c r="G1243">
        <v>10</v>
      </c>
      <c r="H1243">
        <v>1</v>
      </c>
      <c r="I1243">
        <v>172</v>
      </c>
      <c r="J1243">
        <v>27</v>
      </c>
      <c r="K1243">
        <v>0</v>
      </c>
      <c r="L1243">
        <v>39</v>
      </c>
      <c r="M1243">
        <v>14</v>
      </c>
      <c r="N1243">
        <v>97</v>
      </c>
      <c r="O1243">
        <v>0</v>
      </c>
      <c r="P1243">
        <v>364</v>
      </c>
    </row>
    <row r="1244" spans="1:16" x14ac:dyDescent="0.3">
      <c r="A1244" s="1">
        <v>45231</v>
      </c>
      <c r="B1244" t="s">
        <v>15</v>
      </c>
      <c r="C1244" s="9" t="str">
        <f>IFERROR(INDEX(자료실범례[],MATCH($B1244,자료실범례[소장처명],0),2),"종합자료실")</f>
        <v>어린이자료실</v>
      </c>
      <c r="D1244" t="s">
        <v>25</v>
      </c>
      <c r="E1244">
        <v>8</v>
      </c>
      <c r="F1244">
        <v>0</v>
      </c>
      <c r="G1244">
        <v>14</v>
      </c>
      <c r="H1244">
        <v>2</v>
      </c>
      <c r="I1244">
        <v>191</v>
      </c>
      <c r="J1244">
        <v>39</v>
      </c>
      <c r="K1244">
        <v>0</v>
      </c>
      <c r="L1244">
        <v>51</v>
      </c>
      <c r="M1244">
        <v>10</v>
      </c>
      <c r="N1244">
        <v>112</v>
      </c>
      <c r="O1244">
        <v>0</v>
      </c>
      <c r="P1244">
        <v>427</v>
      </c>
    </row>
    <row r="1245" spans="1:16" x14ac:dyDescent="0.3">
      <c r="A1245" s="1">
        <v>45231</v>
      </c>
      <c r="B1245" t="s">
        <v>15</v>
      </c>
      <c r="C1245" s="9" t="str">
        <f>IFERROR(INDEX(자료실범례[],MATCH($B1245,자료실범례[소장처명],0),2),"종합자료실")</f>
        <v>어린이자료실</v>
      </c>
      <c r="D1245" t="s">
        <v>31</v>
      </c>
      <c r="E1245">
        <v>0</v>
      </c>
      <c r="F1245">
        <v>0</v>
      </c>
      <c r="G1245">
        <v>0</v>
      </c>
      <c r="H1245">
        <v>0</v>
      </c>
      <c r="I1245">
        <v>14</v>
      </c>
      <c r="J1245">
        <v>0</v>
      </c>
      <c r="K1245">
        <v>0</v>
      </c>
      <c r="L1245">
        <v>1</v>
      </c>
      <c r="M1245">
        <v>0</v>
      </c>
      <c r="N1245">
        <v>2</v>
      </c>
      <c r="O1245">
        <v>0</v>
      </c>
      <c r="P1245">
        <v>17</v>
      </c>
    </row>
    <row r="1246" spans="1:16" x14ac:dyDescent="0.3">
      <c r="A1246" s="1">
        <v>45231</v>
      </c>
      <c r="B1246" t="s">
        <v>20</v>
      </c>
      <c r="C1246" s="9" t="str">
        <f>IFERROR(INDEX(자료실범례[],MATCH($B1246,자료실범례[소장처명],0),2),"종합자료실")</f>
        <v>종합자료실</v>
      </c>
      <c r="D1246" t="s">
        <v>28</v>
      </c>
      <c r="E1246">
        <v>0</v>
      </c>
      <c r="F1246">
        <v>0</v>
      </c>
      <c r="G1246">
        <v>0</v>
      </c>
      <c r="H1246">
        <v>4</v>
      </c>
      <c r="I1246">
        <v>0</v>
      </c>
      <c r="J1246">
        <v>0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5</v>
      </c>
    </row>
    <row r="1247" spans="1:16" x14ac:dyDescent="0.3">
      <c r="A1247" s="1">
        <v>45231</v>
      </c>
      <c r="B1247" t="s">
        <v>20</v>
      </c>
      <c r="C1247" s="9" t="str">
        <f>IFERROR(INDEX(자료실범례[],MATCH($B1247,자료실범례[소장처명],0),2),"종합자료실")</f>
        <v>종합자료실</v>
      </c>
      <c r="D1247" t="s">
        <v>25</v>
      </c>
      <c r="E1247">
        <v>0</v>
      </c>
      <c r="F1247">
        <v>0</v>
      </c>
      <c r="G1247">
        <v>0</v>
      </c>
      <c r="H1247">
        <v>2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2</v>
      </c>
    </row>
    <row r="1248" spans="1:16" x14ac:dyDescent="0.3">
      <c r="A1248" s="1">
        <v>45231</v>
      </c>
      <c r="B1248" t="s">
        <v>4</v>
      </c>
      <c r="C1248" s="9" t="str">
        <f>IFERROR(INDEX(자료실범례[],MATCH($B1248,자료실범례[소장처명],0),2),"종합자료실")</f>
        <v>어린이자료실</v>
      </c>
      <c r="D1248" t="s">
        <v>28</v>
      </c>
      <c r="E1248">
        <v>0</v>
      </c>
      <c r="F1248">
        <v>0</v>
      </c>
      <c r="G1248">
        <v>0</v>
      </c>
      <c r="H1248">
        <v>0</v>
      </c>
      <c r="I1248">
        <v>1</v>
      </c>
      <c r="J1248">
        <v>0</v>
      </c>
      <c r="K1248">
        <v>3</v>
      </c>
      <c r="L1248">
        <v>0</v>
      </c>
      <c r="M1248">
        <v>8</v>
      </c>
      <c r="N1248">
        <v>2</v>
      </c>
      <c r="O1248">
        <v>0</v>
      </c>
      <c r="P1248">
        <v>14</v>
      </c>
    </row>
    <row r="1249" spans="1:16" x14ac:dyDescent="0.3">
      <c r="A1249" s="1">
        <v>45231</v>
      </c>
      <c r="B1249" t="s">
        <v>4</v>
      </c>
      <c r="C1249" s="9" t="str">
        <f>IFERROR(INDEX(자료실범례[],MATCH($B1249,자료실범례[소장처명],0),2),"종합자료실")</f>
        <v>어린이자료실</v>
      </c>
      <c r="D1249" t="s">
        <v>25</v>
      </c>
      <c r="E1249">
        <v>0</v>
      </c>
      <c r="F1249">
        <v>0</v>
      </c>
      <c r="G1249">
        <v>0</v>
      </c>
      <c r="H1249">
        <v>0</v>
      </c>
      <c r="I1249">
        <v>1</v>
      </c>
      <c r="J1249">
        <v>1</v>
      </c>
      <c r="K1249">
        <v>0</v>
      </c>
      <c r="L1249">
        <v>1</v>
      </c>
      <c r="M1249">
        <v>12</v>
      </c>
      <c r="N1249">
        <v>3</v>
      </c>
      <c r="O1249">
        <v>0</v>
      </c>
      <c r="P1249">
        <v>18</v>
      </c>
    </row>
    <row r="1250" spans="1:16" x14ac:dyDescent="0.3">
      <c r="A1250" s="1">
        <v>45231</v>
      </c>
      <c r="B1250" t="s">
        <v>4</v>
      </c>
      <c r="C1250" s="9" t="str">
        <f>IFERROR(INDEX(자료실범례[],MATCH($B1250,자료실범례[소장처명],0),2),"종합자료실")</f>
        <v>어린이자료실</v>
      </c>
      <c r="D1250" t="s">
        <v>31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3</v>
      </c>
      <c r="N1250">
        <v>1</v>
      </c>
      <c r="O1250">
        <v>0</v>
      </c>
      <c r="P1250">
        <v>4</v>
      </c>
    </row>
    <row r="1251" spans="1:16" x14ac:dyDescent="0.3">
      <c r="A1251" s="1">
        <v>45231</v>
      </c>
      <c r="B1251" t="s">
        <v>5</v>
      </c>
      <c r="C1251" s="9" t="str">
        <f>IFERROR(INDEX(자료실범례[],MATCH($B1251,자료실범례[소장처명],0),2),"종합자료실")</f>
        <v>종합자료실</v>
      </c>
      <c r="D1251" t="s">
        <v>28</v>
      </c>
      <c r="E1251">
        <v>0</v>
      </c>
      <c r="F1251">
        <v>2</v>
      </c>
      <c r="G1251">
        <v>1</v>
      </c>
      <c r="H1251">
        <v>6</v>
      </c>
      <c r="I1251">
        <v>0</v>
      </c>
      <c r="J1251">
        <v>3</v>
      </c>
      <c r="K1251">
        <v>1</v>
      </c>
      <c r="L1251">
        <v>1</v>
      </c>
      <c r="M1251">
        <v>9</v>
      </c>
      <c r="N1251">
        <v>1</v>
      </c>
      <c r="O1251">
        <v>0</v>
      </c>
      <c r="P1251">
        <v>24</v>
      </c>
    </row>
    <row r="1252" spans="1:16" x14ac:dyDescent="0.3">
      <c r="A1252" s="1">
        <v>45231</v>
      </c>
      <c r="B1252" t="s">
        <v>5</v>
      </c>
      <c r="C1252" s="9" t="str">
        <f>IFERROR(INDEX(자료실범례[],MATCH($B1252,자료실범례[소장처명],0),2),"종합자료실")</f>
        <v>종합자료실</v>
      </c>
      <c r="D1252" t="s">
        <v>25</v>
      </c>
      <c r="E1252">
        <v>0</v>
      </c>
      <c r="F1252">
        <v>5</v>
      </c>
      <c r="G1252">
        <v>2</v>
      </c>
      <c r="H1252">
        <v>5</v>
      </c>
      <c r="I1252">
        <v>0</v>
      </c>
      <c r="J1252">
        <v>5</v>
      </c>
      <c r="K1252">
        <v>1</v>
      </c>
      <c r="L1252">
        <v>1</v>
      </c>
      <c r="M1252">
        <v>12</v>
      </c>
      <c r="N1252">
        <v>1</v>
      </c>
      <c r="O1252">
        <v>0</v>
      </c>
      <c r="P1252">
        <v>32</v>
      </c>
    </row>
    <row r="1253" spans="1:16" x14ac:dyDescent="0.3">
      <c r="A1253" s="1">
        <v>45231</v>
      </c>
      <c r="B1253" t="s">
        <v>5</v>
      </c>
      <c r="C1253" s="9" t="str">
        <f>IFERROR(INDEX(자료실범례[],MATCH($B1253,자료실범례[소장처명],0),2),"종합자료실")</f>
        <v>종합자료실</v>
      </c>
      <c r="D1253" t="s">
        <v>31</v>
      </c>
      <c r="E1253">
        <v>0</v>
      </c>
      <c r="F1253">
        <v>2</v>
      </c>
      <c r="G1253">
        <v>1</v>
      </c>
      <c r="H1253">
        <v>9</v>
      </c>
      <c r="I1253">
        <v>0</v>
      </c>
      <c r="J1253">
        <v>5</v>
      </c>
      <c r="K1253">
        <v>1</v>
      </c>
      <c r="L1253">
        <v>0</v>
      </c>
      <c r="M1253">
        <v>4</v>
      </c>
      <c r="N1253">
        <v>0</v>
      </c>
      <c r="O1253">
        <v>0</v>
      </c>
      <c r="P1253">
        <v>22</v>
      </c>
    </row>
    <row r="1254" spans="1:16" x14ac:dyDescent="0.3">
      <c r="A1254" s="1">
        <v>45231</v>
      </c>
      <c r="B1254" t="s">
        <v>7</v>
      </c>
      <c r="C1254" s="9" t="str">
        <f>IFERROR(INDEX(자료실범례[],MATCH($B1254,자료실범례[소장처명],0),2),"종합자료실")</f>
        <v>어린이자료실</v>
      </c>
      <c r="D1254" t="s">
        <v>28</v>
      </c>
      <c r="E1254">
        <v>1</v>
      </c>
      <c r="F1254">
        <v>1</v>
      </c>
      <c r="G1254">
        <v>0</v>
      </c>
      <c r="H1254">
        <v>2</v>
      </c>
      <c r="I1254">
        <v>1</v>
      </c>
      <c r="J1254">
        <v>0</v>
      </c>
      <c r="K1254">
        <v>0</v>
      </c>
      <c r="L1254">
        <v>0</v>
      </c>
      <c r="M1254">
        <v>10</v>
      </c>
      <c r="N1254">
        <v>1</v>
      </c>
      <c r="O1254">
        <v>0</v>
      </c>
      <c r="P1254">
        <v>16</v>
      </c>
    </row>
    <row r="1255" spans="1:16" x14ac:dyDescent="0.3">
      <c r="A1255" s="1">
        <v>45231</v>
      </c>
      <c r="B1255" t="s">
        <v>7</v>
      </c>
      <c r="C1255" s="9" t="str">
        <f>IFERROR(INDEX(자료실범례[],MATCH($B1255,자료실범례[소장처명],0),2),"종합자료실")</f>
        <v>어린이자료실</v>
      </c>
      <c r="D1255" t="s">
        <v>25</v>
      </c>
      <c r="E1255">
        <v>1</v>
      </c>
      <c r="F1255">
        <v>0</v>
      </c>
      <c r="G1255">
        <v>0</v>
      </c>
      <c r="H1255">
        <v>1</v>
      </c>
      <c r="I1255">
        <v>1</v>
      </c>
      <c r="J1255">
        <v>0</v>
      </c>
      <c r="K1255">
        <v>0</v>
      </c>
      <c r="L1255">
        <v>0</v>
      </c>
      <c r="M1255">
        <v>14</v>
      </c>
      <c r="N1255">
        <v>1</v>
      </c>
      <c r="O1255">
        <v>0</v>
      </c>
      <c r="P1255">
        <v>18</v>
      </c>
    </row>
    <row r="1256" spans="1:16" x14ac:dyDescent="0.3">
      <c r="A1256" s="1">
        <v>45231</v>
      </c>
      <c r="B1256" t="s">
        <v>8</v>
      </c>
      <c r="C1256" s="9" t="str">
        <f>IFERROR(INDEX(자료실범례[],MATCH($B1256,자료실범례[소장처명],0),2),"종합자료실")</f>
        <v>어린이자료실</v>
      </c>
      <c r="D1256" t="s">
        <v>28</v>
      </c>
      <c r="E1256">
        <v>0</v>
      </c>
      <c r="F1256">
        <v>1</v>
      </c>
      <c r="G1256">
        <v>0</v>
      </c>
      <c r="H1256">
        <v>1</v>
      </c>
      <c r="I1256">
        <v>1</v>
      </c>
      <c r="J1256">
        <v>0</v>
      </c>
      <c r="K1256">
        <v>0</v>
      </c>
      <c r="L1256">
        <v>0</v>
      </c>
      <c r="M1256">
        <v>13</v>
      </c>
      <c r="N1256">
        <v>0</v>
      </c>
      <c r="O1256">
        <v>0</v>
      </c>
      <c r="P1256">
        <v>16</v>
      </c>
    </row>
    <row r="1257" spans="1:16" x14ac:dyDescent="0.3">
      <c r="A1257" s="1">
        <v>45231</v>
      </c>
      <c r="B1257" t="s">
        <v>8</v>
      </c>
      <c r="C1257" s="9" t="str">
        <f>IFERROR(INDEX(자료실범례[],MATCH($B1257,자료실범례[소장처명],0),2),"종합자료실")</f>
        <v>어린이자료실</v>
      </c>
      <c r="D1257" t="s">
        <v>25</v>
      </c>
      <c r="E1257">
        <v>0</v>
      </c>
      <c r="F1257">
        <v>4</v>
      </c>
      <c r="G1257">
        <v>0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9</v>
      </c>
      <c r="N1257">
        <v>3</v>
      </c>
      <c r="O1257">
        <v>0</v>
      </c>
      <c r="P1257">
        <v>17</v>
      </c>
    </row>
    <row r="1258" spans="1:16" x14ac:dyDescent="0.3">
      <c r="A1258" s="1">
        <v>45231</v>
      </c>
      <c r="B1258" t="s">
        <v>8</v>
      </c>
      <c r="C1258" s="9" t="str">
        <f>IFERROR(INDEX(자료실범례[],MATCH($B1258,자료실범례[소장처명],0),2),"종합자료실")</f>
        <v>어린이자료실</v>
      </c>
      <c r="D1258" t="s">
        <v>31</v>
      </c>
      <c r="E1258">
        <v>0</v>
      </c>
      <c r="F1258">
        <v>0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1</v>
      </c>
      <c r="N1258">
        <v>0</v>
      </c>
      <c r="O1258">
        <v>0</v>
      </c>
      <c r="P1258">
        <v>2</v>
      </c>
    </row>
    <row r="1259" spans="1:16" x14ac:dyDescent="0.3">
      <c r="A1259" s="1">
        <v>45231</v>
      </c>
      <c r="B1259" t="s">
        <v>9</v>
      </c>
      <c r="C1259" s="9" t="str">
        <f>IFERROR(INDEX(자료실범례[],MATCH($B1259,자료실범례[소장처명],0),2),"종합자료실")</f>
        <v>어린이자료실</v>
      </c>
      <c r="D1259" t="s">
        <v>28</v>
      </c>
      <c r="E1259">
        <v>0</v>
      </c>
      <c r="F1259">
        <v>1</v>
      </c>
      <c r="G1259">
        <v>0</v>
      </c>
      <c r="H1259">
        <v>1</v>
      </c>
      <c r="I1259">
        <v>3</v>
      </c>
      <c r="J1259">
        <v>2</v>
      </c>
      <c r="K1259">
        <v>1</v>
      </c>
      <c r="L1259">
        <v>0</v>
      </c>
      <c r="M1259">
        <v>14</v>
      </c>
      <c r="N1259">
        <v>8</v>
      </c>
      <c r="O1259">
        <v>0</v>
      </c>
      <c r="P1259">
        <v>30</v>
      </c>
    </row>
    <row r="1260" spans="1:16" x14ac:dyDescent="0.3">
      <c r="A1260" s="1">
        <v>45231</v>
      </c>
      <c r="B1260" t="s">
        <v>9</v>
      </c>
      <c r="C1260" s="9" t="str">
        <f>IFERROR(INDEX(자료실범례[],MATCH($B1260,자료실범례[소장처명],0),2),"종합자료실")</f>
        <v>어린이자료실</v>
      </c>
      <c r="D1260" t="s">
        <v>25</v>
      </c>
      <c r="E1260">
        <v>0</v>
      </c>
      <c r="F1260">
        <v>0</v>
      </c>
      <c r="G1260">
        <v>0</v>
      </c>
      <c r="H1260">
        <v>2</v>
      </c>
      <c r="I1260">
        <v>1</v>
      </c>
      <c r="J1260">
        <v>1</v>
      </c>
      <c r="K1260">
        <v>0</v>
      </c>
      <c r="L1260">
        <v>0</v>
      </c>
      <c r="M1260">
        <v>5</v>
      </c>
      <c r="N1260">
        <v>3</v>
      </c>
      <c r="O1260">
        <v>0</v>
      </c>
      <c r="P1260">
        <v>12</v>
      </c>
    </row>
    <row r="1261" spans="1:16" x14ac:dyDescent="0.3">
      <c r="A1261" s="1">
        <v>45231</v>
      </c>
      <c r="B1261" t="s">
        <v>9</v>
      </c>
      <c r="C1261" s="9" t="str">
        <f>IFERROR(INDEX(자료실범례[],MATCH($B1261,자료실범례[소장처명],0),2),"종합자료실")</f>
        <v>어린이자료실</v>
      </c>
      <c r="D1261" t="s">
        <v>31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9</v>
      </c>
      <c r="N1261">
        <v>6</v>
      </c>
      <c r="O1261">
        <v>0</v>
      </c>
      <c r="P1261">
        <v>15</v>
      </c>
    </row>
    <row r="1262" spans="1:16" x14ac:dyDescent="0.3">
      <c r="A1262" s="1">
        <v>45231</v>
      </c>
      <c r="B1262" t="s">
        <v>10</v>
      </c>
      <c r="C1262" s="9" t="str">
        <f>IFERROR(INDEX(자료실범례[],MATCH($B1262,자료실범례[소장처명],0),2),"종합자료실")</f>
        <v>어린이자료실</v>
      </c>
      <c r="D1262" t="s">
        <v>28</v>
      </c>
      <c r="E1262">
        <v>0</v>
      </c>
      <c r="F1262">
        <v>1</v>
      </c>
      <c r="G1262">
        <v>0</v>
      </c>
      <c r="H1262">
        <v>1</v>
      </c>
      <c r="I1262">
        <v>2</v>
      </c>
      <c r="J1262">
        <v>1</v>
      </c>
      <c r="K1262">
        <v>0</v>
      </c>
      <c r="L1262">
        <v>0</v>
      </c>
      <c r="M1262">
        <v>13</v>
      </c>
      <c r="N1262">
        <v>1</v>
      </c>
      <c r="O1262">
        <v>0</v>
      </c>
      <c r="P1262">
        <v>19</v>
      </c>
    </row>
    <row r="1263" spans="1:16" x14ac:dyDescent="0.3">
      <c r="A1263" s="1">
        <v>45231</v>
      </c>
      <c r="B1263" t="s">
        <v>10</v>
      </c>
      <c r="C1263" s="9" t="str">
        <f>IFERROR(INDEX(자료실범례[],MATCH($B1263,자료실범례[소장처명],0),2),"종합자료실")</f>
        <v>어린이자료실</v>
      </c>
      <c r="D1263" t="s">
        <v>25</v>
      </c>
      <c r="E1263">
        <v>0</v>
      </c>
      <c r="F1263">
        <v>1</v>
      </c>
      <c r="G1263">
        <v>0</v>
      </c>
      <c r="H1263">
        <v>3</v>
      </c>
      <c r="I1263">
        <v>2</v>
      </c>
      <c r="J1263">
        <v>0</v>
      </c>
      <c r="K1263">
        <v>0</v>
      </c>
      <c r="L1263">
        <v>1</v>
      </c>
      <c r="M1263">
        <v>6</v>
      </c>
      <c r="N1263">
        <v>1</v>
      </c>
      <c r="O1263">
        <v>0</v>
      </c>
      <c r="P1263">
        <v>14</v>
      </c>
    </row>
    <row r="1264" spans="1:16" x14ac:dyDescent="0.3">
      <c r="A1264" s="1">
        <v>45231</v>
      </c>
      <c r="B1264" t="s">
        <v>11</v>
      </c>
      <c r="C1264" s="9" t="str">
        <f>IFERROR(INDEX(자료실범례[],MATCH($B1264,자료실범례[소장처명],0),2),"종합자료실")</f>
        <v>어린이자료실</v>
      </c>
      <c r="D1264" t="s">
        <v>28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3</v>
      </c>
      <c r="N1264">
        <v>0</v>
      </c>
      <c r="O1264">
        <v>0</v>
      </c>
      <c r="P1264">
        <v>3</v>
      </c>
    </row>
    <row r="1265" spans="1:16" x14ac:dyDescent="0.3">
      <c r="A1265" s="1">
        <v>45231</v>
      </c>
      <c r="B1265" t="s">
        <v>11</v>
      </c>
      <c r="C1265" s="9" t="str">
        <f>IFERROR(INDEX(자료실범례[],MATCH($B1265,자료실범례[소장처명],0),2),"종합자료실")</f>
        <v>어린이자료실</v>
      </c>
      <c r="D1265" t="s">
        <v>25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5</v>
      </c>
      <c r="N1265">
        <v>1</v>
      </c>
      <c r="O1265">
        <v>0</v>
      </c>
      <c r="P1265">
        <v>7</v>
      </c>
    </row>
    <row r="1266" spans="1:16" x14ac:dyDescent="0.3">
      <c r="A1266" s="1">
        <v>45231</v>
      </c>
      <c r="B1266" t="s">
        <v>12</v>
      </c>
      <c r="C1266" s="9" t="str">
        <f>IFERROR(INDEX(자료실범례[],MATCH($B1266,자료실범례[소장처명],0),2),"종합자료실")</f>
        <v>어린이자료실</v>
      </c>
      <c r="D1266" t="s">
        <v>28</v>
      </c>
      <c r="E1266">
        <v>0</v>
      </c>
      <c r="F1266">
        <v>1</v>
      </c>
      <c r="G1266">
        <v>0</v>
      </c>
      <c r="H1266">
        <v>1</v>
      </c>
      <c r="I1266">
        <v>0</v>
      </c>
      <c r="J1266">
        <v>1</v>
      </c>
      <c r="K1266">
        <v>0</v>
      </c>
      <c r="L1266">
        <v>1</v>
      </c>
      <c r="M1266">
        <v>7</v>
      </c>
      <c r="N1266">
        <v>0</v>
      </c>
      <c r="O1266">
        <v>0</v>
      </c>
      <c r="P1266">
        <v>11</v>
      </c>
    </row>
    <row r="1267" spans="1:16" x14ac:dyDescent="0.3">
      <c r="A1267" s="1">
        <v>45231</v>
      </c>
      <c r="B1267" t="s">
        <v>12</v>
      </c>
      <c r="C1267" s="9" t="str">
        <f>IFERROR(INDEX(자료실범례[],MATCH($B1267,자료실범례[소장처명],0),2),"종합자료실")</f>
        <v>어린이자료실</v>
      </c>
      <c r="D1267" t="s">
        <v>25</v>
      </c>
      <c r="E1267">
        <v>0</v>
      </c>
      <c r="F1267">
        <v>1</v>
      </c>
      <c r="G1267">
        <v>0</v>
      </c>
      <c r="H1267">
        <v>2</v>
      </c>
      <c r="I1267">
        <v>0</v>
      </c>
      <c r="J1267">
        <v>1</v>
      </c>
      <c r="K1267">
        <v>0</v>
      </c>
      <c r="L1267">
        <v>0</v>
      </c>
      <c r="M1267">
        <v>5</v>
      </c>
      <c r="N1267">
        <v>0</v>
      </c>
      <c r="O1267">
        <v>0</v>
      </c>
      <c r="P1267">
        <v>9</v>
      </c>
    </row>
    <row r="1268" spans="1:16" x14ac:dyDescent="0.3">
      <c r="A1268" s="1">
        <v>45231</v>
      </c>
      <c r="B1268" t="s">
        <v>0</v>
      </c>
      <c r="C1268" s="9" t="str">
        <f>IFERROR(INDEX(자료실범례[],MATCH($B1268,자료실범례[소장처명],0),2),"종합자료실")</f>
        <v>어린이자료실</v>
      </c>
      <c r="D1268" t="s">
        <v>28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28</v>
      </c>
      <c r="N1268">
        <v>1</v>
      </c>
      <c r="O1268">
        <v>0</v>
      </c>
      <c r="P1268">
        <v>29</v>
      </c>
    </row>
    <row r="1269" spans="1:16" x14ac:dyDescent="0.3">
      <c r="A1269" s="1">
        <v>45231</v>
      </c>
      <c r="B1269" t="s">
        <v>0</v>
      </c>
      <c r="C1269" s="9" t="str">
        <f>IFERROR(INDEX(자료실범례[],MATCH($B1269,자료실범례[소장처명],0),2),"종합자료실")</f>
        <v>어린이자료실</v>
      </c>
      <c r="D1269" t="s">
        <v>25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1</v>
      </c>
      <c r="L1269">
        <v>3</v>
      </c>
      <c r="M1269">
        <v>20</v>
      </c>
      <c r="N1269">
        <v>1</v>
      </c>
      <c r="O1269">
        <v>0</v>
      </c>
      <c r="P1269">
        <v>25</v>
      </c>
    </row>
    <row r="1270" spans="1:16" x14ac:dyDescent="0.3">
      <c r="A1270" s="1">
        <v>45231</v>
      </c>
      <c r="B1270" t="s">
        <v>0</v>
      </c>
      <c r="C1270" s="9" t="str">
        <f>IFERROR(INDEX(자료실범례[],MATCH($B1270,자료실범례[소장처명],0),2),"종합자료실")</f>
        <v>어린이자료실</v>
      </c>
      <c r="D1270" t="s">
        <v>31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13</v>
      </c>
      <c r="N1270">
        <v>0</v>
      </c>
      <c r="O1270">
        <v>0</v>
      </c>
      <c r="P1270">
        <v>13</v>
      </c>
    </row>
    <row r="1271" spans="1:16" x14ac:dyDescent="0.3">
      <c r="A1271" s="1">
        <v>45231</v>
      </c>
      <c r="B1271" t="s">
        <v>1</v>
      </c>
      <c r="C1271" s="9" t="str">
        <f>IFERROR(INDEX(자료실범례[],MATCH($B1271,자료실범례[소장처명],0),2),"종합자료실")</f>
        <v>어린이자료실</v>
      </c>
      <c r="D1271" t="s">
        <v>28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1</v>
      </c>
      <c r="L1271">
        <v>31</v>
      </c>
      <c r="M1271">
        <v>2</v>
      </c>
      <c r="N1271">
        <v>0</v>
      </c>
      <c r="O1271">
        <v>0</v>
      </c>
      <c r="P1271">
        <v>34</v>
      </c>
    </row>
    <row r="1272" spans="1:16" x14ac:dyDescent="0.3">
      <c r="A1272" s="1">
        <v>45231</v>
      </c>
      <c r="B1272" t="s">
        <v>1</v>
      </c>
      <c r="C1272" s="9" t="str">
        <f>IFERROR(INDEX(자료실범례[],MATCH($B1272,자료실범례[소장처명],0),2),"종합자료실")</f>
        <v>어린이자료실</v>
      </c>
      <c r="D1272" t="s">
        <v>25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44</v>
      </c>
      <c r="M1272">
        <v>1</v>
      </c>
      <c r="N1272">
        <v>0</v>
      </c>
      <c r="O1272">
        <v>0</v>
      </c>
      <c r="P1272">
        <v>45</v>
      </c>
    </row>
    <row r="1273" spans="1:16" x14ac:dyDescent="0.3">
      <c r="A1273" s="1">
        <v>45231</v>
      </c>
      <c r="B1273" t="s">
        <v>1</v>
      </c>
      <c r="C1273" s="9" t="str">
        <f>IFERROR(INDEX(자료실범례[],MATCH($B1273,자료실범례[소장처명],0),2),"종합자료실")</f>
        <v>어린이자료실</v>
      </c>
      <c r="D1273" t="s">
        <v>31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18</v>
      </c>
      <c r="M1273">
        <v>1</v>
      </c>
      <c r="N1273">
        <v>0</v>
      </c>
      <c r="O1273">
        <v>0</v>
      </c>
      <c r="P1273">
        <v>19</v>
      </c>
    </row>
    <row r="1274" spans="1:16" x14ac:dyDescent="0.3">
      <c r="A1274" s="1">
        <v>45231</v>
      </c>
      <c r="B1274" t="s">
        <v>6</v>
      </c>
      <c r="C1274" s="9" t="str">
        <f>IFERROR(INDEX(자료실범례[],MATCH($B1274,자료실범례[소장처명],0),2),"종합자료실")</f>
        <v>종합자료실</v>
      </c>
      <c r="D1274" t="s">
        <v>28</v>
      </c>
      <c r="E1274">
        <v>2</v>
      </c>
      <c r="F1274">
        <v>1</v>
      </c>
      <c r="G1274">
        <v>2</v>
      </c>
      <c r="H1274">
        <v>2</v>
      </c>
      <c r="I1274">
        <v>0</v>
      </c>
      <c r="J1274">
        <v>3</v>
      </c>
      <c r="K1274">
        <v>3</v>
      </c>
      <c r="L1274">
        <v>0</v>
      </c>
      <c r="M1274">
        <v>17</v>
      </c>
      <c r="N1274">
        <v>4</v>
      </c>
      <c r="O1274">
        <v>0</v>
      </c>
      <c r="P1274">
        <v>34</v>
      </c>
    </row>
    <row r="1275" spans="1:16" x14ac:dyDescent="0.3">
      <c r="A1275" s="1">
        <v>45231</v>
      </c>
      <c r="B1275" t="s">
        <v>6</v>
      </c>
      <c r="C1275" s="9" t="str">
        <f>IFERROR(INDEX(자료실범례[],MATCH($B1275,자료실범례[소장처명],0),2),"종합자료실")</f>
        <v>종합자료실</v>
      </c>
      <c r="D1275" t="s">
        <v>25</v>
      </c>
      <c r="E1275">
        <v>2</v>
      </c>
      <c r="F1275">
        <v>2</v>
      </c>
      <c r="G1275">
        <v>2</v>
      </c>
      <c r="H1275">
        <v>2</v>
      </c>
      <c r="I1275">
        <v>0</v>
      </c>
      <c r="J1275">
        <v>4</v>
      </c>
      <c r="K1275">
        <v>2</v>
      </c>
      <c r="L1275">
        <v>0</v>
      </c>
      <c r="M1275">
        <v>17</v>
      </c>
      <c r="N1275">
        <v>7</v>
      </c>
      <c r="O1275">
        <v>0</v>
      </c>
      <c r="P1275">
        <v>38</v>
      </c>
    </row>
    <row r="1276" spans="1:16" x14ac:dyDescent="0.3">
      <c r="A1276" s="1">
        <v>45231</v>
      </c>
      <c r="B1276" t="s">
        <v>6</v>
      </c>
      <c r="C1276" s="9" t="str">
        <f>IFERROR(INDEX(자료실범례[],MATCH($B1276,자료실범례[소장처명],0),2),"종합자료실")</f>
        <v>종합자료실</v>
      </c>
      <c r="D1276" t="s">
        <v>31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1</v>
      </c>
      <c r="L1276">
        <v>0</v>
      </c>
      <c r="M1276">
        <v>1</v>
      </c>
      <c r="N1276">
        <v>0</v>
      </c>
      <c r="O1276">
        <v>0</v>
      </c>
      <c r="P1276">
        <v>2</v>
      </c>
    </row>
    <row r="1277" spans="1:16" x14ac:dyDescent="0.3">
      <c r="A1277" s="1">
        <v>45231</v>
      </c>
      <c r="B1277" t="s">
        <v>18</v>
      </c>
      <c r="C1277" s="9" t="str">
        <f>IFERROR(INDEX(자료실범례[],MATCH($B1277,자료실범례[소장처명],0),2),"종합자료실")</f>
        <v>종합자료실</v>
      </c>
      <c r="D1277" t="s">
        <v>28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3</v>
      </c>
      <c r="P1277">
        <v>3</v>
      </c>
    </row>
    <row r="1278" spans="1:16" x14ac:dyDescent="0.3">
      <c r="A1278" s="1">
        <v>45231</v>
      </c>
      <c r="B1278" t="s">
        <v>18</v>
      </c>
      <c r="C1278" s="9" t="str">
        <f>IFERROR(INDEX(자료실범례[],MATCH($B1278,자료실범례[소장처명],0),2),"종합자료실")</f>
        <v>종합자료실</v>
      </c>
      <c r="D1278" t="s">
        <v>25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3</v>
      </c>
      <c r="P1278">
        <v>3</v>
      </c>
    </row>
    <row r="1279" spans="1:16" x14ac:dyDescent="0.3">
      <c r="A1279" s="1">
        <v>45231</v>
      </c>
      <c r="B1279" t="s">
        <v>17</v>
      </c>
      <c r="C1279" s="9" t="str">
        <f>IFERROR(INDEX(자료실범례[],MATCH($B1279,자료실범례[소장처명],0),2),"종합자료실")</f>
        <v>어린이자료실</v>
      </c>
      <c r="D1279" t="s">
        <v>28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6</v>
      </c>
      <c r="P1279">
        <v>6</v>
      </c>
    </row>
    <row r="1280" spans="1:16" x14ac:dyDescent="0.3">
      <c r="A1280" s="1">
        <v>45231</v>
      </c>
      <c r="B1280" t="s">
        <v>17</v>
      </c>
      <c r="C1280" s="9" t="str">
        <f>IFERROR(INDEX(자료실범례[],MATCH($B1280,자료실범례[소장처명],0),2),"종합자료실")</f>
        <v>어린이자료실</v>
      </c>
      <c r="D1280" t="s">
        <v>25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3</v>
      </c>
      <c r="P1280">
        <v>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��������������������͌����͌��i�Ĭ: i�Ĭi�Ĭ: i�Ĭ���i�Ĭ: i�Ĭ�D������ǘ̅���̸��l����������X���Y���P�������Y�������Y�0� ���Y�� ��Ŵ�8�Y��Ŭ�0���i�Ĭi�Ĭ: i�Ĭi�Ĭi�Ĭ: i�Ĭi�Ĭi�Ĭ: i�Ĭi�Ĭi�Ĭ: i�Ĭi�Ĭ: i�Ĭ���i�Ĭ: i�Ĭ�D������ǘ̅���̸��l����������X���Y���P�������Y�������Y�0� ���Y�� ��Ŵ�8�Y��Ŭ�0���i�Ĭi�Ĭ: i�Ĭi�Ĭi�Ĭ: i�Ĭi�Ĭi�Ĭ: i�Ĭi�ĬD���0��D���0��i�Ĭ: �D�ٳ��D�(��͐��i�Ĭ: �D�ٳ��D�(��͐�����i�Ĭ: �D�ٳ��D�(��͐���i�Ĭ: ��͐��i�Ĭ: ��͐�����i�Ĭ: ��͐���i�Ĭ: ��͌��i�Ĭ: ��͌�����i�Ĭ: ��͌���i�Ĭ: �D�ٳ��D�(���i�Ĭ: �D�ٳ��D�(������i�Ĭ: �D�ٳ��D�(����i�Ĭ: ��͐��(�D�ٳ��i�Ĭ: ��͐��(�D�ٳ�����i�Ĭ: ��͐��(�D�ٳ�����: �D�ٳ��D�(��͐����: �D�ٳ��D�(��͐�������: �D�ٳ��D�(��͐���i�Ĭ: ��͌��(�D�ٳ��i�Ĭ: ��͌��(�D�ٳ�����i�Ĭ: ��͌��(�D�ٳ���D���� ����͐����͐��(�D�ٳ���D�ٳ��D�(��͐����͌����͌��(�D�ٳ���D�ٳ��D�(����լ�8��Ő���լ�8��Ő��(�D�ٳ���D�ٳ��D�(�լ�8��Ő��D���(�� x�q���D���(��i�Ĭ: �D�ٳ��D�(��͐���D�ٳ��D�(��͐��i�Ĭ: �D�ٳ��D�(��͐���D�ٳ��D�(��͐��i�Ĭ: �D�ٳ��D�(��͐���D�ٳ��D�(��͐��i�Ĭ: ��͐����͐��i�Ĭ: ��͐����͐��i�Ĭ: ��͐����͐��i�Ĭ: ��͌����͌��i�Ĭ: ��͌����͌��i�Ĭ: ��͌����͌��i�Ĭ: �D�ٳ��D�(����D�ٳ��D�(���i�Ĭ: �D�ٳ��D�(����D�ٳ��D�(���i�Ĭ: �D�ٳ��D�(����D�ٳ��D�(���i�Ĭ: ��͐��(�D�ٳ����͐��(�D�ٳ��i�Ĭ: ��͐��(�D�ٳ����͐��(�D�ٳ��i�Ĭ: ��͐��(�D�ٳ����͐��(�D�ٳ����: �D�ٳ��D�(��͐���D�ٳ��D�(��͐����: �D�ٳ��D�(��͐���D�ٳ��D�(��͐����: �D�ٳ��D�(��͐���D�ٳ��D�(��͐��i�Ĭ: ��͌��(�D�ٳ����͌��(�D�ٳ��i�Ĭ: ��͌��(�D�ٳ����͌��(�D�ٳ��i�Ĭ: ��͌��(�D�ٳ����͌��(�D�ٳ��i�Ĭ: �D�ٳ��D�(��͐��i�Ĭ: �D�ٳ��D�(��͐�����i�Ĭ: �D�ٳ��D�(��͐���i�Ĭ: ��͐��i�Ĭ: ��͐�����i�Ĭ: ��͐���i�Ĭ: ��͌��i�Ĭ: ��͌�����i�Ĭ: ��͌���i�Ĭ: �D�ٳ��D�(���i�Ĭ: �D�ٳ��D�(������i�Ĭ: �D�ٳ��D�(����i�Ĭ: ��͐��(�D�ٳ��i�Ĭ: ��͐��(�D�ٳ�����i�Ĭ: ��͐��(�D�ٳ�����: �D�ٳ��D�(��͐����: �D�ٳ��D�(��͐�������: �D�ٳ��D�(��͐���i�Ĭ: ��͌��(�D�ٳ��i�Ĭ: ��͌��(�D�ٳ�����i�Ĭ: ��͌��(�D�ٳ���D���� ����͐����͐��(�D�ٳ���D�ٳ��D�(��͐����͌����͌��(�D�ٳ���D�ٳ��D�(����լ�8��Ő���լ�8��Ő��(�D�ٳ���D�ٳ��D�(�լ�8��Ő��D���(�� x�q���D���(��i�Ĭ: �D�ٳ��D�(��͐���D�ٳ��D�(��͐��i�Ĭ: �D�ٳ��D�(��͐���D�ٳ��D�(��͐��i�Ĭ: �D�ٳ��D�(��͐���D�ٳ��D�(��͐��i�Ĭ: ��͐����͐��i�Ĭ: ��͐����͐��i�Ĭ: ��͐����͐��i�Ĭ: ��͌����͌��i�Ĭ: ��͌����͌��i�Ĭ: ��͌����͌��i�Ĭ: �D�ٳ��D�(����D�ٳ��D�(���i�Ĭ: �D�ٳ��D�(����D�ٳ��D�(���i�Ĭ: �D�ٳ��D�(����D�ٳ��D�(���i�Ĭ: ��͐��(�D�ٳ����͐��(�D�ٳ��i�Ĭ: ��͐��(�D�ٳ����͐��(�D�ٳ��i�Ĭ: ��͐��(�D�ٳ����͐��(�D�ٳ����: �D�ٳ��D�(��͐���D�ٳ��D�(��͐����: �D�ٳ��D�(��͐���D�ٳ��D�(��͐����: �D�ٳ��D�(��͐���D�ٳ��D�(��͐��i�Ĭ: ��͌��(�D�ٳ����͌��(�D�ٳ��i�Ĭ: ��͌��(�D�ٳ����͌��(�D�ٳ��i�Ĭ: ��͌��(�D�ٳ����͌��(�D�ٳ���լ�0���լ�0��i�Ĭ: �Ő�i�Ĭ: �Ő����i�Ĭ: �Ő����: �լ�����: �լ��������: �լ����i�Ĭ: Ĭi�Ĭ: Ĭ���i�Ĭ: Ĭ�i�Ĭ: ���i�Ĭ: ������i�Ĭ: ����D����լ���X��լ���X��լ������������(��8���������Ő�Ĭ������������������ ��i�Ĭ: �Ő��Ő�i�Ĭ: �Ő��Ő�i�Ĭ: �Ő��Ő���: �լ����լ�����: �լ����լ�����: �լ����լ���i�Ĭ: ĬĬi�Ĭ: ĬĬi�Ĭ: ĬĬi�Ĭ: ������i�Ĭ: ������i�Ĭ: ������i�Ĭ: �Ő�i�Ĭ: �Ő����i�Ĭ: �Ő����: �լ�����: �լ��������: �լ����i�Ĭ: Ĭi�Ĭ: Ĭ���i�Ĭ: Ĭ�i�Ĭ: ���i�Ĭ: ������i�Ĭ: ����D����լ���X��լ���X��լ������������(��8���������Ő�Ĭ������������������ ��i�Ĭ: �Ő��Ő�i�Ĭ: �Ő��Ő�i�Ĭ: �Ő��Ő���: �լ����լ�����: �լ����լ�����: �լ����լ���i�Ĭ: ĬĬi�Ĭ: ĬĬi�Ĭ: ĬĬi�Ĭ: ������i�Ĭ: ������i�Ĭ: ��������̸��0���լ�0��������͌��D���0����̸��@���|��@���̸��0����̸��0��D�����̸��0�����ǘ̅���̸��0��� ����̸��0����̸��l�����̸��0���Ű�tǨ�����̸��0���Ű�t��Ő���̸��0���̌�D�������̸��0���̌�D��Ő���̸��0��1�xǨ�����̸��0��1�x��Ő���̸��0���Ű�t���̸��0���̌�D���̸��0��1�x���̸��0��������̸��0���Ő���̸��0����͐��i�Ĭ��̸��0���X���̸��0����Y���̸��0����P���̸��0��������Y���̸��0��������Y���̸��0��0� ���Y���̸��0��� ���̸��0���Ŵ���̸��0��8�Y���̸��0���Ŭ���̸��0����͌��i�Ĭ��̸��0���� �Yյ�����|����̸��0���� �Yյ���x�����̸��0���Ō������̸��0���Ō������̸��0����͌��(6���!���h���̸��0����͐��(6���!���h���̸��0���Ō����(6���!���h���̸��0���Ō����(6���!���h���̸��0��i�Ĭ: �Ű�tǨ�����̸��0��\i�Ĭ: �Ű�tǨ���T���� !�����̸��0��i�Ĭ: �Ű�t��Ő���̸��0��\i�Ĭ: �Ű�t��Ő�T���� !�����̸��0��i�Ĭ: �̌�D�������̸��0��\i�Ĭ: �̌�D�����T���� !�����̸��0��i�Ĭ: �̌�D��Ő���̸��0��\i�Ĭ: �̌�D��Ő�T���� !�����̸��0��i�Ĭ: 1�xǨ�����̸��0��\i�Ĭ: 1�xǨ���T���� !�����̸��0��i�Ĭ: 1�x��Ő���̸��0��\i�Ĭ: 1�x��Ő�T���� !�����̸��0��i�Ĭ: �Ű�t���̸��0��\i�Ĭ: �Ű�t�T���� !�����̸��0��i�Ĭ: �̌�D���̸��0��\i�Ĭ: �̌�D�T���� !�����̸��0��i�Ĭ: 1�x���̸��0��\i�Ĭ: 1�x�T���� !�����̸��0��i�Ĭ: ������̸��0��\i�Ĭ: ����T���� !�����̸��0��i�Ĭ: �Ő���̸��0��\i�Ĭ: �Ő�T���� !�����̸��0��i�Ĭ: ��͐��i�Ĭ��̸��0��\i�Ĭ: ��͐��i�ĬT���� !�����̸��0��i�Ĭ: �� �Yյ���x�����̸��0��\i�Ĭ: �� �Yյ���x���T���� !�����̸��0����: �X���̸��0��\��: �X�T���� !�����̸��0����: ��Y���̸��0��\��: ��Y�T���� !�����̸��0����: ��P���̸��0��\��: ��P�T���� !�����̸��0����: ������Y���̸��0��\��: ������Y�T���� !�����̸��0��i�Ĭ: �X���̸��0��\i�Ĭ: �X�T���� !�����̸��0��i�Ĭ: ��Y���̸��0��\i�Ĭ: ��Y�T���� !�����̸��0��i�Ĭ: ��P���̸��0��\i�Ĭ: ��P�T���� !�����̸��0��i�Ĭ: ������Y���̸��0��\i�Ĭ: ������Y�T���� !�����̸��0��i�Ĭ: ������Y���̸��0��\i�Ĭ: ������Y�T���� !�����̸��0��i�Ĭ: 0� ���Y���̸��0��\i�Ĭ: 0� ���Y�T���� !�����̸��0��i�Ĭ: � ���̸��0��\i�Ĭ: � �T���� !�����̸��0��i�Ĭ: �Ŵ���̸��0��\i�Ĭ: �Ŵ�T���� !�����̸��0��i�Ĭ: 8�Y���̸��0��\i�Ĭ: 8�Y�T���� !�����̸��0��i�Ĭ: �Ŭ���̸��0��\i�Ĭ: �Ŭ�T���� !�����̸��0��i�Ĭ: ��͌��i�Ĭ��̸��0��\i�Ĭ: ��͌��i�ĬT���� !�����̸��0��i�Ĭ: �Ō������̸��0��\i�Ĭ: �Ō����T���� !�����̸��0��i�Ĭ: �Ō������̸��0��\i�Ĭ: �Ō����T���� !�����̸��0��i�Ĭ: ��͌��(6���!���h���̸��0��\i�Ĭ: ��͌��(6���!���h�T���� !�����̸��0��i�Ĭ: ��͐��(6���!���h���̸��0��\i�Ĭ: ��͐��(6���!���h�T���� !�����̸��0��i�Ĭ: �Ō����(6���!���h���̸��0��\i�Ĭ: �Ō����(6���!���h�T���� !�����̸��0��i�Ĭ: �Ō����(6���!���h���̸��0��\i�Ĭ: �Ō����(6���!���h�T���� !����լ�0���լ�0��D����լ�0���լ���X��լ�0���լ���X��լ�0���լ����լ�0������լ�0������լ�0�����(��8��լ�0������լ�0�������լ�0���Ő��լ�0��Ĭ�լ�0��������լ�0���������լ�0���������լ�0��� ���լ�0��i�Ĭ: �Ő��լ�0��\i�Ĭ: �Ő�T���� !����լ�0����: �լ����լ�0��\��: �լ���T���� !����լ�0��i�Ĭ: Ĭ�լ�0��\i�Ĭ: ĬT���� !����լ�0��i�Ĭ: ����լ�0��\i�Ĭ: ���T���� !�������������������������(�� x�q���������(����͌����͌��D�����͌�����ǘ̅���͌����̸��l�����͌����������͌���X���͌����Y���͌����P���͌��������Y���͌��������Y���͌��0� ���Y���͌��� ���͌���Ŵ���͌��8�Y���͌���Ŭ���͌��0�����͌��i�Ĭ��͌��i�Ĭ: i�Ĭ��͌��\i�Ĭ: i�ĬT���� !���D���0��D���0��D���D���0��� ��D���0����͐��D���0����͐��(�D�ٳ��D���0���D�ٳ��D�(��͐��D���0����͌��D���0����͌��(�D�ٳ��D���0���D�ٳ��D�(���D���0���լ�8��Ő��D���0���լ�8��Ő��(�D�ٳ��D���0���D�ٳ��D�(�լ�8��Ő��D���0��D���(�� x�q���D���0��D���(��D���0��i�Ĭ: ��͐��D���0��\i�Ĭ: ��͐��T���� !���D���0��i�Ĭ: ��͌��D���0��\i�Ĭ: ��͌��T���� !���D���0��i�Ĭ: ��͐��(�D�ٳ��D���0��\i�Ĭ: ��͐��(�D�ٳ��T���� !���D���0����: �D�ٳ��D�(��͐��D���0��\��: �D�ٳ��D�(��͐��T���� !���D���0��i�Ĭ: ��͌��(�D�ٳ��D���0��\i�Ĭ: ��͌��(�D�ٳ��T���� !���D���0����: �D�ٳ��D�(�լ�8��Ő��D���0��\��: �D�ٳ��D�(�լ�8��Ő��T���� !���D���0��i�Ĭ: �D�ٳ��D�(��͐��D���0��\i�Ĭ: �D�ٳ��D�(��͐��T���� !���D���0��i�Ĭ: �D�ٳ��D�(���D���0��\i�Ĭ: �D�ٳ��D�(���T���� !�����̸��@���̸��@����ǘ̅���̸��@�l�����|��@���|��@�D�����|��@���̸����|����|��@��� �Yյ�����|����|��@��� �Yյ�����|��@�|����|��@��0�4��|���|��@���4�|���|��@��� �Yյ���4��|���|��@�i�Ĭ: �� �Yյ�����|��@�\i�Ĭ: �� �Yյ���T���� !�����̸��0��D�����������̸��0��D�����������̸��0��D�����������̸��0��D����������լ�0��D����������լ�0��D����������լ�0��D����������լ�0��D�����������������|��@�D�����������|��@�D�����������|��@�D�����������|��@�D���D���0��D���������D���0��D���������D���0��D���������D���0��D�����������������|��@�D�����̸��0���լ�0��������͌��D���0����̸��@���|��@���̸��0����̸��0��D�����̸��0�����ǘ̅���̸��0��� ����̸��0����̸��l�����̸��0���Ű�tǨ�����̸��0���Ű�t��Ő���̸��0���̌�D�������̸��0���̌�D��Ő���̸��0��1�xǨ�����̸��0��1�x��Ő���̸��0���Ű�t���̸��0���̌�D���̸��0��1�x���̸��0��������̸��0���Ő���̸��0����͐��i�Ĭ��̸��0���X���̸��0����Y���̸��0����P���̸��0��������Y���̸��0��������Y���̸��0��0� ���Y���̸��0��� ���̸��0���Ŵ���̸��0��8�Y���̸��0���Ŭ���̸��0����͌��i�Ĭ��̸��0���� �Yյ�����|����̸��0���� �Yյ���x�����̸��0���Ō������̸��0���Ō������̸��0����͌��(6���!���h���̸��0����͐��(6���!���h���̸��0���Ō����(6���!���h���̸��0���Ō����(6���!���h���̸��0��i�Ĭ: �Ű�tǨ�����̸��0��\i�Ĭ: �Ű�tǨ���T���� !�����̸��0��i�Ĭ: �Ű�t��Ő���̸��0��\i�Ĭ: �Ű�t��Ő�T���� !�����̸��0��i�Ĭ: �̌�D�������̸��0��\i�Ĭ: �̌�D�����T���� !�����̸��0��i�Ĭ: �̌�D��Ő���̸��0��\i�Ĭ: �̌�D��Ő�T���� !�����̸��0��i�Ĭ: 1�xǨ�����̸��0��\i�Ĭ: 1�xǨ���T���� !�����̸��0��i�Ĭ: 1�x��Ő���̸��0��\i�Ĭ: 1�x��Ő�T���� !�����̸��0��i�Ĭ: �Ű�t���̸��0��\i�Ĭ: �Ű�t�T���� !�����̸��0��i�Ĭ: �̌�D���̸��0��\i�Ĭ: �̌�D�T���� !�����̸��0��i�Ĭ: 1�x���̸��0��\i�Ĭ: 1�x�T���� !�����̸��0��i�Ĭ: ������̸��0��\i�Ĭ: ����T���� !�����̸��0��i�Ĭ: �Ő���̸��0��\i�Ĭ: �Ő�T���� !�����̸��0��i�Ĭ: ��͐��i�Ĭ��̸��0��\i�Ĭ: ��͐��i�ĬT���� !�����̸��0��i�Ĭ: �� �Yյ���x�����̸��0��\i�Ĭ: �� �Yյ���x���T���� !�����̸��0����: �X���̸��0��\��: �X�T���� !�����̸��0����: ��Y���̸��0��\��: ��Y�T���� !�����̸��0����: ��P���̸��0��\��: ��P�T���� !�����̸��0����: ������Y���̸��0��\��: ������Y�T���� !�����̸��0��i�Ĭ: �X���̸��0��\i�Ĭ: �X�T���� !�����̸��0��i�Ĭ: ��Y���̸��0��\i�Ĭ: ��Y�T���� !�����̸��0��i�Ĭ: ��P���̸��0��\i�Ĭ: ��P�T���� !�����̸��0��i�Ĭ: ������Y���̸��0��\i�Ĭ: ������Y�T���� !�����̸��0��i�Ĭ: ������Y���̸��0��\i�Ĭ: ������Y�T���� !�����̸��0��i�Ĭ: 0� ���Y���̸��0��\i�Ĭ: 0� ���Y�T���� !�����̸��0��i�Ĭ: � ���̸��0��\i�Ĭ: � �T���� !�����̸��0��i�Ĭ: �Ŵ���̸��0��\i�Ĭ: �Ŵ�T���� !�����̸��0��i�Ĭ: 8�Y���̸��0��\i�Ĭ: 8�Y�T���� !�����̸��0��i�Ĭ: �Ŭ���̸��0��\i�Ĭ: �Ŭ�T���� !�����̸��0��i�Ĭ: ��͌��i�Ĭ��̸��0��\i�Ĭ: ��͌��i�ĬT���� !�����̸��0��i�Ĭ: �Ō������̸��0��\i�Ĭ: �Ō����T���� !�����̸��0��i�Ĭ: �Ō������̸��0��\i�Ĭ: �Ō����T���� !�����̸��0��i�Ĭ: ��͌��(6���!���h���̸��0��\i�Ĭ: ��͌��(6���!���h�T���� !�����̸��0��i�Ĭ: ��͐��(6���!���h���̸��0��\i�Ĭ: ��͐��(6���!���h�T���� !�����̸��0��i�Ĭ: �Ō����(6���!���h���̸��0��\i�Ĭ: �Ō����(6���!���h�T���� !�����̸��0��i�Ĭ: �Ō����(6���!���h���̸��0��\i�Ĭ: �Ō����(6���!���h�T���� !����լ�0���լ�0��D����լ�0���լ���X��լ�0���լ���X��լ�0���լ����լ�0������լ�0������լ�0�����(��8��լ�0������լ�0�������լ�0���Ő��լ�0��Ĭ�լ�0��������լ�0���������լ�0���������լ�0��� ���լ�0��i�Ĭ: �Ő��լ�0��\i�Ĭ: �Ő�T���� !����լ�0����: �լ����լ�0��\��: �լ���T���� !����լ�0��i�Ĭ: Ĭ�լ�0��\i�Ĭ: ĬT���� !����լ�0��i�Ĭ: ����լ�0��\i�Ĭ: ���T���� !�������������������������(�� x�q���������(����͌����͌��D�����͌�����ǘ̅���͌����̸��l�����͌����������͌���X���͌����Y���͌����P���͌��������Y���͌��������Y���͌��0� ���Y���͌��� ���͌���Ŵ���͌��8�Y���͌���Ŭ���͌��0�����͌��i�Ĭ��͌��i�Ĭ: i�Ĭ��͌��\i�Ĭ: i�ĬT���� !���D���0��D���0��D���D���0��� ��D���0����͐��D���0����͐��(�D�ٳ��D���0���D�ٳ��D�(��͐��D���0����͌��D���0����͌��(�D�ٳ��D���0���D�ٳ��D�(���D���0���լ�8��Ő��D���0���լ�8��Ő��(�D�ٳ��D���0���D�ٳ��D�(�լ�8��Ő��D���0��D���(�� x�q���D���0��D���(��D���0��i�Ĭ: ��͐��D���0��\i�Ĭ: ��͐��T���� !���D���0��i�Ĭ: ��͌��D���0��\i�Ĭ: ��͌��T���� !���D���0��i�Ĭ: ��͐��(�D�ٳ��D���0��\i�Ĭ: ��͐��(�D�ٳ��T���� !���D���0����: �D�ٳ��D�(��͐��D���0��\��: �D�ٳ��D�(��͐��T���� !���D���0��i�Ĭ: ��͌��(�D�ٳ��D���0��\i�Ĭ: ��͌��(�D�ٳ��T���� !���D���0����: �D�ٳ��D�(�լ�8��Ő��D���0��\��: �D�ٳ��D�(�լ�8��Ő��T���� !���D���0��i�Ĭ: �D�ٳ��D�(��͐��D���0��\i�Ĭ: �D�ٳ��D�(��͐��T���� !���D���0��i�Ĭ: �D�ٳ��D�(���D���0��\i�Ĭ: �D�ٳ��D�(���T���� !�����̸��@���̸��@����ǘ̅���̸��@�l�����|��@���|��@�D�����|��@���̸����|����|��@��� �Yյ�����|����|��@��� �Yյ�����|��@�|����|��@��0�4��|���|��@���4�|���|��@��� �Yյ���4��|���|��@�i�Ĭ: �� �Yյ�����|��@�\i�Ĭ: �� �Yյ���T���� !�����̸��0��D���������]��]����̸��0��D�����������̸��0��D�����������̸��0��D����������լ�0��D���������]��]���լ�0��D����������լ�0��D����������լ�0��D�����������������|��@�D���]��]����������|��@�D�����������|��@�D�����������|��@�D���D���0��D���������]��]��D���0��D���������D���0��D���������D���0��D�����������|��@���|��@�i�Ĭ: �� �Yյ���i�Ĭ: �� �Yյ������i�Ĭ: �� �Yյ����D�����̸����|���� �Yյ�����|���� �Yյ���|���0�4��|���4�|��� �Yյ���4��|�i�Ĭ: �� �Yյ����� �Yյ���i�Ĭ: �� �Yյ����� �Yյ���i�Ĭ: �� �Yյ����� �Yյ���i�Ĭ: �� �Yյ���i�Ĭ: �� �Yյ������i�Ĭ: �� �Yյ����D�����̸����|���� �Yյ�����|���� �Yյ���|���0�4��|���4�|��� �Yյ���4��|�i�Ĭ: �� �Yյ����� �Yյ���i�Ĭ: �� �Yյ����� �Yյ���i�Ĭ: �� �Yյ����� �Yյ�����̸��0����̸��0��i�Ĭ: �Ű�tǨ���i�Ĭ: �Ű�tǨ������i�Ĭ: �Ű�tǨ����i�Ĭ: �Ű�t��Ő�i�Ĭ: �Ű�t��Ő����i�Ĭ: �Ű�t��Ő��i�Ĭ: �̌�D�����i�Ĭ: �̌�D��������i�Ĭ: �̌�D������i�Ĭ: �̌�D��Ő�i�Ĭ: �̌�D��Ő����i�Ĭ: �̌�D��Ő��i�Ĭ: 1�xǨ���i�Ĭ: 1�xǨ������i�Ĭ: 1�xǨ����i�Ĭ: 1�x��Ő�i�Ĭ: 1�x��Ő����i�Ĭ: 1�x��Ő��i�Ĭ: �Ű�t�i�Ĭ: �Ű�t����i�Ĭ: �Ű�t��i�Ĭ: �̌�D�i�Ĭ: �̌�D����i�Ĭ: �̌�D��i�Ĭ: 1�x�i�Ĭ: 1�x����i�Ĭ: 1�x��i�Ĭ: ����i�Ĭ: �������i�Ĭ: �����i�Ĭ: �Ő�i�Ĭ: �Ő����i�Ĭ: �Ő��i�Ĭ: ��͐��i�Ĭi�Ĭ: ��͐��i�Ĭ���i�Ĭ: ��͐��i�Ĭ�i�Ĭ: �� �Yյ���x���i�Ĭ: �� �Yյ���x������i�Ĭ: �� �Yյ���x������: �X���: �X������: �X����: ��Y���: ��Y������: ��Y����: ��P���: ��P������: ��P����: ������Y���: ������Y������: ������Y��i�Ĭ: �X�i�Ĭ: �X����i�Ĭ: �X��i�Ĭ: ��Y�i�Ĭ: ��Y����i�Ĭ: ��Y��i�Ĭ: ��P�i�Ĭ: ��P����i�Ĭ: ��P��i�Ĭ: ������Y�i�Ĭ: ������Y����i�Ĭ: ������Y��i�Ĭ: ������Y�i�Ĭ: ������Y����i�Ĭ: ������Y��i�Ĭ: 0� ���Y�i�Ĭ: 0� ���Y����i�Ĭ: 0� ���Y��i�Ĭ: � �i�Ĭ: � ����i�Ĭ: � ��i�Ĭ: �Ŵ�i�Ĭ: �Ŵ����i�Ĭ: �Ŵ��i�Ĭ: 8�Y�i�Ĭ: 8�Y����i�Ĭ: 8�Y��i�Ĭ: �Ŭ�i�Ĭ: �Ŭ����i�Ĭ: �Ŭ��i�Ĭ: ��͌��i�Ĭi�Ĭ: ��͌��i�Ĭ���i�Ĭ: ��͌��i�Ĭ�i�Ĭ: �Ō����i�Ĭ: �Ō�������i�Ĭ: �Ō�����i�Ĭ: �Ō����i�Ĭ: �Ō�������i�Ĭ: �Ō�����i�Ĭ: ��͌��(6���!���h�i�Ĭ: ��͌��(6���!���h����i�Ĭ: ��͌��(6���!���h��i�Ĭ: ��͐��(6���!���h�i�Ĭ: ��͐��(6���!���h����i�Ĭ: ��͐��(6���!���h��i�Ĭ: �Ō����(6���!���h�i�Ĭ: �Ō����(6���!���h����i�Ĭ: �Ō����(6���!���h��i�Ĭ: �Ō����(6���!���h�i�Ĭ: �Ō����(6���!���h����i�Ĭ: �Ō����(6���!���h��D������ǘ̅�� ����̸��l����Ű�tǨ����Ű�t��Ő��̌�D������̌�D��Ő�1�xǨ���1�x��Ő��Ű�t��̌�D�1�x������Ő���͐��i�Ĭ�X���Y���P�������Y�������Y�0� ���Y�� ��Ŵ�8�Y��Ŭ���͌��i�Ĭ�� �Yյ�����|���� �Yյ���x����Ō�����Ō������͌��(6���!���h���͐��(6���!���h��Ō����(6���!���h��Ō����(6���!���h�i�Ĭ: �Ű�tǨ����Ű�tǨ���i�Ĭ: �Ű�tǨ����Ű�tǨ���i�Ĭ: �Ű�tǨ����Ű�tǨ���i�Ĭ: �Ű�t��Ő��Ű�t��Ő�i�Ĭ: �Ű�t��Ő��Ű�t��Ő�i�Ĭ: �Ű�t��Ő��Ű�t��Ő�i�Ĭ: �̌�D������̌�D�����i�Ĭ: �̌�D������̌�D�����i�Ĭ: �̌�D������̌�D�����i�Ĭ: �̌�D��Ő��̌�D��Ő�i�Ĭ: �̌�D��Ő��̌�D��Ő�i�Ĭ: �̌�D��Ő��̌�D��Ő�i�Ĭ: 1�xǨ���1�xǨ���i�Ĭ: 1�xǨ���1�xǨ���i�Ĭ: 1�xǨ���1�xǨ���i�Ĭ: 1�x��Ő�1�x��Ő�i�Ĭ: 1�x��Ő�1�x��Ő�i�Ĭ: 1�x��Ő�1�x��Ő�i�Ĭ: �Ű�t��Ű�t�i�Ĭ: �Ű�t��Ű�t�i�Ĭ: �Ű�t��Ű�t�i�Ĭ: �̌�D��̌�D�i�Ĭ: �̌�D��̌�D�i�Ĭ: �̌�D��̌�D�i�Ĭ: 1�x�1�x�i�Ĭ: 1�x�1�x�i�Ĭ: 1�x�1�x�i�Ĭ: ��������i�Ĭ: ��������i�Ĭ: ��������i�Ĭ: �Ő��Ő�i�Ĭ: �Ő��Ő�i�Ĭ: �Ő��Ő�i�Ĭ: ��͐��i�Ĭ��͐��i�Ĭi�Ĭ: ��͐��i�Ĭ��͐��i�Ĭi�Ĭ: ��͐��i�Ĭ��͐��i�Ĭi�Ĭ: �� �Yյ���x����� �Yյ���x���i�Ĭ: �� �Yյ���x����� �Yյ���x���i�Ĭ: �� �Yյ���x����� �Yյ���x�����: �X��X���: �X��X���: �X��X���: ��Y���Y���: ��Y���Y���: ��Y���Y���: ��P���P���: ��P���P���: ��P���P���: ������Y�������Y���: ������Y�������Y���: ������Y�������Y�i�Ĭ: �X��X�i�Ĭ: �X��X�i�Ĭ: �X��X�i�Ĭ: ��Y���Y�i�Ĭ: ��Y���Y�i�Ĭ: ��Y���Y�i�Ĭ: ��P���P�i�Ĭ: ��P���P�i�Ĭ: ��P���P�i�Ĭ: ������Y�������Y�i�Ĭ: ������Y�������Y�i�Ĭ: ������Y�������Y�i�Ĭ: ������Y�������Y�i�Ĭ: ������Y�������Y�i�Ĭ: ������Y�������Y�i�Ĭ: 0� ���Y�0� ���Y�i�Ĭ: 0� ���Y�0� ���Y�i�Ĭ: 0� ���Y�0� ���Y�i�Ĭ: � �� �i�Ĭ: � �� �i�Ĭ: � �� �i�Ĭ: �Ŵ��Ŵ�i�Ĭ: �Ŵ��Ŵ�i�Ĭ: �Ŵ��Ŵ�i�Ĭ: 8�Y�8�Y�i�Ĭ: 8�Y�8�Y�i�Ĭ: 8�Y�8�Y�i�Ĭ: �Ŭ��Ŭ�i�Ĭ: �Ŭ��Ŭ�i�Ĭ: �Ŭ��Ŭ�i�Ĭ: ��͌��i�Ĭ��͌��i�Ĭi�Ĭ: ��͌��i�Ĭ��͌��i�Ĭi�Ĭ: ��͌��i�Ĭ��͌��i�Ĭi�Ĭ: �Ō�����Ō����i�Ĭ: �Ō�����Ō����i�Ĭ: �Ō�����Ō����i�Ĭ: �Ō�����Ō����i�Ĭ: �Ō�����Ō����i�Ĭ: �Ō�����Ō����i�Ĭ: ��͌��(6���!���h���͌��(6���!���h�i�Ĭ: ��͌��(6���!���h���͌��(6���!���h�i�Ĭ: ��͌��(6���!���h���͌��(6���!���h�i�Ĭ: ��͐��(6���!���h���͐��(6���!���h�i�Ĭ: ��͐��(6���!���h���͐��(6���!���h�i�Ĭ: ��͐��(6���!���h���͐��(6���!���h�i�Ĭ: �Ō����(6���!���h��Ō����(6���!���h�i�Ĭ: �Ō����(6���!���h��Ō����(6���!���h�i�Ĭ: �Ō����(6���!���h��Ō����(6���!���h�i�Ĭ: �Ō����(6���!���h��Ō����(6���!���h�i�Ĭ: �Ō����(6���!���h��Ō����(6���!���h�i�Ĭ: �Ō����(6���!���h��Ō����(6���!���h�i�Ĭ: �Ű�tǨ���i�Ĭ: �Ű�tǨ������i�Ĭ: �Ű�tǨ����i�Ĭ: �Ű�t��Ő�i�Ĭ: �Ű�t��Ő����i�Ĭ: �Ű�t��Ő��i�Ĭ: �̌�D�����i�Ĭ: �̌�D��������i�Ĭ: �̌�D������i�Ĭ: �̌�D��Ő�i�Ĭ: �̌�D��Ő����i�Ĭ: �̌�D��Ő��i�Ĭ: 1�xǨ���i�Ĭ: 1�xǨ������i�Ĭ: 1�xǨ����i�Ĭ: 1�x��Ő�i�Ĭ: 1�x��Ő����i�Ĭ: 1�x��Ő��i�Ĭ: �Ű�t�i�Ĭ: �Ű�t����i�Ĭ: �Ű�t��i�Ĭ: �̌�D�i�Ĭ: �̌�D����i�Ĭ: �̌�D��i�Ĭ: 1�x�i�Ĭ: 1�x����i�Ĭ: 1�x��i�Ĭ: ����i�Ĭ: �������i�Ĭ: �����i�Ĭ: �Ő�i�Ĭ: �Ő����i�Ĭ: �Ő��i�Ĭ: ��͐��i�Ĭi�Ĭ: ��͐��i�Ĭ���i�Ĭ: ��͐��i�Ĭ�i�Ĭ: �� �Yյ���x���i�Ĭ: �� �Yյ���x������i�Ĭ: �� �Yյ���x������: �X���: �X������: �X����: ��Y���: ��Y������: ��Y����: ��P���: ��P������: ��P����: ������Y���: ������Y������: ������Y��i�Ĭ: �X�i�Ĭ: �X����i�Ĭ: �X��i�Ĭ: ��Y�i�Ĭ: ��Y����i�Ĭ: ��Y��i�Ĭ: ��P�i�Ĭ: ��P����i�Ĭ: ��P��i�Ĭ: ������Y�i�Ĭ: ������Y����i�Ĭ: ������Y��i�Ĭ: ������Y�i�Ĭ: ������Y����i�Ĭ: ������Y��i�Ĭ: 0� ���Y�i�Ĭ: 0� ���Y����i�Ĭ: 0� ���Y��i�Ĭ: � �i�Ĭ: � ����i�Ĭ: � ��i�Ĭ: �Ŵ�i�Ĭ: �Ŵ����i�Ĭ: �Ŵ��i�Ĭ: 8�Y�i�Ĭ: 8�Y����i�Ĭ: 8�Y��i�Ĭ: �Ŭ�i�Ĭ: �Ŭ����i�Ĭ: �Ŭ��i�Ĭ: ��͌��i�Ĭi�Ĭ: ��͌��i�Ĭ���i�Ĭ: ��͌��i�Ĭ�i�Ĭ: �Ō����i�Ĭ: �Ō�������i�Ĭ: �Ō�����i�Ĭ: �Ō����i�Ĭ: �Ō�������i�Ĭ: �Ō�����i�Ĭ: ��͌��(6���!���h�i�Ĭ: ��͌��(6���!���h����i�Ĭ: ��͌��(6���!���h��i�Ĭ: ��͐��(6���!���h�i�Ĭ: ��͐��(6���!���h����i�Ĭ: ��͐��(6���!���h��i�Ĭ: �Ō����(6���!���h�i�Ĭ: �Ō����(6���!���h����i�Ĭ: �Ō����(6���!���h��i�Ĭ: �Ō����(6���!���h�i�Ĭ: �Ō����(6���!���h����i�Ĭ: �Ō����(6���!���h��D������ǘ̅�� ����̸��l����Ű�tǨ����Ű�t��Ő��̌�D������̌�D��Ő�1�xǨ���1�x��Ő��Ű�t��̌�D�1�x������Ő���͐��i�Ĭ�X���Y���P�������Y�������Y�0� ���Y�� ��Ŵ�8�Y��Ŭ���͌��i�Ĭ�� �Yյ�����|���� �Yյ���x����Ō�����Ō������͌��(6���!���h���͐��(6���!���h��Ō����(6���!���h��Ō����(6���!���h�i�Ĭ: �Ű�tǨ����Ű�tǨ���i�Ĭ: �Ű�tǨ����Ű�tǨ���i�Ĭ: �Ű�tǨ����Ű�tǨ���i�Ĭ: �Ű�t��Ő��Ű�t��Ő�i�Ĭ: �Ű�t��Ő��Ű�t��Ő�i�Ĭ: �Ű�t��Ő��Ű�t��Ő�i�Ĭ: �̌�D������̌�D�����i�Ĭ: �̌�D������̌�D�����i�Ĭ: �̌�D������̌�D�����i�Ĭ: �̌�D��Ő��̌�D��Ő�i�Ĭ: �̌�D��Ő��̌�D��Ő�i�Ĭ: �̌�D��Ő��̌�D��Ő�i�Ĭ: 1�xǨ���1�xǨ���i�Ĭ: 1�xǨ���1�xǨ���i�Ĭ: 1�xǨ���1�xǨ���i�Ĭ: 1�x��Ő�1�x��Ő�i�Ĭ: 1�x��Ő�1�x��Ő�i�Ĭ: 1�x��Ő�1�x��Ő�i�Ĭ: �Ű�t��Ű�t�i�Ĭ: �Ű�t��Ű�t�i�Ĭ: �Ű�t��Ű�t�i�Ĭ: �̌�D��̌�D�i�Ĭ: �̌�D��̌�D�i�Ĭ: �̌�D��̌�D�i�Ĭ: 1�x�1�x�i�Ĭ: 1�x�1�x�i�Ĭ: 1�x�1�x�i�Ĭ: ��������i�Ĭ: ��������i�Ĭ: ��������i�Ĭ: �Ő��Ő�i�Ĭ: �Ő��Ő�i�Ĭ: �Ő��Ő�i�Ĭ: ��͐��i�Ĭ��͐��i�Ĭi�Ĭ: ��͐��i�Ĭ��͐��i�Ĭi�Ĭ: ��͐��i�Ĭ��͐��i�Ĭi�Ĭ: �� �Yյ���x����� �Yյ���x���i�Ĭ: �� �Yյ���x����� �Yյ���x���i�Ĭ: �� �Yյ���x����� �Yյ���x�����: �X��X���: �X��X���: �X��X���: ��Y���Y���: ��Y���Y���: ��Y���Y���: ��P���P���: ��P���P���: ��P���P���: ������Y�������Y���: ������Y�������Y���: ������Y�������Y�i�Ĭ: �X��X�i�Ĭ: �X��X�i�Ĭ: �X��X�i�Ĭ: ��Y���Y�i�Ĭ: ��Y���Y�i�Ĭ: ��Y���Y�i�Ĭ: ��P���P�i�Ĭ: ��P���P�i�Ĭ: ��P���P�i�Ĭ: ������Y�������Y�i�Ĭ: ������Y�������Y�i�Ĭ: ������Y�������Y�i�Ĭ: ������Y�������Y�i�Ĭ: ������Y�������Y�i�Ĭ: ������Y�������Y�i�Ĭ: 0� ���Y�0� ���Y�i�Ĭ: 0� ���Y�0� ���Y�i�Ĭ: 0� ���Y�0� ���Y�i�Ĭ: � �� �i�Ĭ: � �� �i�Ĭ: � �� �i�Ĭ: �Ŵ��Ŵ�i�Ĭ: �Ŵ��Ŵ�i�Ĭ: �Ŵ��Ŵ�i�Ĭ: 8�Y�8�Y�i�Ĭ: 8�Y�8�Y�i�Ĭ: 8�Y�8�Y�i�Ĭ: �Ŭ��Ŭ�i�Ĭ: �Ŭ��Ŭ�i�Ĭ: �Ŭ��Ŭ�i�Ĭ: ��͌��i�Ĭ��͌��i�Ĭi�Ĭ: ��͌��i�Ĭ��͌��i�Ĭi�Ĭ: ��͌��i�Ĭ��͌��i�Ĭi�Ĭ: �Ō�����Ō����i�Ĭ: �Ō�����Ō����i�Ĭ: �Ō�����Ō����i�Ĭ: �Ō�����Ō����i�Ĭ: �Ō�����Ō����i�Ĭ: �Ō�����Ō����i�Ĭ: ��͌��(6���!���h���͌��(6���!���h�i�Ĭ: ��͌��(6���!���h���͌��(6���!���h�i�Ĭ: ��͌��(6���!���h���͌��(6���!���h�i�Ĭ: ��͐��(6���!���h���͐��(6���!���h�i�Ĭ: ��͐��(6���!���h���͐��(6���!���h�i�Ĭ: ��͐��(6���!���h���͐��(6���!���h�i�Ĭ: �Ō����(6���!���h��Ō����(6���!���h�i�Ĭ: �Ō����(6���!���h��Ō����(6���!���h�i�Ĭ: �Ō����(6���!���h��Ō����(6���!���h�i�Ĭ: �Ō����(6���!���h��Ō����(6���!���h�i�Ĭ: �Ō����(6���!���h��Ō����(6���!���h�i�Ĭ: �Ō����(6���!���h��Ō����(6���!���h�
</file>

<file path=customXml/item2.xml>������������(�� x�q�����(��������(�� x�q�����(��
</file>

<file path=customXml/item3.xml>��
</file>

<file path=customXml/item4.xml>����̸��0��,�լ�0��,����tb,��͌��,D���0��,��̸��@�,��|��@�
</file>

<file path=customXml/item5.xml>��
</file>

<file path=customXml/item6.xml>��
</file>

<file path=customXml/item7.xml>��D���0��D�����͐����͐��(�D�ٳ���D�ٳ��D�(��͐����͌����͌��(�D�ٳ���D�ٳ��D�(����լ�8��Ő���լ�8��Ő��(�D�ٳ���D�ٳ��D�(�լ�8��Ő��D���(�� x�q���D���(��� ��D�����͐����͐��(�D�ٳ���D�ٳ��D�(��͐����͌����͌��(�D�ٳ���D�ٳ��D�(����լ�8��Ő���լ�8��Ő��(�D�ٳ���D�ٳ��D�(�լ�8��Ő��D���(�� x�q���D���(��� ��
</file>

<file path=customXml/item8.xml>��
</file>

<file path=customXml/item9.xml>���լ�0���լ�0��D����լ���X��լ���X��լ������������(��8���������Ő�Ĭ������������������ ����|��@���|��@�D�����̸����|���� �Yյ�����|���� �Yյ���|���0�4��|���4�|��� �Yյ���4��|�D���0��D���0��D���� ����͐����͐��(�D�ٳ���D�ٳ��D�(��͐����͌����͌��(�D�ٳ���D�ٳ��D�(����լ�8��Ő���լ�8��Ő��(�D�ٳ���D�ٳ��D�(�լ�8��Ő��D���(�� x�q���D���(����͌����͌��D������ǘ̅���̸��l����������X���Y���P�������Y�������Y�0� ���Y�� ��Ŵ�8�Y��Ŭ�0���i�Ĭ��������������(�� x�q�����(����̸��0����̸��0��D������ǘ̅�� ����̸��l����Ű�tǨ����Ű�t��Ő��̌�D������̌�D��Ő�1�xǨ���1�x��Ő��Ű�t��̌�D�1�x������Ő���͐��i�Ĭ�X���Y���P�������Y�������Y�0� ���Y�� ��Ŵ�8�Y��Ŭ���͌��i�Ĭ�� �Yյ�����|���� �Yյ���x����Ō�����Ō������͌��(6���!���h���͐��(6���!���h��Ō����(6���!���h��Ō����(6���!���h�
</file>

<file path=customXml/item10.xml>��
</file>

<file path=customXml/item11.xml>��
</file>

<file path=customXml/item12.xml>����͌��D������ǘ̅���̸��l����������X���Y���P�������Y�������Y�0� ���Y�� ��Ŵ�8�Y��Ŭ�0���i�ĬD������ǘ̅���̸��l����������X���Y���P�������Y�������Y�0� ���Y�� ��Ŵ�8�Y��Ŭ�0���i�Ĭ
</file>

<file path=customXml/item13.xml>��
</file>

<file path=customXml/item14.xml>��
</file>

<file path=customXml/item15.xml>����̸��0���լ�0������D���0����͌����|��@�
</file>

<file path=customXml/item16.xml>����̸��0��D������ǘ̅���̸��l����Ű�tǨ����Ű�t��Ő��̌�D������̌�D��Ő�1�xǨ���1�x��Ő��Ű�t��̌�D�1�x������Ő��X���Y���P�������Y�������Y�0� ���Y�� ��Ŵ�8�Y��Ŭ��� �Yյ�����|��� ����͐��i�Ĭ��͌��i�Ĭ�� �Yյ���x����Ō�����Ō�����Ō����(6���!���h���͐��(6���!���h���͌��(6���!���h��Ō����(6���!���h�D������ǘ̅���̸��l����Ű�tǨ����Ű�t��Ő��̌�D������̌�D��Ő�1�xǨ���1�x��Ő��Ű�t��̌�D�1�x������Ő��X���Y���P�������Y�������Y�0� ���Y�� ��Ŵ�8�Y��Ŭ��� �Yյ�����|��� ����͐��i�Ĭ��͌��i�Ĭ�� �Yյ���x����Ō�����Ō�����Ō����(6���!���h���͐��(6���!���h���͌��(6���!���h��Ō����(6���!���h�
</file>

<file path=customXml/item17.xml>��
</file>

<file path=customXml/item18.xml>����|��@�D�����̸����|���� �Yյ�����|���� �Yյ���|���0�4��|���4�|��� �Yյ���4��|�D�����̸����|���� �Yյ�����|���� �Yյ���|���0�4��|���4�|��� �Yյ���4��|�
</file>

<file path=customXml/item19.xml>��
</file>

<file path=customXml/item20.xml>����̸��0��
</file>

<file path=customXml/item21.xml>��
</file>

<file path=customXml/item22.xml>���լ�0��D����լ���X��լ���X��լ��������������Ő�Ĭ������������� ��������(��8������D����լ���X��լ���X��լ��������������Ő�Ĭ������������� ��������(��8������
</file>

<file path=customXml/itemProps1.xml><?xml version="1.0" encoding="utf-8"?>
<ds:datastoreItem xmlns:ds="http://schemas.openxmlformats.org/officeDocument/2006/customXml" ds:itemID="{F7BDDB8B-1368-45E0-8F26-CA8D89CEA6AF}">
  <ds:schemaRefs/>
</ds:datastoreItem>
</file>

<file path=customXml/itemProps2.xml><?xml version="1.0" encoding="utf-8"?>
<ds:datastoreItem xmlns:ds="http://schemas.openxmlformats.org/officeDocument/2006/customXml" ds:itemID="{AB852A8D-17D6-4975-ACAD-7932C18AAE2A}">
  <ds:schemaRefs/>
</ds:datastoreItem>
</file>

<file path=customXml/itemProps3.xml><?xml version="1.0" encoding="utf-8"?>
<ds:datastoreItem xmlns:ds="http://schemas.openxmlformats.org/officeDocument/2006/customXml" ds:itemID="{5B06DEC1-9DA3-4177-99BA-EFB3AA8ADA16}">
  <ds:schemaRefs/>
</ds:datastoreItem>
</file>

<file path=customXml/itemProps4.xml><?xml version="1.0" encoding="utf-8"?>
<ds:datastoreItem xmlns:ds="http://schemas.openxmlformats.org/officeDocument/2006/customXml" ds:itemID="{448BC276-98D9-4D9D-B9C4-3300E2547F7A}">
  <ds:schemaRefs/>
</ds:datastoreItem>
</file>

<file path=customXml/itemProps5.xml><?xml version="1.0" encoding="utf-8"?>
<ds:datastoreItem xmlns:ds="http://schemas.openxmlformats.org/officeDocument/2006/customXml" ds:itemID="{17D255DD-C06A-4924-8006-7910C5F05612}">
  <ds:schemaRefs/>
</ds:datastoreItem>
</file>

<file path=customXml/itemProps6.xml><?xml version="1.0" encoding="utf-8"?>
<ds:datastoreItem xmlns:ds="http://schemas.openxmlformats.org/officeDocument/2006/customXml" ds:itemID="{8550C93D-045F-4BBB-B28C-68BF96DAF0E1}">
  <ds:schemaRefs/>
</ds:datastoreItem>
</file>

<file path=customXml/itemProps7.xml><?xml version="1.0" encoding="utf-8"?>
<ds:datastoreItem xmlns:ds="http://schemas.openxmlformats.org/officeDocument/2006/customXml" ds:itemID="{C317D3F5-5EEA-40AA-938A-DA9D7F007614}">
  <ds:schemaRefs/>
</ds:datastoreItem>
</file>

<file path=customXml/itemProps8.xml><?xml version="1.0" encoding="utf-8"?>
<ds:datastoreItem xmlns:ds="http://schemas.openxmlformats.org/officeDocument/2006/customXml" ds:itemID="{30C08725-B8CE-4122-8BCF-22A0ECEBD147}">
  <ds:schemaRefs/>
</ds:datastoreItem>
</file>

<file path=customXml/itemProps9.xml><?xml version="1.0" encoding="utf-8"?>
<ds:datastoreItem xmlns:ds="http://schemas.openxmlformats.org/officeDocument/2006/customXml" ds:itemID="{52D74AE4-08E2-45F9-8DF2-4702D5E2CD55}">
  <ds:schemaRefs/>
</ds:datastoreItem>
</file>

<file path=customXml/itemProps10.xml><?xml version="1.0" encoding="utf-8"?>
<ds:datastoreItem xmlns:ds="http://schemas.openxmlformats.org/officeDocument/2006/customXml" ds:itemID="{BCDC17BF-12B3-4D03-AFF5-6504B2C3BD7D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CD6D807F-2E36-4663-A676-839D4309FBE6}">
  <ds:schemaRefs/>
</ds:datastoreItem>
</file>

<file path=customXml/itemProps12.xml><?xml version="1.0" encoding="utf-8"?>
<ds:datastoreItem xmlns:ds="http://schemas.openxmlformats.org/officeDocument/2006/customXml" ds:itemID="{62A13452-C463-4CD1-ACB7-9409FD1AD1EE}">
  <ds:schemaRefs/>
</ds:datastoreItem>
</file>

<file path=customXml/itemProps13.xml><?xml version="1.0" encoding="utf-8"?>
<ds:datastoreItem xmlns:ds="http://schemas.openxmlformats.org/officeDocument/2006/customXml" ds:itemID="{36B653AF-5DCA-4D26-9676-4DB419D184A4}">
  <ds:schemaRefs/>
</ds:datastoreItem>
</file>

<file path=customXml/itemProps14.xml><?xml version="1.0" encoding="utf-8"?>
<ds:datastoreItem xmlns:ds="http://schemas.openxmlformats.org/officeDocument/2006/customXml" ds:itemID="{9A06C106-C9A8-473E-B315-EC16F329BA7D}">
  <ds:schemaRefs/>
</ds:datastoreItem>
</file>

<file path=customXml/itemProps15.xml><?xml version="1.0" encoding="utf-8"?>
<ds:datastoreItem xmlns:ds="http://schemas.openxmlformats.org/officeDocument/2006/customXml" ds:itemID="{6BA84F94-198A-4E0F-B934-7A4C9F04C36B}">
  <ds:schemaRefs/>
</ds:datastoreItem>
</file>

<file path=customXml/itemProps16.xml><?xml version="1.0" encoding="utf-8"?>
<ds:datastoreItem xmlns:ds="http://schemas.openxmlformats.org/officeDocument/2006/customXml" ds:itemID="{C51E980D-D16F-4EDD-9046-B1E1B0C7FBF5}">
  <ds:schemaRefs/>
</ds:datastoreItem>
</file>

<file path=customXml/itemProps17.xml><?xml version="1.0" encoding="utf-8"?>
<ds:datastoreItem xmlns:ds="http://schemas.openxmlformats.org/officeDocument/2006/customXml" ds:itemID="{6D5C1314-41D9-42F7-88B9-E09DC40D992B}">
  <ds:schemaRefs/>
</ds:datastoreItem>
</file>

<file path=customXml/itemProps18.xml><?xml version="1.0" encoding="utf-8"?>
<ds:datastoreItem xmlns:ds="http://schemas.openxmlformats.org/officeDocument/2006/customXml" ds:itemID="{F0E2E33C-559D-4F2D-AD90-405B49C4B486}">
  <ds:schemaRefs/>
</ds:datastoreItem>
</file>

<file path=customXml/itemProps19.xml><?xml version="1.0" encoding="utf-8"?>
<ds:datastoreItem xmlns:ds="http://schemas.openxmlformats.org/officeDocument/2006/customXml" ds:itemID="{349A4E2C-1226-4943-919E-CAEBDAB5C12E}">
  <ds:schemaRefs/>
</ds:datastoreItem>
</file>

<file path=customXml/itemProps20.xml><?xml version="1.0" encoding="utf-8"?>
<ds:datastoreItem xmlns:ds="http://schemas.openxmlformats.org/officeDocument/2006/customXml" ds:itemID="{615B1B42-4AE4-483E-A24F-A2D8418ED27E}">
  <ds:schemaRefs/>
</ds:datastoreItem>
</file>

<file path=customXml/itemProps21.xml><?xml version="1.0" encoding="utf-8"?>
<ds:datastoreItem xmlns:ds="http://schemas.openxmlformats.org/officeDocument/2006/customXml" ds:itemID="{E4421097-E69C-4013-9121-EDF31DFB6DC8}">
  <ds:schemaRefs/>
</ds:datastoreItem>
</file>

<file path=customXml/itemProps22.xml><?xml version="1.0" encoding="utf-8"?>
<ds:datastoreItem xmlns:ds="http://schemas.openxmlformats.org/officeDocument/2006/customXml" ds:itemID="{E4394153-B4E9-4F23-8BCF-108A8D24731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대시보드</vt:lpstr>
      <vt:lpstr>피벗테이블</vt:lpstr>
      <vt:lpstr>날짜tb</vt:lpstr>
      <vt:lpstr>년월기준</vt:lpstr>
      <vt:lpstr>자료실기준</vt:lpstr>
      <vt:lpstr>행사기준</vt:lpstr>
      <vt:lpstr>범례</vt:lpstr>
      <vt:lpstr>대출자</vt:lpstr>
      <vt:lpstr>대출권수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어린이실1</dc:creator>
  <cp:lastModifiedBy>User</cp:lastModifiedBy>
  <dcterms:created xsi:type="dcterms:W3CDTF">2024-02-01T01:13:27Z</dcterms:created>
  <dcterms:modified xsi:type="dcterms:W3CDTF">2024-12-03T05:15:46Z</dcterms:modified>
</cp:coreProperties>
</file>