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" activeTab="1"/>
  </bookViews>
  <sheets>
    <sheet name="权益" sheetId="2" r:id="rId1"/>
    <sheet name="成交记录" sheetId="1" r:id="rId2"/>
    <sheet name="持仓记录" sheetId="3" r:id="rId3"/>
    <sheet name="stat" sheetId="4" r:id="rId4"/>
  </sheets>
  <externalReferences>
    <externalReference r:id="rId5"/>
  </externalReferences>
  <definedNames>
    <definedName name="nv">权益!#REF!:OFFSET(权益!#REF!,权益!$E$1,0)</definedName>
    <definedName name="tt">权益!#REF!:OFFSET(权益!#REF!,权益!$E$1,0)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5" i="1"/>
  <c r="M34" i="1"/>
  <c r="M32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7" i="1"/>
  <c r="M31" i="1"/>
  <c r="M29" i="1"/>
  <c r="M28" i="1"/>
  <c r="M25" i="1"/>
  <c r="M26" i="1"/>
  <c r="M30" i="1"/>
  <c r="M36" i="1"/>
  <c r="M60" i="1"/>
  <c r="M33" i="1"/>
  <c r="M2" i="1"/>
  <c r="O92" i="1" l="1"/>
  <c r="F89" i="1"/>
  <c r="F88" i="1"/>
  <c r="J32" i="1" l="1"/>
  <c r="O91" i="1"/>
  <c r="O88" i="1"/>
  <c r="J89" i="1"/>
  <c r="O89" i="1"/>
  <c r="O90" i="1"/>
  <c r="J84" i="1"/>
  <c r="J88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86" i="1" l="1"/>
  <c r="J87" i="1"/>
  <c r="O87" i="1"/>
  <c r="H2" i="4"/>
  <c r="J2" i="4"/>
  <c r="H3" i="4"/>
  <c r="J3" i="4"/>
  <c r="H4" i="4"/>
  <c r="J4" i="4"/>
  <c r="H5" i="4"/>
  <c r="J5" i="4"/>
  <c r="H6" i="4"/>
  <c r="J6" i="4"/>
  <c r="H7" i="4"/>
  <c r="J7" i="4"/>
  <c r="H8" i="4"/>
  <c r="J8" i="4"/>
  <c r="H9" i="4"/>
  <c r="J9" i="4"/>
  <c r="H10" i="4"/>
  <c r="J10" i="4"/>
  <c r="H11" i="4"/>
  <c r="J11" i="4"/>
  <c r="H12" i="4"/>
  <c r="J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J81" i="1" l="1"/>
  <c r="J85" i="1"/>
  <c r="J83" i="1"/>
  <c r="O86" i="1"/>
  <c r="O85" i="1"/>
  <c r="O84" i="1"/>
  <c r="O83" i="1"/>
  <c r="C22" i="2"/>
  <c r="O82" i="1" l="1"/>
  <c r="O81" i="1"/>
  <c r="C21" i="2"/>
  <c r="J77" i="1" l="1"/>
  <c r="J79" i="1"/>
  <c r="J78" i="1"/>
  <c r="O78" i="1"/>
  <c r="O79" i="1"/>
  <c r="O80" i="1"/>
  <c r="C18" i="2"/>
  <c r="C19" i="2"/>
  <c r="C20" i="2"/>
  <c r="O77" i="1" l="1"/>
  <c r="O76" i="1"/>
  <c r="J75" i="1"/>
  <c r="J74" i="1"/>
  <c r="J72" i="1"/>
  <c r="J71" i="1"/>
  <c r="J69" i="1"/>
  <c r="G68" i="1" l="1"/>
  <c r="D34" i="1"/>
  <c r="D66" i="1"/>
  <c r="G65" i="1"/>
  <c r="D65" i="1"/>
  <c r="J63" i="1"/>
  <c r="C62" i="1"/>
  <c r="D61" i="1"/>
  <c r="J61" i="1" s="1"/>
  <c r="D59" i="1"/>
  <c r="D58" i="1"/>
  <c r="D57" i="1"/>
  <c r="D55" i="1"/>
  <c r="J48" i="1"/>
  <c r="J50" i="1"/>
  <c r="C37" i="1"/>
  <c r="G36" i="1"/>
  <c r="J46" i="1" l="1"/>
  <c r="J70" i="1"/>
  <c r="J73" i="1"/>
  <c r="O74" i="1"/>
  <c r="O75" i="1"/>
  <c r="O72" i="1"/>
  <c r="O73" i="1"/>
  <c r="J60" i="1"/>
  <c r="J54" i="1"/>
  <c r="J59" i="1"/>
  <c r="O71" i="1"/>
  <c r="J58" i="1"/>
  <c r="J62" i="1"/>
  <c r="J64" i="1"/>
  <c r="J35" i="1"/>
  <c r="J34" i="1"/>
  <c r="J65" i="1"/>
  <c r="J68" i="1"/>
  <c r="J67" i="1"/>
  <c r="J66" i="1"/>
  <c r="J47" i="1"/>
  <c r="J39" i="1"/>
  <c r="J42" i="1"/>
  <c r="J49" i="1"/>
  <c r="J37" i="1"/>
  <c r="J57" i="1"/>
  <c r="J56" i="1"/>
  <c r="J55" i="1"/>
  <c r="J53" i="1"/>
  <c r="J52" i="1"/>
  <c r="J51" i="1"/>
  <c r="J45" i="1"/>
  <c r="J38" i="1"/>
  <c r="J36" i="1"/>
  <c r="C17" i="2"/>
  <c r="C4" i="2"/>
  <c r="J41" i="1" l="1"/>
  <c r="J43" i="1"/>
  <c r="J44" i="1"/>
  <c r="K41" i="1"/>
  <c r="D24" i="1" l="1"/>
  <c r="D23" i="1"/>
  <c r="C23" i="1"/>
  <c r="C3" i="1"/>
  <c r="C4" i="1"/>
  <c r="F4" i="1"/>
  <c r="F17" i="1"/>
  <c r="J18" i="1"/>
  <c r="K20" i="1"/>
  <c r="K19" i="1"/>
  <c r="J14" i="1"/>
  <c r="J15" i="1"/>
  <c r="J16" i="1"/>
  <c r="O43" i="1" l="1"/>
  <c r="J40" i="1"/>
  <c r="O40" i="1"/>
  <c r="O44" i="1"/>
  <c r="O20" i="1"/>
  <c r="J22" i="1"/>
  <c r="O39" i="1"/>
  <c r="O42" i="1"/>
  <c r="O41" i="1"/>
  <c r="J20" i="1"/>
  <c r="O19" i="1"/>
  <c r="J19" i="1"/>
  <c r="K3" i="1"/>
  <c r="F3" i="1"/>
  <c r="K5" i="1"/>
  <c r="F6" i="1"/>
  <c r="F5" i="1"/>
  <c r="O17" i="1" l="1"/>
  <c r="O12" i="1"/>
  <c r="J17" i="1"/>
  <c r="O16" i="1"/>
  <c r="J6" i="1"/>
  <c r="K13" i="1"/>
  <c r="K12" i="1"/>
  <c r="K10" i="1"/>
  <c r="K11" i="1"/>
  <c r="K8" i="1"/>
  <c r="K7" i="1"/>
  <c r="K2" i="1"/>
  <c r="O13" i="1" l="1"/>
  <c r="O14" i="1"/>
  <c r="J12" i="1"/>
  <c r="O15" i="1"/>
  <c r="C3" i="2"/>
  <c r="J11" i="1" l="1"/>
  <c r="O11" i="1"/>
  <c r="J10" i="1"/>
  <c r="J7" i="1"/>
  <c r="C2" i="2"/>
  <c r="J2" i="1" l="1"/>
  <c r="J3" i="1"/>
  <c r="J5" i="1"/>
  <c r="J8" i="1"/>
  <c r="J9" i="1"/>
  <c r="J13" i="1"/>
  <c r="S1" i="1" l="1"/>
  <c r="R1" i="1"/>
  <c r="O1" i="1"/>
  <c r="P1" i="1"/>
  <c r="E1" i="2"/>
  <c r="G2" i="2" l="1"/>
  <c r="Q1" i="1" l="1"/>
  <c r="G3" i="2" l="1"/>
</calcChain>
</file>

<file path=xl/sharedStrings.xml><?xml version="1.0" encoding="utf-8"?>
<sst xmlns="http://schemas.openxmlformats.org/spreadsheetml/2006/main" count="177" uniqueCount="105">
  <si>
    <t>日期</t>
    <phoneticPr fontId="1" type="noConversion"/>
  </si>
  <si>
    <t>合约</t>
    <phoneticPr fontId="1" type="noConversion"/>
  </si>
  <si>
    <t>开仓</t>
    <phoneticPr fontId="1" type="noConversion"/>
  </si>
  <si>
    <t>开仓价</t>
    <phoneticPr fontId="1" type="noConversion"/>
  </si>
  <si>
    <t>平仓盈亏</t>
    <phoneticPr fontId="1" type="noConversion"/>
  </si>
  <si>
    <t>仓位</t>
    <phoneticPr fontId="1" type="noConversion"/>
  </si>
  <si>
    <t>平仓价</t>
    <phoneticPr fontId="1" type="noConversion"/>
  </si>
  <si>
    <t>交易单位</t>
    <phoneticPr fontId="1" type="noConversion"/>
  </si>
  <si>
    <t>Date</t>
    <phoneticPr fontId="1" type="noConversion"/>
  </si>
  <si>
    <t>Capital</t>
    <phoneticPr fontId="1" type="noConversion"/>
  </si>
  <si>
    <t>NV</t>
    <phoneticPr fontId="1" type="noConversion"/>
  </si>
  <si>
    <t>持仓周期</t>
    <phoneticPr fontId="1" type="noConversion"/>
  </si>
  <si>
    <t>胜率</t>
  </si>
  <si>
    <t>盈亏比</t>
    <phoneticPr fontId="1" type="noConversion"/>
  </si>
  <si>
    <t>HC1805</t>
    <phoneticPr fontId="1" type="noConversion"/>
  </si>
  <si>
    <t>RB1805</t>
    <phoneticPr fontId="1" type="noConversion"/>
  </si>
  <si>
    <t>J1805</t>
    <phoneticPr fontId="1" type="noConversion"/>
  </si>
  <si>
    <t>V1805</t>
    <phoneticPr fontId="1" type="noConversion"/>
  </si>
  <si>
    <t>L1805</t>
    <phoneticPr fontId="1" type="noConversion"/>
  </si>
  <si>
    <t>RU1805</t>
    <phoneticPr fontId="1" type="noConversion"/>
  </si>
  <si>
    <t>MA805</t>
    <phoneticPr fontId="1" type="noConversion"/>
  </si>
  <si>
    <t>平仓日期</t>
    <phoneticPr fontId="1" type="noConversion"/>
  </si>
  <si>
    <t>CS1805</t>
    <phoneticPr fontId="1" type="noConversion"/>
  </si>
  <si>
    <t>V1805</t>
    <phoneticPr fontId="1" type="noConversion"/>
  </si>
  <si>
    <t>仓位</t>
    <phoneticPr fontId="1" type="noConversion"/>
  </si>
  <si>
    <t>开仓均价</t>
    <phoneticPr fontId="1" type="noConversion"/>
  </si>
  <si>
    <t>价值</t>
    <phoneticPr fontId="1" type="noConversion"/>
  </si>
  <si>
    <t>保证金</t>
    <phoneticPr fontId="1" type="noConversion"/>
  </si>
  <si>
    <t>资金占比</t>
    <phoneticPr fontId="1" type="noConversion"/>
  </si>
  <si>
    <t>RU1805</t>
    <phoneticPr fontId="1" type="noConversion"/>
  </si>
  <si>
    <t>MA805</t>
    <phoneticPr fontId="1" type="noConversion"/>
  </si>
  <si>
    <t>·</t>
    <phoneticPr fontId="1" type="noConversion"/>
  </si>
  <si>
    <t>NI1805</t>
    <phoneticPr fontId="1" type="noConversion"/>
  </si>
  <si>
    <t>BU1806</t>
    <phoneticPr fontId="1" type="noConversion"/>
  </si>
  <si>
    <t>RU1805</t>
    <phoneticPr fontId="1" type="noConversion"/>
  </si>
  <si>
    <t>CS1805</t>
    <phoneticPr fontId="1" type="noConversion"/>
  </si>
  <si>
    <t>TA805</t>
    <phoneticPr fontId="1" type="noConversion"/>
  </si>
  <si>
    <t>RM805</t>
    <phoneticPr fontId="1" type="noConversion"/>
  </si>
  <si>
    <t>IC1803</t>
    <phoneticPr fontId="1" type="noConversion"/>
  </si>
  <si>
    <t>SF805</t>
    <phoneticPr fontId="1" type="noConversion"/>
  </si>
  <si>
    <t>CU1803</t>
    <phoneticPr fontId="1" type="noConversion"/>
  </si>
  <si>
    <t>AG1806</t>
    <phoneticPr fontId="1" type="noConversion"/>
  </si>
  <si>
    <t>FG805</t>
    <phoneticPr fontId="1" type="noConversion"/>
  </si>
  <si>
    <t>ZC805</t>
    <phoneticPr fontId="1" type="noConversion"/>
  </si>
  <si>
    <t>AU1806</t>
    <phoneticPr fontId="1" type="noConversion"/>
  </si>
  <si>
    <t>BU1805</t>
    <phoneticPr fontId="1" type="noConversion"/>
  </si>
  <si>
    <t>BU1806</t>
    <phoneticPr fontId="1" type="noConversion"/>
  </si>
  <si>
    <t>RB1805</t>
    <phoneticPr fontId="1" type="noConversion"/>
  </si>
  <si>
    <t>RU1805</t>
    <phoneticPr fontId="1" type="noConversion"/>
  </si>
  <si>
    <t>MA805</t>
    <phoneticPr fontId="1" type="noConversion"/>
  </si>
  <si>
    <t>开仓时间</t>
    <phoneticPr fontId="1" type="noConversion"/>
  </si>
  <si>
    <t>平仓时间</t>
    <phoneticPr fontId="1" type="noConversion"/>
  </si>
  <si>
    <t>CS1805</t>
    <phoneticPr fontId="1" type="noConversion"/>
  </si>
  <si>
    <t>M1805</t>
    <phoneticPr fontId="1" type="noConversion"/>
  </si>
  <si>
    <t>PP1805</t>
    <phoneticPr fontId="1" type="noConversion"/>
  </si>
  <si>
    <t>V1805</t>
    <phoneticPr fontId="1" type="noConversion"/>
  </si>
  <si>
    <t>V1805</t>
    <phoneticPr fontId="1" type="noConversion"/>
  </si>
  <si>
    <t>NI1805</t>
    <phoneticPr fontId="1" type="noConversion"/>
  </si>
  <si>
    <t>RM805</t>
    <phoneticPr fontId="1" type="noConversion"/>
  </si>
  <si>
    <t>HC1805</t>
    <phoneticPr fontId="1" type="noConversion"/>
  </si>
  <si>
    <t>JM1805</t>
    <phoneticPr fontId="1" type="noConversion"/>
  </si>
  <si>
    <t>RB1805</t>
  </si>
  <si>
    <t>V1805</t>
  </si>
  <si>
    <t>CU1803</t>
  </si>
  <si>
    <t>FG805</t>
  </si>
  <si>
    <t>ZC805</t>
  </si>
  <si>
    <t>TA805</t>
  </si>
  <si>
    <t>RM805</t>
  </si>
  <si>
    <t>CS1805</t>
  </si>
  <si>
    <t>NI1805</t>
  </si>
  <si>
    <t>IC1803</t>
  </si>
  <si>
    <t>SF805</t>
  </si>
  <si>
    <t>AG1806</t>
  </si>
  <si>
    <t>AU1806</t>
  </si>
  <si>
    <t>BU1805</t>
  </si>
  <si>
    <t>BU1806</t>
  </si>
  <si>
    <t>RU1805</t>
  </si>
  <si>
    <t>MA805</t>
  </si>
  <si>
    <t>M1805</t>
  </si>
  <si>
    <t>PP1805</t>
  </si>
  <si>
    <t>HC1805</t>
  </si>
  <si>
    <t>合约</t>
    <phoneticPr fontId="1" type="noConversion"/>
  </si>
  <si>
    <t>开仓</t>
    <phoneticPr fontId="1" type="noConversion"/>
  </si>
  <si>
    <t>开仓价</t>
    <phoneticPr fontId="1" type="noConversion"/>
  </si>
  <si>
    <t>平仓价</t>
    <phoneticPr fontId="1" type="noConversion"/>
  </si>
  <si>
    <t>乘数</t>
    <phoneticPr fontId="1" type="noConversion"/>
  </si>
  <si>
    <t>盈亏</t>
    <phoneticPr fontId="1" type="noConversion"/>
  </si>
  <si>
    <t>开仓日</t>
    <phoneticPr fontId="1" type="noConversion"/>
  </si>
  <si>
    <t>平仓日</t>
    <phoneticPr fontId="1" type="noConversion"/>
  </si>
  <si>
    <t>I1805</t>
    <phoneticPr fontId="1" type="noConversion"/>
  </si>
  <si>
    <t>收盘价</t>
    <phoneticPr fontId="1" type="noConversion"/>
  </si>
  <si>
    <t>持仓盈亏</t>
    <phoneticPr fontId="1" type="noConversion"/>
  </si>
  <si>
    <t>ZN1805</t>
    <phoneticPr fontId="1" type="noConversion"/>
  </si>
  <si>
    <t>TA805</t>
    <phoneticPr fontId="1" type="noConversion"/>
  </si>
  <si>
    <t>BU1806</t>
    <phoneticPr fontId="1" type="noConversion"/>
  </si>
  <si>
    <t>IC1803</t>
    <phoneticPr fontId="1" type="noConversion"/>
  </si>
  <si>
    <t>PP1805</t>
    <phoneticPr fontId="1" type="noConversion"/>
  </si>
  <si>
    <t>NI1805</t>
    <phoneticPr fontId="1" type="noConversion"/>
  </si>
  <si>
    <t>SF805</t>
    <phoneticPr fontId="1" type="noConversion"/>
  </si>
  <si>
    <t>M1805</t>
    <phoneticPr fontId="1" type="noConversion"/>
  </si>
  <si>
    <t>P1805</t>
    <phoneticPr fontId="1" type="noConversion"/>
  </si>
  <si>
    <t>?</t>
    <phoneticPr fontId="1" type="noConversion"/>
  </si>
  <si>
    <t>M1805</t>
    <phoneticPr fontId="1" type="noConversion"/>
  </si>
  <si>
    <t>NI1805</t>
    <phoneticPr fontId="1" type="noConversion"/>
  </si>
  <si>
    <t>PP1805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</si>
</sst>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%"/>
    <numFmt numFmtId="177" formatCode="0.000"/>
    <numFmt numFmtId="178" formatCode="0.0000"/>
    <numFmt numFmtId="179" formatCode="0.00_);[Red]\(0.00\)"/>
    <numFmt numFmtId="180" formatCode="_ * #,##0_ ;_ * \-#,##0_ ;_ * &quot;-&quot;??_ ;_ @_ 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/>
    <xf numFmtId="9" fontId="0" fillId="0" borderId="0" xfId="1" applyNumberFormat="1" applyFont="1" applyAlignment="1"/>
    <xf numFmtId="0" fontId="4" fillId="0" borderId="1" xfId="0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178" fontId="0" fillId="0" borderId="0" xfId="0" applyNumberFormat="1" applyAlignment="1">
      <alignment horizontal="center"/>
    </xf>
    <xf numFmtId="43" fontId="0" fillId="0" borderId="0" xfId="2" applyFont="1" applyAlignment="1"/>
    <xf numFmtId="10" fontId="0" fillId="0" borderId="0" xfId="1" applyNumberFormat="1" applyFont="1" applyAlignment="1"/>
    <xf numFmtId="43" fontId="0" fillId="0" borderId="1" xfId="2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1" xfId="2" applyFont="1" applyBorder="1" applyAlignment="1"/>
    <xf numFmtId="10" fontId="0" fillId="0" borderId="1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0" xfId="2" applyFont="1" applyBorder="1" applyAlignment="1"/>
    <xf numFmtId="10" fontId="0" fillId="0" borderId="0" xfId="1" applyNumberFormat="1" applyFont="1" applyBorder="1" applyAlignment="1"/>
    <xf numFmtId="0" fontId="0" fillId="0" borderId="1" xfId="0" applyFill="1" applyBorder="1" applyAlignment="1">
      <alignment horizontal="center"/>
    </xf>
    <xf numFmtId="179" fontId="0" fillId="0" borderId="0" xfId="1" applyNumberFormat="1" applyFont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Alignment="1"/>
    <xf numFmtId="2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0" fontId="0" fillId="0" borderId="2" xfId="0" applyBorder="1"/>
    <xf numFmtId="2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176" fontId="0" fillId="0" borderId="3" xfId="1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80" fontId="0" fillId="0" borderId="1" xfId="2" applyNumberFormat="1" applyFont="1" applyBorder="1" applyAlignment="1"/>
    <xf numFmtId="178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权益!$C$1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权益!$A$2:$A$31</c:f>
              <c:numCache>
                <c:formatCode>m/d/yyyy</c:formatCode>
                <c:ptCount val="3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</c:numCache>
            </c:numRef>
          </c:cat>
          <c:val>
            <c:numRef>
              <c:f>权益!$C$2:$C$31</c:f>
              <c:numCache>
                <c:formatCode>0.0000</c:formatCode>
                <c:ptCount val="30"/>
                <c:pt idx="0">
                  <c:v>1</c:v>
                </c:pt>
                <c:pt idx="1">
                  <c:v>0.99183259999999995</c:v>
                </c:pt>
                <c:pt idx="2">
                  <c:v>0.992039</c:v>
                </c:pt>
                <c:pt idx="15">
                  <c:v>0.98367360000000004</c:v>
                </c:pt>
                <c:pt idx="16">
                  <c:v>0.9743676</c:v>
                </c:pt>
                <c:pt idx="17">
                  <c:v>0.96859209999999996</c:v>
                </c:pt>
                <c:pt idx="18">
                  <c:v>0.97040610000000005</c:v>
                </c:pt>
                <c:pt idx="19">
                  <c:v>0.97298989999999996</c:v>
                </c:pt>
                <c:pt idx="20">
                  <c:v>0.97157280000000001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4C-4662-BEE7-8D967E8C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46752"/>
        <c:axId val="461047312"/>
      </c:lineChart>
      <c:dateAx>
        <c:axId val="461046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047312"/>
        <c:crosses val="autoZero"/>
        <c:auto val="1"/>
        <c:lblOffset val="100"/>
        <c:baseTimeUnit val="days"/>
      </c:dateAx>
      <c:valAx>
        <c:axId val="4610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04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57150</xdr:rowOff>
    </xdr:from>
    <xdr:to>
      <xdr:col>16</xdr:col>
      <xdr:colOff>238125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pane ySplit="1" topLeftCell="A8" activePane="bottomLeft" state="frozen"/>
      <selection pane="bottomLeft" activeCell="H29" sqref="H29"/>
    </sheetView>
  </sheetViews>
  <sheetFormatPr defaultRowHeight="13.5"/>
  <cols>
    <col min="1" max="1" width="12.75" style="1" customWidth="1"/>
    <col min="2" max="2" width="18.375" style="39" bestFit="1" customWidth="1"/>
    <col min="3" max="3" width="11.125" customWidth="1"/>
    <col min="5" max="5" width="5.5" customWidth="1"/>
    <col min="7" max="7" width="8" customWidth="1"/>
    <col min="8" max="9" width="5.75" customWidth="1"/>
  </cols>
  <sheetData>
    <row r="1" spans="1:9">
      <c r="A1" s="1" t="s">
        <v>8</v>
      </c>
      <c r="B1" s="38" t="s">
        <v>9</v>
      </c>
      <c r="C1" s="1" t="s">
        <v>10</v>
      </c>
      <c r="E1" s="7">
        <f>COUNTA(C2:C9986)</f>
        <v>9</v>
      </c>
      <c r="I1" s="8"/>
    </row>
    <row r="2" spans="1:9">
      <c r="A2" s="2">
        <v>43094</v>
      </c>
      <c r="B2" s="38">
        <v>10000000</v>
      </c>
      <c r="C2" s="15">
        <f>B2/$B$2</f>
        <v>1</v>
      </c>
      <c r="F2" t="s">
        <v>12</v>
      </c>
      <c r="G2" s="9">
        <f>成交记录!P1/成交记录!O1</f>
        <v>0.12307692307692308</v>
      </c>
    </row>
    <row r="3" spans="1:9">
      <c r="A3" s="2">
        <v>43095</v>
      </c>
      <c r="B3" s="38">
        <v>9918326</v>
      </c>
      <c r="C3" s="15">
        <f>B3/$B$2</f>
        <v>0.99183259999999995</v>
      </c>
      <c r="F3" t="s">
        <v>13</v>
      </c>
      <c r="G3" s="29">
        <f>成交记录!R1/成交记录!S1</f>
        <v>0.14403497724657555</v>
      </c>
    </row>
    <row r="4" spans="1:9">
      <c r="A4" s="2">
        <v>43096</v>
      </c>
      <c r="B4" s="38">
        <v>9920390</v>
      </c>
      <c r="C4" s="15">
        <f>B4/$B$2</f>
        <v>0.992039</v>
      </c>
    </row>
    <row r="5" spans="1:9">
      <c r="A5" s="2">
        <v>43097</v>
      </c>
      <c r="B5" s="38"/>
      <c r="C5" s="5"/>
    </row>
    <row r="6" spans="1:9">
      <c r="A6" s="2">
        <v>43098</v>
      </c>
      <c r="B6" s="38"/>
      <c r="C6" s="5"/>
    </row>
    <row r="7" spans="1:9">
      <c r="A7" s="2">
        <v>43101</v>
      </c>
      <c r="B7" s="38"/>
      <c r="C7" s="5"/>
    </row>
    <row r="8" spans="1:9">
      <c r="A8" s="2">
        <v>43102</v>
      </c>
      <c r="B8" s="38"/>
      <c r="C8" s="5"/>
    </row>
    <row r="9" spans="1:9">
      <c r="A9" s="2">
        <v>43103</v>
      </c>
      <c r="B9" s="38"/>
      <c r="C9" s="5"/>
    </row>
    <row r="10" spans="1:9">
      <c r="A10" s="2">
        <v>43104</v>
      </c>
      <c r="B10" s="38"/>
      <c r="C10" s="5"/>
    </row>
    <row r="11" spans="1:9">
      <c r="A11" s="2">
        <v>43105</v>
      </c>
      <c r="B11" s="38"/>
      <c r="C11" s="5"/>
    </row>
    <row r="12" spans="1:9">
      <c r="A12" s="2">
        <v>43108</v>
      </c>
      <c r="B12" s="38"/>
      <c r="C12" s="5"/>
    </row>
    <row r="13" spans="1:9">
      <c r="A13" s="2">
        <v>43109</v>
      </c>
    </row>
    <row r="14" spans="1:9">
      <c r="A14" s="2">
        <v>43110</v>
      </c>
    </row>
    <row r="15" spans="1:9">
      <c r="A15" s="2">
        <v>43111</v>
      </c>
    </row>
    <row r="16" spans="1:9">
      <c r="A16" s="33">
        <v>43112</v>
      </c>
      <c r="B16" s="55"/>
      <c r="C16" s="4"/>
    </row>
    <row r="17" spans="1:3">
      <c r="A17" s="2">
        <v>43115</v>
      </c>
      <c r="B17" s="39">
        <v>9836736</v>
      </c>
      <c r="C17" s="15">
        <f>B17/$B$2</f>
        <v>0.98367360000000004</v>
      </c>
    </row>
    <row r="18" spans="1:3">
      <c r="A18" s="2">
        <v>43116</v>
      </c>
      <c r="B18" s="39">
        <v>9743676</v>
      </c>
      <c r="C18" s="15">
        <f t="shared" ref="C18:C22" si="0">B18/$B$2</f>
        <v>0.9743676</v>
      </c>
    </row>
    <row r="19" spans="1:3">
      <c r="A19" s="2">
        <v>43117</v>
      </c>
      <c r="B19" s="39">
        <v>9685921</v>
      </c>
      <c r="C19" s="15">
        <f t="shared" si="0"/>
        <v>0.96859209999999996</v>
      </c>
    </row>
    <row r="20" spans="1:3">
      <c r="A20" s="2">
        <v>43118</v>
      </c>
      <c r="B20" s="39">
        <v>9704061</v>
      </c>
      <c r="C20" s="15">
        <f t="shared" si="0"/>
        <v>0.97040610000000005</v>
      </c>
    </row>
    <row r="21" spans="1:3">
      <c r="A21" s="33">
        <v>43119</v>
      </c>
      <c r="B21" s="55">
        <v>9729899</v>
      </c>
      <c r="C21" s="56">
        <f t="shared" si="0"/>
        <v>0.97298989999999996</v>
      </c>
    </row>
    <row r="22" spans="1:3">
      <c r="A22" s="2">
        <v>43122</v>
      </c>
      <c r="B22" s="39">
        <v>9715728</v>
      </c>
      <c r="C22" s="15">
        <f t="shared" si="0"/>
        <v>0.97157280000000001</v>
      </c>
    </row>
    <row r="23" spans="1:3">
      <c r="A23" s="2">
        <v>43123</v>
      </c>
    </row>
    <row r="24" spans="1:3">
      <c r="A24" s="2">
        <v>43124</v>
      </c>
    </row>
    <row r="25" spans="1:3">
      <c r="A25" s="2">
        <v>43125</v>
      </c>
    </row>
    <row r="26" spans="1:3">
      <c r="A26" s="33">
        <v>43126</v>
      </c>
      <c r="B26" s="55"/>
      <c r="C26" s="4"/>
    </row>
    <row r="27" spans="1:3">
      <c r="A27" s="2">
        <v>43129</v>
      </c>
    </row>
    <row r="28" spans="1:3">
      <c r="A28" s="2">
        <v>43130</v>
      </c>
    </row>
    <row r="29" spans="1:3">
      <c r="A29" s="2">
        <v>43131</v>
      </c>
    </row>
    <row r="30" spans="1:3">
      <c r="A30" s="2">
        <v>43132</v>
      </c>
    </row>
    <row r="31" spans="1:3">
      <c r="A31" s="2">
        <v>43133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67"/>
  <sheetViews>
    <sheetView tabSelected="1" workbookViewId="0">
      <pane ySplit="1" topLeftCell="A71" activePane="bottomLeft" state="frozen"/>
      <selection pane="bottomLeft" activeCell="G92" sqref="G92"/>
    </sheetView>
  </sheetViews>
  <sheetFormatPr defaultRowHeight="13.5"/>
  <cols>
    <col min="1" max="1" width="15.25" style="1" customWidth="1"/>
    <col min="2" max="2" width="10.25" style="1" customWidth="1"/>
    <col min="3" max="3" width="10.375" style="1" customWidth="1"/>
    <col min="4" max="5" width="13" style="1" customWidth="1"/>
    <col min="6" max="6" width="9.875" style="31" customWidth="1"/>
    <col min="7" max="7" width="10.125" style="1" customWidth="1"/>
    <col min="8" max="8" width="11.625" style="1" bestFit="1" customWidth="1"/>
    <col min="9" max="9" width="11.625" style="1" customWidth="1"/>
    <col min="10" max="10" width="12" style="1" customWidth="1"/>
    <col min="11" max="11" width="9" style="1"/>
    <col min="13" max="13" width="10.875" style="12" customWidth="1"/>
    <col min="14" max="14" width="9.5" bestFit="1" customWidth="1"/>
    <col min="15" max="15" width="9" style="1"/>
  </cols>
  <sheetData>
    <row r="1" spans="1:20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50</v>
      </c>
      <c r="F1" s="32" t="s">
        <v>5</v>
      </c>
      <c r="G1" s="3" t="s">
        <v>6</v>
      </c>
      <c r="H1" s="3" t="s">
        <v>21</v>
      </c>
      <c r="I1" s="24" t="s">
        <v>51</v>
      </c>
      <c r="J1" s="24" t="s">
        <v>4</v>
      </c>
      <c r="K1" s="3" t="s">
        <v>11</v>
      </c>
      <c r="M1" s="10" t="s">
        <v>7</v>
      </c>
      <c r="N1" s="13"/>
      <c r="O1" s="10">
        <f>COUNT(J2:J9984)</f>
        <v>65</v>
      </c>
      <c r="P1" s="13">
        <f>COUNTIF(J2:J9984,"&gt;0")</f>
        <v>8</v>
      </c>
      <c r="Q1" s="13">
        <f>COUNTIF(J2:J9984,"&lt;0")</f>
        <v>57</v>
      </c>
      <c r="R1" s="13">
        <f>SUMIF(J2:J9984,"&gt;0")</f>
        <v>70190.499999999971</v>
      </c>
      <c r="S1" s="13">
        <f>ABS(SUMIF(J2:J9984,"&lt;0"))</f>
        <v>487315.66000000015</v>
      </c>
      <c r="T1" s="13"/>
    </row>
    <row r="2" spans="1:20" ht="14.25">
      <c r="A2" s="2">
        <v>43094</v>
      </c>
      <c r="B2" s="1" t="s">
        <v>14</v>
      </c>
      <c r="C2" s="1">
        <v>-26</v>
      </c>
      <c r="D2" s="1">
        <v>3833.23</v>
      </c>
      <c r="F2" s="31">
        <v>1.49E-2</v>
      </c>
      <c r="G2" s="1">
        <v>3887</v>
      </c>
      <c r="H2" s="2">
        <v>43096</v>
      </c>
      <c r="I2" s="2"/>
      <c r="J2" s="30">
        <f>IF(G2="","",C2*(G2-D2)*M2)</f>
        <v>-13980.199999999995</v>
      </c>
      <c r="K2" s="1">
        <f>H2-$A$2</f>
        <v>2</v>
      </c>
      <c r="M2" s="11">
        <f>[1]!WSD($B2,"contractmultiplier",$A$2,$A$2,"TradingCalendar=SSE","rptType=1","ShowCodes=N","ShowDates=N","ShowParams=Y","cols=1;rows=1")</f>
        <v>10</v>
      </c>
      <c r="O2" s="12"/>
      <c r="P2" s="14"/>
      <c r="Q2" s="14"/>
      <c r="R2" s="14"/>
      <c r="S2" s="14"/>
      <c r="T2" s="14"/>
    </row>
    <row r="3" spans="1:20" ht="14.25">
      <c r="B3" s="1" t="s">
        <v>15</v>
      </c>
      <c r="C3" s="1">
        <f>-26*0.5</f>
        <v>-13</v>
      </c>
      <c r="D3" s="1">
        <v>3793.85</v>
      </c>
      <c r="F3" s="31">
        <f>1.48%*0.5</f>
        <v>7.4000000000000003E-3</v>
      </c>
      <c r="G3" s="1">
        <v>3761</v>
      </c>
      <c r="H3" s="2">
        <v>43096</v>
      </c>
      <c r="I3" s="2"/>
      <c r="J3" s="30">
        <f>IF(G3="","",C3*(G3-D3)*M3)</f>
        <v>4270.4999999999882</v>
      </c>
      <c r="K3" s="1">
        <f>H3-$A$2</f>
        <v>2</v>
      </c>
      <c r="M3" s="11">
        <f>[1]!WSD($B3,"contractmultiplier",$A$2,$A$2,"TradingCalendar=SSE","rptType=1","ShowCodes=N","ShowDates=N","ShowParams=Y","cols=1;rows=1")</f>
        <v>10</v>
      </c>
      <c r="O3" s="12"/>
      <c r="P3" s="14"/>
      <c r="Q3" s="14"/>
      <c r="R3" s="14"/>
      <c r="S3" s="14"/>
      <c r="T3" s="14"/>
    </row>
    <row r="4" spans="1:20" ht="14.25">
      <c r="B4" s="1" t="s">
        <v>15</v>
      </c>
      <c r="C4" s="1">
        <f>-26*0.5</f>
        <v>-13</v>
      </c>
      <c r="D4" s="1">
        <v>3793.85</v>
      </c>
      <c r="F4" s="31">
        <f>1.48%*0.5</f>
        <v>7.4000000000000003E-3</v>
      </c>
      <c r="J4" s="30"/>
      <c r="M4" s="11">
        <f>[1]!WSD($B4,"contractmultiplier",$A$2,$A$2,"TradingCalendar=SSE","rptType=1","ShowCodes=N","ShowDates=N","ShowParams=Y","cols=1;rows=1")</f>
        <v>10</v>
      </c>
      <c r="O4" s="12"/>
      <c r="P4" s="14"/>
      <c r="Q4" s="14"/>
      <c r="R4" s="14"/>
      <c r="S4" s="14"/>
      <c r="T4" s="14"/>
    </row>
    <row r="5" spans="1:20" ht="14.25">
      <c r="A5" s="2"/>
      <c r="B5" s="1" t="s">
        <v>16</v>
      </c>
      <c r="C5" s="1">
        <v>-2</v>
      </c>
      <c r="D5" s="1">
        <v>2009.3</v>
      </c>
      <c r="F5" s="31">
        <f>1.51%*2/5</f>
        <v>6.0400000000000002E-3</v>
      </c>
      <c r="G5" s="1">
        <v>1979</v>
      </c>
      <c r="H5" s="2">
        <v>43096</v>
      </c>
      <c r="I5" s="2"/>
      <c r="J5" s="30">
        <f t="shared" ref="J5:J20" si="0">IF(G5="","",C5*(G5-D5)*M5)</f>
        <v>6059.9999999999909</v>
      </c>
      <c r="K5" s="1">
        <f>H5-$A$2</f>
        <v>2</v>
      </c>
      <c r="M5" s="11">
        <f>[1]!WSD($B5,"contractmultiplier",$A$2,$A$2,"TradingCalendar=SSE","rptType=1","ShowCodes=N","ShowDates=N","ShowParams=Y","cols=1;rows=1")</f>
        <v>100</v>
      </c>
      <c r="O5" s="12"/>
      <c r="P5" s="14"/>
      <c r="Q5" s="14"/>
      <c r="R5" s="14"/>
      <c r="S5" s="14"/>
      <c r="T5" s="14"/>
    </row>
    <row r="6" spans="1:20" ht="14.25">
      <c r="A6" s="2"/>
      <c r="B6" s="1" t="s">
        <v>16</v>
      </c>
      <c r="C6" s="1">
        <v>-3</v>
      </c>
      <c r="D6" s="1">
        <v>2009.3</v>
      </c>
      <c r="F6" s="31">
        <f>1.51%*3/5</f>
        <v>9.0600000000000003E-3</v>
      </c>
      <c r="G6" s="1">
        <v>1966.5</v>
      </c>
      <c r="H6" s="2">
        <v>43096</v>
      </c>
      <c r="I6" s="2"/>
      <c r="J6" s="30">
        <f t="shared" si="0"/>
        <v>12839.999999999985</v>
      </c>
      <c r="M6" s="11">
        <f>[1]!WSD($B6,"contractmultiplier",$A$2,$A$2,"TradingCalendar=SSE","rptType=1","ShowCodes=N","ShowDates=N","ShowParams=Y","cols=1;rows=1")</f>
        <v>100</v>
      </c>
      <c r="O6" s="12"/>
      <c r="P6" s="14"/>
      <c r="Q6" s="14"/>
      <c r="R6" s="14"/>
      <c r="S6" s="14"/>
      <c r="T6" s="14"/>
    </row>
    <row r="7" spans="1:20" ht="14.25">
      <c r="A7" s="1" t="s">
        <v>31</v>
      </c>
      <c r="B7" s="1" t="s">
        <v>17</v>
      </c>
      <c r="C7" s="1">
        <v>-31</v>
      </c>
      <c r="D7" s="1">
        <v>6540</v>
      </c>
      <c r="F7" s="31">
        <v>1.52E-2</v>
      </c>
      <c r="G7" s="1">
        <v>6700</v>
      </c>
      <c r="H7" s="2">
        <v>43095</v>
      </c>
      <c r="I7" s="2"/>
      <c r="J7" s="30">
        <f t="shared" si="0"/>
        <v>-24800</v>
      </c>
      <c r="K7" s="1">
        <f t="shared" ref="K7" si="1">H7-$A$2</f>
        <v>1</v>
      </c>
      <c r="M7" s="11">
        <f>[1]!WSD($B7,"contractmultiplier",$A$2,$A$2,"TradingCalendar=SSE","rptType=1","ShowCodes=N","ShowDates=N","ShowParams=Y","cols=1;rows=1")</f>
        <v>5</v>
      </c>
      <c r="O7" s="12"/>
      <c r="P7" s="14"/>
      <c r="Q7" s="14"/>
      <c r="R7" s="14"/>
      <c r="S7" s="14"/>
      <c r="T7" s="14"/>
    </row>
    <row r="8" spans="1:20" ht="14.25">
      <c r="A8" s="2">
        <v>43095</v>
      </c>
      <c r="B8" s="1" t="s">
        <v>18</v>
      </c>
      <c r="C8" s="1">
        <v>-25</v>
      </c>
      <c r="D8" s="1">
        <v>9570</v>
      </c>
      <c r="F8" s="31">
        <v>1.7000000000000001E-2</v>
      </c>
      <c r="G8" s="1">
        <v>9815</v>
      </c>
      <c r="H8" s="2">
        <v>43095</v>
      </c>
      <c r="I8" s="2"/>
      <c r="J8" s="30">
        <f t="shared" si="0"/>
        <v>-30625</v>
      </c>
      <c r="K8" s="1">
        <f>H8-$A$8</f>
        <v>0</v>
      </c>
      <c r="M8" s="11">
        <f>[1]!WSD($B8,"contractmultiplier",$A$2,$A$2,"TradingCalendar=SSE","rptType=1","ShowCodes=N","ShowDates=N","ShowParams=Y","cols=1;rows=1")</f>
        <v>5</v>
      </c>
      <c r="O8" s="12"/>
      <c r="P8" s="14"/>
      <c r="Q8" s="14"/>
      <c r="R8" s="14"/>
      <c r="S8" s="14"/>
      <c r="T8" s="14"/>
    </row>
    <row r="9" spans="1:20" ht="14.25">
      <c r="B9" s="1" t="s">
        <v>19</v>
      </c>
      <c r="C9" s="1">
        <v>8</v>
      </c>
      <c r="D9" s="6">
        <v>14305</v>
      </c>
      <c r="E9" s="6"/>
      <c r="F9" s="31">
        <v>1.7000000000000001E-2</v>
      </c>
      <c r="G9" s="1">
        <v>14160</v>
      </c>
      <c r="H9" s="2">
        <v>43096</v>
      </c>
      <c r="I9" s="2"/>
      <c r="J9" s="30">
        <f t="shared" si="0"/>
        <v>-11600</v>
      </c>
      <c r="M9" s="11">
        <f>[1]!WSD($B9,"contractmultiplier",$A$2,$A$2,"TradingCalendar=SSE","rptType=1","ShowCodes=N","ShowDates=N","ShowParams=Y","cols=1;rows=1")</f>
        <v>10</v>
      </c>
      <c r="O9" s="12"/>
      <c r="P9" s="14"/>
      <c r="Q9" s="14"/>
      <c r="R9" s="14"/>
      <c r="S9" s="14"/>
      <c r="T9" s="14"/>
    </row>
    <row r="10" spans="1:20" ht="14.25">
      <c r="B10" s="1" t="s">
        <v>20</v>
      </c>
      <c r="C10" s="1">
        <v>37</v>
      </c>
      <c r="D10" s="6">
        <v>2900</v>
      </c>
      <c r="E10" s="6"/>
      <c r="F10" s="31">
        <v>1.6E-2</v>
      </c>
      <c r="G10" s="1">
        <v>2891</v>
      </c>
      <c r="H10" s="2">
        <v>43095</v>
      </c>
      <c r="I10" s="2"/>
      <c r="J10" s="30">
        <f t="shared" si="0"/>
        <v>-3330</v>
      </c>
      <c r="K10" s="1">
        <f t="shared" ref="K10:K11" si="2">H10-$A$8</f>
        <v>0</v>
      </c>
      <c r="M10" s="11">
        <f>[1]!WSD($B10,"contractmultiplier",$A$2,$A$2,"TradingCalendar=SSE","rptType=1","ShowCodes=N","ShowDates=N","ShowParams=Y","cols=1;rows=1")</f>
        <v>10</v>
      </c>
    </row>
    <row r="11" spans="1:20" ht="14.25">
      <c r="A11" s="2"/>
      <c r="B11" s="1" t="s">
        <v>20</v>
      </c>
      <c r="C11" s="1">
        <v>-36</v>
      </c>
      <c r="D11" s="1">
        <v>2870</v>
      </c>
      <c r="F11" s="31">
        <v>1.4999999999999999E-2</v>
      </c>
      <c r="G11" s="1">
        <v>2884</v>
      </c>
      <c r="H11" s="2">
        <v>43095</v>
      </c>
      <c r="I11" s="2"/>
      <c r="J11" s="30">
        <f t="shared" si="0"/>
        <v>-5040</v>
      </c>
      <c r="K11" s="1">
        <f t="shared" si="2"/>
        <v>0</v>
      </c>
      <c r="M11" s="11">
        <f>[1]!WSD($B11,"contractmultiplier",$A$2,$A$2,"TradingCalendar=SSE","rptType=1","ShowCodes=N","ShowDates=N","ShowParams=Y","cols=1;rows=1")</f>
        <v>10</v>
      </c>
      <c r="N11">
        <v>9920000</v>
      </c>
      <c r="O11" s="1">
        <f>N11*F11/(D11*M11*0.15)</f>
        <v>34.564459930313589</v>
      </c>
    </row>
    <row r="12" spans="1:20" ht="14.25">
      <c r="A12" s="2">
        <v>43096</v>
      </c>
      <c r="B12" s="1" t="s">
        <v>22</v>
      </c>
      <c r="C12" s="1">
        <v>45</v>
      </c>
      <c r="D12" s="1">
        <v>2121</v>
      </c>
      <c r="F12" s="31">
        <v>1.4999999999999999E-2</v>
      </c>
      <c r="G12" s="1">
        <v>2116</v>
      </c>
      <c r="H12" s="2">
        <v>43096</v>
      </c>
      <c r="I12" s="2"/>
      <c r="J12" s="30">
        <f t="shared" si="0"/>
        <v>-2250</v>
      </c>
      <c r="K12" s="1">
        <f>H12-$A$12</f>
        <v>0</v>
      </c>
      <c r="M12" s="11">
        <f>[1]!WSD($B12,"contractmultiplier",$A$2,$A$2,"TradingCalendar=SSE","rptType=1","ShowCodes=N","ShowDates=N","ShowParams=Y","cols=1;rows=1")</f>
        <v>10</v>
      </c>
      <c r="N12">
        <v>9913478</v>
      </c>
      <c r="O12" s="1">
        <f>N12*F12/(D12*M12*0.15)</f>
        <v>46.739641678453552</v>
      </c>
    </row>
    <row r="13" spans="1:20" ht="14.25">
      <c r="B13" s="1" t="s">
        <v>22</v>
      </c>
      <c r="C13" s="1">
        <v>46</v>
      </c>
      <c r="D13" s="1">
        <v>2124</v>
      </c>
      <c r="F13" s="31">
        <v>1.4999999999999999E-2</v>
      </c>
      <c r="G13" s="1">
        <v>2115</v>
      </c>
      <c r="H13" s="2">
        <v>43096</v>
      </c>
      <c r="I13" s="2"/>
      <c r="J13" s="30">
        <f t="shared" si="0"/>
        <v>-4140</v>
      </c>
      <c r="K13" s="1">
        <f t="shared" ref="K13" si="3">H13-$A$12</f>
        <v>0</v>
      </c>
      <c r="M13" s="11">
        <f>[1]!WSD($B13,"contractmultiplier",$A$2,$A$2,"TradingCalendar=SSE","rptType=1","ShowCodes=N","ShowDates=N","ShowParams=Y","cols=1;rows=1")</f>
        <v>10</v>
      </c>
      <c r="O13" s="1">
        <f t="shared" ref="O13:O16" si="4">N13*F13/(D13*M13*0.15)</f>
        <v>0</v>
      </c>
    </row>
    <row r="14" spans="1:20" ht="14.25">
      <c r="A14" s="2"/>
      <c r="B14" s="1" t="s">
        <v>20</v>
      </c>
      <c r="C14" s="1">
        <v>-35</v>
      </c>
      <c r="D14" s="1">
        <v>2864</v>
      </c>
      <c r="F14" s="31">
        <v>1.4999999999999999E-2</v>
      </c>
      <c r="J14" s="30" t="str">
        <f t="shared" si="0"/>
        <v/>
      </c>
      <c r="M14" s="11">
        <f>[1]!WSD($B14,"contractmultiplier",$A$2,$A$2,"TradingCalendar=SSE","rptType=1","ShowCodes=N","ShowDates=N","ShowParams=Y","cols=1;rows=1")</f>
        <v>10</v>
      </c>
      <c r="O14" s="1">
        <f t="shared" si="4"/>
        <v>0</v>
      </c>
    </row>
    <row r="15" spans="1:20" ht="14.25">
      <c r="A15" s="2"/>
      <c r="B15" s="1" t="s">
        <v>23</v>
      </c>
      <c r="C15" s="1">
        <v>-50</v>
      </c>
      <c r="D15" s="1">
        <v>6585</v>
      </c>
      <c r="F15" s="31">
        <v>2.5000000000000001E-2</v>
      </c>
      <c r="J15" s="30" t="str">
        <f t="shared" si="0"/>
        <v/>
      </c>
      <c r="M15" s="11">
        <f>[1]!WSD($B15,"contractmultiplier",$A$2,$A$2,"TradingCalendar=SSE","rptType=1","ShowCodes=N","ShowDates=N","ShowParams=Y","cols=1;rows=1")</f>
        <v>5</v>
      </c>
      <c r="N15">
        <v>9918000</v>
      </c>
      <c r="O15" s="1">
        <f t="shared" si="4"/>
        <v>50.205011389521637</v>
      </c>
    </row>
    <row r="16" spans="1:20" ht="14.25">
      <c r="B16" s="1" t="s">
        <v>16</v>
      </c>
      <c r="C16" s="1">
        <v>-3</v>
      </c>
      <c r="D16" s="1">
        <v>1977.5</v>
      </c>
      <c r="F16" s="31">
        <v>8.9999999999999993E-3</v>
      </c>
      <c r="J16" s="30" t="str">
        <f t="shared" si="0"/>
        <v/>
      </c>
      <c r="M16" s="11">
        <f>[1]!WSD($B16,"contractmultiplier",$A$2,$A$2,"TradingCalendar=SSE","rptType=1","ShowCodes=N","ShowDates=N","ShowParams=Y","cols=1;rows=1")</f>
        <v>100</v>
      </c>
      <c r="O16" s="1">
        <f t="shared" si="4"/>
        <v>0</v>
      </c>
    </row>
    <row r="17" spans="1:15" ht="14.25">
      <c r="B17" s="1" t="s">
        <v>32</v>
      </c>
      <c r="C17" s="1">
        <v>6</v>
      </c>
      <c r="D17" s="1">
        <v>95370</v>
      </c>
      <c r="F17" s="31">
        <f>2.9%*6/20</f>
        <v>8.6999999999999994E-3</v>
      </c>
      <c r="G17" s="1">
        <v>97250</v>
      </c>
      <c r="H17" s="2">
        <v>43097</v>
      </c>
      <c r="I17" s="2"/>
      <c r="J17" s="30">
        <f t="shared" si="0"/>
        <v>11280</v>
      </c>
      <c r="M17" s="11">
        <f>[1]!WSD($B17,"contractmultiplier",$A$2,$A$2,"TradingCalendar=SSE","rptType=1","ShowCodes=N","ShowDates=N","ShowParams=Y","cols=1;rows=1")</f>
        <v>1</v>
      </c>
      <c r="N17">
        <v>9908000</v>
      </c>
      <c r="O17" s="1">
        <f>N17*F17/(D17*M17*0.15)</f>
        <v>6.0256265072874067</v>
      </c>
    </row>
    <row r="18" spans="1:15" ht="14.25">
      <c r="B18" s="1" t="s">
        <v>32</v>
      </c>
      <c r="C18" s="1">
        <v>14</v>
      </c>
      <c r="D18" s="1">
        <v>95370</v>
      </c>
      <c r="F18" s="31">
        <v>2.9000000000000001E-2</v>
      </c>
      <c r="H18" s="2"/>
      <c r="I18" s="2"/>
      <c r="J18" s="30" t="str">
        <f t="shared" si="0"/>
        <v/>
      </c>
      <c r="M18" s="11">
        <f>[1]!WSD($B18,"contractmultiplier",$A$2,$A$2,"TradingCalendar=SSE","rptType=1","ShowCodes=N","ShowDates=N","ShowParams=Y","cols=1;rows=1")</f>
        <v>1</v>
      </c>
    </row>
    <row r="19" spans="1:15" ht="14.25">
      <c r="A19" s="2">
        <v>43097</v>
      </c>
      <c r="B19" s="1" t="s">
        <v>34</v>
      </c>
      <c r="C19" s="1">
        <v>7</v>
      </c>
      <c r="D19" s="1">
        <v>14215</v>
      </c>
      <c r="F19" s="31">
        <v>1.4E-2</v>
      </c>
      <c r="G19" s="1">
        <v>14140</v>
      </c>
      <c r="H19" s="2">
        <v>43097</v>
      </c>
      <c r="I19" s="2"/>
      <c r="J19" s="30">
        <f t="shared" si="0"/>
        <v>-5250</v>
      </c>
      <c r="K19" s="1">
        <f>H19-$A$19</f>
        <v>0</v>
      </c>
      <c r="M19" s="11">
        <f>[1]!WSD($B19,"contractmultiplier",$A$2,$A$2,"TradingCalendar=SSE","rptType=1","ShowCodes=N","ShowDates=N","ShowParams=Y","cols=1;rows=1")</f>
        <v>10</v>
      </c>
      <c r="O19" s="1">
        <f>N20*F20/(D20*M20*0.15)</f>
        <v>98.879693486590043</v>
      </c>
    </row>
    <row r="20" spans="1:15" ht="14.25">
      <c r="B20" s="1" t="s">
        <v>33</v>
      </c>
      <c r="C20" s="1">
        <v>-98</v>
      </c>
      <c r="D20" s="1">
        <v>2610</v>
      </c>
      <c r="F20" s="31">
        <v>3.9E-2</v>
      </c>
      <c r="G20" s="1">
        <v>2626</v>
      </c>
      <c r="H20" s="2">
        <v>43097</v>
      </c>
      <c r="I20" s="2"/>
      <c r="J20" s="30">
        <f t="shared" si="0"/>
        <v>-15680</v>
      </c>
      <c r="K20" s="1">
        <f>H20-$A$19</f>
        <v>0</v>
      </c>
      <c r="M20" s="11">
        <f>[1]!WSD($B20,"contractmultiplier",$A$2,$A$2,"TradingCalendar=SSE","rptType=1","ShowCodes=N","ShowDates=N","ShowParams=Y","cols=1;rows=1")</f>
        <v>10</v>
      </c>
      <c r="N20">
        <v>9926000</v>
      </c>
      <c r="O20" s="1">
        <f>N21*F21/(D21*M21*0.15)</f>
        <v>59.353241694221374</v>
      </c>
    </row>
    <row r="21" spans="1:15" ht="14.25">
      <c r="B21" s="1" t="s">
        <v>35</v>
      </c>
      <c r="C21" s="1">
        <v>59</v>
      </c>
      <c r="D21" s="1">
        <v>2117</v>
      </c>
      <c r="F21" s="31">
        <v>1.9E-2</v>
      </c>
      <c r="J21" s="30"/>
      <c r="M21" s="11">
        <f>[1]!WSD($B21,"contractmultiplier",$A$2,$A$2,"TradingCalendar=SSE","rptType=1","ShowCodes=N","ShowDates=N","ShowParams=Y","cols=1;rows=1")</f>
        <v>10</v>
      </c>
      <c r="N21">
        <v>9919801</v>
      </c>
    </row>
    <row r="22" spans="1:15" ht="14.25">
      <c r="A22" s="2">
        <v>43098</v>
      </c>
      <c r="B22" s="1" t="s">
        <v>33</v>
      </c>
      <c r="C22" s="1">
        <v>-20</v>
      </c>
      <c r="D22" s="1">
        <v>2618</v>
      </c>
      <c r="G22" s="1">
        <v>2626</v>
      </c>
      <c r="H22" s="2">
        <v>43098</v>
      </c>
      <c r="I22" s="2"/>
      <c r="J22" s="30">
        <f>IF(G22="","",C22*(G22-D22)*M22)</f>
        <v>-1600</v>
      </c>
      <c r="M22" s="11">
        <f>[1]!WSD($B22,"contractmultiplier",$A$2,$A$2,"TradingCalendar=SSE","rptType=1","ShowCodes=N","ShowDates=N","ShowParams=Y","cols=1;rows=1")</f>
        <v>10</v>
      </c>
    </row>
    <row r="23" spans="1:15" ht="14.25">
      <c r="A23" s="2"/>
      <c r="B23" s="1" t="s">
        <v>36</v>
      </c>
      <c r="C23" s="1">
        <f>2+2+2+4+10+10+8+2+2+6+2+6+4+10</f>
        <v>70</v>
      </c>
      <c r="D23" s="1">
        <f>5502*1/7+5504*5/7+5506*1/7</f>
        <v>5504</v>
      </c>
      <c r="J23" s="30"/>
      <c r="M23" s="11">
        <f>[1]!WSD($B23,"contractmultiplier",$A$2,$A$2,"TradingCalendar=SSE","rptType=1","ShowCodes=N","ShowDates=N","ShowParams=Y","cols=1;rows=1")</f>
        <v>5</v>
      </c>
    </row>
    <row r="24" spans="1:15" ht="14.25">
      <c r="A24" s="2"/>
      <c r="B24" s="1" t="s">
        <v>60</v>
      </c>
      <c r="C24" s="1">
        <v>22</v>
      </c>
      <c r="D24" s="1">
        <f>1332*5/22+1331.5*5/22</f>
        <v>605.34090909090912</v>
      </c>
      <c r="J24" s="30"/>
      <c r="M24" s="11">
        <f>[1]!WSD($B24,"contractmultiplier",$A$2,$A$2,"TradingCalendar=SSE","rptType=1","ShowCodes=N","ShowDates=N","ShowParams=Y","cols=1;rows=1")</f>
        <v>60</v>
      </c>
    </row>
    <row r="25" spans="1:15" ht="14.25">
      <c r="A25" s="2">
        <v>43101</v>
      </c>
      <c r="M25" s="11" t="str">
        <f>[1]!WSD($B25,"contractmultiplier",$A$2,$A$2,"TradingCalendar=SSE","rptType=1","ShowCodes=N","ShowDates=N","ShowParams=Y","cols=1;rows=1")</f>
        <v>#NA</v>
      </c>
    </row>
    <row r="26" spans="1:15" ht="14.25">
      <c r="A26" s="2">
        <v>43102</v>
      </c>
      <c r="M26" s="11" t="str">
        <f>[1]!WSD($B26,"contractmultiplier",$A$2,$A$2,"TradingCalendar=SSE","rptType=1","ShowCodes=N","ShowDates=N","ShowParams=Y","cols=1;rows=1")</f>
        <v>#NA</v>
      </c>
    </row>
    <row r="27" spans="1:15" ht="14.25">
      <c r="A27" s="2">
        <v>43103</v>
      </c>
      <c r="M27" s="11" t="str">
        <f>[1]!WSD($B27,"contractmultiplier",$A$2,$A$2,"TradingCalendar=SSE","rptType=1","ShowCodes=N","ShowDates=N","ShowParams=Y","cols=1;rows=1")</f>
        <v>#NA</v>
      </c>
    </row>
    <row r="28" spans="1:15" ht="14.25">
      <c r="A28" s="2">
        <v>43104</v>
      </c>
      <c r="M28" s="11" t="str">
        <f>[1]!WSD($B28,"contractmultiplier",$A$2,$A$2,"TradingCalendar=SSE","rptType=1","ShowCodes=N","ShowDates=N","ShowParams=Y","cols=1;rows=1")</f>
        <v>#NA</v>
      </c>
    </row>
    <row r="29" spans="1:15" ht="14.25">
      <c r="A29" s="2">
        <v>43105</v>
      </c>
      <c r="M29" s="11" t="str">
        <f>[1]!WSD($B29,"contractmultiplier",$A$2,$A$2,"TradingCalendar=SSE","rptType=1","ShowCodes=N","ShowDates=N","ShowParams=Y","cols=1;rows=1")</f>
        <v>#NA</v>
      </c>
    </row>
    <row r="30" spans="1:15" ht="14.25">
      <c r="A30" s="2">
        <v>43108</v>
      </c>
      <c r="M30" s="11" t="str">
        <f>[1]!WSD($B30,"contractmultiplier",$A$2,$A$2,"TradingCalendar=SSE","rptType=1","ShowCodes=N","ShowDates=N","ShowParams=Y","cols=1;rows=1")</f>
        <v>#NA</v>
      </c>
    </row>
    <row r="31" spans="1:15" ht="14.25">
      <c r="A31" s="2">
        <v>43109</v>
      </c>
      <c r="M31" s="11" t="str">
        <f>[1]!WSD($B31,"contractmultiplier",$A$2,$A$2,"TradingCalendar=SSE","rptType=1","ShowCodes=N","ShowDates=N","ShowParams=Y","cols=1;rows=1")</f>
        <v>#NA</v>
      </c>
    </row>
    <row r="32" spans="1:15" ht="14.25">
      <c r="A32" s="2">
        <v>43110</v>
      </c>
      <c r="B32" s="1" t="s">
        <v>100</v>
      </c>
      <c r="C32" s="1">
        <v>-16</v>
      </c>
      <c r="D32" s="1">
        <v>5336</v>
      </c>
      <c r="E32" s="1" t="s">
        <v>101</v>
      </c>
      <c r="F32" s="31" t="s">
        <v>101</v>
      </c>
      <c r="G32" s="1">
        <v>5228</v>
      </c>
      <c r="H32" s="2">
        <v>43124</v>
      </c>
      <c r="I32" s="40">
        <v>0.89930555555555547</v>
      </c>
      <c r="J32" s="30">
        <f>IF(G32="","",C32*(G32-D32)*M32)</f>
        <v>17280</v>
      </c>
      <c r="M32" s="11">
        <f>[1]!WSD($B32,"contractmultiplier",$A$2,$A$2,"TradingCalendar=SSE","rptType=1","ShowCodes=N","ShowDates=N","ShowParams=Y","cols=1;rows=1")</f>
        <v>10</v>
      </c>
    </row>
    <row r="33" spans="1:15" ht="14.25">
      <c r="A33" s="33">
        <v>43111</v>
      </c>
      <c r="B33" s="3"/>
      <c r="C33" s="3"/>
      <c r="D33" s="3"/>
      <c r="E33" s="3"/>
      <c r="F33" s="32"/>
      <c r="G33" s="3"/>
      <c r="H33" s="3"/>
      <c r="I33" s="3"/>
      <c r="J33" s="30" t="str">
        <f t="shared" ref="J33:J57" si="5">IF(G33="","",C33*(G33-D33)*M33)</f>
        <v/>
      </c>
      <c r="K33" s="3"/>
      <c r="L33" s="4"/>
      <c r="M33" s="11" t="str">
        <f>[1]!WSD($B33,"contractmultiplier",$A$2,$A$2,"TradingCalendar=SSE","rptType=1","ShowCodes=N","ShowDates=N","ShowParams=Y","cols=1;rows=1")</f>
        <v>#NA</v>
      </c>
      <c r="N33" s="36"/>
      <c r="O33" s="24"/>
    </row>
    <row r="34" spans="1:15" ht="14.25">
      <c r="A34" s="35">
        <v>43112</v>
      </c>
      <c r="B34" s="24" t="s">
        <v>47</v>
      </c>
      <c r="C34" s="24">
        <v>-30</v>
      </c>
      <c r="D34" s="24">
        <f>10/30*3782+20/30*3781</f>
        <v>3781.333333333333</v>
      </c>
      <c r="E34" s="24"/>
      <c r="F34" s="34"/>
      <c r="G34" s="24">
        <v>3834</v>
      </c>
      <c r="H34" s="35">
        <v>43117</v>
      </c>
      <c r="I34" s="24"/>
      <c r="J34" s="30">
        <f t="shared" si="5"/>
        <v>-15800.000000000091</v>
      </c>
      <c r="K34" s="24"/>
      <c r="L34" s="36"/>
      <c r="M34" s="11">
        <f>[1]!WSD($B34,"contractmultiplier",$A$2,$A$2,"TradingCalendar=SSE","rptType=1","ShowCodes=N","ShowDates=N","ShowParams=Y","cols=1;rows=1")</f>
        <v>10</v>
      </c>
      <c r="N34" s="36"/>
      <c r="O34" s="24"/>
    </row>
    <row r="35" spans="1:15" ht="15" thickBot="1">
      <c r="A35" s="52"/>
      <c r="B35" s="48" t="s">
        <v>55</v>
      </c>
      <c r="C35" s="48">
        <v>40</v>
      </c>
      <c r="D35" s="48">
        <v>6795</v>
      </c>
      <c r="E35" s="48"/>
      <c r="F35" s="50"/>
      <c r="G35" s="48">
        <v>6640</v>
      </c>
      <c r="H35" s="52">
        <v>43117</v>
      </c>
      <c r="I35" s="48"/>
      <c r="J35" s="54">
        <f t="shared" si="5"/>
        <v>-31000</v>
      </c>
      <c r="K35" s="48"/>
      <c r="L35" s="51"/>
      <c r="M35" s="11">
        <f>[1]!WSD($B35,"contractmultiplier",$A$2,$A$2,"TradingCalendar=SSE","rptType=1","ShowCodes=N","ShowDates=N","ShowParams=Y","cols=1;rows=1")</f>
        <v>5</v>
      </c>
      <c r="N35" s="36"/>
      <c r="O35" s="24"/>
    </row>
    <row r="36" spans="1:15" ht="14.25">
      <c r="A36" s="2">
        <v>43115</v>
      </c>
      <c r="B36" s="37" t="s">
        <v>40</v>
      </c>
      <c r="C36" s="1">
        <v>-10</v>
      </c>
      <c r="D36" s="1">
        <v>54520</v>
      </c>
      <c r="G36" s="1">
        <f>54520*0.4+55030*0.6</f>
        <v>54826</v>
      </c>
      <c r="H36" s="2">
        <v>43115</v>
      </c>
      <c r="I36" s="2"/>
      <c r="J36" s="30">
        <f t="shared" si="5"/>
        <v>-15300</v>
      </c>
      <c r="M36" s="11">
        <f>[1]!WSD($B36,"contractmultiplier",$A$2,$A$2,"TradingCalendar=SSE","rptType=1","ShowCodes=N","ShowDates=N","ShowParams=Y","cols=1;rows=1")</f>
        <v>5</v>
      </c>
      <c r="N36" s="36"/>
      <c r="O36" s="24"/>
    </row>
    <row r="37" spans="1:15" ht="14.25">
      <c r="B37" s="37" t="s">
        <v>42</v>
      </c>
      <c r="C37" s="1">
        <f>2+18+4+4+4+4+4+2+2+2+2+2</f>
        <v>50</v>
      </c>
      <c r="D37" s="1">
        <v>1491</v>
      </c>
      <c r="G37" s="1">
        <v>1472</v>
      </c>
      <c r="H37" s="2">
        <v>43117</v>
      </c>
      <c r="I37" s="2"/>
      <c r="J37" s="30">
        <f t="shared" si="5"/>
        <v>-19000</v>
      </c>
      <c r="M37" s="11">
        <f>[1]!WSD($B37,"contractmultiplier",$A$2,$A$2,"TradingCalendar=SSE","rptType=1","ShowCodes=N","ShowDates=N","ShowParams=Y","cols=1;rows=1")</f>
        <v>20</v>
      </c>
      <c r="N37" s="36"/>
      <c r="O37" s="24"/>
    </row>
    <row r="38" spans="1:15" ht="14.25">
      <c r="B38" s="28" t="s">
        <v>43</v>
      </c>
      <c r="C38" s="3">
        <v>30</v>
      </c>
      <c r="D38" s="3">
        <v>633</v>
      </c>
      <c r="E38" s="3"/>
      <c r="F38" s="32"/>
      <c r="G38" s="3">
        <v>629</v>
      </c>
      <c r="H38" s="33">
        <v>43115</v>
      </c>
      <c r="I38" s="33"/>
      <c r="J38" s="28">
        <f t="shared" si="5"/>
        <v>-12000</v>
      </c>
      <c r="K38" s="3"/>
      <c r="L38" s="4"/>
      <c r="M38" s="11">
        <f>[1]!WSD($B38,"contractmultiplier",$A$2,$A$2,"TradingCalendar=SSE","rptType=1","ShowCodes=N","ShowDates=N","ShowParams=Y","cols=1;rows=1")</f>
        <v>100</v>
      </c>
      <c r="N38" s="36"/>
      <c r="O38" s="24"/>
    </row>
    <row r="39" spans="1:15" ht="14.25">
      <c r="B39" s="37" t="s">
        <v>36</v>
      </c>
      <c r="C39" s="1">
        <v>76</v>
      </c>
      <c r="D39" s="1">
        <v>5680</v>
      </c>
      <c r="F39" s="31">
        <v>3.3000000000000002E-2</v>
      </c>
      <c r="G39" s="1">
        <v>5624</v>
      </c>
      <c r="H39" s="2">
        <v>43117</v>
      </c>
      <c r="I39" s="2"/>
      <c r="J39" s="30">
        <f t="shared" si="5"/>
        <v>-21280</v>
      </c>
      <c r="M39" s="11">
        <f>[1]!WSD($B39,"contractmultiplier",$A$2,$A$2,"TradingCalendar=SSE","rptType=1","ShowCodes=N","ShowDates=N","ShowParams=Y","cols=1;rows=1")</f>
        <v>5</v>
      </c>
      <c r="N39" s="36">
        <v>9900000</v>
      </c>
      <c r="O39" s="24">
        <f t="shared" ref="O39:O44" si="6">N39*F39/(D39*M39*0.15)</f>
        <v>76.690140845070417</v>
      </c>
    </row>
    <row r="40" spans="1:15" ht="14.25">
      <c r="B40" s="37" t="s">
        <v>37</v>
      </c>
      <c r="C40" s="1">
        <v>64</v>
      </c>
      <c r="D40" s="1">
        <v>2271</v>
      </c>
      <c r="F40" s="31">
        <v>2.1999999999999999E-2</v>
      </c>
      <c r="G40" s="1">
        <v>2265</v>
      </c>
      <c r="H40" s="2">
        <v>43115</v>
      </c>
      <c r="I40" s="2"/>
      <c r="J40" s="30">
        <f t="shared" si="5"/>
        <v>-3840</v>
      </c>
      <c r="M40" s="11">
        <f>[1]!WSD($B40,"contractmultiplier",$A$2,$A$2,"TradingCalendar=SSE","rptType=1","ShowCodes=N","ShowDates=N","ShowParams=Y","cols=1;rows=1")</f>
        <v>10</v>
      </c>
      <c r="N40" s="36">
        <v>9900000</v>
      </c>
      <c r="O40" s="24">
        <f t="shared" si="6"/>
        <v>63.936591809775429</v>
      </c>
    </row>
    <row r="41" spans="1:15" ht="14.25">
      <c r="B41" s="37" t="s">
        <v>35</v>
      </c>
      <c r="C41" s="1">
        <v>89</v>
      </c>
      <c r="D41" s="1">
        <v>2150</v>
      </c>
      <c r="F41" s="31">
        <v>2.9000000000000001E-2</v>
      </c>
      <c r="G41" s="1">
        <v>2137</v>
      </c>
      <c r="H41" s="2">
        <v>43115</v>
      </c>
      <c r="I41" s="2"/>
      <c r="J41" s="30">
        <f t="shared" si="5"/>
        <v>-11570</v>
      </c>
      <c r="K41" s="1">
        <f>H41-$A$36</f>
        <v>0</v>
      </c>
      <c r="M41" s="11">
        <f>[1]!WSD($B41,"contractmultiplier",$A$2,$A$2,"TradingCalendar=SSE","rptType=1","ShowCodes=N","ShowDates=N","ShowParams=Y","cols=1;rows=1")</f>
        <v>10</v>
      </c>
      <c r="N41" s="36">
        <v>9890000</v>
      </c>
      <c r="O41" s="24">
        <f t="shared" si="6"/>
        <v>88.933333333333337</v>
      </c>
    </row>
    <row r="42" spans="1:15" ht="14.25">
      <c r="B42" s="37" t="s">
        <v>32</v>
      </c>
      <c r="C42" s="1">
        <v>19</v>
      </c>
      <c r="D42" s="1">
        <v>99620</v>
      </c>
      <c r="F42" s="31">
        <v>2.9000000000000001E-2</v>
      </c>
      <c r="G42" s="1">
        <v>97180</v>
      </c>
      <c r="H42" s="2">
        <v>43117</v>
      </c>
      <c r="I42" s="2"/>
      <c r="J42" s="30">
        <f t="shared" si="5"/>
        <v>-46360</v>
      </c>
      <c r="M42" s="11">
        <f>[1]!WSD($B42,"contractmultiplier",$A$2,$A$2,"TradingCalendar=SSE","rptType=1","ShowCodes=N","ShowDates=N","ShowParams=Y","cols=1;rows=1")</f>
        <v>1</v>
      </c>
      <c r="N42" s="36">
        <v>9900000</v>
      </c>
      <c r="O42" s="24">
        <f t="shared" si="6"/>
        <v>19.213009435856254</v>
      </c>
    </row>
    <row r="43" spans="1:15" ht="14.25">
      <c r="B43" s="37" t="s">
        <v>38</v>
      </c>
      <c r="C43" s="1">
        <v>1</v>
      </c>
      <c r="D43" s="1">
        <v>6293.6</v>
      </c>
      <c r="F43" s="31">
        <v>2.8000000000000001E-2</v>
      </c>
      <c r="G43" s="1">
        <v>6196</v>
      </c>
      <c r="H43" s="2">
        <v>43115</v>
      </c>
      <c r="I43" s="2"/>
      <c r="J43" s="30">
        <f t="shared" si="5"/>
        <v>-19520.000000000073</v>
      </c>
      <c r="M43" s="11">
        <f>[1]!WSD($B43,"contractmultiplier",$A$2,$A$2,"TradingCalendar=SSE","rptType=1","ShowCodes=N","ShowDates=N","ShowParams=Y","cols=1;rows=1")</f>
        <v>200</v>
      </c>
      <c r="N43" s="36">
        <v>9900000</v>
      </c>
      <c r="O43" s="24">
        <f t="shared" si="6"/>
        <v>1.4681581288928436</v>
      </c>
    </row>
    <row r="44" spans="1:15" ht="14.25">
      <c r="A44" s="24"/>
      <c r="B44" s="30" t="s">
        <v>39</v>
      </c>
      <c r="C44" s="24">
        <v>-51</v>
      </c>
      <c r="D44" s="24">
        <v>6444</v>
      </c>
      <c r="E44" s="24"/>
      <c r="F44" s="34">
        <v>2.5000000000000001E-2</v>
      </c>
      <c r="G44" s="24">
        <v>6472</v>
      </c>
      <c r="H44" s="35">
        <v>43115</v>
      </c>
      <c r="I44" s="35"/>
      <c r="J44" s="30">
        <f t="shared" si="5"/>
        <v>-7140</v>
      </c>
      <c r="K44" s="24"/>
      <c r="L44" s="36"/>
      <c r="M44" s="11">
        <f>[1]!WSD($B44,"contractmultiplier",$A$2,$A$2,"TradingCalendar=SSE","rptType=1","ShowCodes=N","ShowDates=N","ShowParams=Y","cols=1;rows=1")</f>
        <v>5</v>
      </c>
      <c r="N44" s="36">
        <v>9900000</v>
      </c>
      <c r="O44" s="24">
        <f t="shared" si="6"/>
        <v>51.21042830540037</v>
      </c>
    </row>
    <row r="45" spans="1:15" ht="14.25">
      <c r="A45" s="3"/>
      <c r="B45" s="3" t="s">
        <v>40</v>
      </c>
      <c r="C45" s="3">
        <v>6</v>
      </c>
      <c r="D45" s="3">
        <v>55030</v>
      </c>
      <c r="E45" s="3"/>
      <c r="F45" s="32">
        <v>2.5000000000000001E-2</v>
      </c>
      <c r="G45" s="3">
        <v>54950</v>
      </c>
      <c r="H45" s="33">
        <v>43116</v>
      </c>
      <c r="I45" s="33"/>
      <c r="J45" s="28">
        <f t="shared" si="5"/>
        <v>-2400</v>
      </c>
      <c r="K45" s="3"/>
      <c r="L45" s="4"/>
      <c r="M45" s="11">
        <f>[1]!WSD($B45,"contractmultiplier",$A$2,$A$2,"TradingCalendar=SSE","rptType=1","ShowCodes=N","ShowDates=N","ShowParams=Y","cols=1;rows=1")</f>
        <v>5</v>
      </c>
      <c r="N45" s="36"/>
      <c r="O45" s="24"/>
    </row>
    <row r="46" spans="1:15" ht="14.25">
      <c r="A46" s="2">
        <v>43116</v>
      </c>
      <c r="B46" s="1" t="s">
        <v>37</v>
      </c>
      <c r="C46" s="1">
        <v>72</v>
      </c>
      <c r="D46" s="1">
        <v>2269</v>
      </c>
      <c r="F46" s="31">
        <v>2.5000000000000001E-2</v>
      </c>
      <c r="G46" s="1">
        <v>2270</v>
      </c>
      <c r="H46" s="2">
        <v>43119</v>
      </c>
      <c r="I46" s="40">
        <v>0.8847222222222223</v>
      </c>
      <c r="J46" s="30">
        <f t="shared" si="5"/>
        <v>720</v>
      </c>
      <c r="M46" s="11">
        <f>[1]!WSD($B46,"contractmultiplier",$A$2,$A$2,"TradingCalendar=SSE","rptType=1","ShowCodes=N","ShowDates=N","ShowParams=Y","cols=1;rows=1")</f>
        <v>10</v>
      </c>
      <c r="N46" s="36"/>
      <c r="O46" s="24"/>
    </row>
    <row r="47" spans="1:15" ht="14.25">
      <c r="B47" s="1" t="s">
        <v>41</v>
      </c>
      <c r="C47" s="1">
        <v>32</v>
      </c>
      <c r="D47" s="1">
        <v>3927</v>
      </c>
      <c r="F47" s="31">
        <v>2.9000000000000001E-2</v>
      </c>
      <c r="G47" s="1">
        <v>3879</v>
      </c>
      <c r="H47" s="2">
        <v>43117</v>
      </c>
      <c r="I47" s="2"/>
      <c r="J47" s="30">
        <f t="shared" si="5"/>
        <v>-23040</v>
      </c>
      <c r="M47" s="11">
        <f>[1]!WSD($B47,"contractmultiplier",$A$2,$A$2,"TradingCalendar=SSE","rptType=1","ShowCodes=N","ShowDates=N","ShowParams=Y","cols=1;rows=1")</f>
        <v>15</v>
      </c>
      <c r="N47" s="36"/>
      <c r="O47" s="24"/>
    </row>
    <row r="48" spans="1:15" ht="14.25">
      <c r="A48" s="3"/>
      <c r="B48" s="3" t="s">
        <v>40</v>
      </c>
      <c r="C48" s="3">
        <v>-5</v>
      </c>
      <c r="D48" s="3">
        <v>54880</v>
      </c>
      <c r="E48" s="3"/>
      <c r="F48" s="32">
        <v>2.3E-2</v>
      </c>
      <c r="G48" s="3"/>
      <c r="H48" s="3"/>
      <c r="I48" s="3"/>
      <c r="J48" s="28" t="str">
        <f t="shared" si="5"/>
        <v/>
      </c>
      <c r="K48" s="3"/>
      <c r="L48" s="4"/>
      <c r="M48" s="11">
        <f>[1]!WSD($B48,"contractmultiplier",$A$2,$A$2,"TradingCalendar=SSE","rptType=1","ShowCodes=N","ShowDates=N","ShowParams=Y","cols=1;rows=1")</f>
        <v>5</v>
      </c>
      <c r="N48" s="36"/>
      <c r="O48" s="24"/>
    </row>
    <row r="49" spans="1:15" ht="14.25">
      <c r="A49" s="2">
        <v>43117</v>
      </c>
      <c r="B49" s="1" t="s">
        <v>41</v>
      </c>
      <c r="C49" s="1">
        <v>-17</v>
      </c>
      <c r="D49" s="1">
        <v>3880</v>
      </c>
      <c r="G49" s="1">
        <v>3895</v>
      </c>
      <c r="H49" s="2">
        <v>43117</v>
      </c>
      <c r="I49" s="2"/>
      <c r="J49" s="30">
        <f t="shared" si="5"/>
        <v>-3825</v>
      </c>
      <c r="M49" s="11">
        <f>[1]!WSD($B49,"contractmultiplier",$A$2,$A$2,"TradingCalendar=SSE","rptType=1","ShowCodes=N","ShowDates=N","ShowParams=Y","cols=1;rows=1")</f>
        <v>15</v>
      </c>
      <c r="N49" s="36"/>
      <c r="O49" s="24"/>
    </row>
    <row r="50" spans="1:15" ht="14.25">
      <c r="B50" s="1" t="s">
        <v>41</v>
      </c>
      <c r="C50" s="1">
        <v>-18</v>
      </c>
      <c r="D50" s="1">
        <v>3886</v>
      </c>
      <c r="J50" s="30" t="str">
        <f t="shared" si="5"/>
        <v/>
      </c>
      <c r="M50" s="11">
        <f>[1]!WSD($B50,"contractmultiplier",$A$2,$A$2,"TradingCalendar=SSE","rptType=1","ShowCodes=N","ShowDates=N","ShowParams=Y","cols=1;rows=1")</f>
        <v>15</v>
      </c>
      <c r="N50" s="36"/>
      <c r="O50" s="24"/>
    </row>
    <row r="51" spans="1:15" ht="14.25">
      <c r="B51" s="1" t="s">
        <v>44</v>
      </c>
      <c r="C51" s="1">
        <v>7</v>
      </c>
      <c r="D51" s="1">
        <v>281.64999999999998</v>
      </c>
      <c r="G51" s="1">
        <v>281.14999999999998</v>
      </c>
      <c r="H51" s="2">
        <v>43117</v>
      </c>
      <c r="J51" s="30">
        <f t="shared" si="5"/>
        <v>-3500</v>
      </c>
      <c r="M51" s="11">
        <f>[1]!WSD($B51,"contractmultiplier",$A$2,$A$2,"TradingCalendar=SSE","rptType=1","ShowCodes=N","ShowDates=N","ShowParams=Y","cols=1;rows=1")</f>
        <v>1000</v>
      </c>
      <c r="N51" s="36"/>
      <c r="O51" s="24"/>
    </row>
    <row r="52" spans="1:15" ht="14.25">
      <c r="B52" s="1" t="s">
        <v>45</v>
      </c>
      <c r="C52" s="1">
        <v>9</v>
      </c>
      <c r="D52" s="1">
        <v>2732</v>
      </c>
      <c r="G52" s="1">
        <v>2726</v>
      </c>
      <c r="H52" s="2">
        <v>43117</v>
      </c>
      <c r="J52" s="30">
        <f t="shared" si="5"/>
        <v>-540</v>
      </c>
      <c r="M52" s="11">
        <f>[1]!WSD($B52,"contractmultiplier",$A$2,$A$2,"TradingCalendar=SSE","rptType=1","ShowCodes=N","ShowDates=N","ShowParams=Y","cols=1;rows=1")</f>
        <v>10</v>
      </c>
    </row>
    <row r="53" spans="1:15" ht="14.25">
      <c r="B53" s="1" t="s">
        <v>45</v>
      </c>
      <c r="C53" s="1">
        <v>3</v>
      </c>
      <c r="D53" s="1">
        <v>2738</v>
      </c>
      <c r="G53" s="1">
        <v>2734</v>
      </c>
      <c r="H53" s="2">
        <v>43117</v>
      </c>
      <c r="J53" s="30">
        <f t="shared" si="5"/>
        <v>-120</v>
      </c>
      <c r="M53" s="11">
        <f>[1]!WSD($B53,"contractmultiplier",$A$2,$A$2,"TradingCalendar=SSE","rptType=1","ShowCodes=N","ShowDates=N","ShowParams=Y","cols=1;rows=1")</f>
        <v>10</v>
      </c>
    </row>
    <row r="54" spans="1:15" ht="14.25">
      <c r="B54" s="1" t="s">
        <v>46</v>
      </c>
      <c r="C54" s="1">
        <v>10</v>
      </c>
      <c r="D54" s="1">
        <v>2768</v>
      </c>
      <c r="G54" s="1">
        <v>2764</v>
      </c>
      <c r="H54" s="2">
        <v>43118</v>
      </c>
      <c r="I54" s="40">
        <v>0.8881944444444444</v>
      </c>
      <c r="J54" s="30">
        <f t="shared" si="5"/>
        <v>-400</v>
      </c>
      <c r="M54" s="11">
        <f>[1]!WSD($B54,"contractmultiplier",$A$2,$A$2,"TradingCalendar=SSE","rptType=1","ShowCodes=N","ShowDates=N","ShowParams=Y","cols=1;rows=1")</f>
        <v>10</v>
      </c>
    </row>
    <row r="55" spans="1:15" ht="14.25">
      <c r="B55" s="1" t="s">
        <v>47</v>
      </c>
      <c r="C55" s="1">
        <v>-31</v>
      </c>
      <c r="D55" s="1">
        <f>3803*1/31+3805*30/31</f>
        <v>3804.9354838709678</v>
      </c>
      <c r="G55" s="1">
        <v>3826</v>
      </c>
      <c r="H55" s="2">
        <v>43117</v>
      </c>
      <c r="J55" s="30">
        <f t="shared" si="5"/>
        <v>-6529.9999999999818</v>
      </c>
      <c r="M55" s="11">
        <f>[1]!WSD($B55,"contractmultiplier",$A$2,$A$2,"TradingCalendar=SSE","rptType=1","ShowCodes=N","ShowDates=N","ShowParams=Y","cols=1;rows=1")</f>
        <v>10</v>
      </c>
    </row>
    <row r="56" spans="1:15" ht="14.25">
      <c r="B56" s="1" t="s">
        <v>48</v>
      </c>
      <c r="C56" s="1">
        <v>-7</v>
      </c>
      <c r="D56" s="1">
        <v>14200</v>
      </c>
      <c r="G56" s="1">
        <v>14240</v>
      </c>
      <c r="H56" s="2">
        <v>43117</v>
      </c>
      <c r="J56" s="30">
        <f t="shared" si="5"/>
        <v>-2800</v>
      </c>
      <c r="M56" s="11">
        <f>[1]!WSD($B56,"contractmultiplier",$A$2,$A$2,"TradingCalendar=SSE","rptType=1","ShowCodes=N","ShowDates=N","ShowParams=Y","cols=1;rows=1")</f>
        <v>10</v>
      </c>
    </row>
    <row r="57" spans="1:15" ht="14.25">
      <c r="B57" s="1" t="s">
        <v>48</v>
      </c>
      <c r="C57" s="1">
        <v>6</v>
      </c>
      <c r="D57" s="1">
        <f>14240*1/6+14245*5/6</f>
        <v>14244.166666666668</v>
      </c>
      <c r="G57" s="1">
        <v>14215</v>
      </c>
      <c r="H57" s="2">
        <v>43117</v>
      </c>
      <c r="J57" s="30">
        <f t="shared" si="5"/>
        <v>-1750.0000000000728</v>
      </c>
      <c r="M57" s="11">
        <f>[1]!WSD($B57,"contractmultiplier",$A$2,$A$2,"TradingCalendar=SSE","rptType=1","ShowCodes=N","ShowDates=N","ShowParams=Y","cols=1;rows=1")</f>
        <v>10</v>
      </c>
    </row>
    <row r="58" spans="1:15" ht="14.25">
      <c r="B58" s="1" t="s">
        <v>48</v>
      </c>
      <c r="C58" s="1">
        <v>6</v>
      </c>
      <c r="D58" s="1">
        <f>14225*1/6+14230*5/6</f>
        <v>14229.166666666668</v>
      </c>
      <c r="G58" s="1">
        <v>14190</v>
      </c>
      <c r="H58" s="2">
        <v>43117</v>
      </c>
      <c r="J58" s="30">
        <f t="shared" ref="J58:J77" si="7">IF(G58="","",C58*(G58-D58)*M58)</f>
        <v>-2350.0000000000728</v>
      </c>
      <c r="M58" s="11">
        <f>[1]!WSD($B58,"contractmultiplier",$A$2,$A$2,"TradingCalendar=SSE","rptType=1","ShowCodes=N","ShowDates=N","ShowParams=Y","cols=1;rows=1")</f>
        <v>10</v>
      </c>
    </row>
    <row r="59" spans="1:15" ht="14.25">
      <c r="B59" s="1" t="s">
        <v>48</v>
      </c>
      <c r="C59" s="1">
        <v>-16</v>
      </c>
      <c r="D59" s="1">
        <f>14125*1/16+14130*15/16</f>
        <v>14129.6875</v>
      </c>
      <c r="G59" s="1">
        <v>14175</v>
      </c>
      <c r="H59" s="2">
        <v>43118</v>
      </c>
      <c r="I59" s="40">
        <v>0.37847222222222227</v>
      </c>
      <c r="J59" s="30">
        <f t="shared" si="7"/>
        <v>-7250</v>
      </c>
      <c r="M59" s="11">
        <f>[1]!WSD($B59,"contractmultiplier",$A$2,$A$2,"TradingCalendar=SSE","rptType=1","ShowCodes=N","ShowDates=N","ShowParams=Y","cols=1;rows=1")</f>
        <v>10</v>
      </c>
    </row>
    <row r="60" spans="1:15" ht="14.25">
      <c r="B60" s="1" t="s">
        <v>42</v>
      </c>
      <c r="C60" s="1">
        <v>61</v>
      </c>
      <c r="D60" s="1">
        <v>1478</v>
      </c>
      <c r="G60" s="1">
        <v>1477</v>
      </c>
      <c r="H60" s="2">
        <v>43118</v>
      </c>
      <c r="I60" s="40">
        <v>0.8881944444444444</v>
      </c>
      <c r="J60" s="30">
        <f t="shared" si="7"/>
        <v>-1220</v>
      </c>
      <c r="M60" s="11">
        <f>[1]!WSD($B60,"contractmultiplier",$A$2,$A$2,"TradingCalendar=SSE","rptType=1","ShowCodes=N","ShowDates=N","ShowParams=Y","cols=1;rows=1")</f>
        <v>20</v>
      </c>
    </row>
    <row r="61" spans="1:15" ht="14.25">
      <c r="B61" s="1" t="s">
        <v>49</v>
      </c>
      <c r="C61" s="1">
        <v>-16</v>
      </c>
      <c r="D61" s="1">
        <f>2827*1/16+2825*15/16</f>
        <v>2825.125</v>
      </c>
      <c r="G61" s="1">
        <v>2857</v>
      </c>
      <c r="H61" s="2">
        <v>43123</v>
      </c>
      <c r="I61" s="40">
        <v>0.4680555555555555</v>
      </c>
      <c r="J61" s="30">
        <f t="shared" si="7"/>
        <v>-5100</v>
      </c>
      <c r="M61" s="11">
        <f>[1]!WSD($B61,"contractmultiplier",$A$2,$A$2,"TradingCalendar=SSE","rptType=1","ShowCodes=N","ShowDates=N","ShowParams=Y","cols=1;rows=1")</f>
        <v>10</v>
      </c>
    </row>
    <row r="62" spans="1:15" ht="14.25">
      <c r="B62" s="1" t="s">
        <v>52</v>
      </c>
      <c r="C62" s="1">
        <f>1+6+114+12</f>
        <v>133</v>
      </c>
      <c r="D62" s="1">
        <v>2132</v>
      </c>
      <c r="G62" s="1">
        <v>2123</v>
      </c>
      <c r="H62" s="2">
        <v>43117</v>
      </c>
      <c r="J62" s="30">
        <f t="shared" si="7"/>
        <v>-11970</v>
      </c>
      <c r="M62" s="11">
        <f>[1]!WSD($B62,"contractmultiplier",$A$2,$A$2,"TradingCalendar=SSE","rptType=1","ShowCodes=N","ShowDates=N","ShowParams=Y","cols=1;rows=1")</f>
        <v>10</v>
      </c>
    </row>
    <row r="63" spans="1:15" ht="14.25">
      <c r="B63" s="1" t="s">
        <v>52</v>
      </c>
      <c r="C63" s="1">
        <v>-6</v>
      </c>
      <c r="D63" s="1">
        <v>2122</v>
      </c>
      <c r="J63" s="30" t="str">
        <f t="shared" si="7"/>
        <v/>
      </c>
      <c r="M63" s="11">
        <f>[1]!WSD($B63,"contractmultiplier",$A$2,$A$2,"TradingCalendar=SSE","rptType=1","ShowCodes=N","ShowDates=N","ShowParams=Y","cols=1;rows=1")</f>
        <v>10</v>
      </c>
    </row>
    <row r="64" spans="1:15" ht="14.25">
      <c r="B64" s="1" t="s">
        <v>53</v>
      </c>
      <c r="C64" s="1">
        <v>-33</v>
      </c>
      <c r="D64" s="1">
        <v>2761</v>
      </c>
      <c r="G64" s="1">
        <v>2762</v>
      </c>
      <c r="H64" s="2">
        <v>43117</v>
      </c>
      <c r="J64" s="30">
        <f t="shared" si="7"/>
        <v>-330</v>
      </c>
      <c r="M64" s="11">
        <f>[1]!WSD($B64,"contractmultiplier",$A$2,$A$2,"TradingCalendar=SSE","rptType=1","ShowCodes=N","ShowDates=N","ShowParams=Y","cols=1;rows=1")</f>
        <v>10</v>
      </c>
    </row>
    <row r="65" spans="1:15" ht="14.25">
      <c r="B65" s="1" t="s">
        <v>54</v>
      </c>
      <c r="C65" s="1">
        <v>36</v>
      </c>
      <c r="D65" s="1">
        <f>9443*1/36+9438*35/36</f>
        <v>9438.1388888888887</v>
      </c>
      <c r="G65" s="1">
        <f>9421*2/36+9422*34/36</f>
        <v>9421.9444444444434</v>
      </c>
      <c r="H65" s="2">
        <v>43117</v>
      </c>
      <c r="J65" s="30">
        <f t="shared" si="7"/>
        <v>-2915.0000000001455</v>
      </c>
      <c r="M65" s="11">
        <f>[1]!WSD($B65,"contractmultiplier",$A$2,$A$2,"TradingCalendar=SSE","rptType=1","ShowCodes=N","ShowDates=N","ShowParams=Y","cols=1;rows=1")</f>
        <v>5</v>
      </c>
    </row>
    <row r="66" spans="1:15" ht="14.25">
      <c r="B66" s="1" t="s">
        <v>54</v>
      </c>
      <c r="C66" s="1">
        <v>36</v>
      </c>
      <c r="D66" s="1">
        <f>9387*1/36+9390*35/36</f>
        <v>9389.9166666666661</v>
      </c>
      <c r="G66" s="1">
        <v>9385</v>
      </c>
      <c r="H66" s="2">
        <v>43117</v>
      </c>
      <c r="J66" s="30">
        <f t="shared" si="7"/>
        <v>-884.99999999989086</v>
      </c>
      <c r="M66" s="11">
        <f>[1]!WSD($B66,"contractmultiplier",$A$2,$A$2,"TradingCalendar=SSE","rptType=1","ShowCodes=N","ShowDates=N","ShowParams=Y","cols=1;rows=1")</f>
        <v>5</v>
      </c>
    </row>
    <row r="67" spans="1:15" ht="14.25">
      <c r="B67" s="1" t="s">
        <v>56</v>
      </c>
      <c r="C67" s="1">
        <v>-34</v>
      </c>
      <c r="D67" s="1">
        <v>6570</v>
      </c>
      <c r="G67" s="1">
        <v>6585</v>
      </c>
      <c r="H67" s="2">
        <v>43117</v>
      </c>
      <c r="J67" s="30">
        <f t="shared" si="7"/>
        <v>-2550</v>
      </c>
      <c r="M67" s="11">
        <f>[1]!WSD($B67,"contractmultiplier",$A$2,$A$2,"TradingCalendar=SSE","rptType=1","ShowCodes=N","ShowDates=N","ShowParams=Y","cols=1;rows=1")</f>
        <v>5</v>
      </c>
    </row>
    <row r="68" spans="1:15" ht="14.25">
      <c r="A68" s="3"/>
      <c r="B68" s="3" t="s">
        <v>56</v>
      </c>
      <c r="C68" s="3">
        <v>-34</v>
      </c>
      <c r="D68" s="3">
        <v>6570</v>
      </c>
      <c r="E68" s="3"/>
      <c r="F68" s="32"/>
      <c r="G68" s="3">
        <f>6580*4/34+6575*30/34</f>
        <v>6575.5882352941171</v>
      </c>
      <c r="H68" s="33">
        <v>43117</v>
      </c>
      <c r="I68" s="3"/>
      <c r="J68" s="28">
        <f t="shared" si="7"/>
        <v>-949.99999999990905</v>
      </c>
      <c r="K68" s="3"/>
      <c r="L68" s="4"/>
      <c r="M68" s="11">
        <f>[1]!WSD($B68,"contractmultiplier",$A$2,$A$2,"TradingCalendar=SSE","rptType=1","ShowCodes=N","ShowDates=N","ShowParams=Y","cols=1;rows=1")</f>
        <v>5</v>
      </c>
    </row>
    <row r="69" spans="1:15" ht="14.25">
      <c r="A69" s="2">
        <v>43118</v>
      </c>
      <c r="B69" s="41" t="s">
        <v>57</v>
      </c>
      <c r="C69" s="41">
        <v>-12</v>
      </c>
      <c r="D69" s="41">
        <v>97244.17</v>
      </c>
      <c r="E69" s="42">
        <v>0.88888888888888884</v>
      </c>
      <c r="F69" s="43">
        <v>1.7999999999999999E-2</v>
      </c>
      <c r="G69" s="41">
        <v>98170</v>
      </c>
      <c r="H69" s="33">
        <v>43122</v>
      </c>
      <c r="I69" s="42">
        <v>0.97013888888888899</v>
      </c>
      <c r="J69" s="46">
        <f t="shared" si="7"/>
        <v>-11109.960000000021</v>
      </c>
      <c r="K69" s="41"/>
      <c r="L69" s="44"/>
      <c r="M69" s="11">
        <f>[1]!WSD($B69,"contractmultiplier",$A$2,$A$2,"TradingCalendar=SSE","rptType=1","ShowCodes=N","ShowDates=N","ShowParams=Y","cols=1;rows=1")</f>
        <v>1</v>
      </c>
    </row>
    <row r="70" spans="1:15" ht="14.25">
      <c r="B70" s="1" t="s">
        <v>48</v>
      </c>
      <c r="C70" s="1">
        <v>1</v>
      </c>
      <c r="D70" s="1">
        <v>14180</v>
      </c>
      <c r="E70" s="40">
        <v>0.37847222222222227</v>
      </c>
      <c r="F70" s="31">
        <v>2E-3</v>
      </c>
      <c r="G70" s="1">
        <v>14170</v>
      </c>
      <c r="H70" s="2">
        <v>43119</v>
      </c>
      <c r="I70" s="40">
        <v>0.8847222222222223</v>
      </c>
      <c r="J70" s="30">
        <f t="shared" si="7"/>
        <v>-100</v>
      </c>
      <c r="M70" s="11">
        <f>[1]!WSD($B70,"contractmultiplier",$A$2,$A$2,"TradingCalendar=SSE","rptType=1","ShowCodes=N","ShowDates=N","ShowParams=Y","cols=1;rows=1")</f>
        <v>10</v>
      </c>
    </row>
    <row r="71" spans="1:15" ht="14.25">
      <c r="A71" s="3"/>
      <c r="B71" s="3" t="s">
        <v>42</v>
      </c>
      <c r="C71" s="3">
        <v>38</v>
      </c>
      <c r="D71" s="3">
        <v>1494</v>
      </c>
      <c r="E71" s="45">
        <v>0.58750000000000002</v>
      </c>
      <c r="F71" s="32">
        <v>1.7999999999999999E-2</v>
      </c>
      <c r="G71" s="3">
        <v>1467</v>
      </c>
      <c r="H71" s="33">
        <v>43122</v>
      </c>
      <c r="I71" s="45">
        <v>0.92083333333333339</v>
      </c>
      <c r="J71" s="28">
        <f t="shared" si="7"/>
        <v>-20520</v>
      </c>
      <c r="K71" s="3"/>
      <c r="L71" s="4"/>
      <c r="M71" s="11">
        <f>[1]!WSD($B71,"contractmultiplier",$A$2,$A$2,"TradingCalendar=SSE","rptType=1","ShowCodes=N","ShowDates=N","ShowParams=Y","cols=1;rows=1")</f>
        <v>20</v>
      </c>
      <c r="N71" s="36">
        <v>9689000</v>
      </c>
      <c r="O71" s="24">
        <f t="shared" ref="O71:O72" si="8">N71*F71/(D71*M71*0.15)</f>
        <v>38.911646586345384</v>
      </c>
    </row>
    <row r="72" spans="1:15" ht="14.25">
      <c r="A72" s="2">
        <v>43119</v>
      </c>
      <c r="B72" s="1" t="s">
        <v>15</v>
      </c>
      <c r="C72" s="1">
        <v>26</v>
      </c>
      <c r="D72" s="1">
        <v>3874</v>
      </c>
      <c r="E72" s="40">
        <v>0.8847222222222223</v>
      </c>
      <c r="F72" s="31">
        <v>1.6E-2</v>
      </c>
      <c r="G72" s="1">
        <v>3933</v>
      </c>
      <c r="H72" s="2">
        <v>43122</v>
      </c>
      <c r="I72" s="40">
        <v>0.60416666666666663</v>
      </c>
      <c r="J72" s="30">
        <f t="shared" si="7"/>
        <v>15340</v>
      </c>
      <c r="M72" s="11">
        <f>[1]!WSD($B72,"contractmultiplier",$A$2,$A$2,"TradingCalendar=SSE","rptType=1","ShowCodes=N","ShowDates=N","ShowParams=Y","cols=1;rows=1")</f>
        <v>10</v>
      </c>
      <c r="N72" s="36">
        <v>9689000</v>
      </c>
      <c r="O72" s="24">
        <f t="shared" si="8"/>
        <v>26.677680261572878</v>
      </c>
    </row>
    <row r="73" spans="1:15" ht="14.25">
      <c r="B73" s="3" t="s">
        <v>19</v>
      </c>
      <c r="C73" s="3">
        <v>-17</v>
      </c>
      <c r="D73" s="3">
        <v>14155</v>
      </c>
      <c r="E73" s="45">
        <v>0.92083333333333339</v>
      </c>
      <c r="F73" s="32">
        <v>3.7999999999999999E-2</v>
      </c>
      <c r="G73" s="3">
        <v>14185</v>
      </c>
      <c r="H73" s="33">
        <v>43119</v>
      </c>
      <c r="I73" s="45">
        <v>0.375</v>
      </c>
      <c r="J73" s="28">
        <f t="shared" si="7"/>
        <v>-5100</v>
      </c>
      <c r="K73" s="3"/>
      <c r="L73" s="4"/>
      <c r="M73" s="11">
        <f>[1]!WSD($B73,"contractmultiplier",$A$2,$A$2,"TradingCalendar=SSE","rptType=1","ShowCodes=N","ShowDates=N","ShowParams=Y","cols=1;rows=1")</f>
        <v>10</v>
      </c>
      <c r="N73" s="36">
        <v>9689001</v>
      </c>
      <c r="O73" s="24">
        <f t="shared" ref="O73:O74" si="9">N73*F73/(D73*M73*0.15)</f>
        <v>17.340493959731543</v>
      </c>
    </row>
    <row r="74" spans="1:15" ht="14.25">
      <c r="B74" s="1" t="s">
        <v>58</v>
      </c>
      <c r="C74" s="1">
        <v>84</v>
      </c>
      <c r="D74" s="1">
        <v>2293</v>
      </c>
      <c r="E74" s="40">
        <v>0.375</v>
      </c>
      <c r="F74" s="31">
        <v>0.03</v>
      </c>
      <c r="G74" s="1">
        <v>2285</v>
      </c>
      <c r="H74" s="2">
        <v>43124</v>
      </c>
      <c r="I74" s="40">
        <v>0.57013888888888886</v>
      </c>
      <c r="J74" s="30">
        <f t="shared" si="7"/>
        <v>-6720</v>
      </c>
      <c r="M74" s="11">
        <f>[1]!WSD($B74,"contractmultiplier",$A$2,$A$2,"TradingCalendar=SSE","rptType=1","ShowCodes=N","ShowDates=N","ShowParams=Y","cols=1;rows=1")</f>
        <v>10</v>
      </c>
      <c r="N74" s="36">
        <v>9695001</v>
      </c>
      <c r="O74" s="24">
        <f t="shared" si="9"/>
        <v>84.561718273004786</v>
      </c>
    </row>
    <row r="75" spans="1:15" ht="14.25">
      <c r="B75" s="1" t="s">
        <v>59</v>
      </c>
      <c r="C75" s="1">
        <v>-8</v>
      </c>
      <c r="D75" s="1">
        <v>3847</v>
      </c>
      <c r="E75" s="40">
        <v>0.375</v>
      </c>
      <c r="F75" s="31">
        <v>5.0000000000000001E-3</v>
      </c>
      <c r="G75" s="1">
        <v>3906</v>
      </c>
      <c r="H75" s="2">
        <v>43122</v>
      </c>
      <c r="I75" s="40">
        <v>0.37916666666666665</v>
      </c>
      <c r="J75" s="30">
        <f t="shared" si="7"/>
        <v>-4720</v>
      </c>
      <c r="M75" s="11">
        <f>[1]!WSD($B75,"contractmultiplier",$A$2,$A$2,"TradingCalendar=SSE","rptType=1","ShowCodes=N","ShowDates=N","ShowParams=Y","cols=1;rows=1")</f>
        <v>10</v>
      </c>
      <c r="N75" s="36">
        <v>9695002</v>
      </c>
      <c r="O75" s="24">
        <f t="shared" ref="O75:O76" si="10">N75*F75/(D75*M75*0.15)</f>
        <v>8.40048695953557</v>
      </c>
    </row>
    <row r="76" spans="1:15" ht="14.25">
      <c r="B76" s="24" t="s">
        <v>19</v>
      </c>
      <c r="C76" s="24">
        <v>-17</v>
      </c>
      <c r="D76" s="24">
        <v>14055</v>
      </c>
      <c r="E76" s="47">
        <v>0.44027777777777777</v>
      </c>
      <c r="F76" s="34">
        <v>3.7999999999999999E-2</v>
      </c>
      <c r="G76" s="24"/>
      <c r="H76" s="35"/>
      <c r="I76" s="47"/>
      <c r="J76" s="30"/>
      <c r="K76" s="24"/>
      <c r="L76" s="36"/>
      <c r="M76" s="11">
        <f>[1]!WSD($B76,"contractmultiplier",$A$2,$A$2,"TradingCalendar=SSE","rptType=1","ShowCodes=N","ShowDates=N","ShowParams=Y","cols=1;rows=1")</f>
        <v>10</v>
      </c>
      <c r="N76" s="36">
        <v>9689001</v>
      </c>
      <c r="O76" s="24">
        <f t="shared" si="10"/>
        <v>17.463869939523303</v>
      </c>
    </row>
    <row r="77" spans="1:15" ht="15" thickBot="1">
      <c r="A77" s="48"/>
      <c r="B77" s="48" t="s">
        <v>89</v>
      </c>
      <c r="C77" s="48">
        <v>16</v>
      </c>
      <c r="D77" s="48">
        <v>539</v>
      </c>
      <c r="E77" s="49">
        <v>0.59583333333333333</v>
      </c>
      <c r="F77" s="50">
        <v>1.4E-2</v>
      </c>
      <c r="G77" s="48">
        <v>540.5</v>
      </c>
      <c r="H77" s="52">
        <v>43122</v>
      </c>
      <c r="I77" s="49">
        <v>0.57013888888888886</v>
      </c>
      <c r="J77" s="54">
        <f t="shared" si="7"/>
        <v>2400</v>
      </c>
      <c r="K77" s="48"/>
      <c r="L77" s="51"/>
      <c r="M77" s="11">
        <f>[1]!WSD($B77,"contractmultiplier",$A$2,$A$2,"TradingCalendar=SSE","rptType=1","ShowCodes=N","ShowDates=N","ShowParams=Y","cols=1;rows=1")</f>
        <v>100</v>
      </c>
      <c r="N77" s="36">
        <v>9689002</v>
      </c>
      <c r="O77" s="24">
        <f t="shared" ref="O77" si="11">N77*F77/(D77*M77*0.15)</f>
        <v>16.777492640692639</v>
      </c>
    </row>
    <row r="78" spans="1:15" ht="14.25">
      <c r="A78" s="2">
        <v>43122</v>
      </c>
      <c r="B78" s="1" t="s">
        <v>92</v>
      </c>
      <c r="C78" s="1">
        <v>7</v>
      </c>
      <c r="D78" s="1">
        <v>26130</v>
      </c>
      <c r="E78" s="40">
        <v>0.88541666666666663</v>
      </c>
      <c r="F78" s="31">
        <v>1.4999999999999999E-2</v>
      </c>
      <c r="G78" s="1">
        <v>26080</v>
      </c>
      <c r="H78" s="2">
        <v>43122</v>
      </c>
      <c r="I78" s="40">
        <v>0.92083333333333339</v>
      </c>
      <c r="J78" s="30">
        <f t="shared" ref="J78:J79" si="12">IF(G78="","",C78*(G78-D78)*M78)</f>
        <v>-1750</v>
      </c>
      <c r="M78" s="11">
        <f>[1]!WSD($B78,"contractmultiplier",$A$2,$A$2,"TradingCalendar=SSE","rptType=1","ShowCodes=N","ShowDates=N","ShowParams=Y","cols=1;rows=1")</f>
        <v>5</v>
      </c>
      <c r="N78" s="36">
        <v>9689002</v>
      </c>
      <c r="O78" s="24">
        <f t="shared" ref="O78" si="13">N78*F78/(D78*M78*0.15)</f>
        <v>7.4159984691924992</v>
      </c>
    </row>
    <row r="79" spans="1:15" ht="14.25">
      <c r="B79" s="1" t="s">
        <v>92</v>
      </c>
      <c r="C79" s="1">
        <v>7</v>
      </c>
      <c r="D79" s="1">
        <v>26105</v>
      </c>
      <c r="E79" s="40">
        <v>0.97222222222222221</v>
      </c>
      <c r="F79" s="31">
        <v>1.4999999999999999E-2</v>
      </c>
      <c r="G79" s="1">
        <v>26085</v>
      </c>
      <c r="H79" s="2">
        <v>43122</v>
      </c>
      <c r="I79" s="40">
        <v>0.37916666666666665</v>
      </c>
      <c r="J79" s="30">
        <f t="shared" si="12"/>
        <v>-700</v>
      </c>
      <c r="M79" s="11">
        <f>[1]!WSD($B79,"contractmultiplier",$A$2,$A$2,"TradingCalendar=SSE","rptType=1","ShowCodes=N","ShowDates=N","ShowParams=Y","cols=1;rows=1")</f>
        <v>5</v>
      </c>
      <c r="N79" s="36">
        <v>9689003</v>
      </c>
      <c r="O79" s="24">
        <f t="shared" ref="O79:O81" si="14">N79*F79/(D79*M79*0.15)</f>
        <v>7.4231013215859019</v>
      </c>
    </row>
    <row r="80" spans="1:15" ht="14.25">
      <c r="B80" s="3" t="s">
        <v>93</v>
      </c>
      <c r="C80" s="3">
        <v>43</v>
      </c>
      <c r="D80" s="3">
        <v>5628</v>
      </c>
      <c r="E80" s="45">
        <v>0.97222222222222221</v>
      </c>
      <c r="F80" s="32">
        <v>1.9E-2</v>
      </c>
      <c r="G80" s="3"/>
      <c r="H80" s="3"/>
      <c r="I80" s="3"/>
      <c r="J80" s="3"/>
      <c r="K80" s="3"/>
      <c r="L80" s="4"/>
      <c r="M80" s="11">
        <f>[1]!WSD($B80,"contractmultiplier",$A$2,$A$2,"TradingCalendar=SSE","rptType=1","ShowCodes=N","ShowDates=N","ShowParams=Y","cols=1;rows=1")</f>
        <v>5</v>
      </c>
      <c r="N80" s="36">
        <v>9689004</v>
      </c>
      <c r="O80" s="24">
        <f t="shared" si="14"/>
        <v>43.613142857142854</v>
      </c>
    </row>
    <row r="81" spans="1:15" ht="14.25">
      <c r="B81" s="24" t="s">
        <v>94</v>
      </c>
      <c r="C81" s="1">
        <v>5</v>
      </c>
      <c r="D81" s="1">
        <v>2776</v>
      </c>
      <c r="E81" s="40">
        <v>0.39861111111111108</v>
      </c>
      <c r="F81" s="31">
        <v>2E-3</v>
      </c>
      <c r="G81" s="1">
        <v>2756</v>
      </c>
      <c r="H81" s="2">
        <v>43123</v>
      </c>
      <c r="I81" s="40">
        <v>0.5708333333333333</v>
      </c>
      <c r="J81" s="30">
        <f t="shared" ref="J81:J144" si="15">IF(G81="","",C81*(G81-D81)*M81)</f>
        <v>-1000</v>
      </c>
      <c r="M81" s="11">
        <f>[1]!WSD($B81,"contractmultiplier",$A$2,$A$2,"TradingCalendar=SSE","rptType=1","ShowCodes=N","ShowDates=N","ShowParams=Y","cols=1;rows=1")</f>
        <v>10</v>
      </c>
      <c r="N81" s="53">
        <v>9708000</v>
      </c>
      <c r="O81" s="24">
        <f t="shared" si="14"/>
        <v>4.662824207492795</v>
      </c>
    </row>
    <row r="82" spans="1:15" ht="14.25">
      <c r="A82" s="3"/>
      <c r="B82" s="3" t="s">
        <v>95</v>
      </c>
      <c r="C82" s="3">
        <v>1</v>
      </c>
      <c r="D82" s="3">
        <v>6316.2</v>
      </c>
      <c r="E82" s="45">
        <v>0.56944444444444442</v>
      </c>
      <c r="F82" s="32">
        <v>1.9E-2</v>
      </c>
      <c r="G82" s="3"/>
      <c r="H82" s="3"/>
      <c r="I82" s="3"/>
      <c r="J82" s="3"/>
      <c r="K82" s="3"/>
      <c r="L82" s="4"/>
      <c r="M82" s="11">
        <f>[1]!WSD($B82,"contractmultiplier",$A$2,$A$2,"TradingCalendar=SSE","rptType=1","ShowCodes=N","ShowDates=N","ShowParams=Y","cols=1;rows=1")</f>
        <v>200</v>
      </c>
      <c r="N82" s="53">
        <v>9708001</v>
      </c>
      <c r="O82" s="24">
        <f t="shared" ref="O82" si="16">N82*F82/(D82*M82*0.15)</f>
        <v>0.97343349376734956</v>
      </c>
    </row>
    <row r="83" spans="1:15" ht="14.25">
      <c r="A83" s="2">
        <v>43123</v>
      </c>
      <c r="B83" s="1" t="s">
        <v>96</v>
      </c>
      <c r="C83" s="1">
        <v>21</v>
      </c>
      <c r="D83" s="1">
        <v>9480</v>
      </c>
      <c r="E83" s="40">
        <v>0.37777777777777777</v>
      </c>
      <c r="F83" s="31">
        <v>1.4999999999999999E-2</v>
      </c>
      <c r="G83" s="1">
        <v>9407</v>
      </c>
      <c r="H83" s="2">
        <v>43123</v>
      </c>
      <c r="I83" s="40">
        <v>0.40833333333333338</v>
      </c>
      <c r="J83" s="30">
        <f t="shared" si="15"/>
        <v>-7665</v>
      </c>
      <c r="M83" s="11">
        <f>[1]!WSD($B83,"contractmultiplier",$A$2,$A$2,"TradingCalendar=SSE","rptType=1","ShowCodes=N","ShowDates=N","ShowParams=Y","cols=1;rows=1")</f>
        <v>5</v>
      </c>
      <c r="N83" s="53">
        <v>9708002</v>
      </c>
      <c r="O83" s="24">
        <f t="shared" ref="O83" si="17">N83*F83/(D83*M83*0.15)</f>
        <v>20.481016877637131</v>
      </c>
    </row>
    <row r="84" spans="1:15" ht="14.25">
      <c r="B84" s="1" t="s">
        <v>97</v>
      </c>
      <c r="C84" s="1">
        <v>-12</v>
      </c>
      <c r="D84" s="1">
        <v>98110</v>
      </c>
      <c r="E84" s="40">
        <v>0.40833333333333338</v>
      </c>
      <c r="F84" s="31">
        <v>1.9E-2</v>
      </c>
      <c r="J84" s="30" t="str">
        <f t="shared" si="15"/>
        <v/>
      </c>
      <c r="M84" s="11">
        <f>[1]!WSD($B84,"contractmultiplier",$A$2,$A$2,"TradingCalendar=SSE","rptType=1","ShowCodes=N","ShowDates=N","ShowParams=Y","cols=1;rows=1")</f>
        <v>1</v>
      </c>
      <c r="N84" s="53">
        <v>9708003</v>
      </c>
      <c r="O84" s="24">
        <f t="shared" ref="O84" si="18">N84*F84/(D84*M84*0.15)</f>
        <v>12.533690551421873</v>
      </c>
    </row>
    <row r="85" spans="1:15" ht="14.25">
      <c r="B85" s="1" t="s">
        <v>98</v>
      </c>
      <c r="C85" s="1">
        <v>-33</v>
      </c>
      <c r="D85" s="1">
        <v>6650.3</v>
      </c>
      <c r="E85" s="40">
        <v>0.40833333333333338</v>
      </c>
      <c r="F85" s="31">
        <v>1.7000000000000001E-2</v>
      </c>
      <c r="G85" s="1">
        <v>6686</v>
      </c>
      <c r="H85" s="2">
        <v>43123</v>
      </c>
      <c r="I85" s="40">
        <v>0.5708333333333333</v>
      </c>
      <c r="J85" s="30">
        <f t="shared" si="15"/>
        <v>-5890.49999999997</v>
      </c>
      <c r="M85" s="11">
        <f>[1]!WSD($B85,"contractmultiplier",$A$2,$A$2,"TradingCalendar=SSE","rptType=1","ShowCodes=N","ShowDates=N","ShowParams=Y","cols=1;rows=1")</f>
        <v>5</v>
      </c>
      <c r="N85" s="53">
        <v>9708004</v>
      </c>
      <c r="O85" s="24">
        <f t="shared" ref="O85" si="19">N85*F85/(D85*M85*0.15)</f>
        <v>33.088445734277656</v>
      </c>
    </row>
    <row r="86" spans="1:15" ht="14.25">
      <c r="A86" s="3"/>
      <c r="B86" s="3" t="s">
        <v>96</v>
      </c>
      <c r="C86" s="3">
        <v>28</v>
      </c>
      <c r="D86" s="3">
        <v>9538</v>
      </c>
      <c r="E86" s="45">
        <v>0.4694444444444445</v>
      </c>
      <c r="F86" s="32">
        <v>2.1000000000000001E-2</v>
      </c>
      <c r="G86" s="3">
        <v>9486</v>
      </c>
      <c r="H86" s="33">
        <v>43124</v>
      </c>
      <c r="I86" s="45">
        <v>0.44444444444444442</v>
      </c>
      <c r="J86" s="28">
        <f t="shared" si="15"/>
        <v>-7280</v>
      </c>
      <c r="K86" s="3"/>
      <c r="L86" s="4"/>
      <c r="M86" s="11">
        <f>[1]!WSD($B86,"contractmultiplier",$A$2,$A$2,"TradingCalendar=SSE","rptType=1","ShowCodes=N","ShowDates=N","ShowParams=Y","cols=1;rows=1")</f>
        <v>5</v>
      </c>
      <c r="N86" s="53">
        <v>9708005</v>
      </c>
      <c r="O86" s="24">
        <f t="shared" ref="O86" si="20">N86*F86/(D86*M86*0.15)</f>
        <v>28.499071084084715</v>
      </c>
    </row>
    <row r="87" spans="1:15" ht="14.25">
      <c r="A87" s="2">
        <v>43124</v>
      </c>
      <c r="B87" s="41" t="s">
        <v>99</v>
      </c>
      <c r="C87" s="41">
        <v>53</v>
      </c>
      <c r="D87" s="41">
        <v>2787</v>
      </c>
      <c r="E87" s="42">
        <v>0.89930555555555547</v>
      </c>
      <c r="F87" s="43">
        <v>2.3E-2</v>
      </c>
      <c r="G87" s="41">
        <v>2770</v>
      </c>
      <c r="H87" s="57">
        <v>43124</v>
      </c>
      <c r="I87" s="42">
        <v>0.3840277777777778</v>
      </c>
      <c r="J87" s="46">
        <f t="shared" si="15"/>
        <v>-9010</v>
      </c>
      <c r="K87" s="41"/>
      <c r="L87" s="44"/>
      <c r="M87" s="11">
        <f>[1]!WSD($B87,"contractmultiplier",$A$2,$A$2,"TradingCalendar=SSE","rptType=1","ShowCodes=N","ShowDates=N","ShowParams=Y","cols=1;rows=1")</f>
        <v>10</v>
      </c>
      <c r="N87" s="53">
        <v>9708006</v>
      </c>
      <c r="O87" s="24">
        <f t="shared" ref="O87" si="21">N87*F87/(D87*M87*0.15)</f>
        <v>53.410869034804449</v>
      </c>
    </row>
    <row r="88" spans="1:15" ht="14.25">
      <c r="B88" s="1" t="s">
        <v>102</v>
      </c>
      <c r="C88" s="1">
        <v>-6</v>
      </c>
      <c r="D88" s="1">
        <v>2770</v>
      </c>
      <c r="E88" s="40">
        <v>0.3840277777777778</v>
      </c>
      <c r="F88" s="31">
        <f>0.7%*3/4</f>
        <v>5.2499999999999995E-3</v>
      </c>
      <c r="J88" s="30" t="str">
        <f t="shared" si="15"/>
        <v/>
      </c>
      <c r="M88" s="11">
        <f>[1]!WSD($B88,"contractmultiplier",$A$2,$A$2,"TradingCalendar=SSE","rptType=1","ShowCodes=N","ShowDates=N","ShowParams=Y","cols=1;rows=1")</f>
        <v>10</v>
      </c>
      <c r="N88" s="53">
        <v>9708007</v>
      </c>
      <c r="O88" s="24">
        <f t="shared" ref="O88:O90" si="22">N88*F88/(D88*M88*0.15)</f>
        <v>12.266434837545125</v>
      </c>
    </row>
    <row r="89" spans="1:15" ht="14.25">
      <c r="B89" s="1" t="s">
        <v>102</v>
      </c>
      <c r="C89" s="1">
        <v>-2</v>
      </c>
      <c r="D89" s="58">
        <v>2770</v>
      </c>
      <c r="E89" s="40">
        <v>0.3840277777777778</v>
      </c>
      <c r="F89" s="31">
        <f>0.7%*1/4</f>
        <v>1.7499999999999998E-3</v>
      </c>
      <c r="G89" s="1">
        <v>2771</v>
      </c>
      <c r="H89" s="2">
        <v>43124</v>
      </c>
      <c r="I89" s="40">
        <v>0.38472222222222219</v>
      </c>
      <c r="J89" s="30">
        <f>IF(G89="","",C89*(G89-D89)*M89)</f>
        <v>-20</v>
      </c>
      <c r="M89" s="11">
        <f>[1]!WSD($B89,"contractmultiplier",$A$2,$A$2,"TradingCalendar=SSE","rptType=1","ShowCodes=N","ShowDates=N","ShowParams=Y","cols=1;rows=1")</f>
        <v>10</v>
      </c>
      <c r="N89" s="53">
        <v>9708008</v>
      </c>
      <c r="O89" s="24">
        <f t="shared" si="22"/>
        <v>4.0888120336943441</v>
      </c>
    </row>
    <row r="90" spans="1:15" ht="14.25">
      <c r="B90" s="1" t="s">
        <v>103</v>
      </c>
      <c r="C90" s="1">
        <v>20</v>
      </c>
      <c r="D90" s="1">
        <v>99360</v>
      </c>
      <c r="E90" s="40">
        <v>0.38472222222222219</v>
      </c>
      <c r="F90" s="31">
        <v>3.5999999999999997E-2</v>
      </c>
      <c r="G90" s="1">
        <v>99150</v>
      </c>
      <c r="H90" s="2">
        <v>43124</v>
      </c>
      <c r="I90" s="40">
        <v>0.44444444444444442</v>
      </c>
      <c r="J90" s="30">
        <f t="shared" si="15"/>
        <v>-4200</v>
      </c>
      <c r="M90" s="11">
        <f>[1]!WSD($B90,"contractmultiplier",$A$2,$A$2,"TradingCalendar=SSE","rptType=1","ShowCodes=N","ShowDates=N","ShowParams=Y","cols=1;rows=1")</f>
        <v>1</v>
      </c>
      <c r="N90" s="53">
        <v>9708009</v>
      </c>
      <c r="O90" s="24">
        <f t="shared" si="22"/>
        <v>23.449297101449272</v>
      </c>
    </row>
    <row r="91" spans="1:15" ht="14.25">
      <c r="B91" s="1" t="s">
        <v>103</v>
      </c>
      <c r="C91" s="1">
        <v>20</v>
      </c>
      <c r="D91" s="1">
        <v>99241</v>
      </c>
      <c r="E91" s="40">
        <v>0.46319444444444446</v>
      </c>
      <c r="F91" s="31">
        <v>3.5999999999999997E-2</v>
      </c>
      <c r="J91" s="30" t="str">
        <f t="shared" si="15"/>
        <v/>
      </c>
      <c r="M91" s="11">
        <f>[1]!WSD($B91,"contractmultiplier",$A$2,$A$2,"TradingCalendar=SSE","rptType=1","ShowCodes=N","ShowDates=N","ShowParams=Y","cols=1;rows=1")</f>
        <v>1</v>
      </c>
      <c r="N91" s="53">
        <v>9758010</v>
      </c>
      <c r="O91" s="24">
        <f t="shared" ref="O91" si="23">N91*F91/(D91*M91*0.15)</f>
        <v>23.598335365423566</v>
      </c>
    </row>
    <row r="92" spans="1:15" ht="14.25">
      <c r="B92" s="1" t="s">
        <v>104</v>
      </c>
      <c r="C92" s="1">
        <v>28</v>
      </c>
      <c r="D92" s="1">
        <v>9524</v>
      </c>
      <c r="E92" s="40">
        <v>0.56805555555555554</v>
      </c>
      <c r="F92" s="31">
        <v>2.1000000000000001E-2</v>
      </c>
      <c r="J92" s="30" t="str">
        <f t="shared" si="15"/>
        <v/>
      </c>
      <c r="M92" s="11">
        <f>[1]!WSD($B92,"contractmultiplier",$A$2,$A$2,"TradingCalendar=SSE","rptType=1","ShowCodes=N","ShowDates=N","ShowParams=Y","cols=1;rows=1")</f>
        <v>5</v>
      </c>
      <c r="N92" s="53">
        <v>9758011</v>
      </c>
      <c r="O92" s="24">
        <f t="shared" ref="O92" si="24">N92*F92/(D92*M92*0.15)</f>
        <v>28.687978580428393</v>
      </c>
    </row>
    <row r="93" spans="1:15">
      <c r="J93" s="30" t="str">
        <f t="shared" si="15"/>
        <v/>
      </c>
    </row>
    <row r="94" spans="1:15">
      <c r="J94" s="30" t="str">
        <f t="shared" si="15"/>
        <v/>
      </c>
    </row>
    <row r="95" spans="1:15">
      <c r="J95" s="30" t="str">
        <f t="shared" si="15"/>
        <v/>
      </c>
    </row>
    <row r="96" spans="1:15">
      <c r="J96" s="30" t="str">
        <f t="shared" si="15"/>
        <v/>
      </c>
    </row>
    <row r="97" spans="10:10">
      <c r="J97" s="30" t="str">
        <f t="shared" si="15"/>
        <v/>
      </c>
    </row>
    <row r="98" spans="10:10">
      <c r="J98" s="30" t="str">
        <f t="shared" si="15"/>
        <v/>
      </c>
    </row>
    <row r="99" spans="10:10">
      <c r="J99" s="30" t="str">
        <f t="shared" si="15"/>
        <v/>
      </c>
    </row>
    <row r="100" spans="10:10">
      <c r="J100" s="30" t="str">
        <f t="shared" si="15"/>
        <v/>
      </c>
    </row>
    <row r="101" spans="10:10">
      <c r="J101" s="30" t="str">
        <f t="shared" si="15"/>
        <v/>
      </c>
    </row>
    <row r="102" spans="10:10">
      <c r="J102" s="30" t="str">
        <f t="shared" si="15"/>
        <v/>
      </c>
    </row>
    <row r="103" spans="10:10">
      <c r="J103" s="30" t="str">
        <f t="shared" si="15"/>
        <v/>
      </c>
    </row>
    <row r="104" spans="10:10">
      <c r="J104" s="30" t="str">
        <f t="shared" si="15"/>
        <v/>
      </c>
    </row>
    <row r="105" spans="10:10">
      <c r="J105" s="30" t="str">
        <f t="shared" si="15"/>
        <v/>
      </c>
    </row>
    <row r="106" spans="10:10">
      <c r="J106" s="30" t="str">
        <f t="shared" si="15"/>
        <v/>
      </c>
    </row>
    <row r="107" spans="10:10">
      <c r="J107" s="30" t="str">
        <f t="shared" si="15"/>
        <v/>
      </c>
    </row>
    <row r="108" spans="10:10">
      <c r="J108" s="30" t="str">
        <f t="shared" si="15"/>
        <v/>
      </c>
    </row>
    <row r="109" spans="10:10">
      <c r="J109" s="30" t="str">
        <f t="shared" si="15"/>
        <v/>
      </c>
    </row>
    <row r="110" spans="10:10">
      <c r="J110" s="30" t="str">
        <f t="shared" si="15"/>
        <v/>
      </c>
    </row>
    <row r="111" spans="10:10">
      <c r="J111" s="30" t="str">
        <f t="shared" si="15"/>
        <v/>
      </c>
    </row>
    <row r="112" spans="10:10">
      <c r="J112" s="30" t="str">
        <f t="shared" si="15"/>
        <v/>
      </c>
    </row>
    <row r="113" spans="10:10">
      <c r="J113" s="30" t="str">
        <f t="shared" si="15"/>
        <v/>
      </c>
    </row>
    <row r="114" spans="10:10">
      <c r="J114" s="30" t="str">
        <f t="shared" si="15"/>
        <v/>
      </c>
    </row>
    <row r="115" spans="10:10">
      <c r="J115" s="30" t="str">
        <f t="shared" si="15"/>
        <v/>
      </c>
    </row>
    <row r="116" spans="10:10">
      <c r="J116" s="30" t="str">
        <f t="shared" si="15"/>
        <v/>
      </c>
    </row>
    <row r="117" spans="10:10">
      <c r="J117" s="30" t="str">
        <f t="shared" si="15"/>
        <v/>
      </c>
    </row>
    <row r="118" spans="10:10">
      <c r="J118" s="30" t="str">
        <f t="shared" si="15"/>
        <v/>
      </c>
    </row>
    <row r="119" spans="10:10">
      <c r="J119" s="30" t="str">
        <f t="shared" si="15"/>
        <v/>
      </c>
    </row>
    <row r="120" spans="10:10">
      <c r="J120" s="30" t="str">
        <f t="shared" si="15"/>
        <v/>
      </c>
    </row>
    <row r="121" spans="10:10">
      <c r="J121" s="30" t="str">
        <f t="shared" si="15"/>
        <v/>
      </c>
    </row>
    <row r="122" spans="10:10">
      <c r="J122" s="30" t="str">
        <f t="shared" si="15"/>
        <v/>
      </c>
    </row>
    <row r="123" spans="10:10">
      <c r="J123" s="30" t="str">
        <f t="shared" si="15"/>
        <v/>
      </c>
    </row>
    <row r="124" spans="10:10">
      <c r="J124" s="30" t="str">
        <f t="shared" si="15"/>
        <v/>
      </c>
    </row>
    <row r="125" spans="10:10">
      <c r="J125" s="30" t="str">
        <f t="shared" si="15"/>
        <v/>
      </c>
    </row>
    <row r="126" spans="10:10">
      <c r="J126" s="30" t="str">
        <f t="shared" si="15"/>
        <v/>
      </c>
    </row>
    <row r="127" spans="10:10">
      <c r="J127" s="30" t="str">
        <f t="shared" si="15"/>
        <v/>
      </c>
    </row>
    <row r="128" spans="10:10">
      <c r="J128" s="30" t="str">
        <f t="shared" si="15"/>
        <v/>
      </c>
    </row>
    <row r="129" spans="10:10">
      <c r="J129" s="30" t="str">
        <f t="shared" si="15"/>
        <v/>
      </c>
    </row>
    <row r="130" spans="10:10">
      <c r="J130" s="30" t="str">
        <f t="shared" si="15"/>
        <v/>
      </c>
    </row>
    <row r="131" spans="10:10">
      <c r="J131" s="30" t="str">
        <f t="shared" si="15"/>
        <v/>
      </c>
    </row>
    <row r="132" spans="10:10">
      <c r="J132" s="30" t="str">
        <f t="shared" si="15"/>
        <v/>
      </c>
    </row>
    <row r="133" spans="10:10">
      <c r="J133" s="30" t="str">
        <f t="shared" si="15"/>
        <v/>
      </c>
    </row>
    <row r="134" spans="10:10">
      <c r="J134" s="30" t="str">
        <f t="shared" si="15"/>
        <v/>
      </c>
    </row>
    <row r="135" spans="10:10">
      <c r="J135" s="30" t="str">
        <f t="shared" si="15"/>
        <v/>
      </c>
    </row>
    <row r="136" spans="10:10">
      <c r="J136" s="30" t="str">
        <f t="shared" si="15"/>
        <v/>
      </c>
    </row>
    <row r="137" spans="10:10">
      <c r="J137" s="30" t="str">
        <f t="shared" si="15"/>
        <v/>
      </c>
    </row>
    <row r="138" spans="10:10">
      <c r="J138" s="30" t="str">
        <f t="shared" si="15"/>
        <v/>
      </c>
    </row>
    <row r="139" spans="10:10">
      <c r="J139" s="30" t="str">
        <f t="shared" si="15"/>
        <v/>
      </c>
    </row>
    <row r="140" spans="10:10">
      <c r="J140" s="30" t="str">
        <f t="shared" si="15"/>
        <v/>
      </c>
    </row>
    <row r="141" spans="10:10">
      <c r="J141" s="30" t="str">
        <f t="shared" si="15"/>
        <v/>
      </c>
    </row>
    <row r="142" spans="10:10">
      <c r="J142" s="30" t="str">
        <f t="shared" si="15"/>
        <v/>
      </c>
    </row>
    <row r="143" spans="10:10">
      <c r="J143" s="30" t="str">
        <f t="shared" si="15"/>
        <v/>
      </c>
    </row>
    <row r="144" spans="10:10">
      <c r="J144" s="30" t="str">
        <f t="shared" si="15"/>
        <v/>
      </c>
    </row>
    <row r="145" spans="10:10">
      <c r="J145" s="30" t="str">
        <f t="shared" ref="J145:J208" si="25">IF(G145="","",C145*(G145-D145)*M145)</f>
        <v/>
      </c>
    </row>
    <row r="146" spans="10:10">
      <c r="J146" s="30" t="str">
        <f t="shared" si="25"/>
        <v/>
      </c>
    </row>
    <row r="147" spans="10:10">
      <c r="J147" s="30" t="str">
        <f t="shared" si="25"/>
        <v/>
      </c>
    </row>
    <row r="148" spans="10:10">
      <c r="J148" s="30" t="str">
        <f t="shared" si="25"/>
        <v/>
      </c>
    </row>
    <row r="149" spans="10:10">
      <c r="J149" s="30" t="str">
        <f t="shared" si="25"/>
        <v/>
      </c>
    </row>
    <row r="150" spans="10:10">
      <c r="J150" s="30" t="str">
        <f t="shared" si="25"/>
        <v/>
      </c>
    </row>
    <row r="151" spans="10:10">
      <c r="J151" s="30" t="str">
        <f t="shared" si="25"/>
        <v/>
      </c>
    </row>
    <row r="152" spans="10:10">
      <c r="J152" s="30" t="str">
        <f t="shared" si="25"/>
        <v/>
      </c>
    </row>
    <row r="153" spans="10:10">
      <c r="J153" s="30" t="str">
        <f t="shared" si="25"/>
        <v/>
      </c>
    </row>
    <row r="154" spans="10:10">
      <c r="J154" s="30" t="str">
        <f t="shared" si="25"/>
        <v/>
      </c>
    </row>
    <row r="155" spans="10:10">
      <c r="J155" s="30" t="str">
        <f t="shared" si="25"/>
        <v/>
      </c>
    </row>
    <row r="156" spans="10:10">
      <c r="J156" s="30" t="str">
        <f t="shared" si="25"/>
        <v/>
      </c>
    </row>
    <row r="157" spans="10:10">
      <c r="J157" s="30" t="str">
        <f t="shared" si="25"/>
        <v/>
      </c>
    </row>
    <row r="158" spans="10:10">
      <c r="J158" s="30" t="str">
        <f t="shared" si="25"/>
        <v/>
      </c>
    </row>
    <row r="159" spans="10:10">
      <c r="J159" s="30" t="str">
        <f t="shared" si="25"/>
        <v/>
      </c>
    </row>
    <row r="160" spans="10:10">
      <c r="J160" s="30" t="str">
        <f t="shared" si="25"/>
        <v/>
      </c>
    </row>
    <row r="161" spans="10:10">
      <c r="J161" s="30" t="str">
        <f t="shared" si="25"/>
        <v/>
      </c>
    </row>
    <row r="162" spans="10:10">
      <c r="J162" s="30" t="str">
        <f t="shared" si="25"/>
        <v/>
      </c>
    </row>
    <row r="163" spans="10:10">
      <c r="J163" s="30" t="str">
        <f t="shared" si="25"/>
        <v/>
      </c>
    </row>
    <row r="164" spans="10:10">
      <c r="J164" s="30" t="str">
        <f t="shared" si="25"/>
        <v/>
      </c>
    </row>
    <row r="165" spans="10:10">
      <c r="J165" s="30" t="str">
        <f t="shared" si="25"/>
        <v/>
      </c>
    </row>
    <row r="166" spans="10:10">
      <c r="J166" s="30" t="str">
        <f t="shared" si="25"/>
        <v/>
      </c>
    </row>
    <row r="167" spans="10:10">
      <c r="J167" s="30" t="str">
        <f t="shared" si="25"/>
        <v/>
      </c>
    </row>
    <row r="168" spans="10:10">
      <c r="J168" s="30" t="str">
        <f t="shared" si="25"/>
        <v/>
      </c>
    </row>
    <row r="169" spans="10:10">
      <c r="J169" s="30" t="str">
        <f t="shared" si="25"/>
        <v/>
      </c>
    </row>
    <row r="170" spans="10:10">
      <c r="J170" s="30" t="str">
        <f t="shared" si="25"/>
        <v/>
      </c>
    </row>
    <row r="171" spans="10:10">
      <c r="J171" s="30" t="str">
        <f t="shared" si="25"/>
        <v/>
      </c>
    </row>
    <row r="172" spans="10:10">
      <c r="J172" s="30" t="str">
        <f t="shared" si="25"/>
        <v/>
      </c>
    </row>
    <row r="173" spans="10:10">
      <c r="J173" s="30" t="str">
        <f t="shared" si="25"/>
        <v/>
      </c>
    </row>
    <row r="174" spans="10:10">
      <c r="J174" s="30" t="str">
        <f t="shared" si="25"/>
        <v/>
      </c>
    </row>
    <row r="175" spans="10:10">
      <c r="J175" s="30" t="str">
        <f t="shared" si="25"/>
        <v/>
      </c>
    </row>
    <row r="176" spans="10:10">
      <c r="J176" s="30" t="str">
        <f t="shared" si="25"/>
        <v/>
      </c>
    </row>
    <row r="177" spans="10:10">
      <c r="J177" s="30" t="str">
        <f t="shared" si="25"/>
        <v/>
      </c>
    </row>
    <row r="178" spans="10:10">
      <c r="J178" s="30" t="str">
        <f t="shared" si="25"/>
        <v/>
      </c>
    </row>
    <row r="179" spans="10:10">
      <c r="J179" s="30" t="str">
        <f t="shared" si="25"/>
        <v/>
      </c>
    </row>
    <row r="180" spans="10:10">
      <c r="J180" s="30" t="str">
        <f t="shared" si="25"/>
        <v/>
      </c>
    </row>
    <row r="181" spans="10:10">
      <c r="J181" s="30" t="str">
        <f t="shared" si="25"/>
        <v/>
      </c>
    </row>
    <row r="182" spans="10:10">
      <c r="J182" s="30" t="str">
        <f t="shared" si="25"/>
        <v/>
      </c>
    </row>
    <row r="183" spans="10:10">
      <c r="J183" s="30" t="str">
        <f t="shared" si="25"/>
        <v/>
      </c>
    </row>
    <row r="184" spans="10:10">
      <c r="J184" s="30" t="str">
        <f t="shared" si="25"/>
        <v/>
      </c>
    </row>
    <row r="185" spans="10:10">
      <c r="J185" s="30" t="str">
        <f t="shared" si="25"/>
        <v/>
      </c>
    </row>
    <row r="186" spans="10:10">
      <c r="J186" s="30" t="str">
        <f t="shared" si="25"/>
        <v/>
      </c>
    </row>
    <row r="187" spans="10:10">
      <c r="J187" s="30" t="str">
        <f t="shared" si="25"/>
        <v/>
      </c>
    </row>
    <row r="188" spans="10:10">
      <c r="J188" s="30" t="str">
        <f t="shared" si="25"/>
        <v/>
      </c>
    </row>
    <row r="189" spans="10:10">
      <c r="J189" s="30" t="str">
        <f t="shared" si="25"/>
        <v/>
      </c>
    </row>
    <row r="190" spans="10:10">
      <c r="J190" s="30" t="str">
        <f t="shared" si="25"/>
        <v/>
      </c>
    </row>
    <row r="191" spans="10:10">
      <c r="J191" s="30" t="str">
        <f t="shared" si="25"/>
        <v/>
      </c>
    </row>
    <row r="192" spans="10:10">
      <c r="J192" s="30" t="str">
        <f t="shared" si="25"/>
        <v/>
      </c>
    </row>
    <row r="193" spans="10:10">
      <c r="J193" s="30" t="str">
        <f t="shared" si="25"/>
        <v/>
      </c>
    </row>
    <row r="194" spans="10:10">
      <c r="J194" s="30" t="str">
        <f t="shared" si="25"/>
        <v/>
      </c>
    </row>
    <row r="195" spans="10:10">
      <c r="J195" s="30" t="str">
        <f t="shared" si="25"/>
        <v/>
      </c>
    </row>
    <row r="196" spans="10:10">
      <c r="J196" s="30" t="str">
        <f t="shared" si="25"/>
        <v/>
      </c>
    </row>
    <row r="197" spans="10:10">
      <c r="J197" s="30" t="str">
        <f t="shared" si="25"/>
        <v/>
      </c>
    </row>
    <row r="198" spans="10:10">
      <c r="J198" s="30" t="str">
        <f t="shared" si="25"/>
        <v/>
      </c>
    </row>
    <row r="199" spans="10:10">
      <c r="J199" s="30" t="str">
        <f t="shared" si="25"/>
        <v/>
      </c>
    </row>
    <row r="200" spans="10:10">
      <c r="J200" s="30" t="str">
        <f t="shared" si="25"/>
        <v/>
      </c>
    </row>
    <row r="201" spans="10:10">
      <c r="J201" s="30" t="str">
        <f t="shared" si="25"/>
        <v/>
      </c>
    </row>
    <row r="202" spans="10:10">
      <c r="J202" s="30" t="str">
        <f t="shared" si="25"/>
        <v/>
      </c>
    </row>
    <row r="203" spans="10:10">
      <c r="J203" s="30" t="str">
        <f t="shared" si="25"/>
        <v/>
      </c>
    </row>
    <row r="204" spans="10:10">
      <c r="J204" s="30" t="str">
        <f t="shared" si="25"/>
        <v/>
      </c>
    </row>
    <row r="205" spans="10:10">
      <c r="J205" s="30" t="str">
        <f t="shared" si="25"/>
        <v/>
      </c>
    </row>
    <row r="206" spans="10:10">
      <c r="J206" s="30" t="str">
        <f t="shared" si="25"/>
        <v/>
      </c>
    </row>
    <row r="207" spans="10:10">
      <c r="J207" s="30" t="str">
        <f t="shared" si="25"/>
        <v/>
      </c>
    </row>
    <row r="208" spans="10:10">
      <c r="J208" s="30" t="str">
        <f t="shared" si="25"/>
        <v/>
      </c>
    </row>
    <row r="209" spans="10:10">
      <c r="J209" s="30" t="str">
        <f t="shared" ref="J209:J272" si="26">IF(G209="","",C209*(G209-D209)*M209)</f>
        <v/>
      </c>
    </row>
    <row r="210" spans="10:10">
      <c r="J210" s="30" t="str">
        <f t="shared" si="26"/>
        <v/>
      </c>
    </row>
    <row r="211" spans="10:10">
      <c r="J211" s="30" t="str">
        <f t="shared" si="26"/>
        <v/>
      </c>
    </row>
    <row r="212" spans="10:10">
      <c r="J212" s="30" t="str">
        <f t="shared" si="26"/>
        <v/>
      </c>
    </row>
    <row r="213" spans="10:10">
      <c r="J213" s="30" t="str">
        <f t="shared" si="26"/>
        <v/>
      </c>
    </row>
    <row r="214" spans="10:10">
      <c r="J214" s="30" t="str">
        <f t="shared" si="26"/>
        <v/>
      </c>
    </row>
    <row r="215" spans="10:10">
      <c r="J215" s="30" t="str">
        <f t="shared" si="26"/>
        <v/>
      </c>
    </row>
    <row r="216" spans="10:10">
      <c r="J216" s="30" t="str">
        <f t="shared" si="26"/>
        <v/>
      </c>
    </row>
    <row r="217" spans="10:10">
      <c r="J217" s="30" t="str">
        <f t="shared" si="26"/>
        <v/>
      </c>
    </row>
    <row r="218" spans="10:10">
      <c r="J218" s="30" t="str">
        <f t="shared" si="26"/>
        <v/>
      </c>
    </row>
    <row r="219" spans="10:10">
      <c r="J219" s="30" t="str">
        <f t="shared" si="26"/>
        <v/>
      </c>
    </row>
    <row r="220" spans="10:10">
      <c r="J220" s="30" t="str">
        <f t="shared" si="26"/>
        <v/>
      </c>
    </row>
    <row r="221" spans="10:10">
      <c r="J221" s="30" t="str">
        <f t="shared" si="26"/>
        <v/>
      </c>
    </row>
    <row r="222" spans="10:10">
      <c r="J222" s="30" t="str">
        <f t="shared" si="26"/>
        <v/>
      </c>
    </row>
    <row r="223" spans="10:10">
      <c r="J223" s="30" t="str">
        <f t="shared" si="26"/>
        <v/>
      </c>
    </row>
    <row r="224" spans="10:10">
      <c r="J224" s="30" t="str">
        <f t="shared" si="26"/>
        <v/>
      </c>
    </row>
    <row r="225" spans="10:10">
      <c r="J225" s="30" t="str">
        <f t="shared" si="26"/>
        <v/>
      </c>
    </row>
    <row r="226" spans="10:10">
      <c r="J226" s="30" t="str">
        <f t="shared" si="26"/>
        <v/>
      </c>
    </row>
    <row r="227" spans="10:10">
      <c r="J227" s="30" t="str">
        <f t="shared" si="26"/>
        <v/>
      </c>
    </row>
    <row r="228" spans="10:10">
      <c r="J228" s="30" t="str">
        <f t="shared" si="26"/>
        <v/>
      </c>
    </row>
    <row r="229" spans="10:10">
      <c r="J229" s="30" t="str">
        <f t="shared" si="26"/>
        <v/>
      </c>
    </row>
    <row r="230" spans="10:10">
      <c r="J230" s="30" t="str">
        <f t="shared" si="26"/>
        <v/>
      </c>
    </row>
    <row r="231" spans="10:10">
      <c r="J231" s="30" t="str">
        <f t="shared" si="26"/>
        <v/>
      </c>
    </row>
    <row r="232" spans="10:10">
      <c r="J232" s="30" t="str">
        <f t="shared" si="26"/>
        <v/>
      </c>
    </row>
    <row r="233" spans="10:10">
      <c r="J233" s="30" t="str">
        <f t="shared" si="26"/>
        <v/>
      </c>
    </row>
    <row r="234" spans="10:10">
      <c r="J234" s="30" t="str">
        <f t="shared" si="26"/>
        <v/>
      </c>
    </row>
    <row r="235" spans="10:10">
      <c r="J235" s="30" t="str">
        <f t="shared" si="26"/>
        <v/>
      </c>
    </row>
    <row r="236" spans="10:10">
      <c r="J236" s="30" t="str">
        <f t="shared" si="26"/>
        <v/>
      </c>
    </row>
    <row r="237" spans="10:10">
      <c r="J237" s="30" t="str">
        <f t="shared" si="26"/>
        <v/>
      </c>
    </row>
    <row r="238" spans="10:10">
      <c r="J238" s="30" t="str">
        <f t="shared" si="26"/>
        <v/>
      </c>
    </row>
    <row r="239" spans="10:10">
      <c r="J239" s="30" t="str">
        <f t="shared" si="26"/>
        <v/>
      </c>
    </row>
    <row r="240" spans="10:10">
      <c r="J240" s="30" t="str">
        <f t="shared" si="26"/>
        <v/>
      </c>
    </row>
    <row r="241" spans="10:10">
      <c r="J241" s="30" t="str">
        <f t="shared" si="26"/>
        <v/>
      </c>
    </row>
    <row r="242" spans="10:10">
      <c r="J242" s="30" t="str">
        <f t="shared" si="26"/>
        <v/>
      </c>
    </row>
    <row r="243" spans="10:10">
      <c r="J243" s="30" t="str">
        <f t="shared" si="26"/>
        <v/>
      </c>
    </row>
    <row r="244" spans="10:10">
      <c r="J244" s="30" t="str">
        <f t="shared" si="26"/>
        <v/>
      </c>
    </row>
    <row r="245" spans="10:10">
      <c r="J245" s="30" t="str">
        <f t="shared" si="26"/>
        <v/>
      </c>
    </row>
    <row r="246" spans="10:10">
      <c r="J246" s="30" t="str">
        <f t="shared" si="26"/>
        <v/>
      </c>
    </row>
    <row r="247" spans="10:10">
      <c r="J247" s="30" t="str">
        <f t="shared" si="26"/>
        <v/>
      </c>
    </row>
    <row r="248" spans="10:10">
      <c r="J248" s="30" t="str">
        <f t="shared" si="26"/>
        <v/>
      </c>
    </row>
    <row r="249" spans="10:10">
      <c r="J249" s="30" t="str">
        <f t="shared" si="26"/>
        <v/>
      </c>
    </row>
    <row r="250" spans="10:10">
      <c r="J250" s="30" t="str">
        <f t="shared" si="26"/>
        <v/>
      </c>
    </row>
    <row r="251" spans="10:10">
      <c r="J251" s="30" t="str">
        <f t="shared" si="26"/>
        <v/>
      </c>
    </row>
    <row r="252" spans="10:10">
      <c r="J252" s="30" t="str">
        <f t="shared" si="26"/>
        <v/>
      </c>
    </row>
    <row r="253" spans="10:10">
      <c r="J253" s="30" t="str">
        <f t="shared" si="26"/>
        <v/>
      </c>
    </row>
    <row r="254" spans="10:10">
      <c r="J254" s="30" t="str">
        <f t="shared" si="26"/>
        <v/>
      </c>
    </row>
    <row r="255" spans="10:10">
      <c r="J255" s="30" t="str">
        <f t="shared" si="26"/>
        <v/>
      </c>
    </row>
    <row r="256" spans="10:10">
      <c r="J256" s="30" t="str">
        <f t="shared" si="26"/>
        <v/>
      </c>
    </row>
    <row r="257" spans="10:10">
      <c r="J257" s="30" t="str">
        <f t="shared" si="26"/>
        <v/>
      </c>
    </row>
    <row r="258" spans="10:10">
      <c r="J258" s="30" t="str">
        <f t="shared" si="26"/>
        <v/>
      </c>
    </row>
    <row r="259" spans="10:10">
      <c r="J259" s="30" t="str">
        <f t="shared" si="26"/>
        <v/>
      </c>
    </row>
    <row r="260" spans="10:10">
      <c r="J260" s="30" t="str">
        <f t="shared" si="26"/>
        <v/>
      </c>
    </row>
    <row r="261" spans="10:10">
      <c r="J261" s="30" t="str">
        <f t="shared" si="26"/>
        <v/>
      </c>
    </row>
    <row r="262" spans="10:10">
      <c r="J262" s="30" t="str">
        <f t="shared" si="26"/>
        <v/>
      </c>
    </row>
    <row r="263" spans="10:10">
      <c r="J263" s="30" t="str">
        <f t="shared" si="26"/>
        <v/>
      </c>
    </row>
    <row r="264" spans="10:10">
      <c r="J264" s="30" t="str">
        <f t="shared" si="26"/>
        <v/>
      </c>
    </row>
    <row r="265" spans="10:10">
      <c r="J265" s="30" t="str">
        <f t="shared" si="26"/>
        <v/>
      </c>
    </row>
    <row r="266" spans="10:10">
      <c r="J266" s="30" t="str">
        <f t="shared" si="26"/>
        <v/>
      </c>
    </row>
    <row r="267" spans="10:10">
      <c r="J267" s="30" t="str">
        <f t="shared" si="26"/>
        <v/>
      </c>
    </row>
    <row r="268" spans="10:10">
      <c r="J268" s="30" t="str">
        <f t="shared" si="26"/>
        <v/>
      </c>
    </row>
    <row r="269" spans="10:10">
      <c r="J269" s="30" t="str">
        <f t="shared" si="26"/>
        <v/>
      </c>
    </row>
    <row r="270" spans="10:10">
      <c r="J270" s="30" t="str">
        <f t="shared" si="26"/>
        <v/>
      </c>
    </row>
    <row r="271" spans="10:10">
      <c r="J271" s="30" t="str">
        <f t="shared" si="26"/>
        <v/>
      </c>
    </row>
    <row r="272" spans="10:10">
      <c r="J272" s="30" t="str">
        <f t="shared" si="26"/>
        <v/>
      </c>
    </row>
    <row r="273" spans="10:10">
      <c r="J273" s="30" t="str">
        <f t="shared" ref="J273:J336" si="27">IF(G273="","",C273*(G273-D273)*M273)</f>
        <v/>
      </c>
    </row>
    <row r="274" spans="10:10">
      <c r="J274" s="30" t="str">
        <f t="shared" si="27"/>
        <v/>
      </c>
    </row>
    <row r="275" spans="10:10">
      <c r="J275" s="30" t="str">
        <f t="shared" si="27"/>
        <v/>
      </c>
    </row>
    <row r="276" spans="10:10">
      <c r="J276" s="30" t="str">
        <f t="shared" si="27"/>
        <v/>
      </c>
    </row>
    <row r="277" spans="10:10">
      <c r="J277" s="30" t="str">
        <f t="shared" si="27"/>
        <v/>
      </c>
    </row>
    <row r="278" spans="10:10">
      <c r="J278" s="30" t="str">
        <f t="shared" si="27"/>
        <v/>
      </c>
    </row>
    <row r="279" spans="10:10">
      <c r="J279" s="30" t="str">
        <f t="shared" si="27"/>
        <v/>
      </c>
    </row>
    <row r="280" spans="10:10">
      <c r="J280" s="30" t="str">
        <f t="shared" si="27"/>
        <v/>
      </c>
    </row>
    <row r="281" spans="10:10">
      <c r="J281" s="30" t="str">
        <f t="shared" si="27"/>
        <v/>
      </c>
    </row>
    <row r="282" spans="10:10">
      <c r="J282" s="30" t="str">
        <f t="shared" si="27"/>
        <v/>
      </c>
    </row>
    <row r="283" spans="10:10">
      <c r="J283" s="30" t="str">
        <f t="shared" si="27"/>
        <v/>
      </c>
    </row>
    <row r="284" spans="10:10">
      <c r="J284" s="30" t="str">
        <f t="shared" si="27"/>
        <v/>
      </c>
    </row>
    <row r="285" spans="10:10">
      <c r="J285" s="30" t="str">
        <f t="shared" si="27"/>
        <v/>
      </c>
    </row>
    <row r="286" spans="10:10">
      <c r="J286" s="30" t="str">
        <f t="shared" si="27"/>
        <v/>
      </c>
    </row>
    <row r="287" spans="10:10">
      <c r="J287" s="30" t="str">
        <f t="shared" si="27"/>
        <v/>
      </c>
    </row>
    <row r="288" spans="10:10">
      <c r="J288" s="30" t="str">
        <f t="shared" si="27"/>
        <v/>
      </c>
    </row>
    <row r="289" spans="10:10">
      <c r="J289" s="30" t="str">
        <f t="shared" si="27"/>
        <v/>
      </c>
    </row>
    <row r="290" spans="10:10">
      <c r="J290" s="30" t="str">
        <f t="shared" si="27"/>
        <v/>
      </c>
    </row>
    <row r="291" spans="10:10">
      <c r="J291" s="30" t="str">
        <f t="shared" si="27"/>
        <v/>
      </c>
    </row>
    <row r="292" spans="10:10">
      <c r="J292" s="30" t="str">
        <f t="shared" si="27"/>
        <v/>
      </c>
    </row>
    <row r="293" spans="10:10">
      <c r="J293" s="30" t="str">
        <f t="shared" si="27"/>
        <v/>
      </c>
    </row>
    <row r="294" spans="10:10">
      <c r="J294" s="30" t="str">
        <f t="shared" si="27"/>
        <v/>
      </c>
    </row>
    <row r="295" spans="10:10">
      <c r="J295" s="30" t="str">
        <f t="shared" si="27"/>
        <v/>
      </c>
    </row>
    <row r="296" spans="10:10">
      <c r="J296" s="30" t="str">
        <f t="shared" si="27"/>
        <v/>
      </c>
    </row>
    <row r="297" spans="10:10">
      <c r="J297" s="30" t="str">
        <f t="shared" si="27"/>
        <v/>
      </c>
    </row>
    <row r="298" spans="10:10">
      <c r="J298" s="30" t="str">
        <f t="shared" si="27"/>
        <v/>
      </c>
    </row>
    <row r="299" spans="10:10">
      <c r="J299" s="30" t="str">
        <f t="shared" si="27"/>
        <v/>
      </c>
    </row>
    <row r="300" spans="10:10">
      <c r="J300" s="30" t="str">
        <f t="shared" si="27"/>
        <v/>
      </c>
    </row>
    <row r="301" spans="10:10">
      <c r="J301" s="30" t="str">
        <f t="shared" si="27"/>
        <v/>
      </c>
    </row>
    <row r="302" spans="10:10">
      <c r="J302" s="30" t="str">
        <f t="shared" si="27"/>
        <v/>
      </c>
    </row>
    <row r="303" spans="10:10">
      <c r="J303" s="30" t="str">
        <f t="shared" si="27"/>
        <v/>
      </c>
    </row>
    <row r="304" spans="10:10">
      <c r="J304" s="30" t="str">
        <f t="shared" si="27"/>
        <v/>
      </c>
    </row>
    <row r="305" spans="10:10">
      <c r="J305" s="30" t="str">
        <f t="shared" si="27"/>
        <v/>
      </c>
    </row>
    <row r="306" spans="10:10">
      <c r="J306" s="30" t="str">
        <f t="shared" si="27"/>
        <v/>
      </c>
    </row>
    <row r="307" spans="10:10">
      <c r="J307" s="30" t="str">
        <f t="shared" si="27"/>
        <v/>
      </c>
    </row>
    <row r="308" spans="10:10">
      <c r="J308" s="30" t="str">
        <f t="shared" si="27"/>
        <v/>
      </c>
    </row>
    <row r="309" spans="10:10">
      <c r="J309" s="30" t="str">
        <f t="shared" si="27"/>
        <v/>
      </c>
    </row>
    <row r="310" spans="10:10">
      <c r="J310" s="30" t="str">
        <f t="shared" si="27"/>
        <v/>
      </c>
    </row>
    <row r="311" spans="10:10">
      <c r="J311" s="30" t="str">
        <f t="shared" si="27"/>
        <v/>
      </c>
    </row>
    <row r="312" spans="10:10">
      <c r="J312" s="30" t="str">
        <f t="shared" si="27"/>
        <v/>
      </c>
    </row>
    <row r="313" spans="10:10">
      <c r="J313" s="30" t="str">
        <f t="shared" si="27"/>
        <v/>
      </c>
    </row>
    <row r="314" spans="10:10">
      <c r="J314" s="30" t="str">
        <f t="shared" si="27"/>
        <v/>
      </c>
    </row>
    <row r="315" spans="10:10">
      <c r="J315" s="30" t="str">
        <f t="shared" si="27"/>
        <v/>
      </c>
    </row>
    <row r="316" spans="10:10">
      <c r="J316" s="30" t="str">
        <f t="shared" si="27"/>
        <v/>
      </c>
    </row>
    <row r="317" spans="10:10">
      <c r="J317" s="30" t="str">
        <f t="shared" si="27"/>
        <v/>
      </c>
    </row>
    <row r="318" spans="10:10">
      <c r="J318" s="30" t="str">
        <f t="shared" si="27"/>
        <v/>
      </c>
    </row>
    <row r="319" spans="10:10">
      <c r="J319" s="30" t="str">
        <f t="shared" si="27"/>
        <v/>
      </c>
    </row>
    <row r="320" spans="10:10">
      <c r="J320" s="30" t="str">
        <f t="shared" si="27"/>
        <v/>
      </c>
    </row>
    <row r="321" spans="10:10">
      <c r="J321" s="30" t="str">
        <f t="shared" si="27"/>
        <v/>
      </c>
    </row>
    <row r="322" spans="10:10">
      <c r="J322" s="30" t="str">
        <f t="shared" si="27"/>
        <v/>
      </c>
    </row>
    <row r="323" spans="10:10">
      <c r="J323" s="30" t="str">
        <f t="shared" si="27"/>
        <v/>
      </c>
    </row>
    <row r="324" spans="10:10">
      <c r="J324" s="30" t="str">
        <f t="shared" si="27"/>
        <v/>
      </c>
    </row>
    <row r="325" spans="10:10">
      <c r="J325" s="30" t="str">
        <f t="shared" si="27"/>
        <v/>
      </c>
    </row>
    <row r="326" spans="10:10">
      <c r="J326" s="30" t="str">
        <f t="shared" si="27"/>
        <v/>
      </c>
    </row>
    <row r="327" spans="10:10">
      <c r="J327" s="30" t="str">
        <f t="shared" si="27"/>
        <v/>
      </c>
    </row>
    <row r="328" spans="10:10">
      <c r="J328" s="30" t="str">
        <f t="shared" si="27"/>
        <v/>
      </c>
    </row>
    <row r="329" spans="10:10">
      <c r="J329" s="30" t="str">
        <f t="shared" si="27"/>
        <v/>
      </c>
    </row>
    <row r="330" spans="10:10">
      <c r="J330" s="30" t="str">
        <f t="shared" si="27"/>
        <v/>
      </c>
    </row>
    <row r="331" spans="10:10">
      <c r="J331" s="30" t="str">
        <f t="shared" si="27"/>
        <v/>
      </c>
    </row>
    <row r="332" spans="10:10">
      <c r="J332" s="30" t="str">
        <f t="shared" si="27"/>
        <v/>
      </c>
    </row>
    <row r="333" spans="10:10">
      <c r="J333" s="30" t="str">
        <f t="shared" si="27"/>
        <v/>
      </c>
    </row>
    <row r="334" spans="10:10">
      <c r="J334" s="30" t="str">
        <f t="shared" si="27"/>
        <v/>
      </c>
    </row>
    <row r="335" spans="10:10">
      <c r="J335" s="30" t="str">
        <f t="shared" si="27"/>
        <v/>
      </c>
    </row>
    <row r="336" spans="10:10">
      <c r="J336" s="30" t="str">
        <f t="shared" si="27"/>
        <v/>
      </c>
    </row>
    <row r="337" spans="10:10">
      <c r="J337" s="30" t="str">
        <f t="shared" ref="J337:J367" si="28">IF(G337="","",C337*(G337-D337)*M337)</f>
        <v/>
      </c>
    </row>
    <row r="338" spans="10:10">
      <c r="J338" s="30" t="str">
        <f t="shared" si="28"/>
        <v/>
      </c>
    </row>
    <row r="339" spans="10:10">
      <c r="J339" s="30" t="str">
        <f t="shared" si="28"/>
        <v/>
      </c>
    </row>
    <row r="340" spans="10:10">
      <c r="J340" s="30" t="str">
        <f t="shared" si="28"/>
        <v/>
      </c>
    </row>
    <row r="341" spans="10:10">
      <c r="J341" s="30" t="str">
        <f t="shared" si="28"/>
        <v/>
      </c>
    </row>
    <row r="342" spans="10:10">
      <c r="J342" s="30" t="str">
        <f t="shared" si="28"/>
        <v/>
      </c>
    </row>
    <row r="343" spans="10:10">
      <c r="J343" s="30" t="str">
        <f t="shared" si="28"/>
        <v/>
      </c>
    </row>
    <row r="344" spans="10:10">
      <c r="J344" s="30" t="str">
        <f t="shared" si="28"/>
        <v/>
      </c>
    </row>
    <row r="345" spans="10:10">
      <c r="J345" s="30" t="str">
        <f t="shared" si="28"/>
        <v/>
      </c>
    </row>
    <row r="346" spans="10:10">
      <c r="J346" s="30" t="str">
        <f t="shared" si="28"/>
        <v/>
      </c>
    </row>
    <row r="347" spans="10:10">
      <c r="J347" s="30" t="str">
        <f t="shared" si="28"/>
        <v/>
      </c>
    </row>
    <row r="348" spans="10:10">
      <c r="J348" s="30" t="str">
        <f t="shared" si="28"/>
        <v/>
      </c>
    </row>
    <row r="349" spans="10:10">
      <c r="J349" s="30" t="str">
        <f t="shared" si="28"/>
        <v/>
      </c>
    </row>
    <row r="350" spans="10:10">
      <c r="J350" s="30" t="str">
        <f t="shared" si="28"/>
        <v/>
      </c>
    </row>
    <row r="351" spans="10:10">
      <c r="J351" s="30" t="str">
        <f t="shared" si="28"/>
        <v/>
      </c>
    </row>
    <row r="352" spans="10:10">
      <c r="J352" s="30" t="str">
        <f t="shared" si="28"/>
        <v/>
      </c>
    </row>
    <row r="353" spans="10:10">
      <c r="J353" s="30" t="str">
        <f t="shared" si="28"/>
        <v/>
      </c>
    </row>
    <row r="354" spans="10:10">
      <c r="J354" s="30" t="str">
        <f t="shared" si="28"/>
        <v/>
      </c>
    </row>
    <row r="355" spans="10:10">
      <c r="J355" s="30" t="str">
        <f t="shared" si="28"/>
        <v/>
      </c>
    </row>
    <row r="356" spans="10:10">
      <c r="J356" s="30" t="str">
        <f t="shared" si="28"/>
        <v/>
      </c>
    </row>
    <row r="357" spans="10:10">
      <c r="J357" s="30" t="str">
        <f t="shared" si="28"/>
        <v/>
      </c>
    </row>
    <row r="358" spans="10:10">
      <c r="J358" s="30" t="str">
        <f t="shared" si="28"/>
        <v/>
      </c>
    </row>
    <row r="359" spans="10:10">
      <c r="J359" s="30" t="str">
        <f t="shared" si="28"/>
        <v/>
      </c>
    </row>
    <row r="360" spans="10:10">
      <c r="J360" s="30" t="str">
        <f t="shared" si="28"/>
        <v/>
      </c>
    </row>
    <row r="361" spans="10:10">
      <c r="J361" s="30" t="str">
        <f t="shared" si="28"/>
        <v/>
      </c>
    </row>
    <row r="362" spans="10:10">
      <c r="J362" s="30" t="str">
        <f t="shared" si="28"/>
        <v/>
      </c>
    </row>
    <row r="363" spans="10:10">
      <c r="J363" s="30" t="str">
        <f t="shared" si="28"/>
        <v/>
      </c>
    </row>
    <row r="364" spans="10:10">
      <c r="J364" s="30" t="str">
        <f t="shared" si="28"/>
        <v/>
      </c>
    </row>
    <row r="365" spans="10:10">
      <c r="J365" s="30" t="str">
        <f t="shared" si="28"/>
        <v/>
      </c>
    </row>
    <row r="366" spans="10:10">
      <c r="J366" s="30" t="str">
        <f t="shared" si="28"/>
        <v/>
      </c>
    </row>
    <row r="367" spans="10:10">
      <c r="J367" s="30" t="str">
        <f t="shared" si="28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"/>
  <sheetViews>
    <sheetView workbookViewId="0">
      <selection activeCell="B19" sqref="B19"/>
    </sheetView>
  </sheetViews>
  <sheetFormatPr defaultRowHeight="13.5"/>
  <cols>
    <col min="1" max="1" width="11.625" bestFit="1" customWidth="1"/>
    <col min="3" max="3" width="10.5" style="21" bestFit="1" customWidth="1"/>
    <col min="4" max="4" width="12.75" style="16" bestFit="1" customWidth="1"/>
    <col min="5" max="5" width="16.125" style="16" bestFit="1" customWidth="1"/>
    <col min="6" max="6" width="13.875" style="16" bestFit="1" customWidth="1"/>
    <col min="7" max="7" width="9" style="17"/>
  </cols>
  <sheetData>
    <row r="1" spans="1:9">
      <c r="A1" s="3" t="s">
        <v>0</v>
      </c>
      <c r="B1" s="3" t="s">
        <v>1</v>
      </c>
      <c r="C1" s="20" t="s">
        <v>24</v>
      </c>
      <c r="D1" s="18" t="s">
        <v>25</v>
      </c>
      <c r="E1" s="18" t="s">
        <v>26</v>
      </c>
      <c r="F1" s="18" t="s">
        <v>27</v>
      </c>
      <c r="G1" s="19" t="s">
        <v>28</v>
      </c>
      <c r="H1" s="3"/>
      <c r="I1" s="3"/>
    </row>
    <row r="2" spans="1:9">
      <c r="A2" s="2">
        <v>43094</v>
      </c>
      <c r="B2" s="1" t="s">
        <v>14</v>
      </c>
      <c r="C2" s="21">
        <v>-26</v>
      </c>
      <c r="D2" s="16">
        <v>3833.23</v>
      </c>
      <c r="E2" s="16">
        <v>995540</v>
      </c>
      <c r="F2" s="16">
        <v>149496</v>
      </c>
      <c r="G2" s="17">
        <v>1.49E-2</v>
      </c>
    </row>
    <row r="3" spans="1:9">
      <c r="B3" s="1" t="s">
        <v>15</v>
      </c>
      <c r="C3" s="21">
        <v>-26</v>
      </c>
      <c r="D3" s="16">
        <v>3793.85</v>
      </c>
      <c r="E3" s="16">
        <v>984620</v>
      </c>
      <c r="F3" s="16">
        <v>147960</v>
      </c>
      <c r="G3" s="17">
        <v>1.4800000000000001E-2</v>
      </c>
    </row>
    <row r="4" spans="1:9">
      <c r="B4" s="1" t="s">
        <v>16</v>
      </c>
      <c r="C4" s="21">
        <v>-5</v>
      </c>
      <c r="D4" s="16">
        <v>2009.3</v>
      </c>
      <c r="E4" s="16">
        <v>1004000</v>
      </c>
      <c r="F4" s="16">
        <v>150698</v>
      </c>
      <c r="G4" s="17">
        <v>1.5100000000000001E-2</v>
      </c>
    </row>
    <row r="5" spans="1:9">
      <c r="A5" s="4"/>
      <c r="B5" s="3" t="s">
        <v>17</v>
      </c>
      <c r="C5" s="20">
        <v>-31</v>
      </c>
      <c r="D5" s="22">
        <v>6540</v>
      </c>
      <c r="E5" s="22">
        <v>1015250</v>
      </c>
      <c r="F5" s="22">
        <v>152055</v>
      </c>
      <c r="G5" s="23">
        <v>1.52E-2</v>
      </c>
      <c r="H5" s="4"/>
      <c r="I5" s="4"/>
    </row>
    <row r="6" spans="1:9">
      <c r="A6" s="2">
        <v>43095</v>
      </c>
      <c r="B6" s="1" t="s">
        <v>14</v>
      </c>
      <c r="C6" s="21">
        <v>-26</v>
      </c>
      <c r="D6" s="16">
        <v>3833.23</v>
      </c>
      <c r="E6" s="16">
        <v>1006200</v>
      </c>
      <c r="F6" s="16">
        <v>152100</v>
      </c>
      <c r="G6" s="17">
        <v>1.5299999999999999E-2</v>
      </c>
    </row>
    <row r="7" spans="1:9">
      <c r="B7" s="1" t="s">
        <v>15</v>
      </c>
      <c r="C7" s="21">
        <v>-26</v>
      </c>
      <c r="D7" s="16">
        <v>3793.85</v>
      </c>
      <c r="E7" s="16">
        <v>993720</v>
      </c>
      <c r="F7" s="16">
        <v>150540</v>
      </c>
      <c r="G7" s="17">
        <v>1.52E-2</v>
      </c>
    </row>
    <row r="8" spans="1:9">
      <c r="B8" s="1" t="s">
        <v>16</v>
      </c>
      <c r="C8" s="21">
        <v>-5</v>
      </c>
      <c r="D8" s="16">
        <v>2009.3</v>
      </c>
      <c r="E8" s="16">
        <v>1013750</v>
      </c>
      <c r="F8" s="16">
        <v>156563</v>
      </c>
      <c r="G8" s="17">
        <v>1.5100000000000001E-2</v>
      </c>
    </row>
    <row r="9" spans="1:9">
      <c r="A9" s="4"/>
      <c r="B9" s="3" t="s">
        <v>29</v>
      </c>
      <c r="C9" s="20">
        <v>8</v>
      </c>
      <c r="D9" s="22">
        <v>14305</v>
      </c>
      <c r="E9" s="22">
        <v>1145200</v>
      </c>
      <c r="F9" s="22">
        <v>171660</v>
      </c>
      <c r="G9" s="23">
        <v>1.7299999999999999E-2</v>
      </c>
      <c r="H9" s="4"/>
      <c r="I9" s="4"/>
    </row>
    <row r="10" spans="1:9">
      <c r="A10" s="2">
        <v>43096</v>
      </c>
      <c r="B10" s="1" t="s">
        <v>15</v>
      </c>
      <c r="C10" s="21">
        <v>-26</v>
      </c>
      <c r="D10" s="16">
        <v>3793.85</v>
      </c>
      <c r="E10" s="16">
        <v>985920</v>
      </c>
      <c r="F10" s="16">
        <v>148473</v>
      </c>
      <c r="G10" s="17">
        <v>1.4999999999999999E-2</v>
      </c>
    </row>
    <row r="11" spans="1:9">
      <c r="B11" s="1" t="s">
        <v>16</v>
      </c>
      <c r="C11" s="21">
        <v>-5</v>
      </c>
      <c r="D11" s="16">
        <v>2009.3</v>
      </c>
      <c r="E11" s="16">
        <v>985000</v>
      </c>
      <c r="F11" s="16">
        <v>151163</v>
      </c>
      <c r="G11" s="17">
        <v>1.52E-2</v>
      </c>
    </row>
    <row r="12" spans="1:9">
      <c r="B12" s="24" t="s">
        <v>29</v>
      </c>
      <c r="C12" s="25">
        <v>8</v>
      </c>
      <c r="D12" s="26">
        <v>14305</v>
      </c>
      <c r="E12" s="26">
        <v>1133600</v>
      </c>
      <c r="F12" s="26">
        <v>170220</v>
      </c>
      <c r="G12" s="27">
        <v>1.72E-2</v>
      </c>
    </row>
    <row r="13" spans="1:9">
      <c r="B13" s="24" t="s">
        <v>17</v>
      </c>
      <c r="C13" s="21">
        <v>-50</v>
      </c>
      <c r="D13" s="16">
        <v>6585</v>
      </c>
      <c r="E13" s="16">
        <v>1648750</v>
      </c>
      <c r="F13" s="16">
        <v>246938</v>
      </c>
      <c r="G13" s="17">
        <v>2.4899999999999999E-2</v>
      </c>
    </row>
    <row r="14" spans="1:9">
      <c r="A14" s="4"/>
      <c r="B14" s="28" t="s">
        <v>30</v>
      </c>
      <c r="C14" s="20">
        <v>-35</v>
      </c>
      <c r="D14" s="22">
        <v>2864</v>
      </c>
      <c r="E14" s="22">
        <v>1001350</v>
      </c>
      <c r="F14" s="22">
        <v>150360</v>
      </c>
      <c r="G14" s="23">
        <v>1.52E-2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2"/>
  <sheetViews>
    <sheetView topLeftCell="A7" workbookViewId="0">
      <selection activeCell="P5" sqref="P5"/>
    </sheetView>
  </sheetViews>
  <sheetFormatPr defaultRowHeight="13.5"/>
  <cols>
    <col min="1" max="1" width="10.5" bestFit="1" customWidth="1"/>
    <col min="2" max="2" width="12.75" bestFit="1" customWidth="1"/>
    <col min="6" max="6" width="10.5" bestFit="1" customWidth="1"/>
    <col min="7" max="7" width="0" hidden="1" customWidth="1"/>
  </cols>
  <sheetData>
    <row r="1" spans="1:10">
      <c r="A1" t="s">
        <v>87</v>
      </c>
      <c r="B1" t="s">
        <v>81</v>
      </c>
      <c r="C1" t="s">
        <v>82</v>
      </c>
      <c r="D1" t="s">
        <v>83</v>
      </c>
      <c r="E1" t="s">
        <v>84</v>
      </c>
      <c r="F1" t="s">
        <v>88</v>
      </c>
      <c r="G1" t="s">
        <v>85</v>
      </c>
      <c r="H1" t="s">
        <v>86</v>
      </c>
      <c r="I1" t="s">
        <v>90</v>
      </c>
      <c r="J1" t="s">
        <v>91</v>
      </c>
    </row>
    <row r="2" spans="1:10">
      <c r="A2" s="2">
        <v>43116</v>
      </c>
      <c r="B2" s="1" t="s">
        <v>63</v>
      </c>
      <c r="C2" s="1">
        <v>-5</v>
      </c>
      <c r="D2" s="1">
        <v>54880</v>
      </c>
      <c r="E2" s="1"/>
      <c r="F2" s="24"/>
      <c r="G2" s="1">
        <v>5</v>
      </c>
      <c r="H2" s="1" t="str">
        <f t="shared" ref="H2:H12" si="0">IF(E2="","",(E2-D2)*C2*G2)</f>
        <v/>
      </c>
      <c r="I2">
        <v>53710</v>
      </c>
      <c r="J2">
        <f t="shared" ref="J2:J12" si="1">(I2-D2)*C2*G2</f>
        <v>29250</v>
      </c>
    </row>
    <row r="3" spans="1:10">
      <c r="A3" s="2">
        <v>43119</v>
      </c>
      <c r="B3" s="1" t="s">
        <v>61</v>
      </c>
      <c r="C3" s="1">
        <v>26</v>
      </c>
      <c r="D3" s="1">
        <v>3874</v>
      </c>
      <c r="E3" s="1"/>
      <c r="F3" s="24"/>
      <c r="G3" s="1">
        <v>10</v>
      </c>
      <c r="H3" s="1" t="str">
        <f t="shared" si="0"/>
        <v/>
      </c>
      <c r="I3">
        <v>3926</v>
      </c>
      <c r="J3">
        <f t="shared" si="1"/>
        <v>13520</v>
      </c>
    </row>
    <row r="4" spans="1:10">
      <c r="A4" s="2">
        <v>43117</v>
      </c>
      <c r="B4" s="1" t="s">
        <v>72</v>
      </c>
      <c r="C4" s="1">
        <v>-18</v>
      </c>
      <c r="D4" s="1">
        <v>3886</v>
      </c>
      <c r="E4" s="1"/>
      <c r="F4" s="24"/>
      <c r="G4" s="1">
        <v>15</v>
      </c>
      <c r="H4" s="1" t="str">
        <f t="shared" si="0"/>
        <v/>
      </c>
      <c r="I4">
        <v>3836</v>
      </c>
      <c r="J4">
        <f t="shared" si="1"/>
        <v>13500</v>
      </c>
    </row>
    <row r="5" spans="1:10">
      <c r="A5" s="2">
        <v>43118</v>
      </c>
      <c r="B5" s="1" t="s">
        <v>69</v>
      </c>
      <c r="C5" s="1">
        <v>-12</v>
      </c>
      <c r="D5" s="1">
        <v>97244.17</v>
      </c>
      <c r="E5" s="1"/>
      <c r="F5" s="24"/>
      <c r="G5" s="1">
        <v>1</v>
      </c>
      <c r="H5" s="1" t="str">
        <f t="shared" si="0"/>
        <v/>
      </c>
      <c r="I5">
        <v>96830</v>
      </c>
      <c r="J5">
        <f t="shared" si="1"/>
        <v>4970.039999999979</v>
      </c>
    </row>
    <row r="6" spans="1:10">
      <c r="A6" s="2">
        <v>43117</v>
      </c>
      <c r="B6" s="1" t="s">
        <v>77</v>
      </c>
      <c r="C6" s="1">
        <v>-16</v>
      </c>
      <c r="D6" s="1">
        <v>2825.125</v>
      </c>
      <c r="E6" s="1"/>
      <c r="F6" s="24"/>
      <c r="G6" s="1">
        <v>10</v>
      </c>
      <c r="H6" s="1" t="str">
        <f t="shared" si="0"/>
        <v/>
      </c>
      <c r="I6">
        <v>2800</v>
      </c>
      <c r="J6">
        <f t="shared" si="1"/>
        <v>4020</v>
      </c>
    </row>
    <row r="7" spans="1:10">
      <c r="A7" s="2">
        <v>43117</v>
      </c>
      <c r="B7" s="1" t="s">
        <v>68</v>
      </c>
      <c r="C7" s="1">
        <v>-6</v>
      </c>
      <c r="D7" s="1">
        <v>2122</v>
      </c>
      <c r="E7" s="1"/>
      <c r="F7" s="24"/>
      <c r="G7" s="1">
        <v>10</v>
      </c>
      <c r="H7" s="1" t="str">
        <f t="shared" si="0"/>
        <v/>
      </c>
      <c r="I7">
        <v>2097</v>
      </c>
      <c r="J7">
        <f t="shared" si="1"/>
        <v>1500</v>
      </c>
    </row>
    <row r="8" spans="1:10">
      <c r="A8" s="2">
        <v>43119</v>
      </c>
      <c r="B8" s="1" t="s">
        <v>67</v>
      </c>
      <c r="C8" s="1">
        <v>84</v>
      </c>
      <c r="D8" s="1">
        <v>2293</v>
      </c>
      <c r="E8" s="1"/>
      <c r="F8" s="24"/>
      <c r="G8" s="1">
        <v>10</v>
      </c>
      <c r="H8" s="1" t="str">
        <f t="shared" si="0"/>
        <v/>
      </c>
      <c r="I8">
        <v>2294</v>
      </c>
      <c r="J8">
        <f t="shared" si="1"/>
        <v>840</v>
      </c>
    </row>
    <row r="9" spans="1:10">
      <c r="A9" s="2">
        <v>43119</v>
      </c>
      <c r="B9" s="1" t="s">
        <v>76</v>
      </c>
      <c r="C9" s="1">
        <v>-17</v>
      </c>
      <c r="D9" s="1">
        <v>14055</v>
      </c>
      <c r="E9" s="1"/>
      <c r="F9" s="35"/>
      <c r="G9" s="1">
        <v>10</v>
      </c>
      <c r="H9" s="1" t="str">
        <f t="shared" si="0"/>
        <v/>
      </c>
      <c r="I9">
        <v>14065</v>
      </c>
      <c r="J9">
        <f t="shared" si="1"/>
        <v>-1700</v>
      </c>
    </row>
    <row r="10" spans="1:10">
      <c r="A10" s="2">
        <v>43119</v>
      </c>
      <c r="B10" s="1" t="s">
        <v>80</v>
      </c>
      <c r="C10" s="1">
        <v>-8</v>
      </c>
      <c r="D10" s="1">
        <v>3847</v>
      </c>
      <c r="E10" s="1"/>
      <c r="F10" s="24"/>
      <c r="G10" s="1">
        <v>10</v>
      </c>
      <c r="H10" s="1" t="str">
        <f t="shared" si="0"/>
        <v/>
      </c>
      <c r="I10">
        <v>3923</v>
      </c>
      <c r="J10">
        <f t="shared" si="1"/>
        <v>-6080</v>
      </c>
    </row>
    <row r="11" spans="1:10">
      <c r="A11" s="2">
        <v>43118</v>
      </c>
      <c r="B11" s="1" t="s">
        <v>64</v>
      </c>
      <c r="C11" s="1">
        <v>38</v>
      </c>
      <c r="D11" s="1">
        <v>1494</v>
      </c>
      <c r="E11" s="1"/>
      <c r="F11" s="24"/>
      <c r="G11" s="1">
        <v>20</v>
      </c>
      <c r="H11" s="1" t="str">
        <f t="shared" si="0"/>
        <v/>
      </c>
      <c r="I11">
        <v>1485</v>
      </c>
      <c r="J11">
        <f t="shared" si="1"/>
        <v>-6840</v>
      </c>
    </row>
    <row r="12" spans="1:10">
      <c r="A12" s="2">
        <v>43119</v>
      </c>
      <c r="B12" s="1" t="s">
        <v>89</v>
      </c>
      <c r="C12" s="1">
        <v>16</v>
      </c>
      <c r="D12" s="1">
        <v>539</v>
      </c>
      <c r="E12" s="1"/>
      <c r="F12" s="24"/>
      <c r="G12" s="1">
        <v>100</v>
      </c>
      <c r="H12" s="1" t="str">
        <f t="shared" si="0"/>
        <v/>
      </c>
      <c r="I12">
        <v>543.5</v>
      </c>
      <c r="J12">
        <f t="shared" si="1"/>
        <v>7200</v>
      </c>
    </row>
    <row r="13" spans="1:10">
      <c r="A13" s="2">
        <v>43116</v>
      </c>
      <c r="B13" s="1" t="s">
        <v>67</v>
      </c>
      <c r="C13" s="1">
        <v>72</v>
      </c>
      <c r="D13" s="1">
        <v>2269</v>
      </c>
      <c r="E13" s="1">
        <v>2270</v>
      </c>
      <c r="F13" s="35">
        <v>43119</v>
      </c>
      <c r="G13" s="1">
        <v>10</v>
      </c>
      <c r="H13" s="1">
        <f t="shared" ref="H13:H45" si="2">IF(E13="","",(E13-D13)*C13*G13)</f>
        <v>720</v>
      </c>
    </row>
    <row r="14" spans="1:10">
      <c r="A14" s="2">
        <v>43118</v>
      </c>
      <c r="B14" s="1" t="s">
        <v>76</v>
      </c>
      <c r="C14" s="1">
        <v>1</v>
      </c>
      <c r="D14" s="1">
        <v>14180</v>
      </c>
      <c r="E14" s="1">
        <v>14170</v>
      </c>
      <c r="F14" s="35">
        <v>43119</v>
      </c>
      <c r="G14" s="1">
        <v>10</v>
      </c>
      <c r="H14" s="1">
        <f t="shared" si="2"/>
        <v>-100</v>
      </c>
    </row>
    <row r="15" spans="1:10">
      <c r="A15" s="2">
        <v>43117</v>
      </c>
      <c r="B15" s="1" t="s">
        <v>74</v>
      </c>
      <c r="C15" s="1">
        <v>3</v>
      </c>
      <c r="D15" s="1">
        <v>2738</v>
      </c>
      <c r="E15" s="1">
        <v>2734</v>
      </c>
      <c r="F15" s="35">
        <v>43117</v>
      </c>
      <c r="G15" s="1">
        <v>10</v>
      </c>
      <c r="H15" s="1">
        <f t="shared" si="2"/>
        <v>-120</v>
      </c>
    </row>
    <row r="16" spans="1:10">
      <c r="A16" s="2">
        <v>43117</v>
      </c>
      <c r="B16" s="1" t="s">
        <v>78</v>
      </c>
      <c r="C16" s="1">
        <v>-33</v>
      </c>
      <c r="D16" s="1">
        <v>2761</v>
      </c>
      <c r="E16" s="1">
        <v>2762</v>
      </c>
      <c r="F16" s="35">
        <v>43117</v>
      </c>
      <c r="G16" s="1">
        <v>10</v>
      </c>
      <c r="H16" s="1">
        <f t="shared" si="2"/>
        <v>-330</v>
      </c>
    </row>
    <row r="17" spans="1:8">
      <c r="A17" s="2">
        <v>43117</v>
      </c>
      <c r="B17" s="1" t="s">
        <v>75</v>
      </c>
      <c r="C17" s="1">
        <v>10</v>
      </c>
      <c r="D17" s="1">
        <v>2768</v>
      </c>
      <c r="E17" s="1">
        <v>2764</v>
      </c>
      <c r="F17" s="35">
        <v>43118</v>
      </c>
      <c r="G17" s="1">
        <v>10</v>
      </c>
      <c r="H17" s="1">
        <f t="shared" si="2"/>
        <v>-400</v>
      </c>
    </row>
    <row r="18" spans="1:8">
      <c r="A18" s="2">
        <v>43117</v>
      </c>
      <c r="B18" s="1" t="s">
        <v>74</v>
      </c>
      <c r="C18" s="1">
        <v>9</v>
      </c>
      <c r="D18" s="1">
        <v>2732</v>
      </c>
      <c r="E18" s="1">
        <v>2726</v>
      </c>
      <c r="F18" s="35">
        <v>43117</v>
      </c>
      <c r="G18" s="1">
        <v>10</v>
      </c>
      <c r="H18" s="1">
        <f t="shared" si="2"/>
        <v>-540</v>
      </c>
    </row>
    <row r="19" spans="1:8">
      <c r="A19" s="2">
        <v>43117</v>
      </c>
      <c r="B19" s="1" t="s">
        <v>79</v>
      </c>
      <c r="C19" s="1">
        <v>36</v>
      </c>
      <c r="D19" s="1">
        <v>9389.9166666666661</v>
      </c>
      <c r="E19" s="1">
        <v>9385</v>
      </c>
      <c r="F19" s="35">
        <v>43117</v>
      </c>
      <c r="G19" s="1">
        <v>5</v>
      </c>
      <c r="H19" s="1">
        <f t="shared" si="2"/>
        <v>-884.99999999989086</v>
      </c>
    </row>
    <row r="20" spans="1:8">
      <c r="A20" s="2">
        <v>43117</v>
      </c>
      <c r="B20" s="1" t="s">
        <v>62</v>
      </c>
      <c r="C20" s="1">
        <v>-34</v>
      </c>
      <c r="D20" s="1">
        <v>6570</v>
      </c>
      <c r="E20" s="1">
        <v>6575.5882352941171</v>
      </c>
      <c r="F20" s="35">
        <v>43117</v>
      </c>
      <c r="G20" s="1">
        <v>5</v>
      </c>
      <c r="H20" s="1">
        <f t="shared" si="2"/>
        <v>-949.99999999990905</v>
      </c>
    </row>
    <row r="21" spans="1:8">
      <c r="A21" s="2">
        <v>43117</v>
      </c>
      <c r="B21" s="1" t="s">
        <v>64</v>
      </c>
      <c r="C21" s="1">
        <v>61</v>
      </c>
      <c r="D21" s="1">
        <v>1478</v>
      </c>
      <c r="E21" s="1">
        <v>1477</v>
      </c>
      <c r="F21" s="35">
        <v>43118</v>
      </c>
      <c r="G21" s="1">
        <v>20</v>
      </c>
      <c r="H21" s="1">
        <f t="shared" si="2"/>
        <v>-1220</v>
      </c>
    </row>
    <row r="22" spans="1:8">
      <c r="A22" s="2">
        <v>43117</v>
      </c>
      <c r="B22" s="1" t="s">
        <v>76</v>
      </c>
      <c r="C22" s="1">
        <v>6</v>
      </c>
      <c r="D22" s="1">
        <v>14244.166666666668</v>
      </c>
      <c r="E22" s="1">
        <v>14215</v>
      </c>
      <c r="F22" s="35">
        <v>43117</v>
      </c>
      <c r="G22" s="1">
        <v>10</v>
      </c>
      <c r="H22" s="1">
        <f t="shared" si="2"/>
        <v>-1750.0000000000728</v>
      </c>
    </row>
    <row r="23" spans="1:8">
      <c r="A23" s="2">
        <v>43117</v>
      </c>
      <c r="B23" s="1" t="s">
        <v>76</v>
      </c>
      <c r="C23" s="1">
        <v>6</v>
      </c>
      <c r="D23" s="1">
        <v>14229.166666666668</v>
      </c>
      <c r="E23" s="1">
        <v>14190</v>
      </c>
      <c r="F23" s="35">
        <v>43117</v>
      </c>
      <c r="G23" s="1">
        <v>10</v>
      </c>
      <c r="H23" s="1">
        <f t="shared" si="2"/>
        <v>-2350.0000000000728</v>
      </c>
    </row>
    <row r="24" spans="1:8">
      <c r="A24" s="2">
        <v>43115</v>
      </c>
      <c r="B24" s="1" t="s">
        <v>63</v>
      </c>
      <c r="C24" s="1">
        <v>6</v>
      </c>
      <c r="D24" s="1">
        <v>55030</v>
      </c>
      <c r="E24" s="1">
        <v>54950</v>
      </c>
      <c r="F24" s="35">
        <v>43116</v>
      </c>
      <c r="G24" s="1">
        <v>5</v>
      </c>
      <c r="H24" s="1">
        <f t="shared" si="2"/>
        <v>-2400</v>
      </c>
    </row>
    <row r="25" spans="1:8">
      <c r="A25" s="2">
        <v>43117</v>
      </c>
      <c r="B25" s="1" t="s">
        <v>62</v>
      </c>
      <c r="C25" s="1">
        <v>-34</v>
      </c>
      <c r="D25" s="1">
        <v>6570</v>
      </c>
      <c r="E25" s="1">
        <v>6585</v>
      </c>
      <c r="F25" s="35">
        <v>43117</v>
      </c>
      <c r="G25" s="1">
        <v>5</v>
      </c>
      <c r="H25" s="1">
        <f t="shared" si="2"/>
        <v>-2550</v>
      </c>
    </row>
    <row r="26" spans="1:8">
      <c r="A26" s="2">
        <v>43117</v>
      </c>
      <c r="B26" s="1" t="s">
        <v>76</v>
      </c>
      <c r="C26" s="1">
        <v>-7</v>
      </c>
      <c r="D26" s="1">
        <v>14200</v>
      </c>
      <c r="E26" s="1">
        <v>14240</v>
      </c>
      <c r="F26" s="35">
        <v>43117</v>
      </c>
      <c r="G26" s="1">
        <v>10</v>
      </c>
      <c r="H26" s="1">
        <f t="shared" si="2"/>
        <v>-2800</v>
      </c>
    </row>
    <row r="27" spans="1:8">
      <c r="A27" s="2">
        <v>43117</v>
      </c>
      <c r="B27" s="1" t="s">
        <v>79</v>
      </c>
      <c r="C27" s="1">
        <v>36</v>
      </c>
      <c r="D27" s="1">
        <v>9438.1388888888887</v>
      </c>
      <c r="E27" s="1">
        <v>9421.9444444444434</v>
      </c>
      <c r="F27" s="35">
        <v>43117</v>
      </c>
      <c r="G27" s="1">
        <v>5</v>
      </c>
      <c r="H27" s="1">
        <f t="shared" si="2"/>
        <v>-2915.0000000001455</v>
      </c>
    </row>
    <row r="28" spans="1:8">
      <c r="A28" s="2">
        <v>43117</v>
      </c>
      <c r="B28" s="1" t="s">
        <v>73</v>
      </c>
      <c r="C28" s="1">
        <v>7</v>
      </c>
      <c r="D28" s="1">
        <v>281.64999999999998</v>
      </c>
      <c r="E28" s="1">
        <v>281.14999999999998</v>
      </c>
      <c r="F28" s="35">
        <v>43117</v>
      </c>
      <c r="G28" s="1">
        <v>1000</v>
      </c>
      <c r="H28" s="1">
        <f t="shared" si="2"/>
        <v>-3500</v>
      </c>
    </row>
    <row r="29" spans="1:8">
      <c r="A29" s="2">
        <v>43117</v>
      </c>
      <c r="B29" s="1" t="s">
        <v>72</v>
      </c>
      <c r="C29" s="1">
        <v>-17</v>
      </c>
      <c r="D29" s="1">
        <v>3880</v>
      </c>
      <c r="E29" s="1">
        <v>3895</v>
      </c>
      <c r="F29" s="35">
        <v>43117</v>
      </c>
      <c r="G29" s="1">
        <v>15</v>
      </c>
      <c r="H29" s="1">
        <f t="shared" si="2"/>
        <v>-3825</v>
      </c>
    </row>
    <row r="30" spans="1:8">
      <c r="A30" s="2">
        <v>43115</v>
      </c>
      <c r="B30" s="1" t="s">
        <v>67</v>
      </c>
      <c r="C30" s="1">
        <v>64</v>
      </c>
      <c r="D30" s="1">
        <v>2271</v>
      </c>
      <c r="E30" s="1">
        <v>2265</v>
      </c>
      <c r="F30" s="35">
        <v>43115</v>
      </c>
      <c r="G30" s="1">
        <v>10</v>
      </c>
      <c r="H30" s="1">
        <f t="shared" si="2"/>
        <v>-3840</v>
      </c>
    </row>
    <row r="31" spans="1:8">
      <c r="A31" s="2">
        <v>43119</v>
      </c>
      <c r="B31" s="1" t="s">
        <v>76</v>
      </c>
      <c r="C31" s="1">
        <v>-17</v>
      </c>
      <c r="D31" s="1">
        <v>14155</v>
      </c>
      <c r="E31" s="1">
        <v>14185</v>
      </c>
      <c r="F31" s="35">
        <v>43119</v>
      </c>
      <c r="G31" s="1">
        <v>10</v>
      </c>
      <c r="H31" s="1">
        <f t="shared" si="2"/>
        <v>-5100</v>
      </c>
    </row>
    <row r="32" spans="1:8">
      <c r="A32" s="2">
        <v>43117</v>
      </c>
      <c r="B32" s="1" t="s">
        <v>61</v>
      </c>
      <c r="C32" s="1">
        <v>-31</v>
      </c>
      <c r="D32" s="1">
        <v>3804.9354838709678</v>
      </c>
      <c r="E32" s="1">
        <v>3826</v>
      </c>
      <c r="F32" s="35">
        <v>43117</v>
      </c>
      <c r="G32" s="1">
        <v>10</v>
      </c>
      <c r="H32" s="1">
        <f t="shared" si="2"/>
        <v>-6529.9999999999818</v>
      </c>
    </row>
    <row r="33" spans="1:8">
      <c r="A33" s="2">
        <v>43115</v>
      </c>
      <c r="B33" s="1" t="s">
        <v>71</v>
      </c>
      <c r="C33" s="1">
        <v>-51</v>
      </c>
      <c r="D33" s="1">
        <v>6444</v>
      </c>
      <c r="E33" s="1">
        <v>6472</v>
      </c>
      <c r="F33" s="35">
        <v>43115</v>
      </c>
      <c r="G33" s="1">
        <v>5</v>
      </c>
      <c r="H33" s="1">
        <f t="shared" si="2"/>
        <v>-7140</v>
      </c>
    </row>
    <row r="34" spans="1:8">
      <c r="A34" s="2">
        <v>43117</v>
      </c>
      <c r="B34" s="1" t="s">
        <v>76</v>
      </c>
      <c r="C34" s="1">
        <v>-16</v>
      </c>
      <c r="D34" s="1">
        <v>14129.6875</v>
      </c>
      <c r="E34" s="1">
        <v>14175</v>
      </c>
      <c r="F34" s="35">
        <v>43118</v>
      </c>
      <c r="G34" s="1">
        <v>10</v>
      </c>
      <c r="H34" s="1">
        <f t="shared" si="2"/>
        <v>-7250</v>
      </c>
    </row>
    <row r="35" spans="1:8">
      <c r="A35" s="2">
        <v>43115</v>
      </c>
      <c r="B35" s="1" t="s">
        <v>68</v>
      </c>
      <c r="C35" s="1">
        <v>89</v>
      </c>
      <c r="D35" s="1">
        <v>2150</v>
      </c>
      <c r="E35" s="1">
        <v>2137</v>
      </c>
      <c r="F35" s="35">
        <v>43115</v>
      </c>
      <c r="G35" s="1">
        <v>10</v>
      </c>
      <c r="H35" s="1">
        <f t="shared" si="2"/>
        <v>-11570</v>
      </c>
    </row>
    <row r="36" spans="1:8">
      <c r="A36" s="2">
        <v>43117</v>
      </c>
      <c r="B36" s="1" t="s">
        <v>68</v>
      </c>
      <c r="C36" s="1">
        <v>133</v>
      </c>
      <c r="D36" s="1">
        <v>2132</v>
      </c>
      <c r="E36" s="1">
        <v>2123</v>
      </c>
      <c r="F36" s="35">
        <v>43117</v>
      </c>
      <c r="G36" s="1">
        <v>10</v>
      </c>
      <c r="H36" s="1">
        <f t="shared" si="2"/>
        <v>-11970</v>
      </c>
    </row>
    <row r="37" spans="1:8">
      <c r="A37" s="2">
        <v>43115</v>
      </c>
      <c r="B37" s="1" t="s">
        <v>65</v>
      </c>
      <c r="C37" s="1">
        <v>30</v>
      </c>
      <c r="D37" s="1">
        <v>633</v>
      </c>
      <c r="E37" s="1">
        <v>629</v>
      </c>
      <c r="F37" s="35">
        <v>43115</v>
      </c>
      <c r="G37" s="1">
        <v>100</v>
      </c>
      <c r="H37" s="1">
        <f t="shared" si="2"/>
        <v>-12000</v>
      </c>
    </row>
    <row r="38" spans="1:8">
      <c r="A38" s="2">
        <v>43115</v>
      </c>
      <c r="B38" s="1" t="s">
        <v>63</v>
      </c>
      <c r="C38" s="1">
        <v>-10</v>
      </c>
      <c r="D38" s="1">
        <v>54520</v>
      </c>
      <c r="E38" s="1">
        <v>54826</v>
      </c>
      <c r="F38" s="35">
        <v>43115</v>
      </c>
      <c r="G38" s="1">
        <v>5</v>
      </c>
      <c r="H38" s="1">
        <f t="shared" si="2"/>
        <v>-15300</v>
      </c>
    </row>
    <row r="39" spans="1:8">
      <c r="A39" s="35">
        <v>43112</v>
      </c>
      <c r="B39" s="1" t="s">
        <v>61</v>
      </c>
      <c r="C39" s="1">
        <v>-30</v>
      </c>
      <c r="D39" s="1">
        <v>3781.333333333333</v>
      </c>
      <c r="E39" s="1">
        <v>3834</v>
      </c>
      <c r="F39" s="35">
        <v>43117</v>
      </c>
      <c r="G39" s="1">
        <v>10</v>
      </c>
      <c r="H39" s="1">
        <f t="shared" si="2"/>
        <v>-15800.000000000091</v>
      </c>
    </row>
    <row r="40" spans="1:8">
      <c r="A40" s="2">
        <v>43115</v>
      </c>
      <c r="B40" s="1" t="s">
        <v>64</v>
      </c>
      <c r="C40" s="1">
        <v>50</v>
      </c>
      <c r="D40" s="1">
        <v>1491</v>
      </c>
      <c r="E40" s="1">
        <v>1472</v>
      </c>
      <c r="F40" s="35">
        <v>43117</v>
      </c>
      <c r="G40" s="1">
        <v>20</v>
      </c>
      <c r="H40" s="1">
        <f t="shared" si="2"/>
        <v>-19000</v>
      </c>
    </row>
    <row r="41" spans="1:8">
      <c r="A41" s="2">
        <v>43115</v>
      </c>
      <c r="B41" s="1" t="s">
        <v>70</v>
      </c>
      <c r="C41" s="1">
        <v>1</v>
      </c>
      <c r="D41" s="1">
        <v>6293.6</v>
      </c>
      <c r="E41" s="1">
        <v>6196</v>
      </c>
      <c r="F41" s="35">
        <v>43115</v>
      </c>
      <c r="G41" s="1">
        <v>200</v>
      </c>
      <c r="H41" s="1">
        <f t="shared" si="2"/>
        <v>-19520.000000000073</v>
      </c>
    </row>
    <row r="42" spans="1:8">
      <c r="A42" s="2">
        <v>43115</v>
      </c>
      <c r="B42" s="1" t="s">
        <v>66</v>
      </c>
      <c r="C42" s="1">
        <v>76</v>
      </c>
      <c r="D42" s="1">
        <v>5680</v>
      </c>
      <c r="E42" s="1">
        <v>5624</v>
      </c>
      <c r="F42" s="35">
        <v>43117</v>
      </c>
      <c r="G42" s="1">
        <v>5</v>
      </c>
      <c r="H42" s="1">
        <f t="shared" si="2"/>
        <v>-21280</v>
      </c>
    </row>
    <row r="43" spans="1:8">
      <c r="A43" s="2">
        <v>43116</v>
      </c>
      <c r="B43" s="1" t="s">
        <v>72</v>
      </c>
      <c r="C43" s="1">
        <v>32</v>
      </c>
      <c r="D43" s="1">
        <v>3927</v>
      </c>
      <c r="E43" s="1">
        <v>3879</v>
      </c>
      <c r="F43" s="35">
        <v>43117</v>
      </c>
      <c r="G43" s="1">
        <v>15</v>
      </c>
      <c r="H43" s="1">
        <f t="shared" si="2"/>
        <v>-23040</v>
      </c>
    </row>
    <row r="44" spans="1:8">
      <c r="A44" s="35">
        <v>43112</v>
      </c>
      <c r="B44" s="1" t="s">
        <v>62</v>
      </c>
      <c r="C44" s="1">
        <v>40</v>
      </c>
      <c r="D44" s="1">
        <v>6795</v>
      </c>
      <c r="E44" s="1">
        <v>6640</v>
      </c>
      <c r="F44" s="35">
        <v>43117</v>
      </c>
      <c r="G44" s="1">
        <v>5</v>
      </c>
      <c r="H44" s="1">
        <f t="shared" si="2"/>
        <v>-31000</v>
      </c>
    </row>
    <row r="45" spans="1:8">
      <c r="A45" s="2">
        <v>43115</v>
      </c>
      <c r="B45" s="1" t="s">
        <v>69</v>
      </c>
      <c r="C45" s="1">
        <v>19</v>
      </c>
      <c r="D45" s="1">
        <v>99620</v>
      </c>
      <c r="E45" s="1">
        <v>97180</v>
      </c>
      <c r="F45" s="35">
        <v>43117</v>
      </c>
      <c r="G45" s="1">
        <v>1</v>
      </c>
      <c r="H45" s="1">
        <f t="shared" si="2"/>
        <v>-46360</v>
      </c>
    </row>
    <row r="47" spans="1:8">
      <c r="B47" s="1"/>
      <c r="C47" s="1"/>
    </row>
    <row r="48" spans="1:8">
      <c r="A48" s="2"/>
      <c r="B48" s="39"/>
      <c r="C48" s="15"/>
    </row>
    <row r="49" spans="1:3">
      <c r="A49" s="2"/>
      <c r="B49" s="39"/>
      <c r="C49" s="15"/>
    </row>
    <row r="50" spans="1:3">
      <c r="A50" s="2"/>
      <c r="B50" s="39"/>
      <c r="C50" s="15"/>
    </row>
    <row r="51" spans="1:3">
      <c r="A51" s="2"/>
      <c r="B51" s="39"/>
      <c r="C51" s="15"/>
    </row>
    <row r="52" spans="1:3">
      <c r="A52" s="2"/>
      <c r="B52" s="39"/>
      <c r="C52" s="15"/>
    </row>
  </sheetData>
  <sortState ref="A2:J11">
    <sortCondition descending="1" ref="J2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权益</vt:lpstr>
      <vt:lpstr>成交记录</vt:lpstr>
      <vt:lpstr>持仓记录</vt:lpstr>
      <vt:lpstr>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2018-01-24T05:53:07Z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a5281842-cfec-4ec0-87b5-0a26ce53f1d6</vt:lpwstr>
  </property>
</Properties>
</file>