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asic Job\交割套利\"/>
    </mc:Choice>
  </mc:AlternateContent>
  <bookViews>
    <workbookView xWindow="990" yWindow="2595" windowWidth="28035" windowHeight="11505" activeTab="1"/>
  </bookViews>
  <sheets>
    <sheet name="Windows" sheetId="4" r:id="rId1"/>
    <sheet name="Information" sheetId="1" r:id="rId2"/>
    <sheet name="Calcu" sheetId="2" r:id="rId3"/>
    <sheet name="fetching" sheetId="3" r:id="rId4"/>
    <sheet name="report" sheetId="5" r:id="rId5"/>
  </sheets>
  <definedNames>
    <definedName name="_xlnm._FilterDatabase" localSheetId="2" hidden="1">Calcu!$B$2:$V$43</definedName>
    <definedName name="brokerfee">Information!$C$49</definedName>
    <definedName name="mf">Information!$C$52</definedName>
    <definedName name="rf">Information!$C$47</definedName>
    <definedName name="solver_adj" localSheetId="2" hidden="1">Calcu!$K$4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Calcu!$A$4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R4" i="5" l="1"/>
  <c r="J17" i="1"/>
  <c r="J16" i="1"/>
  <c r="J15" i="1"/>
  <c r="J12" i="1"/>
  <c r="J11" i="1"/>
  <c r="J10" i="1"/>
  <c r="J9" i="1"/>
  <c r="T2" i="4" l="1"/>
  <c r="G2" i="4" s="1"/>
  <c r="H4" i="5" s="1"/>
  <c r="J22" i="4" l="1"/>
  <c r="I24" i="5" s="1"/>
  <c r="J23" i="4"/>
  <c r="I25" i="5" s="1"/>
  <c r="J24" i="4"/>
  <c r="I26" i="5" s="1"/>
  <c r="J25" i="4"/>
  <c r="I27" i="5" s="1"/>
  <c r="J26" i="4"/>
  <c r="I28" i="5" s="1"/>
  <c r="J27" i="4"/>
  <c r="I29" i="5" s="1"/>
  <c r="J28" i="4"/>
  <c r="I30" i="5" s="1"/>
  <c r="J29" i="4"/>
  <c r="I31" i="5" s="1"/>
  <c r="J30" i="4"/>
  <c r="I32" i="5" s="1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C52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3" i="2"/>
  <c r="M4" i="2"/>
  <c r="M5" i="2"/>
  <c r="M6" i="2"/>
  <c r="M7" i="2"/>
  <c r="M8" i="2"/>
  <c r="M19" i="2"/>
  <c r="M20" i="2"/>
  <c r="M22" i="2"/>
  <c r="M23" i="2"/>
  <c r="M24" i="2"/>
  <c r="M32" i="2"/>
  <c r="M33" i="2"/>
  <c r="M34" i="2"/>
  <c r="M35" i="2"/>
  <c r="M36" i="2"/>
  <c r="M37" i="2"/>
  <c r="M38" i="2"/>
  <c r="M39" i="2"/>
  <c r="M40" i="2"/>
  <c r="M41" i="2"/>
  <c r="M42" i="2"/>
  <c r="M43" i="2"/>
  <c r="M3" i="2"/>
  <c r="F4" i="2"/>
  <c r="L4" i="2" s="1"/>
  <c r="F5" i="2"/>
  <c r="L5" i="2" s="1"/>
  <c r="F6" i="2"/>
  <c r="L6" i="2" s="1"/>
  <c r="F7" i="2"/>
  <c r="L7" i="2" s="1"/>
  <c r="F8" i="2"/>
  <c r="L8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16" i="2"/>
  <c r="L16" i="2" s="1"/>
  <c r="F17" i="2"/>
  <c r="L17" i="2" s="1"/>
  <c r="F18" i="2"/>
  <c r="L18" i="2" s="1"/>
  <c r="F19" i="2"/>
  <c r="L19" i="2" s="1"/>
  <c r="F20" i="2"/>
  <c r="L20" i="2" s="1"/>
  <c r="F21" i="2"/>
  <c r="L21" i="2" s="1"/>
  <c r="F22" i="2"/>
  <c r="L22" i="2" s="1"/>
  <c r="F23" i="2"/>
  <c r="L23" i="2" s="1"/>
  <c r="F24" i="2"/>
  <c r="L24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32" i="2"/>
  <c r="L32" i="2" s="1"/>
  <c r="F33" i="2"/>
  <c r="L33" i="2" s="1"/>
  <c r="F34" i="2"/>
  <c r="L34" i="2" s="1"/>
  <c r="F35" i="2"/>
  <c r="L35" i="2" s="1"/>
  <c r="F36" i="2"/>
  <c r="L36" i="2" s="1"/>
  <c r="F37" i="2"/>
  <c r="L37" i="2" s="1"/>
  <c r="F38" i="2"/>
  <c r="L38" i="2" s="1"/>
  <c r="F39" i="2"/>
  <c r="L39" i="2" s="1"/>
  <c r="F40" i="2"/>
  <c r="L40" i="2" s="1"/>
  <c r="F41" i="2"/>
  <c r="L41" i="2" s="1"/>
  <c r="F42" i="2"/>
  <c r="L42" i="2" s="1"/>
  <c r="F43" i="2"/>
  <c r="L43" i="2" s="1"/>
  <c r="F3" i="2"/>
  <c r="L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C4" i="2"/>
  <c r="C5" i="2"/>
  <c r="C6" i="2"/>
  <c r="C7" i="2"/>
  <c r="C8" i="2"/>
  <c r="C9" i="2"/>
  <c r="C10" i="2"/>
  <c r="C11" i="2"/>
  <c r="C12" i="2"/>
  <c r="C13" i="2"/>
  <c r="Q13" i="2" s="1"/>
  <c r="P13" i="2" s="1"/>
  <c r="C14" i="2"/>
  <c r="Q14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Q28" i="2" s="1"/>
  <c r="S28" i="2" s="1"/>
  <c r="C29" i="2"/>
  <c r="C30" i="2"/>
  <c r="C31" i="2"/>
  <c r="Q31" i="2" s="1"/>
  <c r="C32" i="2"/>
  <c r="C33" i="2"/>
  <c r="C34" i="2"/>
  <c r="C35" i="2"/>
  <c r="C36" i="2"/>
  <c r="C37" i="2"/>
  <c r="Q37" i="2" s="1"/>
  <c r="C38" i="2"/>
  <c r="C39" i="2"/>
  <c r="C40" i="2"/>
  <c r="C41" i="2"/>
  <c r="Q41" i="2" s="1"/>
  <c r="C42" i="2"/>
  <c r="Q42" i="2" s="1"/>
  <c r="C43" i="2"/>
  <c r="Q43" i="2" s="1"/>
  <c r="C3" i="2"/>
  <c r="C2" i="2"/>
  <c r="B4" i="2"/>
  <c r="B3" i="3" s="1"/>
  <c r="B5" i="2"/>
  <c r="E4" i="3" s="1"/>
  <c r="I5" i="2" s="1"/>
  <c r="B6" i="2"/>
  <c r="B7" i="2"/>
  <c r="B8" i="2"/>
  <c r="B9" i="2"/>
  <c r="E8" i="3" s="1"/>
  <c r="I9" i="2" s="1"/>
  <c r="B10" i="2"/>
  <c r="A9" i="3" s="1"/>
  <c r="B11" i="2"/>
  <c r="B10" i="3" s="1"/>
  <c r="B12" i="2"/>
  <c r="B11" i="3" s="1"/>
  <c r="B13" i="2"/>
  <c r="E12" i="3" s="1"/>
  <c r="I13" i="2" s="1"/>
  <c r="B14" i="2"/>
  <c r="B15" i="2"/>
  <c r="B16" i="2"/>
  <c r="B15" i="3" s="1"/>
  <c r="B17" i="2"/>
  <c r="A16" i="3" s="1"/>
  <c r="B18" i="2"/>
  <c r="E17" i="3" s="1"/>
  <c r="I18" i="2" s="1"/>
  <c r="B19" i="2"/>
  <c r="E18" i="3" s="1"/>
  <c r="I19" i="2" s="1"/>
  <c r="B20" i="2"/>
  <c r="E19" i="3" s="1"/>
  <c r="I20" i="2" s="1"/>
  <c r="B21" i="2"/>
  <c r="A20" i="3" s="1"/>
  <c r="B22" i="2"/>
  <c r="B21" i="3" s="1"/>
  <c r="B23" i="2"/>
  <c r="A22" i="3" s="1"/>
  <c r="B24" i="2"/>
  <c r="A23" i="3" s="1"/>
  <c r="B25" i="2"/>
  <c r="B24" i="3" s="1"/>
  <c r="B26" i="2"/>
  <c r="E25" i="3" s="1"/>
  <c r="I26" i="2" s="1"/>
  <c r="B27" i="2"/>
  <c r="E26" i="3" s="1"/>
  <c r="I27" i="2" s="1"/>
  <c r="B28" i="2"/>
  <c r="E27" i="3" s="1"/>
  <c r="I28" i="2" s="1"/>
  <c r="B29" i="2"/>
  <c r="A28" i="3" s="1"/>
  <c r="B30" i="2"/>
  <c r="B29" i="3" s="1"/>
  <c r="B31" i="2"/>
  <c r="A30" i="3" s="1"/>
  <c r="B32" i="2"/>
  <c r="B33" i="2"/>
  <c r="A32" i="3" s="1"/>
  <c r="B34" i="2"/>
  <c r="E33" i="3" s="1"/>
  <c r="I34" i="2" s="1"/>
  <c r="B35" i="2"/>
  <c r="B34" i="3" s="1"/>
  <c r="B36" i="2"/>
  <c r="E35" i="3" s="1"/>
  <c r="I36" i="2" s="1"/>
  <c r="B37" i="2"/>
  <c r="A36" i="3" s="1"/>
  <c r="B38" i="2"/>
  <c r="B39" i="2"/>
  <c r="B40" i="2"/>
  <c r="B41" i="2"/>
  <c r="E40" i="3" s="1"/>
  <c r="I41" i="2" s="1"/>
  <c r="B42" i="2"/>
  <c r="B41" i="3" s="1"/>
  <c r="B43" i="2"/>
  <c r="B42" i="3" s="1"/>
  <c r="C24" i="3"/>
  <c r="C29" i="3"/>
  <c r="C34" i="3"/>
  <c r="C21" i="3"/>
  <c r="C15" i="3"/>
  <c r="C42" i="3"/>
  <c r="C10" i="3"/>
  <c r="C11" i="3"/>
  <c r="C41" i="3"/>
  <c r="C3" i="3"/>
  <c r="G12" i="2" l="1"/>
  <c r="G43" i="2"/>
  <c r="G25" i="2"/>
  <c r="G35" i="2"/>
  <c r="G30" i="2"/>
  <c r="G11" i="2"/>
  <c r="G22" i="2"/>
  <c r="G42" i="2"/>
  <c r="G16" i="2"/>
  <c r="G4" i="2"/>
  <c r="P37" i="2"/>
  <c r="P42" i="2"/>
  <c r="S41" i="2"/>
  <c r="P41" i="2"/>
  <c r="S31" i="2"/>
  <c r="P31" i="2"/>
  <c r="S14" i="2"/>
  <c r="P14" i="2"/>
  <c r="P43" i="2"/>
  <c r="S43" i="2"/>
  <c r="P28" i="2"/>
  <c r="S13" i="2"/>
  <c r="S42" i="2"/>
  <c r="S37" i="2"/>
  <c r="A10" i="3"/>
  <c r="E10" i="3"/>
  <c r="E30" i="3"/>
  <c r="E41" i="3"/>
  <c r="A17" i="3"/>
  <c r="A11" i="3"/>
  <c r="E9" i="3"/>
  <c r="A42" i="3"/>
  <c r="E42" i="3"/>
  <c r="B9" i="3"/>
  <c r="B17" i="3"/>
  <c r="A19" i="3"/>
  <c r="A41" i="3"/>
  <c r="A18" i="3"/>
  <c r="B33" i="3"/>
  <c r="B28" i="3"/>
  <c r="E32" i="3"/>
  <c r="A35" i="3"/>
  <c r="B16" i="3"/>
  <c r="B27" i="3"/>
  <c r="B32" i="3"/>
  <c r="E24" i="3"/>
  <c r="A34" i="3"/>
  <c r="B26" i="3"/>
  <c r="E16" i="3"/>
  <c r="E23" i="3"/>
  <c r="A33" i="3"/>
  <c r="E11" i="3"/>
  <c r="E22" i="3"/>
  <c r="B20" i="3"/>
  <c r="B19" i="3"/>
  <c r="A26" i="3"/>
  <c r="B30" i="3"/>
  <c r="B18" i="3"/>
  <c r="E3" i="3"/>
  <c r="E34" i="3"/>
  <c r="A27" i="3"/>
  <c r="A25" i="3"/>
  <c r="A3" i="3"/>
  <c r="E15" i="3"/>
  <c r="A15" i="3"/>
  <c r="A39" i="3"/>
  <c r="E39" i="3"/>
  <c r="E31" i="3"/>
  <c r="B31" i="3"/>
  <c r="A31" i="3"/>
  <c r="A7" i="3"/>
  <c r="E7" i="3"/>
  <c r="E6" i="3"/>
  <c r="A6" i="3"/>
  <c r="B6" i="3"/>
  <c r="B8" i="3"/>
  <c r="B23" i="3"/>
  <c r="B39" i="3"/>
  <c r="B40" i="3"/>
  <c r="E38" i="3"/>
  <c r="A38" i="3"/>
  <c r="A14" i="3"/>
  <c r="E14" i="3"/>
  <c r="B14" i="3"/>
  <c r="A37" i="3"/>
  <c r="E37" i="3"/>
  <c r="B37" i="3"/>
  <c r="A29" i="3"/>
  <c r="E29" i="3"/>
  <c r="E21" i="3"/>
  <c r="A21" i="3"/>
  <c r="E13" i="3"/>
  <c r="A13" i="3"/>
  <c r="B13" i="3"/>
  <c r="B5" i="3"/>
  <c r="E5" i="3"/>
  <c r="A5" i="3"/>
  <c r="A40" i="3"/>
  <c r="A24" i="3"/>
  <c r="A8" i="3"/>
  <c r="B7" i="3"/>
  <c r="B22" i="3"/>
  <c r="B38" i="3"/>
  <c r="E20" i="3"/>
  <c r="B12" i="3"/>
  <c r="B4" i="3"/>
  <c r="B25" i="3"/>
  <c r="B35" i="3"/>
  <c r="E36" i="3"/>
  <c r="E28" i="3"/>
  <c r="B36" i="3"/>
  <c r="A12" i="3"/>
  <c r="A4" i="3"/>
  <c r="B3" i="2"/>
  <c r="J25" i="1"/>
  <c r="J21" i="1"/>
  <c r="J18" i="1"/>
  <c r="J29" i="1"/>
  <c r="F29" i="3"/>
  <c r="F12" i="3"/>
  <c r="F18" i="3"/>
  <c r="C7" i="3"/>
  <c r="F3" i="3"/>
  <c r="C16" i="3"/>
  <c r="F9" i="3"/>
  <c r="F39" i="3"/>
  <c r="C4" i="3"/>
  <c r="C20" i="3"/>
  <c r="F6" i="3"/>
  <c r="F25" i="3"/>
  <c r="F33" i="3"/>
  <c r="F42" i="3"/>
  <c r="F28" i="3"/>
  <c r="F32" i="3"/>
  <c r="F10" i="3"/>
  <c r="C32" i="3"/>
  <c r="C28" i="3"/>
  <c r="C37" i="3"/>
  <c r="F24" i="3"/>
  <c r="F15" i="3"/>
  <c r="F4" i="3"/>
  <c r="F19" i="3"/>
  <c r="F37" i="3"/>
  <c r="F16" i="3"/>
  <c r="F8" i="3"/>
  <c r="C18" i="3"/>
  <c r="C6" i="3"/>
  <c r="F23" i="3"/>
  <c r="F20" i="3"/>
  <c r="F40" i="3"/>
  <c r="C22" i="3"/>
  <c r="F5" i="3"/>
  <c r="F26" i="3"/>
  <c r="F17" i="3"/>
  <c r="C23" i="3"/>
  <c r="F27" i="3"/>
  <c r="C30" i="3"/>
  <c r="C9" i="3"/>
  <c r="C31" i="3"/>
  <c r="C13" i="3"/>
  <c r="C5" i="3"/>
  <c r="C39" i="3"/>
  <c r="C12" i="3"/>
  <c r="F21" i="3"/>
  <c r="F22" i="3"/>
  <c r="F35" i="3"/>
  <c r="F13" i="3"/>
  <c r="F36" i="3"/>
  <c r="C17" i="3"/>
  <c r="C25" i="3"/>
  <c r="F34" i="3"/>
  <c r="C14" i="3"/>
  <c r="C33" i="3"/>
  <c r="C38" i="3"/>
  <c r="F30" i="3"/>
  <c r="F14" i="3"/>
  <c r="F31" i="3"/>
  <c r="C35" i="3"/>
  <c r="C36" i="3"/>
  <c r="F38" i="3"/>
  <c r="F41" i="3"/>
  <c r="C27" i="3"/>
  <c r="F11" i="3"/>
  <c r="C8" i="3"/>
  <c r="C19" i="3"/>
  <c r="C26" i="3"/>
  <c r="C40" i="3"/>
  <c r="F7" i="3"/>
  <c r="K4" i="2" l="1"/>
  <c r="O4" i="2" s="1"/>
  <c r="G24" i="2"/>
  <c r="G41" i="2"/>
  <c r="G36" i="2"/>
  <c r="G13" i="2"/>
  <c r="G17" i="2"/>
  <c r="G28" i="2"/>
  <c r="G31" i="2"/>
  <c r="G6" i="2"/>
  <c r="G14" i="2"/>
  <c r="G33" i="2"/>
  <c r="G9" i="2"/>
  <c r="G19" i="2"/>
  <c r="G5" i="2"/>
  <c r="G32" i="2"/>
  <c r="G8" i="2"/>
  <c r="G37" i="2"/>
  <c r="G20" i="2"/>
  <c r="G15" i="2"/>
  <c r="G27" i="2"/>
  <c r="G18" i="2"/>
  <c r="G10" i="2"/>
  <c r="G38" i="2"/>
  <c r="G26" i="2"/>
  <c r="G23" i="2"/>
  <c r="G7" i="2"/>
  <c r="G21" i="2"/>
  <c r="G34" i="2"/>
  <c r="G29" i="2"/>
  <c r="G39" i="2"/>
  <c r="G40" i="2"/>
  <c r="J18" i="2"/>
  <c r="K18" i="2"/>
  <c r="J5" i="2"/>
  <c r="K5" i="2"/>
  <c r="J34" i="2"/>
  <c r="K34" i="2"/>
  <c r="J26" i="2"/>
  <c r="K26" i="2"/>
  <c r="K36" i="2"/>
  <c r="J36" i="2"/>
  <c r="K13" i="2"/>
  <c r="J13" i="2"/>
  <c r="J19" i="2"/>
  <c r="K19" i="2"/>
  <c r="J20" i="2"/>
  <c r="K20" i="2"/>
  <c r="J28" i="2"/>
  <c r="K28" i="2"/>
  <c r="J27" i="2"/>
  <c r="K27" i="2"/>
  <c r="J9" i="2"/>
  <c r="K9" i="2"/>
  <c r="J41" i="2"/>
  <c r="K41" i="2"/>
  <c r="F24" i="4"/>
  <c r="F26" i="5" s="1"/>
  <c r="H26" i="4"/>
  <c r="G29" i="4"/>
  <c r="F32" i="4"/>
  <c r="C23" i="4"/>
  <c r="G24" i="4"/>
  <c r="G26" i="5" s="1"/>
  <c r="F27" i="4"/>
  <c r="H29" i="4"/>
  <c r="G32" i="4"/>
  <c r="F22" i="4"/>
  <c r="F30" i="4"/>
  <c r="H32" i="4"/>
  <c r="H27" i="4"/>
  <c r="H22" i="4"/>
  <c r="H24" i="5" s="1"/>
  <c r="G25" i="4"/>
  <c r="G27" i="5" s="1"/>
  <c r="F28" i="4"/>
  <c r="H30" i="4"/>
  <c r="E23" i="4"/>
  <c r="H23" i="4"/>
  <c r="H25" i="5" s="1"/>
  <c r="G26" i="4"/>
  <c r="F29" i="4"/>
  <c r="H31" i="4"/>
  <c r="C22" i="4"/>
  <c r="H24" i="4"/>
  <c r="H26" i="5" s="1"/>
  <c r="G22" i="4"/>
  <c r="G30" i="4"/>
  <c r="F23" i="4"/>
  <c r="H25" i="4"/>
  <c r="H27" i="5" s="1"/>
  <c r="G28" i="4"/>
  <c r="F31" i="4"/>
  <c r="D22" i="4"/>
  <c r="G23" i="4"/>
  <c r="F26" i="4"/>
  <c r="H28" i="4"/>
  <c r="G31" i="4"/>
  <c r="D23" i="4"/>
  <c r="G27" i="4"/>
  <c r="F25" i="4"/>
  <c r="F27" i="5" s="1"/>
  <c r="E22" i="4"/>
  <c r="J31" i="2"/>
  <c r="K31" i="2"/>
  <c r="J11" i="2"/>
  <c r="K11" i="2"/>
  <c r="O11" i="2" s="1"/>
  <c r="I31" i="2"/>
  <c r="I11" i="2"/>
  <c r="J43" i="2"/>
  <c r="K43" i="2"/>
  <c r="O43" i="2" s="1"/>
  <c r="R43" i="2" s="1"/>
  <c r="V43" i="2" s="1"/>
  <c r="J10" i="2"/>
  <c r="K10" i="2"/>
  <c r="J42" i="2"/>
  <c r="K42" i="2"/>
  <c r="O42" i="2" s="1"/>
  <c r="R42" i="2" s="1"/>
  <c r="V42" i="2" s="1"/>
  <c r="I43" i="2"/>
  <c r="I10" i="2"/>
  <c r="I42" i="2"/>
  <c r="J25" i="2"/>
  <c r="K25" i="2"/>
  <c r="M25" i="2" s="1"/>
  <c r="K23" i="2"/>
  <c r="J23" i="2"/>
  <c r="K24" i="2"/>
  <c r="J24" i="2"/>
  <c r="J12" i="2"/>
  <c r="K12" i="2"/>
  <c r="M12" i="2" s="1"/>
  <c r="J17" i="2"/>
  <c r="K17" i="2"/>
  <c r="K33" i="2"/>
  <c r="J33" i="2"/>
  <c r="K35" i="2"/>
  <c r="O35" i="2" s="1"/>
  <c r="J35" i="2"/>
  <c r="J4" i="2"/>
  <c r="I25" i="2"/>
  <c r="I23" i="2"/>
  <c r="I24" i="2"/>
  <c r="I12" i="2"/>
  <c r="I17" i="2"/>
  <c r="I33" i="2"/>
  <c r="I35" i="2"/>
  <c r="I4" i="2"/>
  <c r="J22" i="2"/>
  <c r="K22" i="2"/>
  <c r="Q22" i="2" s="1"/>
  <c r="K14" i="2"/>
  <c r="J14" i="2"/>
  <c r="J29" i="2"/>
  <c r="K29" i="2"/>
  <c r="J38" i="2"/>
  <c r="K38" i="2"/>
  <c r="K32" i="2"/>
  <c r="J32" i="2"/>
  <c r="K40" i="2"/>
  <c r="J40" i="2"/>
  <c r="J30" i="2"/>
  <c r="K30" i="2"/>
  <c r="M30" i="2" s="1"/>
  <c r="J7" i="2"/>
  <c r="K7" i="2"/>
  <c r="J37" i="2"/>
  <c r="K37" i="2"/>
  <c r="K15" i="2"/>
  <c r="J15" i="2"/>
  <c r="J21" i="2"/>
  <c r="K21" i="2"/>
  <c r="J6" i="2"/>
  <c r="K6" i="2"/>
  <c r="K39" i="2"/>
  <c r="J39" i="2"/>
  <c r="K8" i="2"/>
  <c r="J8" i="2"/>
  <c r="K16" i="2"/>
  <c r="M16" i="2" s="1"/>
  <c r="J16" i="2"/>
  <c r="I22" i="2"/>
  <c r="I14" i="2"/>
  <c r="I29" i="2"/>
  <c r="I38" i="2"/>
  <c r="I32" i="2"/>
  <c r="I40" i="2"/>
  <c r="I30" i="2"/>
  <c r="I7" i="2"/>
  <c r="I37" i="2"/>
  <c r="I15" i="2"/>
  <c r="E2" i="3"/>
  <c r="A2" i="3"/>
  <c r="B2" i="3"/>
  <c r="I21" i="2"/>
  <c r="I6" i="2"/>
  <c r="I39" i="2"/>
  <c r="I8" i="2"/>
  <c r="I16" i="2"/>
  <c r="F2" i="3"/>
  <c r="C2" i="3"/>
  <c r="M31" i="2" l="1"/>
  <c r="Q29" i="2"/>
  <c r="M18" i="2"/>
  <c r="G3" i="2"/>
  <c r="P23" i="4"/>
  <c r="C25" i="5"/>
  <c r="P22" i="4"/>
  <c r="T22" i="4"/>
  <c r="G24" i="5"/>
  <c r="R22" i="4"/>
  <c r="E24" i="5"/>
  <c r="R23" i="4"/>
  <c r="E25" i="5"/>
  <c r="S22" i="4"/>
  <c r="F24" i="5"/>
  <c r="Q22" i="4"/>
  <c r="D24" i="5"/>
  <c r="U22" i="4"/>
  <c r="Q23" i="4"/>
  <c r="D25" i="5"/>
  <c r="T23" i="4"/>
  <c r="G25" i="5"/>
  <c r="S23" i="4"/>
  <c r="F25" i="5"/>
  <c r="U23" i="4"/>
  <c r="O41" i="2"/>
  <c r="R41" i="2" s="1"/>
  <c r="V41" i="2" s="1"/>
  <c r="T43" i="2"/>
  <c r="AA43" i="2" s="1"/>
  <c r="U43" i="2"/>
  <c r="T42" i="2"/>
  <c r="AA42" i="2" s="1"/>
  <c r="U42" i="2"/>
  <c r="O14" i="2"/>
  <c r="Q25" i="2"/>
  <c r="M28" i="2"/>
  <c r="O28" i="2"/>
  <c r="O37" i="2"/>
  <c r="R37" i="2" s="1"/>
  <c r="V37" i="2" s="1"/>
  <c r="O31" i="2"/>
  <c r="O25" i="2"/>
  <c r="Q24" i="2"/>
  <c r="O24" i="2"/>
  <c r="O30" i="2"/>
  <c r="Q30" i="2"/>
  <c r="O22" i="2"/>
  <c r="P22" i="2"/>
  <c r="M11" i="2"/>
  <c r="O16" i="2"/>
  <c r="Q36" i="2"/>
  <c r="O36" i="2"/>
  <c r="Q4" i="2"/>
  <c r="Q16" i="2"/>
  <c r="Q5" i="2"/>
  <c r="O5" i="2"/>
  <c r="Q38" i="2"/>
  <c r="O38" i="2"/>
  <c r="Q8" i="2"/>
  <c r="O8" i="2"/>
  <c r="Q6" i="2"/>
  <c r="O6" i="2"/>
  <c r="Q23" i="2"/>
  <c r="O23" i="2"/>
  <c r="Q35" i="2"/>
  <c r="Q39" i="2"/>
  <c r="O39" i="2"/>
  <c r="Q21" i="2"/>
  <c r="O21" i="2"/>
  <c r="O12" i="2"/>
  <c r="M27" i="2"/>
  <c r="Q27" i="2"/>
  <c r="O27" i="2"/>
  <c r="Q33" i="2"/>
  <c r="O33" i="2"/>
  <c r="O10" i="2"/>
  <c r="Q10" i="2"/>
  <c r="Q11" i="2"/>
  <c r="Q12" i="2"/>
  <c r="M26" i="2"/>
  <c r="Q26" i="2"/>
  <c r="O26" i="2"/>
  <c r="Q32" i="2"/>
  <c r="O32" i="2"/>
  <c r="Q40" i="2"/>
  <c r="O40" i="2"/>
  <c r="Q7" i="2"/>
  <c r="O7" i="2"/>
  <c r="Q18" i="2"/>
  <c r="O18" i="2"/>
  <c r="Q20" i="2"/>
  <c r="O20" i="2"/>
  <c r="O29" i="2"/>
  <c r="O19" i="2"/>
  <c r="Q19" i="2"/>
  <c r="O34" i="2"/>
  <c r="Q34" i="2"/>
  <c r="Q15" i="2"/>
  <c r="O15" i="2"/>
  <c r="M13" i="2"/>
  <c r="O13" i="2"/>
  <c r="M9" i="2"/>
  <c r="O9" i="2"/>
  <c r="Q9" i="2"/>
  <c r="M17" i="2"/>
  <c r="O17" i="2"/>
  <c r="Q17" i="2"/>
  <c r="M15" i="2"/>
  <c r="M10" i="2"/>
  <c r="M14" i="2"/>
  <c r="M21" i="2"/>
  <c r="M29" i="2"/>
  <c r="K3" i="2"/>
  <c r="J3" i="2"/>
  <c r="I3" i="2"/>
  <c r="R31" i="2" l="1"/>
  <c r="V31" i="2" s="1"/>
  <c r="U41" i="2"/>
  <c r="T41" i="2"/>
  <c r="AA41" i="2" s="1"/>
  <c r="R14" i="2"/>
  <c r="V14" i="2" s="1"/>
  <c r="P25" i="2"/>
  <c r="R25" i="2" s="1"/>
  <c r="S25" i="2" s="1"/>
  <c r="T37" i="2"/>
  <c r="AA37" i="2" s="1"/>
  <c r="U37" i="2"/>
  <c r="R28" i="2"/>
  <c r="V28" i="2" s="1"/>
  <c r="P30" i="2"/>
  <c r="R30" i="2" s="1"/>
  <c r="U30" i="2" s="1"/>
  <c r="P24" i="2"/>
  <c r="R24" i="2" s="1"/>
  <c r="V24" i="2" s="1"/>
  <c r="R22" i="2"/>
  <c r="V22" i="2" s="1"/>
  <c r="P36" i="2"/>
  <c r="R36" i="2" s="1"/>
  <c r="T36" i="2" s="1"/>
  <c r="AA36" i="2" s="1"/>
  <c r="P15" i="2"/>
  <c r="R15" i="2" s="1"/>
  <c r="S15" i="2" s="1"/>
  <c r="P34" i="2"/>
  <c r="R34" i="2" s="1"/>
  <c r="V34" i="2" s="1"/>
  <c r="P18" i="2"/>
  <c r="R18" i="2" s="1"/>
  <c r="P16" i="2"/>
  <c r="R16" i="2" s="1"/>
  <c r="S16" i="2" s="1"/>
  <c r="P11" i="2"/>
  <c r="R11" i="2" s="1"/>
  <c r="S11" i="2" s="1"/>
  <c r="P17" i="2"/>
  <c r="R17" i="2" s="1"/>
  <c r="S17" i="2"/>
  <c r="P21" i="2"/>
  <c r="R21" i="2" s="1"/>
  <c r="T21" i="2" s="1"/>
  <c r="P20" i="2"/>
  <c r="R20" i="2" s="1"/>
  <c r="S20" i="2" s="1"/>
  <c r="P32" i="2"/>
  <c r="R32" i="2" s="1"/>
  <c r="V32" i="2" s="1"/>
  <c r="P8" i="2"/>
  <c r="R8" i="2" s="1"/>
  <c r="S8" i="2" s="1"/>
  <c r="P9" i="2"/>
  <c r="R9" i="2" s="1"/>
  <c r="S9" i="2" s="1"/>
  <c r="P26" i="2"/>
  <c r="R26" i="2" s="1"/>
  <c r="P35" i="2"/>
  <c r="R35" i="2" s="1"/>
  <c r="V35" i="2" s="1"/>
  <c r="S35" i="2"/>
  <c r="P19" i="2"/>
  <c r="R19" i="2" s="1"/>
  <c r="S19" i="2" s="1"/>
  <c r="P27" i="2"/>
  <c r="R27" i="2" s="1"/>
  <c r="S27" i="2"/>
  <c r="P33" i="2"/>
  <c r="R33" i="2" s="1"/>
  <c r="V33" i="2" s="1"/>
  <c r="P39" i="2"/>
  <c r="R39" i="2" s="1"/>
  <c r="V39" i="2" s="1"/>
  <c r="P38" i="2"/>
  <c r="R38" i="2" s="1"/>
  <c r="V38" i="2" s="1"/>
  <c r="P7" i="2"/>
  <c r="R7" i="2" s="1"/>
  <c r="P12" i="2"/>
  <c r="R12" i="2" s="1"/>
  <c r="S12" i="2" s="1"/>
  <c r="P23" i="2"/>
  <c r="R23" i="2" s="1"/>
  <c r="P5" i="2"/>
  <c r="R5" i="2" s="1"/>
  <c r="S5" i="2" s="1"/>
  <c r="P29" i="2"/>
  <c r="R29" i="2" s="1"/>
  <c r="P40" i="2"/>
  <c r="R40" i="2" s="1"/>
  <c r="V40" i="2" s="1"/>
  <c r="P10" i="2"/>
  <c r="R10" i="2" s="1"/>
  <c r="S10" i="2" s="1"/>
  <c r="P6" i="2"/>
  <c r="R6" i="2" s="1"/>
  <c r="S6" i="2" s="1"/>
  <c r="P4" i="2"/>
  <c r="R4" i="2" s="1"/>
  <c r="R13" i="2"/>
  <c r="V13" i="2" s="1"/>
  <c r="O3" i="2"/>
  <c r="Q3" i="2"/>
  <c r="S4" i="2" l="1"/>
  <c r="A4" i="2"/>
  <c r="S21" i="2"/>
  <c r="S36" i="2"/>
  <c r="S34" i="2"/>
  <c r="S33" i="2"/>
  <c r="S24" i="2"/>
  <c r="V36" i="2"/>
  <c r="U31" i="2"/>
  <c r="T31" i="2"/>
  <c r="AA31" i="2" s="1"/>
  <c r="S39" i="2"/>
  <c r="S38" i="2"/>
  <c r="S29" i="2"/>
  <c r="T15" i="2"/>
  <c r="AA15" i="2" s="1"/>
  <c r="T12" i="2"/>
  <c r="T8" i="2"/>
  <c r="AA8" i="2" s="1"/>
  <c r="T10" i="2"/>
  <c r="S7" i="2"/>
  <c r="T19" i="2"/>
  <c r="S32" i="2"/>
  <c r="T11" i="2"/>
  <c r="S40" i="2"/>
  <c r="T20" i="2"/>
  <c r="S26" i="2"/>
  <c r="S18" i="2"/>
  <c r="T4" i="2"/>
  <c r="T5" i="2"/>
  <c r="T33" i="2"/>
  <c r="AA33" i="2" s="1"/>
  <c r="S23" i="2"/>
  <c r="T9" i="2"/>
  <c r="T34" i="2"/>
  <c r="AA34" i="2" s="1"/>
  <c r="T35" i="2"/>
  <c r="AA35" i="2" s="1"/>
  <c r="T16" i="2"/>
  <c r="AA16" i="2" s="1"/>
  <c r="T6" i="2"/>
  <c r="T27" i="2"/>
  <c r="AA27" i="2" s="1"/>
  <c r="T17" i="2"/>
  <c r="AA17" i="2" s="1"/>
  <c r="V30" i="2"/>
  <c r="V15" i="2"/>
  <c r="V11" i="2"/>
  <c r="V17" i="2"/>
  <c r="V25" i="2"/>
  <c r="V8" i="2"/>
  <c r="V21" i="2"/>
  <c r="V5" i="2"/>
  <c r="V12" i="2"/>
  <c r="V6" i="2"/>
  <c r="V18" i="2"/>
  <c r="V26" i="2"/>
  <c r="V19" i="2"/>
  <c r="V23" i="2"/>
  <c r="V9" i="2"/>
  <c r="V4" i="2"/>
  <c r="V7" i="2"/>
  <c r="V10" i="2"/>
  <c r="V16" i="2"/>
  <c r="V27" i="2"/>
  <c r="V20" i="2"/>
  <c r="V29" i="2"/>
  <c r="T28" i="2"/>
  <c r="AA28" i="2" s="1"/>
  <c r="U28" i="2"/>
  <c r="T24" i="2"/>
  <c r="AA24" i="2" s="1"/>
  <c r="U24" i="2"/>
  <c r="T14" i="2"/>
  <c r="AA14" i="2" s="1"/>
  <c r="U14" i="2"/>
  <c r="U22" i="2"/>
  <c r="T13" i="2"/>
  <c r="AA13" i="2" s="1"/>
  <c r="U13" i="2"/>
  <c r="U25" i="2"/>
  <c r="U23" i="2"/>
  <c r="U34" i="2"/>
  <c r="U20" i="2"/>
  <c r="U21" i="2"/>
  <c r="U7" i="2"/>
  <c r="U36" i="2"/>
  <c r="U15" i="2"/>
  <c r="U17" i="2"/>
  <c r="U8" i="2"/>
  <c r="U40" i="2"/>
  <c r="U32" i="2"/>
  <c r="U9" i="2"/>
  <c r="U29" i="2"/>
  <c r="U4" i="2"/>
  <c r="U35" i="2"/>
  <c r="U5" i="2"/>
  <c r="U6" i="2"/>
  <c r="U38" i="2"/>
  <c r="U16" i="2"/>
  <c r="U19" i="2"/>
  <c r="U12" i="2"/>
  <c r="U10" i="2"/>
  <c r="U26" i="2"/>
  <c r="U27" i="2"/>
  <c r="U39" i="2"/>
  <c r="U11" i="2"/>
  <c r="U33" i="2"/>
  <c r="U18" i="2"/>
  <c r="T25" i="2"/>
  <c r="T7" i="2"/>
  <c r="T40" i="2"/>
  <c r="T29" i="2"/>
  <c r="S22" i="2"/>
  <c r="T22" i="2"/>
  <c r="T18" i="2"/>
  <c r="S30" i="2"/>
  <c r="T30" i="2"/>
  <c r="T23" i="2"/>
  <c r="T38" i="2"/>
  <c r="T32" i="2"/>
  <c r="T26" i="2"/>
  <c r="T39" i="2"/>
  <c r="P3" i="2"/>
  <c r="R3" i="2" s="1"/>
  <c r="S3" i="2" l="1"/>
  <c r="V3" i="2"/>
  <c r="U3" i="2"/>
  <c r="T3" i="2"/>
  <c r="AA4" i="2" s="1"/>
  <c r="AA12" i="2" l="1"/>
  <c r="AA3" i="2"/>
  <c r="AA21" i="2"/>
  <c r="AA5" i="2"/>
  <c r="AA6" i="2"/>
  <c r="AA9" i="2"/>
  <c r="AA11" i="2"/>
  <c r="AA20" i="2"/>
  <c r="AA10" i="2"/>
  <c r="AA19" i="2"/>
  <c r="AA39" i="2"/>
  <c r="AA30" i="2"/>
  <c r="AA7" i="2"/>
  <c r="AA38" i="2"/>
  <c r="AA40" i="2"/>
  <c r="AA26" i="2"/>
  <c r="AA22" i="2"/>
  <c r="AA18" i="2"/>
  <c r="AA32" i="2"/>
  <c r="AA23" i="2"/>
  <c r="AA25" i="2"/>
  <c r="AA29" i="2"/>
  <c r="A12" i="4" l="1"/>
  <c r="E12" i="4" s="1"/>
  <c r="A19" i="4"/>
  <c r="E19" i="4" s="1"/>
  <c r="A13" i="4"/>
  <c r="J13" i="4" s="1"/>
  <c r="I15" i="5" s="1"/>
  <c r="A18" i="4"/>
  <c r="J18" i="4" s="1"/>
  <c r="I20" i="5" s="1"/>
  <c r="A15" i="4"/>
  <c r="A5" i="4"/>
  <c r="A4" i="4"/>
  <c r="A9" i="4"/>
  <c r="A6" i="4"/>
  <c r="A17" i="4"/>
  <c r="A8" i="4"/>
  <c r="A21" i="4"/>
  <c r="A7" i="4"/>
  <c r="A16" i="4"/>
  <c r="A11" i="4"/>
  <c r="A20" i="4"/>
  <c r="A14" i="4"/>
  <c r="A10" i="4"/>
  <c r="R19" i="4" l="1"/>
  <c r="E21" i="5"/>
  <c r="R12" i="4"/>
  <c r="E14" i="5"/>
  <c r="G12" i="4"/>
  <c r="D12" i="4"/>
  <c r="C12" i="4"/>
  <c r="H12" i="4"/>
  <c r="H14" i="5" s="1"/>
  <c r="F12" i="4"/>
  <c r="J12" i="4"/>
  <c r="I14" i="5" s="1"/>
  <c r="C18" i="4"/>
  <c r="C19" i="4"/>
  <c r="C13" i="4"/>
  <c r="D18" i="4"/>
  <c r="H19" i="4"/>
  <c r="H21" i="5" s="1"/>
  <c r="D13" i="4"/>
  <c r="H18" i="4"/>
  <c r="H20" i="5" s="1"/>
  <c r="G19" i="4"/>
  <c r="F13" i="4"/>
  <c r="F18" i="4"/>
  <c r="F19" i="4"/>
  <c r="H13" i="4"/>
  <c r="H15" i="5" s="1"/>
  <c r="D19" i="4"/>
  <c r="E13" i="4"/>
  <c r="J19" i="4"/>
  <c r="I21" i="5" s="1"/>
  <c r="G13" i="4"/>
  <c r="E18" i="4"/>
  <c r="G18" i="4"/>
  <c r="G4" i="4"/>
  <c r="H4" i="4"/>
  <c r="H6" i="5" s="1"/>
  <c r="E4" i="4"/>
  <c r="D4" i="4"/>
  <c r="J4" i="4"/>
  <c r="I6" i="5" s="1"/>
  <c r="F4" i="4"/>
  <c r="C4" i="4"/>
  <c r="C16" i="4"/>
  <c r="H16" i="4"/>
  <c r="H18" i="5" s="1"/>
  <c r="D16" i="4"/>
  <c r="J16" i="4"/>
  <c r="I18" i="5" s="1"/>
  <c r="E16" i="4"/>
  <c r="F16" i="4"/>
  <c r="G16" i="4"/>
  <c r="G7" i="4"/>
  <c r="D7" i="4"/>
  <c r="J7" i="4"/>
  <c r="I9" i="5" s="1"/>
  <c r="E7" i="4"/>
  <c r="F7" i="4"/>
  <c r="C7" i="4"/>
  <c r="H7" i="4"/>
  <c r="H9" i="5" s="1"/>
  <c r="E21" i="4"/>
  <c r="J21" i="4"/>
  <c r="F21" i="4"/>
  <c r="C21" i="4"/>
  <c r="H21" i="4"/>
  <c r="G21" i="4"/>
  <c r="D21" i="4"/>
  <c r="D11" i="4"/>
  <c r="J11" i="4"/>
  <c r="I13" i="5" s="1"/>
  <c r="G11" i="4"/>
  <c r="E11" i="4"/>
  <c r="F11" i="4"/>
  <c r="C11" i="4"/>
  <c r="H11" i="4"/>
  <c r="H13" i="5" s="1"/>
  <c r="D5" i="4"/>
  <c r="H5" i="4"/>
  <c r="H7" i="5" s="1"/>
  <c r="J5" i="4"/>
  <c r="I7" i="5" s="1"/>
  <c r="F5" i="4"/>
  <c r="E5" i="4"/>
  <c r="G5" i="4"/>
  <c r="C5" i="4"/>
  <c r="G15" i="4"/>
  <c r="H15" i="4"/>
  <c r="H17" i="5" s="1"/>
  <c r="J15" i="4"/>
  <c r="I17" i="5" s="1"/>
  <c r="C15" i="4"/>
  <c r="F15" i="4"/>
  <c r="D15" i="4"/>
  <c r="E15" i="4"/>
  <c r="G8" i="4"/>
  <c r="J8" i="4"/>
  <c r="I10" i="5" s="1"/>
  <c r="D8" i="4"/>
  <c r="C8" i="4"/>
  <c r="E8" i="4"/>
  <c r="H8" i="4"/>
  <c r="H10" i="5" s="1"/>
  <c r="F8" i="4"/>
  <c r="D17" i="4"/>
  <c r="F17" i="4"/>
  <c r="C17" i="4"/>
  <c r="G17" i="4"/>
  <c r="H17" i="4"/>
  <c r="H19" i="5" s="1"/>
  <c r="J17" i="4"/>
  <c r="I19" i="5" s="1"/>
  <c r="E17" i="4"/>
  <c r="J20" i="4"/>
  <c r="H20" i="4"/>
  <c r="F20" i="4"/>
  <c r="C20" i="4"/>
  <c r="E20" i="4"/>
  <c r="G20" i="4"/>
  <c r="D20" i="4"/>
  <c r="E10" i="4"/>
  <c r="D10" i="4"/>
  <c r="F10" i="4"/>
  <c r="H10" i="4"/>
  <c r="H12" i="5" s="1"/>
  <c r="G10" i="4"/>
  <c r="C10" i="4"/>
  <c r="J10" i="4"/>
  <c r="I12" i="5" s="1"/>
  <c r="G6" i="4"/>
  <c r="H6" i="4"/>
  <c r="H8" i="5" s="1"/>
  <c r="D6" i="4"/>
  <c r="F6" i="4"/>
  <c r="E6" i="4"/>
  <c r="C6" i="4"/>
  <c r="J6" i="4"/>
  <c r="I8" i="5" s="1"/>
  <c r="H14" i="4"/>
  <c r="H16" i="5" s="1"/>
  <c r="G14" i="4"/>
  <c r="J14" i="4"/>
  <c r="I16" i="5" s="1"/>
  <c r="F14" i="4"/>
  <c r="D14" i="4"/>
  <c r="C14" i="4"/>
  <c r="E14" i="4"/>
  <c r="C9" i="4"/>
  <c r="F9" i="4"/>
  <c r="G9" i="4"/>
  <c r="J9" i="4"/>
  <c r="I11" i="5" s="1"/>
  <c r="D9" i="4"/>
  <c r="H9" i="4"/>
  <c r="H11" i="5" s="1"/>
  <c r="E9" i="4"/>
  <c r="Q8" i="4" l="1"/>
  <c r="D10" i="5"/>
  <c r="Q4" i="4"/>
  <c r="D6" i="5"/>
  <c r="T10" i="4"/>
  <c r="G12" i="5"/>
  <c r="T15" i="4"/>
  <c r="G17" i="5"/>
  <c r="T21" i="4"/>
  <c r="S7" i="4"/>
  <c r="F9" i="5"/>
  <c r="R4" i="4"/>
  <c r="E6" i="5"/>
  <c r="Q19" i="4"/>
  <c r="D21" i="5"/>
  <c r="U19" i="4"/>
  <c r="P12" i="4"/>
  <c r="C14" i="5"/>
  <c r="R9" i="4"/>
  <c r="E11" i="5"/>
  <c r="P14" i="4"/>
  <c r="C16" i="5"/>
  <c r="R6" i="4"/>
  <c r="E8" i="5"/>
  <c r="U10" i="4"/>
  <c r="S20" i="4"/>
  <c r="S17" i="4"/>
  <c r="F19" i="5"/>
  <c r="T8" i="4"/>
  <c r="G10" i="5"/>
  <c r="P5" i="4"/>
  <c r="C7" i="5"/>
  <c r="P11" i="4"/>
  <c r="C13" i="5"/>
  <c r="U21" i="4"/>
  <c r="R7" i="4"/>
  <c r="E9" i="5"/>
  <c r="Q16" i="4"/>
  <c r="D18" i="5"/>
  <c r="U4" i="4"/>
  <c r="U13" i="4"/>
  <c r="Q18" i="4"/>
  <c r="D20" i="5"/>
  <c r="Q12" i="4"/>
  <c r="D14" i="5"/>
  <c r="P7" i="4"/>
  <c r="C9" i="5"/>
  <c r="R13" i="4"/>
  <c r="E15" i="5"/>
  <c r="U12" i="4"/>
  <c r="P20" i="4"/>
  <c r="U9" i="4"/>
  <c r="S10" i="4"/>
  <c r="F12" i="5"/>
  <c r="Q17" i="4"/>
  <c r="D19" i="5"/>
  <c r="T5" i="4"/>
  <c r="G7" i="5"/>
  <c r="S11" i="4"/>
  <c r="F13" i="5"/>
  <c r="P21" i="4"/>
  <c r="U16" i="4"/>
  <c r="T4" i="4"/>
  <c r="G6" i="5"/>
  <c r="S19" i="4"/>
  <c r="F21" i="5"/>
  <c r="P13" i="4"/>
  <c r="C15" i="5"/>
  <c r="T12" i="4"/>
  <c r="G14" i="5"/>
  <c r="Q9" i="4"/>
  <c r="D11" i="5"/>
  <c r="S14" i="4"/>
  <c r="F16" i="5"/>
  <c r="Q6" i="4"/>
  <c r="D8" i="5"/>
  <c r="Q10" i="4"/>
  <c r="D12" i="5"/>
  <c r="S8" i="4"/>
  <c r="F10" i="5"/>
  <c r="Q15" i="4"/>
  <c r="D17" i="5"/>
  <c r="R5" i="4"/>
  <c r="E7" i="5"/>
  <c r="R11" i="4"/>
  <c r="E13" i="5"/>
  <c r="S21" i="4"/>
  <c r="Q7" i="4"/>
  <c r="D9" i="5"/>
  <c r="P16" i="4"/>
  <c r="T18" i="4"/>
  <c r="G20" i="5"/>
  <c r="S18" i="4"/>
  <c r="F20" i="5"/>
  <c r="P19" i="4"/>
  <c r="C21" i="5"/>
  <c r="P10" i="4"/>
  <c r="C12" i="5"/>
  <c r="Q5" i="4"/>
  <c r="D7" i="5"/>
  <c r="P6" i="4"/>
  <c r="C8" i="5"/>
  <c r="U11" i="4"/>
  <c r="Q14" i="4"/>
  <c r="D16" i="5"/>
  <c r="S6" i="4"/>
  <c r="F8" i="5"/>
  <c r="U20" i="4"/>
  <c r="R15" i="4"/>
  <c r="E17" i="5"/>
  <c r="U6" i="4"/>
  <c r="R17" i="4"/>
  <c r="E19" i="5"/>
  <c r="T11" i="4"/>
  <c r="G13" i="5"/>
  <c r="P4" i="4"/>
  <c r="C6" i="5"/>
  <c r="R18" i="4"/>
  <c r="E20" i="5"/>
  <c r="S13" i="4"/>
  <c r="F15" i="5"/>
  <c r="P18" i="4"/>
  <c r="C20" i="5"/>
  <c r="T9" i="4"/>
  <c r="G11" i="5"/>
  <c r="T14" i="4"/>
  <c r="G16" i="5"/>
  <c r="T6" i="4"/>
  <c r="G8" i="5"/>
  <c r="Q20" i="4"/>
  <c r="R8" i="4"/>
  <c r="E10" i="5"/>
  <c r="P15" i="4"/>
  <c r="C17" i="5"/>
  <c r="R21" i="4"/>
  <c r="T16" i="4"/>
  <c r="G18" i="5"/>
  <c r="S4" i="4"/>
  <c r="F6" i="5"/>
  <c r="T13" i="4"/>
  <c r="G15" i="5"/>
  <c r="T19" i="4"/>
  <c r="G21" i="5"/>
  <c r="P9" i="4"/>
  <c r="C11" i="5"/>
  <c r="R20" i="4"/>
  <c r="T17" i="4"/>
  <c r="G19" i="5"/>
  <c r="U15" i="4"/>
  <c r="Q21" i="4"/>
  <c r="R16" i="4"/>
  <c r="E18" i="5"/>
  <c r="Q13" i="4"/>
  <c r="D15" i="5"/>
  <c r="R14" i="4"/>
  <c r="E16" i="5"/>
  <c r="P17" i="4"/>
  <c r="C19" i="5"/>
  <c r="R10" i="4"/>
  <c r="E12" i="5"/>
  <c r="U8" i="4"/>
  <c r="S15" i="4"/>
  <c r="F17" i="5"/>
  <c r="S5" i="4"/>
  <c r="F7" i="5"/>
  <c r="T7" i="4"/>
  <c r="G9" i="5"/>
  <c r="S9" i="4"/>
  <c r="F11" i="5"/>
  <c r="U14" i="4"/>
  <c r="T20" i="4"/>
  <c r="U17" i="4"/>
  <c r="P8" i="4"/>
  <c r="C10" i="5"/>
  <c r="U5" i="4"/>
  <c r="Q11" i="4"/>
  <c r="D13" i="5"/>
  <c r="U7" i="4"/>
  <c r="S16" i="4"/>
  <c r="F18" i="5"/>
  <c r="U18" i="4"/>
  <c r="S12" i="4"/>
  <c r="F14" i="5"/>
</calcChain>
</file>

<file path=xl/comments1.xml><?xml version="1.0" encoding="utf-8"?>
<comments xmlns="http://schemas.openxmlformats.org/spreadsheetml/2006/main">
  <authors>
    <author>Administrator</author>
  </authors>
  <commentList>
    <comment ref="E3" authorId="0" shapeId="0">
      <text>
        <r>
          <rPr>
            <sz val="8"/>
            <color indexed="81"/>
            <rFont val="宋体"/>
            <family val="3"/>
            <charset val="134"/>
          </rPr>
          <t>5-10: 0.5 
11-4: 0.4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5" authorId="0" shapeId="0">
      <text>
        <r>
          <rPr>
            <sz val="8"/>
            <color indexed="81"/>
            <rFont val="宋体"/>
            <family val="3"/>
            <charset val="134"/>
          </rPr>
          <t>11-4:0.5
5-10:0.6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<sst xmlns="http://schemas.openxmlformats.org/spreadsheetml/2006/main" count="294" uniqueCount="161">
  <si>
    <t>A</t>
  </si>
  <si>
    <t>M</t>
  </si>
  <si>
    <t>3,7,11</t>
  </si>
  <si>
    <t>C</t>
  </si>
  <si>
    <t>CS</t>
  </si>
  <si>
    <t>Y</t>
  </si>
  <si>
    <t>P</t>
  </si>
  <si>
    <t>JD</t>
  </si>
  <si>
    <t>L</t>
  </si>
  <si>
    <t>V</t>
  </si>
  <si>
    <t>PP</t>
  </si>
  <si>
    <t>BB</t>
  </si>
  <si>
    <t>FB</t>
  </si>
  <si>
    <t>J</t>
  </si>
  <si>
    <t>JM</t>
  </si>
  <si>
    <t>I</t>
  </si>
  <si>
    <t>CU</t>
  </si>
  <si>
    <t>ZN</t>
  </si>
  <si>
    <t>AL</t>
  </si>
  <si>
    <t>PB</t>
  </si>
  <si>
    <t>SN</t>
  </si>
  <si>
    <t>NI</t>
  </si>
  <si>
    <t>AU</t>
  </si>
  <si>
    <t>AG</t>
  </si>
  <si>
    <t>RB</t>
  </si>
  <si>
    <t>HC</t>
  </si>
  <si>
    <t>WR</t>
  </si>
  <si>
    <t>RU</t>
  </si>
  <si>
    <t>BU</t>
  </si>
  <si>
    <t>FU</t>
  </si>
  <si>
    <t>TA</t>
  </si>
  <si>
    <t>MA</t>
  </si>
  <si>
    <t>5,11</t>
  </si>
  <si>
    <t>FG</t>
  </si>
  <si>
    <t>ZC</t>
  </si>
  <si>
    <t>SF</t>
  </si>
  <si>
    <t>2,6,10</t>
  </si>
  <si>
    <t>SM</t>
  </si>
  <si>
    <t>SR</t>
  </si>
  <si>
    <t>CF</t>
  </si>
  <si>
    <t>OI</t>
  </si>
  <si>
    <t>RS</t>
  </si>
  <si>
    <t>RM</t>
  </si>
  <si>
    <t>WH</t>
  </si>
  <si>
    <r>
      <rPr>
        <sz val="12"/>
        <rFont val="宋体"/>
        <family val="3"/>
        <charset val="134"/>
      </rPr>
      <t>远月</t>
    </r>
  </si>
  <si>
    <t>QIF</t>
    <phoneticPr fontId="2" type="noConversion"/>
  </si>
  <si>
    <t>Set 
Margin</t>
    <phoneticPr fontId="2" type="noConversion"/>
  </si>
  <si>
    <t>Warehouse
(/t*day)</t>
    <phoneticPr fontId="2" type="noConversion"/>
  </si>
  <si>
    <t>Delivery Fee
(/t)</t>
    <phoneticPr fontId="2" type="noConversion"/>
  </si>
  <si>
    <t>WOC
(motor)</t>
    <phoneticPr fontId="2" type="noConversion"/>
  </si>
  <si>
    <t>Cancellation 
Month</t>
    <phoneticPr fontId="2" type="noConversion"/>
  </si>
  <si>
    <t>5lots</t>
    <phoneticPr fontId="2" type="noConversion"/>
  </si>
  <si>
    <t>Delivery Month
Limit</t>
    <phoneticPr fontId="2" type="noConversion"/>
  </si>
  <si>
    <t>Delivery Unit 
(Minimum lots)</t>
    <phoneticPr fontId="2" type="noConversion"/>
  </si>
  <si>
    <t>Trade Unit</t>
    <phoneticPr fontId="2" type="noConversion"/>
  </si>
  <si>
    <t>VAT</t>
    <phoneticPr fontId="2" type="noConversion"/>
  </si>
  <si>
    <t>Trade Fee
(/t or rate)</t>
    <phoneticPr fontId="2" type="noConversion"/>
  </si>
  <si>
    <t>Lasttrade
Date</t>
    <phoneticPr fontId="2" type="noConversion"/>
  </si>
  <si>
    <t>Lastdelivery
Date</t>
    <phoneticPr fontId="2" type="noConversion"/>
  </si>
  <si>
    <t xml:space="preserve"> Receipts Validity Period</t>
    <phoneticPr fontId="2" type="noConversion"/>
  </si>
  <si>
    <r>
      <t>WEC
(motor</t>
    </r>
    <r>
      <rPr>
        <sz val="12"/>
        <color theme="0"/>
        <rFont val="宋体"/>
        <family val="3"/>
        <charset val="134"/>
      </rPr>
      <t>）</t>
    </r>
    <phoneticPr fontId="2" type="noConversion"/>
  </si>
  <si>
    <t>Sccode</t>
    <phoneticPr fontId="2" type="noConversion"/>
  </si>
  <si>
    <r>
      <t>10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</si>
  <si>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rPr>
        <sz val="11"/>
        <rFont val="宋体"/>
        <family val="3"/>
        <charset val="134"/>
      </rPr>
      <t>合约交割月的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日交易日</t>
    </r>
  </si>
  <si>
    <r>
      <rPr>
        <sz val="11"/>
        <rFont val="宋体"/>
        <family val="3"/>
        <charset val="134"/>
      </rPr>
      <t>最后交易日后第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个交易日</t>
    </r>
  </si>
  <si>
    <r>
      <rPr>
        <sz val="11"/>
        <rFont val="宋体"/>
        <family val="2"/>
        <charset val="134"/>
      </rPr>
      <t>在每年的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月份最后一个工作日之前必须进行标准仓单注销。</t>
    </r>
  </si>
  <si>
    <r>
      <rPr>
        <sz val="11"/>
        <rFont val="宋体"/>
        <family val="2"/>
        <charset val="134"/>
      </rPr>
      <t>每年的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、</t>
    </r>
    <r>
      <rPr>
        <sz val="11"/>
        <rFont val="Arial"/>
        <family val="2"/>
      </rPr>
      <t>7</t>
    </r>
    <r>
      <rPr>
        <sz val="11"/>
        <rFont val="宋体"/>
        <family val="2"/>
        <charset val="134"/>
      </rPr>
      <t>、</t>
    </r>
    <r>
      <rPr>
        <sz val="11"/>
        <rFont val="Arial"/>
        <family val="2"/>
      </rPr>
      <t>11</t>
    </r>
    <r>
      <rPr>
        <sz val="11"/>
        <rFont val="宋体"/>
        <family val="2"/>
        <charset val="134"/>
      </rPr>
      <t>月份最后一个工作日之前必须进行标准仓单注销。</t>
    </r>
  </si>
  <si>
    <r>
      <rPr>
        <sz val="11"/>
        <rFont val="Calibri"/>
        <family val="2"/>
      </rPr>
      <t>合约交割月的</t>
    </r>
    <r>
      <rPr>
        <sz val="11"/>
        <rFont val="Arial"/>
        <family val="2"/>
      </rPr>
      <t>10</t>
    </r>
    <r>
      <rPr>
        <sz val="11"/>
        <rFont val="Calibri"/>
        <family val="2"/>
      </rPr>
      <t>日交易日</t>
    </r>
  </si>
  <si>
    <r>
      <rPr>
        <sz val="11"/>
        <rFont val="Calibri"/>
        <family val="2"/>
      </rPr>
      <t>最后交易日后第</t>
    </r>
    <r>
      <rPr>
        <sz val="11"/>
        <rFont val="Arial"/>
        <family val="2"/>
      </rPr>
      <t>3</t>
    </r>
    <r>
      <rPr>
        <sz val="11"/>
        <rFont val="Calibri"/>
        <family val="2"/>
      </rPr>
      <t>个交易日</t>
    </r>
  </si>
  <si>
    <r>
      <rPr>
        <sz val="11"/>
        <rFont val="宋体"/>
        <family val="2"/>
        <charset val="134"/>
      </rPr>
      <t>每个交割月份最后交割日后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个工作日内注销</t>
    </r>
  </si>
  <si>
    <r>
      <t>5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</si>
  <si>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rPr>
        <sz val="11"/>
        <rFont val="宋体"/>
        <family val="3"/>
        <charset val="134"/>
      </rPr>
      <t>合约月份倒数第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个交易日</t>
    </r>
  </si>
  <si>
    <r>
      <rPr>
        <sz val="11"/>
        <rFont val="宋体"/>
        <family val="2"/>
        <charset val="134"/>
      </rPr>
      <t>鸡蛋标准仓单在每个交割月份最后交割日后</t>
    </r>
    <r>
      <rPr>
        <sz val="11"/>
        <rFont val="Arial"/>
        <family val="2"/>
      </rPr>
      <t>1</t>
    </r>
    <r>
      <rPr>
        <sz val="11"/>
        <rFont val="宋体"/>
        <family val="2"/>
        <charset val="134"/>
      </rPr>
      <t>个交易日内应当进行标准仓单注销。</t>
    </r>
  </si>
  <si>
    <r>
      <t>500</t>
    </r>
    <r>
      <rPr>
        <sz val="11"/>
        <rFont val="宋体"/>
        <family val="2"/>
        <charset val="134"/>
      </rPr>
      <t>张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</si>
  <si>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t>100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</si>
  <si>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t>60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</si>
  <si>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rPr>
        <sz val="11"/>
        <rFont val="宋体"/>
        <family val="3"/>
        <charset val="134"/>
      </rPr>
      <t>合约交割月的</t>
    </r>
    <r>
      <rPr>
        <sz val="11"/>
        <rFont val="Arial"/>
        <family val="2"/>
      </rPr>
      <t>15</t>
    </r>
    <r>
      <rPr>
        <sz val="11"/>
        <rFont val="宋体"/>
        <family val="3"/>
        <charset val="134"/>
      </rPr>
      <t>日</t>
    </r>
  </si>
  <si>
    <r>
      <rPr>
        <sz val="11"/>
        <rFont val="Calibri"/>
        <family val="2"/>
      </rPr>
      <t>最后交易日后连续</t>
    </r>
    <r>
      <rPr>
        <sz val="11"/>
        <rFont val="Arial"/>
        <family val="2"/>
      </rPr>
      <t>5</t>
    </r>
    <r>
      <rPr>
        <sz val="11"/>
        <rFont val="Calibri"/>
        <family val="2"/>
      </rPr>
      <t>个交易日</t>
    </r>
  </si>
  <si>
    <r>
      <rPr>
        <sz val="11"/>
        <rFont val="宋体"/>
        <family val="3"/>
        <charset val="134"/>
      </rPr>
      <t>最后交易日后连续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个交易日</t>
    </r>
  </si>
  <si>
    <r>
      <rPr>
        <sz val="11"/>
        <rFont val="宋体"/>
        <family val="3"/>
        <charset val="134"/>
      </rPr>
      <t>合约交割月的</t>
    </r>
    <r>
      <rPr>
        <sz val="11"/>
        <rFont val="Arial"/>
        <family val="2"/>
      </rPr>
      <t>15</t>
    </r>
    <r>
      <rPr>
        <sz val="11"/>
        <rFont val="Calibri"/>
        <family val="2"/>
      </rPr>
      <t>日</t>
    </r>
    <r>
      <rPr>
        <sz val="11"/>
        <color theme="1"/>
        <rFont val="宋体"/>
        <family val="3"/>
        <charset val="134"/>
      </rPr>
      <t/>
    </r>
  </si>
  <si>
    <r>
      <t>1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</si>
  <si>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t>1000</t>
    </r>
    <r>
      <rPr>
        <sz val="11"/>
        <rFont val="宋体"/>
        <family val="2"/>
        <charset val="134"/>
      </rPr>
      <t>克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</si>
  <si>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t>15</t>
    </r>
    <r>
      <rPr>
        <sz val="11"/>
        <rFont val="宋体"/>
        <family val="2"/>
        <charset val="134"/>
      </rPr>
      <t>千克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</si>
  <si>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rPr>
        <sz val="11"/>
        <rFont val="宋体"/>
        <family val="2"/>
        <charset val="134"/>
      </rPr>
      <t>每批商品的有效期限为生产日起的</t>
    </r>
    <r>
      <rPr>
        <sz val="11"/>
        <rFont val="Arial"/>
        <family val="2"/>
      </rPr>
      <t>90</t>
    </r>
    <r>
      <rPr>
        <sz val="11"/>
        <rFont val="宋体"/>
        <family val="2"/>
        <charset val="134"/>
      </rPr>
      <t>天内，并且应在生产日起的</t>
    </r>
    <r>
      <rPr>
        <sz val="11"/>
        <rFont val="Arial"/>
        <family val="2"/>
      </rPr>
      <t>30</t>
    </r>
    <r>
      <rPr>
        <sz val="11"/>
        <rFont val="宋体"/>
        <family val="2"/>
        <charset val="134"/>
      </rPr>
      <t>天内入指定交割仓库方可制作仓单。厂库仓单的有效期为</t>
    </r>
    <r>
      <rPr>
        <sz val="11"/>
        <rFont val="Arial"/>
        <family val="2"/>
      </rPr>
      <t>6</t>
    </r>
    <r>
      <rPr>
        <sz val="11"/>
        <rFont val="宋体"/>
        <family val="2"/>
        <charset val="134"/>
      </rPr>
      <t>个月。</t>
    </r>
  </si>
  <si>
    <r>
      <rPr>
        <sz val="11"/>
        <rFont val="宋体"/>
        <family val="2"/>
        <charset val="134"/>
      </rPr>
      <t>每批商品的有效期限为生产日起的</t>
    </r>
    <r>
      <rPr>
        <sz val="11"/>
        <rFont val="Arial"/>
        <family val="2"/>
      </rPr>
      <t>360</t>
    </r>
    <r>
      <rPr>
        <sz val="11"/>
        <rFont val="宋体"/>
        <family val="2"/>
        <charset val="134"/>
      </rPr>
      <t>天内，每批商品应在生产日起的</t>
    </r>
    <r>
      <rPr>
        <sz val="11"/>
        <rFont val="Arial"/>
        <family val="2"/>
      </rPr>
      <t>45</t>
    </r>
    <r>
      <rPr>
        <sz val="11"/>
        <rFont val="宋体"/>
        <family val="2"/>
        <charset val="134"/>
      </rPr>
      <t>天内入指定交割仓库方可制作仓单，并且组成每一仓单的热轧卷板的生产日期应当不超过连续十日</t>
    </r>
  </si>
  <si>
    <r>
      <rPr>
        <sz val="11"/>
        <rFont val="宋体"/>
        <family val="2"/>
        <charset val="134"/>
      </rPr>
      <t>（一）国产天然橡胶（</t>
    </r>
    <r>
      <rPr>
        <sz val="11"/>
        <rFont val="Arial"/>
        <family val="2"/>
      </rPr>
      <t>SCR WF</t>
    </r>
    <r>
      <rPr>
        <sz val="11"/>
        <rFont val="宋体"/>
        <family val="2"/>
        <charset val="134"/>
      </rPr>
      <t>）在库交割的有效期限为生产年份的第二年的最后一个交割月份，超过期限的转作现货。当年生产的国产天然橡胶如要用于实物交割，最迟应当在第二年的六月份以前（不含六月）入库完毕，超过期限不得用于交割。</t>
    </r>
    <r>
      <rPr>
        <sz val="11"/>
        <rFont val="Arial"/>
        <family val="2"/>
      </rPr>
      <t xml:space="preserve"> </t>
    </r>
    <r>
      <rPr>
        <sz val="11"/>
        <rFont val="宋体"/>
        <family val="2"/>
        <charset val="134"/>
      </rPr>
      <t>（二）进口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号烟胶片在库交割的有效期限为商检证签发之日起十八个月，超过期限的转作现货。用于实物交割的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号烟胶片应当在商检证签发之日起六个月内进库，否则不得用于交割。（三）在库天然橡胶的商检证、质检证（或检测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鉴定报告）自签发之日起</t>
    </r>
    <r>
      <rPr>
        <sz val="11"/>
        <rFont val="Arial"/>
        <family val="2"/>
      </rPr>
      <t>90</t>
    </r>
    <r>
      <rPr>
        <sz val="11"/>
        <rFont val="宋体"/>
        <family val="2"/>
        <charset val="134"/>
      </rPr>
      <t>天内有效。期满后，其相应的商品应当重新检验合格后方可用于下次交割。</t>
    </r>
  </si>
  <si>
    <r>
      <rPr>
        <sz val="11"/>
        <rFont val="宋体"/>
        <family val="2"/>
        <charset val="134"/>
      </rPr>
      <t>仓库仓单无有效期；厂库仓单：每年</t>
    </r>
    <r>
      <rPr>
        <sz val="11"/>
        <rFont val="Arial"/>
        <family val="2"/>
      </rPr>
      <t>9</t>
    </r>
    <r>
      <rPr>
        <sz val="11"/>
        <rFont val="宋体"/>
        <family val="2"/>
        <charset val="134"/>
      </rPr>
      <t>月</t>
    </r>
    <r>
      <rPr>
        <sz val="11"/>
        <rFont val="Arial"/>
        <family val="2"/>
      </rPr>
      <t>15</t>
    </r>
    <r>
      <rPr>
        <sz val="11"/>
        <rFont val="宋体"/>
        <family val="2"/>
        <charset val="134"/>
      </rPr>
      <t>日（遇法定假日顺延）之前生成的厂库标准仓单，应在</t>
    </r>
    <r>
      <rPr>
        <sz val="11"/>
        <rFont val="Arial"/>
        <family val="2"/>
      </rPr>
      <t>10</t>
    </r>
    <r>
      <rPr>
        <sz val="11"/>
        <rFont val="宋体"/>
        <family val="2"/>
        <charset val="134"/>
      </rPr>
      <t>月的最后一个工作日（含该日）之前全部注销。</t>
    </r>
  </si>
  <si>
    <r>
      <t>50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</si>
  <si>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rPr>
        <sz val="11"/>
        <rFont val="宋体"/>
        <family val="3"/>
        <charset val="134"/>
      </rPr>
      <t>合约交割月前一月最后交易日</t>
    </r>
  </si>
  <si>
    <r>
      <rPr>
        <sz val="11"/>
        <rFont val="宋体"/>
        <family val="3"/>
        <charset val="134"/>
      </rPr>
      <t>合约交割月的</t>
    </r>
    <r>
      <rPr>
        <sz val="11"/>
        <rFont val="Arial"/>
        <family val="2"/>
      </rPr>
      <t>12</t>
    </r>
    <r>
      <rPr>
        <sz val="11"/>
        <rFont val="宋体"/>
        <family val="3"/>
        <charset val="134"/>
      </rPr>
      <t>日交易日</t>
    </r>
  </si>
  <si>
    <r>
      <rPr>
        <sz val="11"/>
        <rFont val="宋体"/>
        <family val="2"/>
        <charset val="134"/>
      </rPr>
      <t>每年</t>
    </r>
    <r>
      <rPr>
        <sz val="11"/>
        <rFont val="Arial"/>
        <family val="2"/>
      </rPr>
      <t>9</t>
    </r>
    <r>
      <rPr>
        <sz val="11"/>
        <rFont val="宋体"/>
        <family val="2"/>
        <charset val="134"/>
      </rPr>
      <t>月第</t>
    </r>
    <r>
      <rPr>
        <sz val="11"/>
        <rFont val="Arial"/>
        <family val="2"/>
      </rPr>
      <t>12</t>
    </r>
    <r>
      <rPr>
        <sz val="11"/>
        <rFont val="宋体"/>
        <family val="2"/>
        <charset val="134"/>
      </rPr>
      <t>个交易日（不含该日）之前注册的</t>
    </r>
    <r>
      <rPr>
        <sz val="11"/>
        <rFont val="Arial"/>
        <family val="2"/>
      </rPr>
      <t>PTA</t>
    </r>
    <r>
      <rPr>
        <sz val="11"/>
        <rFont val="宋体"/>
        <family val="2"/>
        <charset val="134"/>
      </rPr>
      <t>标准仓单，在该月第</t>
    </r>
    <r>
      <rPr>
        <sz val="11"/>
        <rFont val="Arial"/>
        <family val="2"/>
      </rPr>
      <t>15</t>
    </r>
    <r>
      <rPr>
        <sz val="11"/>
        <rFont val="宋体"/>
        <family val="2"/>
        <charset val="134"/>
      </rPr>
      <t>个交易日（含该日）之前全部注销；该月第</t>
    </r>
    <r>
      <rPr>
        <sz val="11"/>
        <rFont val="Arial"/>
        <family val="2"/>
      </rPr>
      <t>16</t>
    </r>
    <r>
      <rPr>
        <sz val="11"/>
        <rFont val="宋体"/>
        <family val="2"/>
        <charset val="134"/>
      </rPr>
      <t>个交易日（含该日）之后开始受理新仓单的注册申请。</t>
    </r>
  </si>
  <si>
    <r>
      <rPr>
        <sz val="11"/>
        <rFont val="宋体"/>
        <family val="2"/>
        <charset val="134"/>
      </rPr>
      <t>每年</t>
    </r>
    <r>
      <rPr>
        <sz val="11"/>
        <rFont val="Arial"/>
        <family val="2"/>
      </rPr>
      <t>5</t>
    </r>
    <r>
      <rPr>
        <sz val="11"/>
        <rFont val="宋体"/>
        <family val="2"/>
        <charset val="134"/>
      </rPr>
      <t>月、</t>
    </r>
    <r>
      <rPr>
        <sz val="11"/>
        <rFont val="Arial"/>
        <family val="2"/>
      </rPr>
      <t>11</t>
    </r>
    <r>
      <rPr>
        <sz val="11"/>
        <rFont val="宋体"/>
        <family val="2"/>
        <charset val="134"/>
      </rPr>
      <t>月第</t>
    </r>
    <r>
      <rPr>
        <sz val="11"/>
        <rFont val="Arial"/>
        <family val="2"/>
      </rPr>
      <t>12</t>
    </r>
    <r>
      <rPr>
        <sz val="11"/>
        <rFont val="宋体"/>
        <family val="2"/>
        <charset val="134"/>
      </rPr>
      <t>个交易日（不含该日）之前注册的标准仓单，应在当月的第</t>
    </r>
    <r>
      <rPr>
        <sz val="11"/>
        <rFont val="Arial"/>
        <family val="2"/>
      </rPr>
      <t>15</t>
    </r>
    <r>
      <rPr>
        <sz val="11"/>
        <rFont val="宋体"/>
        <family val="2"/>
        <charset val="134"/>
      </rPr>
      <t>个交易日（含该日）之前全部注销。</t>
    </r>
    <r>
      <rPr>
        <sz val="11"/>
        <rFont val="Arial"/>
        <family val="2"/>
      </rPr>
      <t xml:space="preserve"> </t>
    </r>
  </si>
  <si>
    <r>
      <t>20</t>
    </r>
    <r>
      <rPr>
        <sz val="11"/>
        <rFont val="宋体"/>
        <family val="2"/>
        <charset val="134"/>
      </rPr>
      <t>吨</t>
    </r>
    <r>
      <rPr>
        <sz val="11"/>
        <rFont val="Arial"/>
        <family val="2"/>
      </rPr>
      <t>/</t>
    </r>
    <r>
      <rPr>
        <sz val="11"/>
        <rFont val="宋体"/>
        <family val="2"/>
        <charset val="134"/>
      </rPr>
      <t>手</t>
    </r>
  </si>
  <si>
    <r>
      <rPr>
        <sz val="11"/>
        <rFont val="宋体"/>
        <family val="3"/>
        <charset val="134"/>
      </rPr>
      <t>合约交割月的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日交易日</t>
    </r>
  </si>
  <si>
    <r>
      <rPr>
        <sz val="11"/>
        <rFont val="宋体"/>
        <family val="3"/>
        <charset val="134"/>
      </rPr>
      <t>合约交割月的</t>
    </r>
    <r>
      <rPr>
        <sz val="11"/>
        <rFont val="Arial"/>
        <family val="2"/>
      </rPr>
      <t>7</t>
    </r>
    <r>
      <rPr>
        <sz val="11"/>
        <rFont val="宋体"/>
        <family val="3"/>
        <charset val="134"/>
      </rPr>
      <t>日交易日</t>
    </r>
  </si>
  <si>
    <r>
      <rPr>
        <sz val="11"/>
        <rFont val="宋体"/>
        <family val="2"/>
        <charset val="134"/>
      </rPr>
      <t>每年</t>
    </r>
    <r>
      <rPr>
        <sz val="11"/>
        <rFont val="Arial"/>
        <family val="2"/>
      </rPr>
      <t>5</t>
    </r>
    <r>
      <rPr>
        <sz val="11"/>
        <rFont val="宋体"/>
        <family val="2"/>
        <charset val="134"/>
      </rPr>
      <t>月、</t>
    </r>
    <r>
      <rPr>
        <sz val="11"/>
        <rFont val="Arial"/>
        <family val="2"/>
      </rPr>
      <t>11</t>
    </r>
    <r>
      <rPr>
        <sz val="11"/>
        <rFont val="宋体"/>
        <family val="2"/>
        <charset val="134"/>
      </rPr>
      <t>月第</t>
    </r>
    <r>
      <rPr>
        <sz val="11"/>
        <rFont val="Arial"/>
        <family val="2"/>
      </rPr>
      <t>7</t>
    </r>
    <r>
      <rPr>
        <sz val="11"/>
        <rFont val="宋体"/>
        <family val="2"/>
        <charset val="134"/>
      </rPr>
      <t>个交易日（不含该日）之前注册的标准仓单，应在当月的第</t>
    </r>
    <r>
      <rPr>
        <sz val="11"/>
        <rFont val="Arial"/>
        <family val="2"/>
      </rPr>
      <t>10</t>
    </r>
    <r>
      <rPr>
        <sz val="11"/>
        <rFont val="宋体"/>
        <family val="2"/>
        <charset val="134"/>
      </rPr>
      <t>个交易日（含该日）之前全部注销。</t>
    </r>
  </si>
  <si>
    <r>
      <rPr>
        <sz val="11"/>
        <rFont val="宋体"/>
        <family val="2"/>
        <charset val="134"/>
      </rPr>
      <t>每年</t>
    </r>
    <r>
      <rPr>
        <sz val="11"/>
        <rFont val="Arial"/>
        <family val="2"/>
      </rPr>
      <t>2</t>
    </r>
    <r>
      <rPr>
        <sz val="11"/>
        <rFont val="宋体"/>
        <family val="2"/>
        <charset val="134"/>
      </rPr>
      <t>月、</t>
    </r>
    <r>
      <rPr>
        <sz val="11"/>
        <rFont val="Arial"/>
        <family val="2"/>
      </rPr>
      <t>6</t>
    </r>
    <r>
      <rPr>
        <sz val="11"/>
        <rFont val="宋体"/>
        <family val="2"/>
        <charset val="134"/>
      </rPr>
      <t>月、</t>
    </r>
    <r>
      <rPr>
        <sz val="11"/>
        <rFont val="Arial"/>
        <family val="2"/>
      </rPr>
      <t>10</t>
    </r>
    <r>
      <rPr>
        <sz val="11"/>
        <rFont val="宋体"/>
        <family val="2"/>
        <charset val="134"/>
      </rPr>
      <t>月第</t>
    </r>
    <r>
      <rPr>
        <sz val="11"/>
        <rFont val="Arial"/>
        <family val="2"/>
      </rPr>
      <t>12</t>
    </r>
    <r>
      <rPr>
        <sz val="11"/>
        <rFont val="宋体"/>
        <family val="2"/>
        <charset val="134"/>
      </rPr>
      <t>个交易日（不含该日）之前注册的厂库和仓库标准仓单，应在当月的第</t>
    </r>
    <r>
      <rPr>
        <sz val="11"/>
        <rFont val="Arial"/>
        <family val="2"/>
      </rPr>
      <t>15</t>
    </r>
    <r>
      <rPr>
        <sz val="11"/>
        <rFont val="宋体"/>
        <family val="2"/>
        <charset val="134"/>
      </rPr>
      <t>个交易日（含该日）之前全部注销。</t>
    </r>
  </si>
  <si>
    <r>
      <t>N</t>
    </r>
    <r>
      <rPr>
        <sz val="11"/>
        <rFont val="宋体"/>
        <family val="2"/>
        <charset val="134"/>
      </rPr>
      <t>制糖年度（每年的</t>
    </r>
    <r>
      <rPr>
        <sz val="11"/>
        <rFont val="Arial"/>
        <family val="2"/>
      </rPr>
      <t>10</t>
    </r>
    <r>
      <rPr>
        <sz val="11"/>
        <rFont val="宋体"/>
        <family val="2"/>
        <charset val="134"/>
      </rPr>
      <t>月</t>
    </r>
    <r>
      <rPr>
        <sz val="11"/>
        <rFont val="Arial"/>
        <family val="2"/>
      </rPr>
      <t>1</t>
    </r>
    <r>
      <rPr>
        <sz val="11"/>
        <rFont val="宋体"/>
        <family val="2"/>
        <charset val="134"/>
      </rPr>
      <t>日至次年的</t>
    </r>
    <r>
      <rPr>
        <sz val="11"/>
        <rFont val="Arial"/>
        <family val="2"/>
      </rPr>
      <t>9</t>
    </r>
    <r>
      <rPr>
        <sz val="11"/>
        <rFont val="宋体"/>
        <family val="2"/>
        <charset val="134"/>
      </rPr>
      <t>月</t>
    </r>
    <r>
      <rPr>
        <sz val="11"/>
        <rFont val="Arial"/>
        <family val="2"/>
      </rPr>
      <t>30</t>
    </r>
    <r>
      <rPr>
        <sz val="11"/>
        <rFont val="宋体"/>
        <family val="2"/>
        <charset val="134"/>
      </rPr>
      <t>日）生产的白糖所注册的标准仓单有效期为该制糖年度结束后当年</t>
    </r>
    <r>
      <rPr>
        <sz val="11"/>
        <rFont val="Arial"/>
        <family val="2"/>
      </rPr>
      <t>11</t>
    </r>
    <r>
      <rPr>
        <sz val="11"/>
        <rFont val="宋体"/>
        <family val="2"/>
        <charset val="134"/>
      </rPr>
      <t>月份的最后一个工作日（含该日）。</t>
    </r>
  </si>
  <si>
    <r>
      <t>N</t>
    </r>
    <r>
      <rPr>
        <sz val="11"/>
        <rFont val="宋体"/>
        <family val="2"/>
        <charset val="134"/>
      </rPr>
      <t>年生产的棉花注册的标准仓单，有效期至</t>
    </r>
    <r>
      <rPr>
        <sz val="11"/>
        <rFont val="Arial"/>
        <family val="2"/>
      </rPr>
      <t>N+2</t>
    </r>
    <r>
      <rPr>
        <sz val="11"/>
        <rFont val="宋体"/>
        <family val="2"/>
        <charset val="134"/>
      </rPr>
      <t>年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月的最后一个工作日。</t>
    </r>
    <r>
      <rPr>
        <sz val="11"/>
        <rFont val="Arial"/>
        <family val="2"/>
      </rPr>
      <t xml:space="preserve"> </t>
    </r>
  </si>
  <si>
    <r>
      <rPr>
        <sz val="11"/>
        <rFont val="Calibri"/>
        <family val="2"/>
      </rPr>
      <t>合约交割月的</t>
    </r>
    <r>
      <rPr>
        <sz val="11"/>
        <rFont val="Arial"/>
        <family val="2"/>
      </rPr>
      <t>12</t>
    </r>
    <r>
      <rPr>
        <sz val="11"/>
        <rFont val="Calibri"/>
        <family val="2"/>
      </rPr>
      <t>日交易日</t>
    </r>
  </si>
  <si>
    <r>
      <t>N</t>
    </r>
    <r>
      <rPr>
        <sz val="11"/>
        <rFont val="宋体"/>
        <family val="2"/>
        <charset val="134"/>
      </rPr>
      <t>年</t>
    </r>
    <r>
      <rPr>
        <sz val="11"/>
        <rFont val="Arial"/>
        <family val="2"/>
      </rPr>
      <t>6</t>
    </r>
    <r>
      <rPr>
        <sz val="11"/>
        <rFont val="宋体"/>
        <family val="2"/>
        <charset val="134"/>
      </rPr>
      <t>月</t>
    </r>
    <r>
      <rPr>
        <sz val="11"/>
        <rFont val="Arial"/>
        <family val="2"/>
      </rPr>
      <t>1</t>
    </r>
    <r>
      <rPr>
        <sz val="11"/>
        <rFont val="宋体"/>
        <family val="2"/>
        <charset val="134"/>
      </rPr>
      <t>日起注册的菜籽油标准仓单有效期至</t>
    </r>
    <r>
      <rPr>
        <sz val="11"/>
        <rFont val="Arial"/>
        <family val="2"/>
      </rPr>
      <t>N+1</t>
    </r>
    <r>
      <rPr>
        <sz val="11"/>
        <rFont val="宋体"/>
        <family val="2"/>
        <charset val="134"/>
      </rPr>
      <t>年</t>
    </r>
    <r>
      <rPr>
        <sz val="11"/>
        <rFont val="Arial"/>
        <family val="2"/>
      </rPr>
      <t>5</t>
    </r>
    <r>
      <rPr>
        <sz val="11"/>
        <rFont val="宋体"/>
        <family val="2"/>
        <charset val="134"/>
      </rPr>
      <t>月份最后一个工作日（含该日）。</t>
    </r>
  </si>
  <si>
    <r>
      <t>N</t>
    </r>
    <r>
      <rPr>
        <sz val="11"/>
        <rFont val="宋体"/>
        <family val="2"/>
        <charset val="134"/>
      </rPr>
      <t>年</t>
    </r>
    <r>
      <rPr>
        <sz val="11"/>
        <rFont val="Arial"/>
        <family val="2"/>
      </rPr>
      <t>6</t>
    </r>
    <r>
      <rPr>
        <sz val="11"/>
        <rFont val="宋体"/>
        <family val="2"/>
        <charset val="134"/>
      </rPr>
      <t>月</t>
    </r>
    <r>
      <rPr>
        <sz val="11"/>
        <rFont val="Arial"/>
        <family val="2"/>
      </rPr>
      <t>1</t>
    </r>
    <r>
      <rPr>
        <sz val="11"/>
        <rFont val="宋体"/>
        <family val="2"/>
        <charset val="134"/>
      </rPr>
      <t>日起接受菜籽标准仓单注册，仓单有效期至</t>
    </r>
    <r>
      <rPr>
        <sz val="11"/>
        <rFont val="Arial"/>
        <family val="2"/>
      </rPr>
      <t>N</t>
    </r>
    <r>
      <rPr>
        <sz val="11"/>
        <rFont val="宋体"/>
        <family val="2"/>
        <charset val="134"/>
      </rPr>
      <t>年</t>
    </r>
    <r>
      <rPr>
        <sz val="11"/>
        <rFont val="Arial"/>
        <family val="2"/>
      </rPr>
      <t>11</t>
    </r>
    <r>
      <rPr>
        <sz val="11"/>
        <rFont val="宋体"/>
        <family val="2"/>
        <charset val="134"/>
      </rPr>
      <t>月份最后一个工作日（含该日）。</t>
    </r>
  </si>
  <si>
    <r>
      <rPr>
        <sz val="11"/>
        <rFont val="宋体"/>
        <family val="2"/>
        <charset val="134"/>
      </rPr>
      <t>每年</t>
    </r>
    <r>
      <rPr>
        <sz val="11"/>
        <rFont val="Arial"/>
        <family val="2"/>
      </rPr>
      <t>3</t>
    </r>
    <r>
      <rPr>
        <sz val="11"/>
        <rFont val="宋体"/>
        <family val="2"/>
        <charset val="134"/>
      </rPr>
      <t>月、</t>
    </r>
    <r>
      <rPr>
        <sz val="11"/>
        <rFont val="Arial"/>
        <family val="2"/>
      </rPr>
      <t>7</t>
    </r>
    <r>
      <rPr>
        <sz val="11"/>
        <rFont val="宋体"/>
        <family val="2"/>
        <charset val="134"/>
      </rPr>
      <t>月、</t>
    </r>
    <r>
      <rPr>
        <sz val="11"/>
        <rFont val="Arial"/>
        <family val="2"/>
      </rPr>
      <t>11</t>
    </r>
    <r>
      <rPr>
        <sz val="11"/>
        <rFont val="宋体"/>
        <family val="2"/>
        <charset val="134"/>
      </rPr>
      <t>月第</t>
    </r>
    <r>
      <rPr>
        <sz val="11"/>
        <rFont val="Arial"/>
        <family val="2"/>
      </rPr>
      <t>12</t>
    </r>
    <r>
      <rPr>
        <sz val="11"/>
        <rFont val="宋体"/>
        <family val="2"/>
        <charset val="134"/>
      </rPr>
      <t>个交易日（不含该日）之前注册的标准仓单，应在当月的第</t>
    </r>
    <r>
      <rPr>
        <sz val="11"/>
        <rFont val="Arial"/>
        <family val="2"/>
      </rPr>
      <t>15</t>
    </r>
    <r>
      <rPr>
        <sz val="11"/>
        <rFont val="宋体"/>
        <family val="2"/>
        <charset val="134"/>
      </rPr>
      <t>个交易日（含该日）之前全部注销。</t>
    </r>
  </si>
  <si>
    <r>
      <rPr>
        <sz val="11"/>
        <rFont val="宋体"/>
        <family val="2"/>
        <charset val="134"/>
      </rPr>
      <t>每年</t>
    </r>
    <r>
      <rPr>
        <sz val="11"/>
        <rFont val="Arial"/>
        <family val="2"/>
      </rPr>
      <t>9</t>
    </r>
    <r>
      <rPr>
        <sz val="11"/>
        <rFont val="宋体"/>
        <family val="2"/>
        <charset val="134"/>
      </rPr>
      <t>月的最后一个交易日</t>
    </r>
  </si>
  <si>
    <t>High 
Fluidity</t>
    <phoneticPr fontId="2" type="noConversion"/>
  </si>
  <si>
    <t>Near
Month</t>
    <phoneticPr fontId="2" type="noConversion"/>
  </si>
  <si>
    <t>Far
Month</t>
    <phoneticPr fontId="2" type="noConversion"/>
  </si>
  <si>
    <t>RT_PRICE</t>
    <phoneticPr fontId="2" type="noConversion"/>
  </si>
  <si>
    <t>Far 
Price</t>
    <phoneticPr fontId="2" type="noConversion"/>
  </si>
  <si>
    <t>Near 
Price</t>
    <phoneticPr fontId="2" type="noConversion"/>
  </si>
  <si>
    <t>Term</t>
    <phoneticPr fontId="2" type="noConversion"/>
  </si>
  <si>
    <t>Warehouse
Fee</t>
    <phoneticPr fontId="2" type="noConversion"/>
  </si>
  <si>
    <t>Trade
Fee</t>
    <phoneticPr fontId="2" type="noConversion"/>
  </si>
  <si>
    <t>Delivery
Fee</t>
    <phoneticPr fontId="2" type="noConversion"/>
  </si>
  <si>
    <t>VAT</t>
    <phoneticPr fontId="2" type="noConversion"/>
  </si>
  <si>
    <t>Spread</t>
    <phoneticPr fontId="2" type="noConversion"/>
  </si>
  <si>
    <t>Cost</t>
    <phoneticPr fontId="2" type="noConversion"/>
  </si>
  <si>
    <t>Global Set</t>
    <phoneticPr fontId="2" type="noConversion"/>
  </si>
  <si>
    <t>Rf</t>
    <phoneticPr fontId="2" type="noConversion"/>
  </si>
  <si>
    <t>Broker Trade fee(rate)</t>
    <phoneticPr fontId="2" type="noConversion"/>
  </si>
  <si>
    <t>Coc</t>
    <phoneticPr fontId="2" type="noConversion"/>
  </si>
  <si>
    <t>Construct</t>
    <phoneticPr fontId="2" type="noConversion"/>
  </si>
  <si>
    <t>Mortgage
fee</t>
    <phoneticPr fontId="2" type="noConversion"/>
  </si>
  <si>
    <t>Yield
(normal)</t>
  </si>
  <si>
    <t>Yield
(normal)</t>
    <phoneticPr fontId="2" type="noConversion"/>
  </si>
  <si>
    <t>Yield
(allowance)</t>
  </si>
  <si>
    <t>Yield
(allowance)</t>
    <phoneticPr fontId="2" type="noConversion"/>
  </si>
  <si>
    <t>Yield
(mortgage)</t>
  </si>
  <si>
    <t>Yield
(mortgage)</t>
    <phoneticPr fontId="2" type="noConversion"/>
  </si>
  <si>
    <t>rank</t>
    <phoneticPr fontId="2" type="noConversion"/>
  </si>
  <si>
    <t>Sccode</t>
    <phoneticPr fontId="2" type="noConversion"/>
  </si>
  <si>
    <t>Mode</t>
    <phoneticPr fontId="2" type="noConversion"/>
  </si>
  <si>
    <t>Spread</t>
    <phoneticPr fontId="2" type="noConversion"/>
  </si>
  <si>
    <t>Cost</t>
    <phoneticPr fontId="2" type="noConversion"/>
  </si>
  <si>
    <t>Cancellation 
Month</t>
    <phoneticPr fontId="2" type="noConversion"/>
  </si>
  <si>
    <t>价差</t>
    <phoneticPr fontId="2" type="noConversion"/>
  </si>
  <si>
    <t>成本</t>
    <phoneticPr fontId="2" type="noConversion"/>
  </si>
  <si>
    <r>
      <t xml:space="preserve">年化收益
</t>
    </r>
    <r>
      <rPr>
        <b/>
        <sz val="9"/>
        <color theme="1"/>
        <rFont val="微软雅黑"/>
        <family val="2"/>
        <charset val="134"/>
      </rPr>
      <t>(考虑仓单折抵)</t>
    </r>
    <phoneticPr fontId="2" type="noConversion"/>
  </si>
  <si>
    <r>
      <t xml:space="preserve">年化收益
</t>
    </r>
    <r>
      <rPr>
        <b/>
        <sz val="9"/>
        <color theme="1"/>
        <rFont val="微软雅黑"/>
        <family val="2"/>
        <charset val="134"/>
      </rPr>
      <t>(常规)</t>
    </r>
    <phoneticPr fontId="2" type="noConversion"/>
  </si>
  <si>
    <r>
      <t xml:space="preserve">年化收益
</t>
    </r>
    <r>
      <rPr>
        <b/>
        <sz val="9"/>
        <color theme="1"/>
        <rFont val="微软雅黑"/>
        <family val="2"/>
        <charset val="134"/>
      </rPr>
      <t>(考虑仓单质押)</t>
    </r>
    <phoneticPr fontId="2" type="noConversion"/>
  </si>
  <si>
    <t>套利模式</t>
    <phoneticPr fontId="2" type="noConversion"/>
  </si>
  <si>
    <t>交割套机会监控</t>
    <phoneticPr fontId="2" type="noConversion"/>
  </si>
  <si>
    <t>Monitor</t>
    <phoneticPr fontId="2" type="noConversion"/>
  </si>
  <si>
    <t>套利组合</t>
    <phoneticPr fontId="2" type="noConversion"/>
  </si>
  <si>
    <t>价差</t>
    <phoneticPr fontId="2" type="noConversion"/>
  </si>
  <si>
    <t>成本</t>
    <phoneticPr fontId="2" type="noConversion"/>
  </si>
  <si>
    <t>年化收益
(常规)</t>
  </si>
  <si>
    <t>年化收益
(仓单质押)</t>
    <phoneticPr fontId="2" type="noConversion"/>
  </si>
  <si>
    <t>年化收益
(仓单折抵)</t>
    <phoneticPr fontId="2" type="noConversion"/>
  </si>
  <si>
    <r>
      <t>3(N-2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)</t>
    </r>
    <phoneticPr fontId="2" type="noConversion"/>
  </si>
  <si>
    <r>
      <t>5(N-1.5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)</t>
    </r>
    <phoneticPr fontId="2" type="noConversion"/>
  </si>
  <si>
    <r>
      <t>11(N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个月</t>
    </r>
    <r>
      <rPr>
        <sz val="11"/>
        <rFont val="Arial"/>
        <family val="2"/>
      </rPr>
      <t>)</t>
    </r>
    <phoneticPr fontId="2" type="noConversion"/>
  </si>
  <si>
    <t>仓单注销
(月份)</t>
    <phoneticPr fontId="2" type="noConversion"/>
  </si>
  <si>
    <t>商品期货交割套利机会提示</t>
    <phoneticPr fontId="2" type="noConversion"/>
  </si>
  <si>
    <t>每月</t>
    <phoneticPr fontId="2" type="noConversion"/>
  </si>
  <si>
    <t>每月</t>
    <phoneticPr fontId="2" type="noConversion"/>
  </si>
  <si>
    <r>
      <t>6</t>
    </r>
    <r>
      <rPr>
        <sz val="11"/>
        <rFont val="宋体"/>
        <family val="3"/>
        <charset val="134"/>
      </rPr>
      <t>个月内</t>
    </r>
    <phoneticPr fontId="2" type="noConversion"/>
  </si>
  <si>
    <r>
      <t>6</t>
    </r>
    <r>
      <rPr>
        <sz val="11"/>
        <rFont val="宋体"/>
        <family val="3"/>
        <charset val="134"/>
      </rPr>
      <t>个月内</t>
    </r>
    <phoneticPr fontId="2" type="noConversion"/>
  </si>
  <si>
    <t>注1:成本包括交易手续费,仓储费,交割费,增值税,未考虑资金成本</t>
    <phoneticPr fontId="2" type="noConversion"/>
  </si>
  <si>
    <t>注2:只是机会的提示,具体操作时收益会有差别,如增值税风险等</t>
    <phoneticPr fontId="2" type="noConversion"/>
  </si>
  <si>
    <t>Scode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</si>
</sst>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00%"/>
    <numFmt numFmtId="177" formatCode="_ * #,##0_ ;_ * \-#,##0_ ;_ * &quot;-&quot;??_ ;_ @_ "/>
    <numFmt numFmtId="178" formatCode="0.0%"/>
    <numFmt numFmtId="179" formatCode="#,##0.0000_ ;\-#,##0.0000\ "/>
    <numFmt numFmtId="180" formatCode="_ * #,##0.0_ ;_ * \-#,##0.0_ ;_ * &quot;-&quot;??_ ;_ @_ "/>
  </numFmts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11"/>
      <name val="Arial"/>
      <family val="2"/>
    </font>
    <font>
      <sz val="12"/>
      <color theme="0"/>
      <name val="Arial"/>
      <family val="2"/>
    </font>
    <font>
      <sz val="12"/>
      <color theme="0"/>
      <name val="宋体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color theme="0"/>
      <name val="Arial"/>
      <family val="2"/>
    </font>
    <font>
      <sz val="11"/>
      <color theme="0" tint="-4.9989318521683403E-2"/>
      <name val="Arial"/>
      <family val="2"/>
    </font>
    <font>
      <sz val="11"/>
      <color theme="1"/>
      <name val="Arial"/>
      <family val="2"/>
    </font>
    <font>
      <sz val="11"/>
      <color rgb="FFC00000"/>
      <name val="Arial"/>
      <family val="2"/>
    </font>
    <font>
      <sz val="12"/>
      <color theme="2" tint="-0.749992370372631"/>
      <name val="Calibr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华文细黑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华文细黑"/>
      <family val="3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A59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medium">
        <color rgb="FF000D26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righ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center" vertical="center"/>
    </xf>
    <xf numFmtId="9" fontId="6" fillId="0" borderId="17" xfId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right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9" fontId="13" fillId="3" borderId="11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9" fontId="13" fillId="3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176" fontId="13" fillId="5" borderId="4" xfId="1" applyNumberFormat="1" applyFont="1" applyFill="1" applyBorder="1" applyAlignment="1">
      <alignment horizontal="center" vertical="center"/>
    </xf>
    <xf numFmtId="9" fontId="13" fillId="3" borderId="17" xfId="0" applyNumberFormat="1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176" fontId="13" fillId="5" borderId="17" xfId="1" applyNumberFormat="1" applyFont="1" applyFill="1" applyBorder="1" applyAlignment="1">
      <alignment horizontal="center" vertical="center"/>
    </xf>
    <xf numFmtId="176" fontId="13" fillId="5" borderId="11" xfId="1" applyNumberFormat="1" applyFont="1" applyFill="1" applyBorder="1" applyAlignment="1">
      <alignment horizontal="center" vertical="center"/>
    </xf>
    <xf numFmtId="9" fontId="13" fillId="3" borderId="8" xfId="0" applyNumberFormat="1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6" fillId="4" borderId="0" xfId="0" applyFon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6" fillId="4" borderId="0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19" xfId="0" applyFont="1" applyBorder="1">
      <alignment vertical="center"/>
    </xf>
    <xf numFmtId="177" fontId="13" fillId="6" borderId="0" xfId="2" applyNumberFormat="1" applyFont="1" applyFill="1" applyBorder="1" applyAlignment="1">
      <alignment horizontal="right" vertical="center"/>
    </xf>
    <xf numFmtId="177" fontId="7" fillId="2" borderId="2" xfId="2" applyNumberFormat="1" applyFont="1" applyFill="1" applyBorder="1" applyAlignment="1">
      <alignment horizontal="right" vertical="center" wrapText="1"/>
    </xf>
    <xf numFmtId="177" fontId="7" fillId="2" borderId="2" xfId="2" applyNumberFormat="1" applyFont="1" applyFill="1" applyBorder="1" applyAlignment="1">
      <alignment horizontal="right" vertical="center"/>
    </xf>
    <xf numFmtId="0" fontId="13" fillId="6" borderId="0" xfId="2" applyNumberFormat="1" applyFont="1" applyFill="1" applyBorder="1" applyAlignment="1">
      <alignment horizontal="right" vertical="center"/>
    </xf>
    <xf numFmtId="177" fontId="12" fillId="6" borderId="0" xfId="2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178" fontId="12" fillId="8" borderId="0" xfId="1" applyNumberFormat="1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10" fontId="6" fillId="7" borderId="0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 vertical="center"/>
    </xf>
    <xf numFmtId="178" fontId="12" fillId="8" borderId="21" xfId="1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177" fontId="13" fillId="6" borderId="23" xfId="2" applyNumberFormat="1" applyFont="1" applyFill="1" applyBorder="1" applyAlignment="1">
      <alignment horizontal="right" vertical="center"/>
    </xf>
    <xf numFmtId="0" fontId="13" fillId="6" borderId="23" xfId="2" applyNumberFormat="1" applyFont="1" applyFill="1" applyBorder="1" applyAlignment="1">
      <alignment horizontal="right" vertical="center"/>
    </xf>
    <xf numFmtId="177" fontId="12" fillId="6" borderId="23" xfId="2" applyNumberFormat="1" applyFont="1" applyFill="1" applyBorder="1" applyAlignment="1">
      <alignment horizontal="right" vertical="center"/>
    </xf>
    <xf numFmtId="0" fontId="12" fillId="6" borderId="23" xfId="0" applyFont="1" applyFill="1" applyBorder="1" applyAlignment="1">
      <alignment horizontal="center" vertical="center"/>
    </xf>
    <xf numFmtId="178" fontId="12" fillId="8" borderId="23" xfId="1" applyNumberFormat="1" applyFont="1" applyFill="1" applyBorder="1" applyAlignment="1">
      <alignment horizontal="center" vertical="center"/>
    </xf>
    <xf numFmtId="178" fontId="12" fillId="8" borderId="24" xfId="1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left" vertical="center"/>
    </xf>
    <xf numFmtId="0" fontId="18" fillId="10" borderId="0" xfId="0" applyFont="1" applyFill="1">
      <alignment vertical="center"/>
    </xf>
    <xf numFmtId="0" fontId="18" fillId="10" borderId="0" xfId="0" applyFont="1" applyFill="1" applyAlignment="1">
      <alignment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 wrapText="1"/>
    </xf>
    <xf numFmtId="0" fontId="18" fillId="10" borderId="27" xfId="0" applyFont="1" applyFill="1" applyBorder="1" applyAlignment="1">
      <alignment horizontal="center" vertical="center" wrapText="1"/>
    </xf>
    <xf numFmtId="0" fontId="17" fillId="9" borderId="0" xfId="0" applyFont="1" applyFill="1">
      <alignment vertical="center"/>
    </xf>
    <xf numFmtId="0" fontId="17" fillId="9" borderId="28" xfId="0" applyFont="1" applyFill="1" applyBorder="1">
      <alignment vertical="center"/>
    </xf>
    <xf numFmtId="177" fontId="17" fillId="9" borderId="0" xfId="2" applyNumberFormat="1" applyFont="1" applyFill="1" applyBorder="1">
      <alignment vertical="center"/>
    </xf>
    <xf numFmtId="178" fontId="17" fillId="9" borderId="0" xfId="1" applyNumberFormat="1" applyFont="1" applyFill="1" applyBorder="1">
      <alignment vertical="center"/>
    </xf>
    <xf numFmtId="178" fontId="17" fillId="9" borderId="29" xfId="1" applyNumberFormat="1" applyFont="1" applyFill="1" applyBorder="1">
      <alignment vertical="center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Border="1">
      <alignment vertical="center"/>
    </xf>
    <xf numFmtId="9" fontId="17" fillId="9" borderId="0" xfId="1" applyFont="1" applyFill="1" applyBorder="1">
      <alignment vertical="center"/>
    </xf>
    <xf numFmtId="9" fontId="17" fillId="9" borderId="29" xfId="1" applyFont="1" applyFill="1" applyBorder="1">
      <alignment vertical="center"/>
    </xf>
    <xf numFmtId="0" fontId="17" fillId="9" borderId="30" xfId="0" applyFont="1" applyFill="1" applyBorder="1">
      <alignment vertical="center"/>
    </xf>
    <xf numFmtId="0" fontId="17" fillId="9" borderId="19" xfId="0" applyFont="1" applyFill="1" applyBorder="1">
      <alignment vertical="center"/>
    </xf>
    <xf numFmtId="9" fontId="17" fillId="9" borderId="19" xfId="1" applyFont="1" applyFill="1" applyBorder="1">
      <alignment vertical="center"/>
    </xf>
    <xf numFmtId="9" fontId="17" fillId="9" borderId="31" xfId="1" applyFont="1" applyFill="1" applyBorder="1">
      <alignment vertical="center"/>
    </xf>
    <xf numFmtId="0" fontId="18" fillId="10" borderId="25" xfId="0" applyFont="1" applyFill="1" applyBorder="1" applyAlignment="1">
      <alignment horizontal="left" vertical="center"/>
    </xf>
    <xf numFmtId="0" fontId="17" fillId="9" borderId="28" xfId="0" applyFont="1" applyFill="1" applyBorder="1" applyAlignment="1">
      <alignment horizontal="left" vertical="center"/>
    </xf>
    <xf numFmtId="0" fontId="17" fillId="10" borderId="0" xfId="0" applyFont="1" applyFill="1">
      <alignment vertical="center"/>
    </xf>
    <xf numFmtId="0" fontId="17" fillId="10" borderId="28" xfId="0" applyFont="1" applyFill="1" applyBorder="1">
      <alignment vertical="center"/>
    </xf>
    <xf numFmtId="177" fontId="17" fillId="10" borderId="0" xfId="2" applyNumberFormat="1" applyFont="1" applyFill="1" applyBorder="1">
      <alignment vertical="center"/>
    </xf>
    <xf numFmtId="177" fontId="18" fillId="10" borderId="26" xfId="2" applyNumberFormat="1" applyFont="1" applyFill="1" applyBorder="1" applyAlignment="1">
      <alignment horizontal="right" vertical="center"/>
    </xf>
    <xf numFmtId="178" fontId="17" fillId="10" borderId="0" xfId="1" applyNumberFormat="1" applyFont="1" applyFill="1" applyBorder="1">
      <alignment vertical="center"/>
    </xf>
    <xf numFmtId="178" fontId="17" fillId="10" borderId="29" xfId="1" applyNumberFormat="1" applyFont="1" applyFill="1" applyBorder="1">
      <alignment vertical="center"/>
    </xf>
    <xf numFmtId="178" fontId="18" fillId="10" borderId="26" xfId="1" applyNumberFormat="1" applyFont="1" applyFill="1" applyBorder="1" applyAlignment="1">
      <alignment horizontal="right" vertical="center" wrapText="1"/>
    </xf>
    <xf numFmtId="178" fontId="18" fillId="10" borderId="27" xfId="1" applyNumberFormat="1" applyFont="1" applyFill="1" applyBorder="1" applyAlignment="1">
      <alignment horizontal="right" vertical="center" wrapText="1"/>
    </xf>
    <xf numFmtId="0" fontId="0" fillId="0" borderId="0" xfId="0" applyNumberFormat="1" applyAlignment="1">
      <alignment horizontal="right" vertical="center"/>
    </xf>
    <xf numFmtId="0" fontId="18" fillId="10" borderId="28" xfId="0" applyFont="1" applyFill="1" applyBorder="1">
      <alignment vertical="center"/>
    </xf>
    <xf numFmtId="177" fontId="18" fillId="10" borderId="0" xfId="2" applyNumberFormat="1" applyFont="1" applyFill="1" applyBorder="1">
      <alignment vertical="center"/>
    </xf>
    <xf numFmtId="178" fontId="18" fillId="10" borderId="0" xfId="1" applyNumberFormat="1" applyFont="1" applyFill="1" applyBorder="1">
      <alignment vertical="center"/>
    </xf>
    <xf numFmtId="0" fontId="13" fillId="5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2" applyNumberFormat="1" applyFont="1">
      <alignment vertical="center"/>
    </xf>
    <xf numFmtId="178" fontId="0" fillId="0" borderId="0" xfId="1" applyNumberFormat="1" applyFont="1">
      <alignment vertical="center"/>
    </xf>
    <xf numFmtId="177" fontId="24" fillId="0" borderId="32" xfId="2" applyNumberFormat="1" applyFont="1" applyBorder="1" applyAlignment="1">
      <alignment horizontal="right" vertical="center"/>
    </xf>
    <xf numFmtId="178" fontId="24" fillId="0" borderId="32" xfId="1" applyNumberFormat="1" applyFont="1" applyBorder="1" applyAlignment="1">
      <alignment horizontal="right" vertical="center"/>
    </xf>
    <xf numFmtId="0" fontId="22" fillId="2" borderId="33" xfId="0" applyFont="1" applyFill="1" applyBorder="1">
      <alignment vertical="center"/>
    </xf>
    <xf numFmtId="0" fontId="22" fillId="2" borderId="34" xfId="0" applyNumberFormat="1" applyFont="1" applyFill="1" applyBorder="1" applyAlignment="1">
      <alignment horizontal="right" vertical="center"/>
    </xf>
    <xf numFmtId="0" fontId="22" fillId="2" borderId="34" xfId="0" applyFont="1" applyFill="1" applyBorder="1">
      <alignment vertical="center"/>
    </xf>
    <xf numFmtId="0" fontId="25" fillId="2" borderId="36" xfId="0" applyFont="1" applyFill="1" applyBorder="1" applyAlignment="1">
      <alignment vertical="center" wrapText="1"/>
    </xf>
    <xf numFmtId="0" fontId="25" fillId="2" borderId="0" xfId="0" applyNumberFormat="1" applyFont="1" applyFill="1" applyBorder="1" applyAlignment="1">
      <alignment horizontal="right" vertical="center" wrapText="1"/>
    </xf>
    <xf numFmtId="179" fontId="25" fillId="2" borderId="0" xfId="0" applyNumberFormat="1" applyFont="1" applyFill="1" applyBorder="1" applyAlignment="1">
      <alignment horizontal="right" vertical="center" wrapText="1"/>
    </xf>
    <xf numFmtId="0" fontId="25" fillId="2" borderId="0" xfId="0" applyFont="1" applyFill="1" applyBorder="1" applyAlignment="1">
      <alignment horizontal="right" vertical="center" wrapText="1"/>
    </xf>
    <xf numFmtId="0" fontId="25" fillId="2" borderId="37" xfId="0" applyFont="1" applyFill="1" applyBorder="1" applyAlignment="1">
      <alignment horizontal="right" vertical="center" wrapText="1"/>
    </xf>
    <xf numFmtId="0" fontId="0" fillId="0" borderId="0" xfId="0" applyFill="1">
      <alignment vertical="center"/>
    </xf>
    <xf numFmtId="0" fontId="26" fillId="0" borderId="43" xfId="0" applyFont="1" applyFill="1" applyBorder="1">
      <alignment vertical="center"/>
    </xf>
    <xf numFmtId="177" fontId="26" fillId="0" borderId="43" xfId="2" applyNumberFormat="1" applyFont="1" applyFill="1" applyBorder="1" applyAlignment="1">
      <alignment horizontal="right" vertical="center"/>
    </xf>
    <xf numFmtId="178" fontId="26" fillId="0" borderId="43" xfId="1" applyNumberFormat="1" applyFont="1" applyFill="1" applyBorder="1" applyAlignment="1">
      <alignment horizontal="right" vertical="center"/>
    </xf>
    <xf numFmtId="0" fontId="26" fillId="0" borderId="0" xfId="0" applyFont="1" applyFill="1" applyBorder="1">
      <alignment vertical="center"/>
    </xf>
    <xf numFmtId="177" fontId="26" fillId="0" borderId="0" xfId="2" applyNumberFormat="1" applyFont="1" applyFill="1" applyBorder="1" applyAlignment="1">
      <alignment horizontal="right" vertical="center"/>
    </xf>
    <xf numFmtId="178" fontId="26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24" fillId="0" borderId="0" xfId="0" applyFont="1" applyFill="1" applyBorder="1">
      <alignment vertical="center"/>
    </xf>
    <xf numFmtId="177" fontId="24" fillId="0" borderId="0" xfId="2" applyNumberFormat="1" applyFont="1" applyFill="1" applyBorder="1" applyAlignment="1">
      <alignment horizontal="right" vertical="center"/>
    </xf>
    <xf numFmtId="178" fontId="24" fillId="0" borderId="0" xfId="1" applyNumberFormat="1" applyFont="1" applyFill="1" applyBorder="1" applyAlignment="1">
      <alignment horizontal="right" vertical="center"/>
    </xf>
    <xf numFmtId="177" fontId="24" fillId="0" borderId="0" xfId="2" applyNumberFormat="1" applyFont="1" applyFill="1" applyBorder="1">
      <alignment vertical="center"/>
    </xf>
    <xf numFmtId="178" fontId="24" fillId="0" borderId="0" xfId="1" applyNumberFormat="1" applyFont="1" applyFill="1" applyBorder="1">
      <alignment vertical="center"/>
    </xf>
    <xf numFmtId="0" fontId="24" fillId="0" borderId="0" xfId="0" applyFont="1" applyBorder="1">
      <alignment vertical="center"/>
    </xf>
    <xf numFmtId="177" fontId="24" fillId="0" borderId="0" xfId="2" applyNumberFormat="1" applyFont="1" applyBorder="1">
      <alignment vertical="center"/>
    </xf>
    <xf numFmtId="178" fontId="24" fillId="0" borderId="0" xfId="1" applyNumberFormat="1" applyFont="1" applyBorder="1">
      <alignment vertical="center"/>
    </xf>
    <xf numFmtId="0" fontId="0" fillId="0" borderId="0" xfId="0" applyBorder="1">
      <alignment vertical="center"/>
    </xf>
    <xf numFmtId="177" fontId="0" fillId="0" borderId="0" xfId="2" applyNumberFormat="1" applyFont="1" applyBorder="1">
      <alignment vertical="center"/>
    </xf>
    <xf numFmtId="178" fontId="0" fillId="0" borderId="0" xfId="1" applyNumberFormat="1" applyFont="1" applyBorder="1">
      <alignment vertical="center"/>
    </xf>
    <xf numFmtId="0" fontId="10" fillId="0" borderId="4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vertical="center" wrapText="1"/>
    </xf>
    <xf numFmtId="0" fontId="23" fillId="2" borderId="0" xfId="0" applyNumberFormat="1" applyFont="1" applyFill="1" applyBorder="1" applyAlignment="1">
      <alignment horizontal="right" vertical="center" wrapText="1"/>
    </xf>
    <xf numFmtId="179" fontId="23" fillId="2" borderId="0" xfId="0" applyNumberFormat="1" applyFont="1" applyFill="1" applyBorder="1" applyAlignment="1">
      <alignment horizontal="right" vertical="center" wrapText="1"/>
    </xf>
    <xf numFmtId="0" fontId="23" fillId="2" borderId="0" xfId="0" applyFont="1" applyFill="1" applyBorder="1" applyAlignment="1">
      <alignment horizontal="right" vertical="center" wrapText="1"/>
    </xf>
    <xf numFmtId="0" fontId="23" fillId="2" borderId="37" xfId="0" applyFont="1" applyFill="1" applyBorder="1" applyAlignment="1">
      <alignment horizontal="right" vertical="center" wrapText="1"/>
    </xf>
    <xf numFmtId="0" fontId="24" fillId="0" borderId="38" xfId="0" applyFont="1" applyBorder="1">
      <alignment vertical="center"/>
    </xf>
    <xf numFmtId="0" fontId="24" fillId="0" borderId="39" xfId="0" applyFont="1" applyBorder="1" applyAlignment="1">
      <alignment horizontal="right" vertical="center"/>
    </xf>
    <xf numFmtId="0" fontId="24" fillId="0" borderId="40" xfId="0" applyFont="1" applyBorder="1">
      <alignment vertical="center"/>
    </xf>
    <xf numFmtId="177" fontId="24" fillId="0" borderId="41" xfId="2" applyNumberFormat="1" applyFont="1" applyBorder="1" applyAlignment="1">
      <alignment horizontal="right" vertical="center"/>
    </xf>
    <xf numFmtId="178" fontId="24" fillId="0" borderId="41" xfId="1" applyNumberFormat="1" applyFont="1" applyBorder="1" applyAlignment="1">
      <alignment horizontal="right" vertical="center"/>
    </xf>
    <xf numFmtId="0" fontId="24" fillId="0" borderId="42" xfId="0" applyFont="1" applyBorder="1" applyAlignment="1">
      <alignment horizontal="right" vertical="center"/>
    </xf>
    <xf numFmtId="0" fontId="26" fillId="0" borderId="0" xfId="0" applyFont="1" applyFill="1" applyBorder="1" applyAlignment="1">
      <alignment vertical="center"/>
    </xf>
    <xf numFmtId="177" fontId="13" fillId="6" borderId="44" xfId="2" applyNumberFormat="1" applyFont="1" applyFill="1" applyBorder="1" applyAlignment="1">
      <alignment horizontal="right" vertical="center"/>
    </xf>
    <xf numFmtId="180" fontId="13" fillId="6" borderId="0" xfId="2" applyNumberFormat="1" applyFont="1" applyFill="1" applyBorder="1" applyAlignment="1">
      <alignment horizontal="right" vertical="center"/>
    </xf>
    <xf numFmtId="177" fontId="6" fillId="4" borderId="0" xfId="0" applyNumberFormat="1" applyFont="1" applyFill="1" applyBorder="1">
      <alignment vertical="center"/>
    </xf>
    <xf numFmtId="22" fontId="18" fillId="10" borderId="19" xfId="1" applyNumberFormat="1" applyFont="1" applyFill="1" applyBorder="1" applyAlignment="1">
      <alignment horizontal="right" vertical="center"/>
    </xf>
    <xf numFmtId="22" fontId="18" fillId="10" borderId="31" xfId="1" applyNumberFormat="1" applyFont="1" applyFill="1" applyBorder="1" applyAlignment="1">
      <alignment horizontal="right" vertical="center"/>
    </xf>
    <xf numFmtId="22" fontId="18" fillId="10" borderId="19" xfId="0" applyNumberFormat="1" applyFont="1" applyFill="1" applyBorder="1" applyAlignment="1">
      <alignment horizontal="right" vertical="center"/>
    </xf>
    <xf numFmtId="22" fontId="22" fillId="2" borderId="34" xfId="0" applyNumberFormat="1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D26"/>
      <color rgb="FF4A59A6"/>
      <color rgb="FF3392BD"/>
      <color rgb="FF538CFF"/>
      <color rgb="FF66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1326</v>
        <stp/>
        <stp>JM1805.DCE</stp>
        <stp>Bid_Price1</stp>
        <tr r="F15" s="3"/>
      </tp>
      <tp>
        <v>3871</v>
        <stp/>
        <stp>JD1805.DCE</stp>
        <stp>Bid_Price1</stp>
        <tr r="F8" s="3"/>
      </tp>
      <tp>
        <v>2027</v>
        <stp/>
        <stp>CS1805.DCE</stp>
        <stp>Bid_Price1</stp>
        <tr r="F5" s="3"/>
      </tp>
      <tp>
        <v>96.25</v>
        <stp/>
        <stp>BB1805.DCE</stp>
        <stp>Bid_Price1</stp>
        <tr r="F12" s="3"/>
      </tp>
      <tp>
        <v>0</v>
        <stp/>
        <stp>FB1805.DCE</stp>
        <stp>Bid_Price1</stp>
        <tr r="F13" s="3"/>
      </tp>
      <tp>
        <v>9321</v>
        <stp/>
        <stp>PP1805.DCE</stp>
        <stp>Bid_Price1</stp>
        <tr r="F11" s="3"/>
      </tp>
      <tp>
        <v>2862</v>
        <stp/>
        <stp>BU1806.SHF</stp>
        <stp>Bid_Price1</stp>
        <tr r="F29" s="3"/>
      </tp>
      <tp>
        <v>16315</v>
        <stp/>
        <stp>AL1805.SHF</stp>
        <stp>Bid_Price1</stp>
        <tr r="F19" s="3"/>
      </tp>
      <tp>
        <v>4134</v>
        <stp/>
        <stp>AG1806.SHF</stp>
        <stp>Bid_Price1</stp>
        <tr r="F24" s="3"/>
      </tp>
      <tp>
        <v>286.7</v>
        <stp/>
        <stp>AU1806.SHF</stp>
        <stp>Bid_Price1</stp>
        <tr r="F23" s="3"/>
      </tp>
      <tp>
        <v>0</v>
        <stp/>
        <stp>FU1801.SHF</stp>
        <stp>Bid_Price1</stp>
        <tr r="F30" s="3"/>
      </tp>
      <tp>
        <v>3903</v>
        <stp/>
        <stp>HC1805.SHF</stp>
        <stp>Bid_Price1</stp>
        <tr r="F26" s="3"/>
      </tp>
      <tp>
        <v>95220</v>
        <stp/>
        <stp>NI1805.SHF</stp>
        <stp>Bid_Price1</stp>
        <tr r="F22" s="3"/>
      </tp>
      <tp>
        <v>3764</v>
        <stp/>
        <stp>RB1805.SHF</stp>
        <stp>Bid_Price1</stp>
        <tr r="F25" s="3"/>
      </tp>
      <tp>
        <v>16825</v>
        <stp/>
        <stp>RU1805.SHF</stp>
        <stp>Bid_Price1</stp>
        <tr r="F28" s="3"/>
      </tp>
      <tp>
        <v>146960</v>
        <stp/>
        <stp>SN1805.SHF</stp>
        <stp>Bid_Price1</stp>
        <tr r="F21" s="3"/>
      </tp>
      <tp>
        <v>18465</v>
        <stp/>
        <stp>PB1805.SHF</stp>
        <stp>Bid_Price1</stp>
        <tr r="F20" s="3"/>
      </tp>
      <tp>
        <v>0</v>
        <stp/>
        <stp>WR1805.SHF</stp>
        <stp>Bid_Price1</stp>
        <tr r="F27" s="3"/>
      </tp>
      <tp>
        <v>24500</v>
        <stp/>
        <stp>ZN1805.SHF</stp>
        <stp>Bid_Price1</stp>
        <tr r="F18" s="3"/>
      </tp>
      <tp>
        <v>52810</v>
        <stp/>
        <stp>CU1711.SHF</stp>
        <stp>Bid_Price1</stp>
        <tr r="F17" s="3"/>
      </tp>
      <tp>
        <v>9287</v>
        <stp/>
        <stp>PP1801.DCE</stp>
        <stp>Ask_price1</stp>
        <tr r="C11" s="3"/>
      </tp>
      <tp>
        <v>1999</v>
        <stp/>
        <stp>CS1801.DCE</stp>
        <stp>Ask_price1</stp>
        <tr r="C5" s="3"/>
      </tp>
      <tp>
        <v>0</v>
        <stp/>
        <stp>BB1801.DCE</stp>
        <stp>Ask_price1</stp>
        <tr r="C12" s="3"/>
      </tp>
      <tp>
        <v>75.350000000000009</v>
        <stp/>
        <stp>FB1801.DCE</stp>
        <stp>Ask_price1</stp>
        <tr r="C13" s="3"/>
      </tp>
      <tp>
        <v>4335</v>
        <stp/>
        <stp>JD1801.DCE</stp>
        <stp>Ask_price1</stp>
        <tr r="C8" s="3"/>
      </tp>
      <tp>
        <v>1404</v>
        <stp/>
        <stp>JM1801.DCE</stp>
        <stp>Ask_price1</stp>
        <tr r="C15" s="3"/>
      </tp>
      <tp>
        <v>25300</v>
        <stp/>
        <stp>ZN1801.SHF</stp>
        <stp>Ask_price1</stp>
        <tr r="C18" s="3"/>
      </tp>
      <tp>
        <v>18885</v>
        <stp/>
        <stp>PB1801.SHF</stp>
        <stp>Ask_price1</stp>
        <tr r="C20" s="3"/>
      </tp>
      <tp>
        <v>3882</v>
        <stp/>
        <stp>RB1801.SHF</stp>
        <stp>Ask_price1</stp>
        <tr r="C25" s="3"/>
      </tp>
      <tp>
        <v>16445</v>
        <stp/>
        <stp>RU1801.SHF</stp>
        <stp>Ask_price1</stp>
        <tr r="C28" s="3"/>
      </tp>
      <tp>
        <v>147420</v>
        <stp/>
        <stp>SN1801.SHF</stp>
        <stp>Ask_price1</stp>
        <tr r="C21" s="3"/>
      </tp>
      <tp>
        <v>0</v>
        <stp/>
        <stp>WR1801.SHF</stp>
        <stp>Ask_price1</stp>
        <tr r="C27" s="3"/>
      </tp>
      <tp>
        <v>4054</v>
        <stp/>
        <stp>HC1801.SHF</stp>
        <stp>Ask_price1</stp>
        <tr r="C26" s="3"/>
      </tp>
      <tp>
        <v>94080</v>
        <stp/>
        <stp>NI1801.SHF</stp>
        <stp>Ask_price1</stp>
        <tr r="C22" s="3"/>
      </tp>
      <tp>
        <v>16435</v>
        <stp/>
        <stp>AL1801.SHF</stp>
        <stp>Ask_price1</stp>
        <tr r="C19" s="3"/>
      </tp>
      <tp>
        <v>4240</v>
        <stp/>
        <stp>FU1801.SHF</stp>
        <stp>Ask_price1</stp>
        <tr r="C30" s="3"/>
      </tp>
      <tp>
        <v>4027</v>
        <stp/>
        <stp>AG1712.SHF</stp>
        <stp>Ask_price1</stp>
        <tr r="C24" s="3"/>
      </tp>
      <tp>
        <v>283.8</v>
        <stp/>
        <stp>AU1712.SHF</stp>
        <stp>Ask_price1</stp>
        <tr r="C23" s="3"/>
      </tp>
      <tp>
        <v>52690</v>
        <stp/>
        <stp>CU1710.SHF</stp>
        <stp>Ask_price1</stp>
        <tr r="C17" s="3"/>
      </tp>
      <tp>
        <v>2718</v>
        <stp/>
        <stp>BU1712.SHF</stp>
        <stp>Ask_price1</stp>
        <tr r="C29" s="3"/>
      </tp>
      <tp>
        <v>1703</v>
        <stp/>
        <stp>C1801.DCE</stp>
        <stp>Ask_price1</stp>
        <tr r="C4" s="3"/>
      </tp>
      <tp>
        <v>3914</v>
        <stp/>
        <stp>A1801.DCE</stp>
        <stp>Ask_price1</stp>
        <tr r="C2" s="3"/>
      </tp>
      <tp>
        <v>10065</v>
        <stp/>
        <stp>L1801.DCE</stp>
        <stp>Ask_price1</stp>
        <tr r="C9" s="3"/>
      </tp>
      <tp>
        <v>2724</v>
        <stp/>
        <stp>M1801.DCE</stp>
        <stp>Ask_price1</stp>
        <tr r="C3" s="3"/>
      </tp>
      <tp>
        <v>2387.5</v>
        <stp/>
        <stp>J1801.DCE</stp>
        <stp>Ask_price1</stp>
        <tr r="C14" s="3"/>
      </tp>
      <tp>
        <v>554.5</v>
        <stp/>
        <stp>I1801.DCE</stp>
        <stp>Ask_price1</stp>
        <tr r="C16" s="3"/>
      </tp>
      <tp>
        <v>7510</v>
        <stp/>
        <stp>V1801.DCE</stp>
        <stp>Ask_price1</stp>
        <tr r="C10" s="3"/>
      </tp>
      <tp>
        <v>5488</v>
        <stp/>
        <stp>P1801.DCE</stp>
        <stp>Ask_price1</stp>
        <tr r="C7" s="3"/>
      </tp>
      <tp>
        <v>6318</v>
        <stp/>
        <stp>Y1801.DCE</stp>
        <stp>Ask_price1</stp>
        <tr r="C6" s="3"/>
      </tp>
      <tp>
        <v>2662</v>
        <stp/>
        <stp>M1805.DCE</stp>
        <stp>Bid_Price1</stp>
        <tr r="F3" s="3"/>
      </tp>
      <tp>
        <v>10130</v>
        <stp/>
        <stp>L1805.DCE</stp>
        <stp>Bid_Price1</stp>
        <tr r="F9" s="3"/>
      </tp>
      <tp>
        <v>533</v>
        <stp/>
        <stp>I1805.DCE</stp>
        <stp>Bid_Price1</stp>
        <tr r="F16" s="3"/>
      </tp>
      <tp>
        <v>2225.5</v>
        <stp/>
        <stp>J1805.DCE</stp>
        <stp>Bid_Price1</stp>
        <tr r="F14" s="3"/>
      </tp>
      <tp>
        <v>3932</v>
        <stp/>
        <stp>A1805.DCE</stp>
        <stp>Bid_Price1</stp>
        <tr r="F2" s="3"/>
      </tp>
      <tp>
        <v>1747</v>
        <stp/>
        <stp>C1805.DCE</stp>
        <stp>Bid_Price1</stp>
        <tr r="F4" s="3"/>
      </tp>
      <tp>
        <v>6386</v>
        <stp/>
        <stp>Y1805.DCE</stp>
        <stp>Bid_Price1</stp>
        <tr r="F6" s="3"/>
      </tp>
      <tp>
        <v>7335</v>
        <stp/>
        <stp>V1805.DCE</stp>
        <stp>Bid_Price1</stp>
        <tr r="F10" s="3"/>
      </tp>
      <tp>
        <v>5570</v>
        <stp/>
        <stp>P1805.DCE</stp>
        <stp>Bid_Price1</stp>
        <tr r="F7" s="3"/>
      </tp>
      <tp>
        <v>2177</v>
        <stp/>
        <stp>RM801.CZC</stp>
        <stp>Ask_price1</stp>
        <tr r="C41" s="3"/>
      </tp>
      <tp>
        <v>7306</v>
        <stp/>
        <stp>SM801.CZC</stp>
        <stp>Ask_price1</stp>
        <tr r="C36" s="3"/>
      </tp>
      <tp>
        <v>7182</v>
        <stp/>
        <stp>SM805.CZC</stp>
        <stp>Bid_Price1</stp>
        <tr r="F36" s="3"/>
      </tp>
      <tp>
        <v>2197</v>
        <stp/>
        <stp>RM805.CZC</stp>
        <stp>Bid_Price1</stp>
        <tr r="F41" s="3"/>
      </tp>
      <tp>
        <v>6966</v>
        <stp/>
        <stp>OI801.CZC</stp>
        <stp>Ask_price1</stp>
        <tr r="C39" s="3"/>
      </tp>
      <tp>
        <v>7088</v>
        <stp/>
        <stp>OI805.CZC</stp>
        <stp>Bid_Price1</stp>
        <tr r="F39" s="3"/>
      </tp>
      <tp>
        <v>2713</v>
        <stp/>
        <stp>WH801.CZC</stp>
        <stp>Ask_price1</stp>
        <tr r="C42" s="3"/>
      </tp>
      <tp>
        <v>2711</v>
        <stp/>
        <stp>WH801.CZC</stp>
        <stp>Bid_Price1</stp>
        <tr r="F42" s="3"/>
      </tp>
      <tp>
        <v>1435</v>
        <stp/>
        <stp>FG801.CZC</stp>
        <stp>Ask_price1</stp>
        <tr r="C33" s="3"/>
      </tp>
      <tp>
        <v>1413</v>
        <stp/>
        <stp>FG805.CZC</stp>
        <stp>Bid_Price1</stp>
        <tr r="F33" s="3"/>
      </tp>
      <tp>
        <v>15295</v>
        <stp/>
        <stp>CF801.CZC</stp>
        <stp>Ask_price1</stp>
        <tr r="C38" s="3"/>
      </tp>
      <tp>
        <v>7106</v>
        <stp/>
        <stp>SF801.CZC</stp>
        <stp>Ask_price1</stp>
        <tr r="C35" s="3"/>
      </tp>
      <tp>
        <v>15270</v>
        <stp/>
        <stp>CF805.CZC</stp>
        <stp>Bid_Price1</stp>
        <tr r="F38" s="3"/>
      </tp>
      <tp>
        <v>0</v>
        <stp/>
        <stp>SF805.CZC</stp>
        <stp>Bid_Price1</stp>
        <tr r="F35" s="3"/>
      </tp>
      <tp>
        <v>611.20000000000005</v>
        <stp/>
        <stp>ZC801.CZC</stp>
        <stp>Ask_price1</stp>
        <tr r="C34" s="3"/>
      </tp>
      <tp>
        <v>572.20000000000005</v>
        <stp/>
        <stp>ZC805.CZC</stp>
        <stp>Bid_Price1</stp>
        <tr r="F34" s="3"/>
      </tp>
      <tp>
        <v>2846</v>
        <stp/>
        <stp>MA801.CZC</stp>
        <stp>Ask_price1</stp>
        <tr r="C32" s="3"/>
      </tp>
      <tp>
        <v>5282</v>
        <stp/>
        <stp>TA801.CZC</stp>
        <stp>Ask_price1</stp>
        <tr r="C31" s="3"/>
      </tp>
      <tp>
        <v>2807</v>
        <stp/>
        <stp>MA805.CZC</stp>
        <stp>Bid_Price1</stp>
        <tr r="F32" s="3"/>
      </tp>
      <tp>
        <v>5230</v>
        <stp/>
        <stp>TA805.CZC</stp>
        <stp>Bid_Price1</stp>
        <tr r="F31" s="3"/>
      </tp>
      <tp>
        <v>0</v>
        <stp/>
        <stp>RS801.CZC</stp>
        <stp>Ask_price1</stp>
        <tr r="C40" s="3"/>
      </tp>
      <tp>
        <v>0</v>
        <stp/>
        <stp>RS805.CZC</stp>
        <stp>Bid_Price1</stp>
        <tr r="F40" s="3"/>
      </tp>
      <tp>
        <v>6467</v>
        <stp/>
        <stp>SR801.CZC</stp>
        <stp>Ask_price1</stp>
        <tr r="C37" s="3"/>
      </tp>
      <tp>
        <v>6311</v>
        <stp/>
        <stp>SR805.CZC</stp>
        <stp>Bid_Price1</stp>
        <tr r="F3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平衡">
  <a:themeElements>
    <a:clrScheme name="平衡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平衡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平衡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workbookViewId="0">
      <pane ySplit="3" topLeftCell="A4" activePane="bottomLeft" state="frozen"/>
      <selection pane="bottomLeft" activeCell="L22" sqref="L22"/>
    </sheetView>
  </sheetViews>
  <sheetFormatPr defaultRowHeight="16.5" outlineLevelCol="1" x14ac:dyDescent="0.15"/>
  <cols>
    <col min="1" max="1" width="9" style="83"/>
    <col min="2" max="2" width="3" style="83" customWidth="1"/>
    <col min="3" max="3" width="9.875" style="83" customWidth="1"/>
    <col min="4" max="4" width="13.125" style="83" customWidth="1"/>
    <col min="5" max="6" width="11" style="83" customWidth="1"/>
    <col min="7" max="7" width="12.75" style="83" customWidth="1"/>
    <col min="8" max="8" width="12.625" style="83" customWidth="1"/>
    <col min="9" max="9" width="9" style="83"/>
    <col min="10" max="10" width="13.875" style="83" customWidth="1"/>
    <col min="11" max="15" width="9" style="83"/>
    <col min="16" max="16" width="9" style="84" customWidth="1" outlineLevel="1"/>
    <col min="17" max="17" width="10.5" style="85" customWidth="1" outlineLevel="1"/>
    <col min="18" max="18" width="9.625" style="85" customWidth="1" outlineLevel="1"/>
    <col min="19" max="19" width="10.625" style="86" customWidth="1" outlineLevel="1"/>
    <col min="20" max="20" width="11.75" style="86" customWidth="1" outlineLevel="1"/>
    <col min="21" max="21" width="11.875" style="87" customWidth="1" outlineLevel="1"/>
    <col min="22" max="16384" width="9" style="83"/>
  </cols>
  <sheetData>
    <row r="1" spans="1:21" s="98" customFormat="1" x14ac:dyDescent="0.15">
      <c r="P1" s="99"/>
      <c r="Q1" s="100"/>
      <c r="R1" s="100"/>
      <c r="S1" s="102"/>
      <c r="T1" s="102"/>
      <c r="U1" s="103"/>
    </row>
    <row r="2" spans="1:21" s="98" customFormat="1" x14ac:dyDescent="0.15">
      <c r="C2" s="78" t="s">
        <v>142</v>
      </c>
      <c r="G2" s="161">
        <f ca="1">T2</f>
        <v>42976.681125347219</v>
      </c>
      <c r="H2" s="161"/>
      <c r="P2" s="107" t="s">
        <v>141</v>
      </c>
      <c r="Q2" s="108"/>
      <c r="R2" s="108"/>
      <c r="S2" s="109"/>
      <c r="T2" s="159">
        <f ca="1">NOW()</f>
        <v>42976.681125347219</v>
      </c>
      <c r="U2" s="160"/>
    </row>
    <row r="3" spans="1:21" s="78" customFormat="1" ht="47.25" customHeight="1" x14ac:dyDescent="0.15">
      <c r="A3" s="78" t="s">
        <v>130</v>
      </c>
      <c r="C3" s="80" t="s">
        <v>131</v>
      </c>
      <c r="D3" s="81" t="s">
        <v>132</v>
      </c>
      <c r="E3" s="81" t="s">
        <v>133</v>
      </c>
      <c r="F3" s="81" t="s">
        <v>123</v>
      </c>
      <c r="G3" s="81" t="s">
        <v>125</v>
      </c>
      <c r="H3" s="82" t="s">
        <v>127</v>
      </c>
      <c r="I3" s="79"/>
      <c r="J3" s="79" t="s">
        <v>134</v>
      </c>
      <c r="P3" s="96" t="s">
        <v>140</v>
      </c>
      <c r="Q3" s="101" t="s">
        <v>135</v>
      </c>
      <c r="R3" s="101" t="s">
        <v>136</v>
      </c>
      <c r="S3" s="104" t="s">
        <v>138</v>
      </c>
      <c r="T3" s="104" t="s">
        <v>137</v>
      </c>
      <c r="U3" s="105" t="s">
        <v>139</v>
      </c>
    </row>
    <row r="4" spans="1:21" x14ac:dyDescent="0.15">
      <c r="A4" s="83" t="str">
        <f>IFERROR(INDEX(Calcu!$B$3:$B$43,MATCH(ROW()-ROW($A$3),Calcu!$AA$3:$AA$43,0)),"")</f>
        <v>AG</v>
      </c>
      <c r="C4" s="84" t="str">
        <f>IFERROR(A4&amp;" "&amp;RIGHT(VLOOKUP(A4,Calcu!$B$2:$E$43,3,0),2)&amp;"-"&amp;RIGHT(VLOOKUP(A4,Calcu!$B$2:$E$43,4,0),2),"")</f>
        <v>AG 12-06</v>
      </c>
      <c r="D4" s="85">
        <f>IFERROR(VLOOKUP(A4,Calcu!$B$3:$S$43,16,0),"")</f>
        <v>107</v>
      </c>
      <c r="E4" s="85">
        <f>IFERROR(VLOOKUP(A4,Calcu!$B$3:$S$43,17,0),"")</f>
        <v>83.933613547008548</v>
      </c>
      <c r="F4" s="86">
        <f>IFERROR(VLOOKUP(A4,Calcu!$B:$V,19,0),"")</f>
        <v>1.0586447249016206E-2</v>
      </c>
      <c r="G4" s="86">
        <f>IFERROR(VLOOKUP(A4,Calcu!$B:$V,20,0),"")</f>
        <v>1.1455866130117433E-2</v>
      </c>
      <c r="H4" s="87">
        <f>IFERROR(VLOOKUP(A4,Calcu!$B:$V,21,0),"")</f>
        <v>-1.0435541222773221E-2</v>
      </c>
      <c r="J4" s="88" t="str">
        <f>IF(IFERROR(VLOOKUP(A4,Information!$B:$L,11,0),0)=0,"",VLOOKUP(A4,Information!$B:$L,11,0))</f>
        <v/>
      </c>
      <c r="P4" s="97" t="str">
        <f>C4</f>
        <v>AG 12-06</v>
      </c>
      <c r="Q4" s="85">
        <f t="shared" ref="Q4:U7" si="0">D4</f>
        <v>107</v>
      </c>
      <c r="R4" s="85">
        <f t="shared" si="0"/>
        <v>83.933613547008548</v>
      </c>
      <c r="S4" s="86">
        <f t="shared" si="0"/>
        <v>1.0586447249016206E-2</v>
      </c>
      <c r="T4" s="86">
        <f t="shared" si="0"/>
        <v>1.1455866130117433E-2</v>
      </c>
      <c r="U4" s="87">
        <f t="shared" si="0"/>
        <v>-1.0435541222773221E-2</v>
      </c>
    </row>
    <row r="5" spans="1:21" x14ac:dyDescent="0.15">
      <c r="A5" s="83" t="str">
        <f>IFERROR(INDEX(Calcu!$B$3:$B$43,MATCH(ROW()-ROW($A$3),Calcu!$AA$3:$AA$43,0)),"")</f>
        <v>RU</v>
      </c>
      <c r="C5" s="84" t="str">
        <f>IFERROR(A5&amp;" "&amp;RIGHT(VLOOKUP(A5,Calcu!$B$2:$E$43,3,0),2)&amp;"-"&amp;RIGHT(VLOOKUP(A5,Calcu!$B$2:$E$43,4,0),2),"")</f>
        <v>RU 01-05</v>
      </c>
      <c r="D5" s="85">
        <f>IFERROR(VLOOKUP(A5,Calcu!$B$3:$S$43,16,0),"")</f>
        <v>380</v>
      </c>
      <c r="E5" s="85">
        <f>IFERROR(VLOOKUP(A5,Calcu!$B$3:$S$43,17,0),"")</f>
        <v>351.12396415929203</v>
      </c>
      <c r="F5" s="86">
        <f>IFERROR(VLOOKUP(A5,Calcu!$B:$V,19,0),"")</f>
        <v>4.8692095734991798E-3</v>
      </c>
      <c r="G5" s="86">
        <f>IFERROR(VLOOKUP(A5,Calcu!$B:$V,20,0),"")</f>
        <v>5.2677474929841237E-3</v>
      </c>
      <c r="H5" s="87">
        <f>IFERROR(VLOOKUP(A5,Calcu!$B:$V,21,0),"")</f>
        <v>-3.2401271300512645E-2</v>
      </c>
      <c r="J5" s="88">
        <f>IF(IFERROR(VLOOKUP(A5,Information!$B:$L,11,0),0)=0,"",VLOOKUP(A5,Information!$B:$L,11,0))</f>
        <v>11</v>
      </c>
      <c r="P5" s="97" t="str">
        <f t="shared" ref="P5:P8" si="1">C5</f>
        <v>RU 01-05</v>
      </c>
      <c r="Q5" s="85">
        <f t="shared" si="0"/>
        <v>380</v>
      </c>
      <c r="R5" s="85">
        <f t="shared" si="0"/>
        <v>351.12396415929203</v>
      </c>
      <c r="S5" s="86">
        <f t="shared" si="0"/>
        <v>4.8692095734991798E-3</v>
      </c>
      <c r="T5" s="86">
        <f t="shared" si="0"/>
        <v>5.2677474929841237E-3</v>
      </c>
      <c r="U5" s="87">
        <f t="shared" si="0"/>
        <v>-3.2401271300512645E-2</v>
      </c>
    </row>
    <row r="6" spans="1:21" x14ac:dyDescent="0.15">
      <c r="A6" s="83" t="str">
        <f>IFERROR(INDEX(Calcu!$B$3:$B$43,MATCH(ROW()-ROW($A$3),Calcu!$AA$3:$AA$43,0)),"")</f>
        <v/>
      </c>
      <c r="C6" s="84" t="str">
        <f>IFERROR(A6&amp;" "&amp;RIGHT(VLOOKUP(A6,Calcu!$B$2:$E$43,3,0),2)&amp;"-"&amp;RIGHT(VLOOKUP(A6,Calcu!$B$2:$E$43,4,0),2),"")</f>
        <v/>
      </c>
      <c r="D6" s="85" t="str">
        <f>IFERROR(VLOOKUP(A6,Calcu!$B$3:$S$43,16,0),"")</f>
        <v/>
      </c>
      <c r="E6" s="85" t="str">
        <f>IFERROR(VLOOKUP(A6,Calcu!$B$3:$S$43,17,0),"")</f>
        <v/>
      </c>
      <c r="F6" s="86" t="str">
        <f>IFERROR(VLOOKUP(A6,Calcu!$B:$V,19,0),"")</f>
        <v/>
      </c>
      <c r="G6" s="86" t="str">
        <f>IFERROR(VLOOKUP(A6,Calcu!$B:$V,20,0),"")</f>
        <v/>
      </c>
      <c r="H6" s="87" t="str">
        <f>IFERROR(VLOOKUP(A6,Calcu!$B:$V,21,0),"")</f>
        <v/>
      </c>
      <c r="J6" s="88" t="str">
        <f>IF(IFERROR(VLOOKUP(A6,Information!$B:$L,11,0),0)=0,"",VLOOKUP(A6,Information!$B:$L,11,0))</f>
        <v/>
      </c>
      <c r="P6" s="97" t="str">
        <f t="shared" si="1"/>
        <v/>
      </c>
      <c r="Q6" s="85" t="str">
        <f t="shared" si="0"/>
        <v/>
      </c>
      <c r="R6" s="85" t="str">
        <f t="shared" si="0"/>
        <v/>
      </c>
      <c r="S6" s="86" t="str">
        <f t="shared" si="0"/>
        <v/>
      </c>
      <c r="T6" s="86" t="str">
        <f t="shared" si="0"/>
        <v/>
      </c>
      <c r="U6" s="87" t="str">
        <f t="shared" si="0"/>
        <v/>
      </c>
    </row>
    <row r="7" spans="1:21" x14ac:dyDescent="0.15">
      <c r="A7" s="83" t="str">
        <f>IFERROR(INDEX(Calcu!$B$3:$B$43,MATCH(ROW()-ROW($A$3),Calcu!$AA$3:$AA$43,0)),"")</f>
        <v/>
      </c>
      <c r="C7" s="84" t="str">
        <f>IFERROR(A7&amp;" "&amp;RIGHT(VLOOKUP(A7,Calcu!$B$2:$E$43,3,0),2)&amp;"-"&amp;RIGHT(VLOOKUP(A7,Calcu!$B$2:$E$43,4,0),2),"")</f>
        <v/>
      </c>
      <c r="D7" s="85" t="str">
        <f>IFERROR(VLOOKUP(A7,Calcu!$B$3:$S$43,16,0),"")</f>
        <v/>
      </c>
      <c r="E7" s="85" t="str">
        <f>IFERROR(VLOOKUP(A7,Calcu!$B$3:$S$43,17,0),"")</f>
        <v/>
      </c>
      <c r="F7" s="86" t="str">
        <f>IFERROR(VLOOKUP(A7,Calcu!$B:$V,19,0),"")</f>
        <v/>
      </c>
      <c r="G7" s="86" t="str">
        <f>IFERROR(VLOOKUP(A7,Calcu!$B:$V,20,0),"")</f>
        <v/>
      </c>
      <c r="H7" s="87" t="str">
        <f>IFERROR(VLOOKUP(A7,Calcu!$B:$V,21,0),"")</f>
        <v/>
      </c>
      <c r="J7" s="88" t="str">
        <f>IF(IFERROR(VLOOKUP(A7,Information!$B:$L,11,0),0)=0,"",VLOOKUP(A7,Information!$B:$L,11,0))</f>
        <v/>
      </c>
      <c r="P7" s="97" t="str">
        <f t="shared" si="1"/>
        <v/>
      </c>
      <c r="Q7" s="85" t="str">
        <f t="shared" si="0"/>
        <v/>
      </c>
      <c r="R7" s="85" t="str">
        <f t="shared" si="0"/>
        <v/>
      </c>
      <c r="S7" s="86" t="str">
        <f t="shared" si="0"/>
        <v/>
      </c>
      <c r="T7" s="86" t="str">
        <f t="shared" si="0"/>
        <v/>
      </c>
      <c r="U7" s="87" t="str">
        <f t="shared" si="0"/>
        <v/>
      </c>
    </row>
    <row r="8" spans="1:21" x14ac:dyDescent="0.15">
      <c r="A8" s="83" t="str">
        <f>IFERROR(INDEX(Calcu!$B$3:$B$43,MATCH(ROW()-ROW($A$3),Calcu!$AA$3:$AA$43,0)),"")</f>
        <v/>
      </c>
      <c r="C8" s="84" t="str">
        <f>IFERROR(A8&amp;" "&amp;RIGHT(VLOOKUP(A8,Calcu!$B$2:$E$43,3,0),2)&amp;"-"&amp;RIGHT(VLOOKUP(A8,Calcu!$B$2:$E$43,4,0),2),"")</f>
        <v/>
      </c>
      <c r="D8" s="85" t="str">
        <f>IFERROR(VLOOKUP(A8,Calcu!$B$3:$S$43,16,0),"")</f>
        <v/>
      </c>
      <c r="E8" s="85" t="str">
        <f>IFERROR(VLOOKUP(A8,Calcu!$B$3:$S$43,17,0),"")</f>
        <v/>
      </c>
      <c r="F8" s="86" t="str">
        <f>IFERROR(VLOOKUP(A8,Calcu!$B:$V,19,0),"")</f>
        <v/>
      </c>
      <c r="G8" s="86" t="str">
        <f>IFERROR(VLOOKUP(A8,Calcu!$B:$V,20,0),"")</f>
        <v/>
      </c>
      <c r="H8" s="87" t="str">
        <f>IFERROR(VLOOKUP(A8,Calcu!$B:$V,21,0),"")</f>
        <v/>
      </c>
      <c r="J8" s="88" t="str">
        <f>IF(IFERROR(VLOOKUP(A8,Information!$B:$L,11,0),0)=0,"",VLOOKUP(A8,Information!$B:$L,11,0))</f>
        <v/>
      </c>
      <c r="P8" s="84" t="str">
        <f t="shared" si="1"/>
        <v/>
      </c>
      <c r="Q8" s="85" t="str">
        <f t="shared" ref="Q8:Q23" si="2">D8</f>
        <v/>
      </c>
      <c r="R8" s="85" t="str">
        <f t="shared" ref="R8:R23" si="3">E8</f>
        <v/>
      </c>
      <c r="S8" s="86" t="str">
        <f t="shared" ref="S8:S23" si="4">F8</f>
        <v/>
      </c>
      <c r="T8" s="86" t="str">
        <f t="shared" ref="T8:T23" si="5">G8</f>
        <v/>
      </c>
      <c r="U8" s="87" t="str">
        <f t="shared" ref="U8:U23" si="6">H8</f>
        <v/>
      </c>
    </row>
    <row r="9" spans="1:21" x14ac:dyDescent="0.15">
      <c r="A9" s="83" t="str">
        <f>IFERROR(INDEX(Calcu!$B$3:$B$43,MATCH(ROW()-ROW($A$3),Calcu!$AA$3:$AA$43,0)),"")</f>
        <v/>
      </c>
      <c r="C9" s="84" t="str">
        <f>IFERROR(A9&amp;" "&amp;RIGHT(VLOOKUP(A9,Calcu!$B$2:$E$43,3,0),2)&amp;"-"&amp;RIGHT(VLOOKUP(A9,Calcu!$B$2:$E$43,4,0),2),"")</f>
        <v/>
      </c>
      <c r="D9" s="85" t="str">
        <f>IFERROR(VLOOKUP(A9,Calcu!$B$3:$S$43,16,0),"")</f>
        <v/>
      </c>
      <c r="E9" s="85" t="str">
        <f>IFERROR(VLOOKUP(A9,Calcu!$B$3:$S$43,17,0),"")</f>
        <v/>
      </c>
      <c r="F9" s="86" t="str">
        <f>IFERROR(VLOOKUP(A9,Calcu!$B:$V,19,0),"")</f>
        <v/>
      </c>
      <c r="G9" s="86" t="str">
        <f>IFERROR(VLOOKUP(A9,Calcu!$B:$V,20,0),"")</f>
        <v/>
      </c>
      <c r="H9" s="87" t="str">
        <f>IFERROR(VLOOKUP(A9,Calcu!$B:$V,21,0),"")</f>
        <v/>
      </c>
      <c r="J9" s="88" t="str">
        <f>IF(IFERROR(VLOOKUP(A9,Information!$B:$L,11,0),0)=0,"",VLOOKUP(A9,Information!$B:$L,11,0))</f>
        <v/>
      </c>
      <c r="P9" s="84" t="str">
        <f t="shared" ref="P9:P23" si="7">C9</f>
        <v/>
      </c>
      <c r="Q9" s="85" t="str">
        <f t="shared" si="2"/>
        <v/>
      </c>
      <c r="R9" s="85" t="str">
        <f t="shared" si="3"/>
        <v/>
      </c>
      <c r="S9" s="86" t="str">
        <f t="shared" si="4"/>
        <v/>
      </c>
      <c r="T9" s="86" t="str">
        <f t="shared" si="5"/>
        <v/>
      </c>
      <c r="U9" s="87" t="str">
        <f t="shared" si="6"/>
        <v/>
      </c>
    </row>
    <row r="10" spans="1:21" x14ac:dyDescent="0.15">
      <c r="A10" s="83" t="str">
        <f>IFERROR(INDEX(Calcu!$B$3:$B$43,MATCH(ROW()-ROW($A$3),Calcu!$AA$3:$AA$43,0)),"")</f>
        <v/>
      </c>
      <c r="C10" s="84" t="str">
        <f>IFERROR(A10&amp;" "&amp;RIGHT(VLOOKUP(A10,Calcu!$B$2:$E$43,3,0),2)&amp;"-"&amp;RIGHT(VLOOKUP(A10,Calcu!$B$2:$E$43,4,0),2),"")</f>
        <v/>
      </c>
      <c r="D10" s="85" t="str">
        <f>IFERROR(VLOOKUP(A10,Calcu!$B$3:$S$43,16,0),"")</f>
        <v/>
      </c>
      <c r="E10" s="85" t="str">
        <f>IFERROR(VLOOKUP(A10,Calcu!$B$3:$S$43,17,0),"")</f>
        <v/>
      </c>
      <c r="F10" s="86" t="str">
        <f>IFERROR(VLOOKUP(A10,Calcu!$B:$V,19,0),"")</f>
        <v/>
      </c>
      <c r="G10" s="86" t="str">
        <f>IFERROR(VLOOKUP(A10,Calcu!$B:$V,20,0),"")</f>
        <v/>
      </c>
      <c r="H10" s="87" t="str">
        <f>IFERROR(VLOOKUP(A10,Calcu!$B:$V,21,0),"")</f>
        <v/>
      </c>
      <c r="J10" s="88" t="str">
        <f>IF(IFERROR(VLOOKUP(A10,Information!$B:$L,11,0),0)=0,"",VLOOKUP(A10,Information!$B:$L,11,0))</f>
        <v/>
      </c>
      <c r="P10" s="84" t="str">
        <f t="shared" si="7"/>
        <v/>
      </c>
      <c r="Q10" s="85" t="str">
        <f t="shared" si="2"/>
        <v/>
      </c>
      <c r="R10" s="85" t="str">
        <f t="shared" si="3"/>
        <v/>
      </c>
      <c r="S10" s="86" t="str">
        <f t="shared" si="4"/>
        <v/>
      </c>
      <c r="T10" s="86" t="str">
        <f t="shared" si="5"/>
        <v/>
      </c>
      <c r="U10" s="87" t="str">
        <f t="shared" si="6"/>
        <v/>
      </c>
    </row>
    <row r="11" spans="1:21" x14ac:dyDescent="0.15">
      <c r="A11" s="83" t="str">
        <f>IFERROR(INDEX(Calcu!$B$3:$B$43,MATCH(ROW()-ROW($A$3),Calcu!$AA$3:$AA$43,0)),"")</f>
        <v/>
      </c>
      <c r="C11" s="84" t="str">
        <f>IFERROR(A11&amp;" "&amp;RIGHT(VLOOKUP(A11,Calcu!$B$2:$E$43,3,0),2)&amp;"-"&amp;RIGHT(VLOOKUP(A11,Calcu!$B$2:$E$43,4,0),2),"")</f>
        <v/>
      </c>
      <c r="D11" s="89" t="str">
        <f>IFERROR(VLOOKUP(A11,Calcu!$B$3:$S$43,16,0),"")</f>
        <v/>
      </c>
      <c r="E11" s="85" t="str">
        <f>IFERROR(VLOOKUP(A11,Calcu!$B$3:$S$43,17,0),"")</f>
        <v/>
      </c>
      <c r="F11" s="86" t="str">
        <f>IFERROR(VLOOKUP(A11,Calcu!$B:$V,19,0),"")</f>
        <v/>
      </c>
      <c r="G11" s="86" t="str">
        <f>IFERROR(VLOOKUP(A11,Calcu!$B:$V,20,0),"")</f>
        <v/>
      </c>
      <c r="H11" s="87" t="str">
        <f>IFERROR(VLOOKUP(A11,Calcu!$B:$V,21,0),"")</f>
        <v/>
      </c>
      <c r="J11" s="88" t="str">
        <f>IF(IFERROR(VLOOKUP(A11,Information!$B:$L,11,0),0)=0,"",VLOOKUP(A11,Information!$B:$L,11,0))</f>
        <v/>
      </c>
      <c r="P11" s="84" t="str">
        <f t="shared" si="7"/>
        <v/>
      </c>
      <c r="Q11" s="85" t="str">
        <f t="shared" si="2"/>
        <v/>
      </c>
      <c r="R11" s="85" t="str">
        <f t="shared" si="3"/>
        <v/>
      </c>
      <c r="S11" s="86" t="str">
        <f t="shared" si="4"/>
        <v/>
      </c>
      <c r="T11" s="86" t="str">
        <f t="shared" si="5"/>
        <v/>
      </c>
      <c r="U11" s="87" t="str">
        <f t="shared" si="6"/>
        <v/>
      </c>
    </row>
    <row r="12" spans="1:21" x14ac:dyDescent="0.15">
      <c r="A12" s="83" t="str">
        <f>IFERROR(INDEX(Calcu!$B$3:$B$43,MATCH(ROW()-ROW($A$3),Calcu!$AA$3:$AA$43,0)),"")</f>
        <v/>
      </c>
      <c r="C12" s="84" t="str">
        <f>IFERROR(A12&amp;" "&amp;RIGHT(VLOOKUP(A12,Calcu!$B$2:$E$43,3,0),2)&amp;"-"&amp;RIGHT(VLOOKUP(A12,Calcu!$B$2:$E$43,4,0),2),"")</f>
        <v/>
      </c>
      <c r="D12" s="89" t="str">
        <f>IFERROR(VLOOKUP(A12,Calcu!$B$3:$S$43,16,0),"")</f>
        <v/>
      </c>
      <c r="E12" s="85" t="str">
        <f>IFERROR(VLOOKUP(A12,Calcu!$B$3:$S$43,17,0),"")</f>
        <v/>
      </c>
      <c r="F12" s="86" t="str">
        <f>IFERROR(VLOOKUP(A12,Calcu!$B:$V,19,0),"")</f>
        <v/>
      </c>
      <c r="G12" s="86" t="str">
        <f>IFERROR(VLOOKUP(A12,Calcu!$B:$V,20,0),"")</f>
        <v/>
      </c>
      <c r="H12" s="87" t="str">
        <f>IFERROR(VLOOKUP(A12,Calcu!$B:$V,21,0),"")</f>
        <v/>
      </c>
      <c r="J12" s="88" t="str">
        <f>IF(IFERROR(VLOOKUP(A12,Information!$B:$L,11,0),0)=0,"",VLOOKUP(A12,Information!$B:$L,11,0))</f>
        <v/>
      </c>
      <c r="P12" s="84" t="str">
        <f t="shared" si="7"/>
        <v/>
      </c>
      <c r="Q12" s="85" t="str">
        <f t="shared" si="2"/>
        <v/>
      </c>
      <c r="R12" s="85" t="str">
        <f t="shared" si="3"/>
        <v/>
      </c>
      <c r="S12" s="86" t="str">
        <f t="shared" si="4"/>
        <v/>
      </c>
      <c r="T12" s="86" t="str">
        <f t="shared" si="5"/>
        <v/>
      </c>
      <c r="U12" s="87" t="str">
        <f t="shared" si="6"/>
        <v/>
      </c>
    </row>
    <row r="13" spans="1:21" x14ac:dyDescent="0.15">
      <c r="A13" s="83" t="str">
        <f>IFERROR(INDEX(Calcu!$B$3:$B$43,MATCH(ROW()-ROW($A$3),Calcu!$AA$3:$AA$43,0)),"")</f>
        <v/>
      </c>
      <c r="C13" s="84" t="str">
        <f>IFERROR(A13&amp;" "&amp;RIGHT(VLOOKUP(A13,Calcu!$B$2:$E$43,3,0),2)&amp;"-"&amp;RIGHT(VLOOKUP(A13,Calcu!$B$2:$E$43,4,0),2),"")</f>
        <v/>
      </c>
      <c r="D13" s="89" t="str">
        <f>IFERROR(VLOOKUP(A13,Calcu!$B$3:$S$43,16,0),"")</f>
        <v/>
      </c>
      <c r="E13" s="85" t="str">
        <f>IFERROR(VLOOKUP(A13,Calcu!$B$3:$S$43,17,0),"")</f>
        <v/>
      </c>
      <c r="F13" s="86" t="str">
        <f>IFERROR(VLOOKUP(A13,Calcu!$B:$V,19,0),"")</f>
        <v/>
      </c>
      <c r="G13" s="86" t="str">
        <f>IFERROR(VLOOKUP(A13,Calcu!$B:$V,20,0),"")</f>
        <v/>
      </c>
      <c r="H13" s="87" t="str">
        <f>IFERROR(VLOOKUP(A13,Calcu!$B:$V,21,0),"")</f>
        <v/>
      </c>
      <c r="J13" s="88" t="str">
        <f>IF(IFERROR(VLOOKUP(A13,Information!$B:$L,11,0),0)=0,"",VLOOKUP(A13,Information!$B:$L,11,0))</f>
        <v/>
      </c>
      <c r="P13" s="84" t="str">
        <f t="shared" si="7"/>
        <v/>
      </c>
      <c r="Q13" s="85" t="str">
        <f t="shared" si="2"/>
        <v/>
      </c>
      <c r="R13" s="85" t="str">
        <f t="shared" si="3"/>
        <v/>
      </c>
      <c r="S13" s="86" t="str">
        <f t="shared" si="4"/>
        <v/>
      </c>
      <c r="T13" s="86" t="str">
        <f t="shared" si="5"/>
        <v/>
      </c>
      <c r="U13" s="87" t="str">
        <f t="shared" si="6"/>
        <v/>
      </c>
    </row>
    <row r="14" spans="1:21" x14ac:dyDescent="0.15">
      <c r="A14" s="83" t="str">
        <f>IFERROR(INDEX(Calcu!$B$3:$B$43,MATCH(ROW()-ROW($A$3),Calcu!$AA$3:$AA$43,0)),"")</f>
        <v/>
      </c>
      <c r="C14" s="84" t="str">
        <f>IFERROR(A14&amp;" "&amp;RIGHT(VLOOKUP(A14,Calcu!$B$2:$E$43,3,0),2)&amp;"-"&amp;RIGHT(VLOOKUP(A14,Calcu!$B$2:$E$43,4,0),2),"")</f>
        <v/>
      </c>
      <c r="D14" s="89" t="str">
        <f>IFERROR(VLOOKUP(A14,Calcu!$B$3:$S$43,16,0),"")</f>
        <v/>
      </c>
      <c r="E14" s="85" t="str">
        <f>IFERROR(VLOOKUP(A14,Calcu!$B$3:$S$43,17,0),"")</f>
        <v/>
      </c>
      <c r="F14" s="90" t="str">
        <f>IFERROR(VLOOKUP(A14,Calcu!$B:$V,19,0),"")</f>
        <v/>
      </c>
      <c r="G14" s="90" t="str">
        <f>IFERROR(VLOOKUP(A14,Calcu!$B:$V,20,0),"")</f>
        <v/>
      </c>
      <c r="H14" s="91" t="str">
        <f>IFERROR(VLOOKUP(A14,Calcu!$B:$V,21,0),"")</f>
        <v/>
      </c>
      <c r="J14" s="88" t="str">
        <f>IF(IFERROR(VLOOKUP(A14,Information!$B:$L,11,0),0)=0,"",VLOOKUP(A14,Information!$B:$L,11,0))</f>
        <v/>
      </c>
      <c r="P14" s="84" t="str">
        <f t="shared" si="7"/>
        <v/>
      </c>
      <c r="Q14" s="85" t="str">
        <f t="shared" si="2"/>
        <v/>
      </c>
      <c r="R14" s="85" t="str">
        <f t="shared" si="3"/>
        <v/>
      </c>
      <c r="S14" s="86" t="str">
        <f t="shared" si="4"/>
        <v/>
      </c>
      <c r="T14" s="86" t="str">
        <f t="shared" si="5"/>
        <v/>
      </c>
      <c r="U14" s="87" t="str">
        <f t="shared" si="6"/>
        <v/>
      </c>
    </row>
    <row r="15" spans="1:21" x14ac:dyDescent="0.15">
      <c r="A15" s="83" t="str">
        <f>IFERROR(INDEX(Calcu!$B$3:$B$43,MATCH(ROW()-ROW($A$3),Calcu!$AA$3:$AA$43,0)),"")</f>
        <v/>
      </c>
      <c r="C15" s="84" t="str">
        <f>IFERROR(A15&amp;" "&amp;RIGHT(VLOOKUP(A15,Calcu!$B$2:$E$43,3,0),2)&amp;"-"&amp;RIGHT(VLOOKUP(A15,Calcu!$B$2:$E$43,4,0),2),"")</f>
        <v/>
      </c>
      <c r="D15" s="89" t="str">
        <f>IFERROR(VLOOKUP(A15,Calcu!$B$3:$S$43,16,0),"")</f>
        <v/>
      </c>
      <c r="E15" s="85" t="str">
        <f>IFERROR(VLOOKUP(A15,Calcu!$B$3:$S$43,17,0),"")</f>
        <v/>
      </c>
      <c r="F15" s="90" t="str">
        <f>IFERROR(VLOOKUP(A15,Calcu!$B:$V,19,0),"")</f>
        <v/>
      </c>
      <c r="G15" s="90" t="str">
        <f>IFERROR(VLOOKUP(A15,Calcu!$B:$V,20,0),"")</f>
        <v/>
      </c>
      <c r="H15" s="91" t="str">
        <f>IFERROR(VLOOKUP(A15,Calcu!$B:$V,21,0),"")</f>
        <v/>
      </c>
      <c r="J15" s="88" t="str">
        <f>IF(IFERROR(VLOOKUP(A15,Information!$B:$L,11,0),0)=0,"",VLOOKUP(A15,Information!$B:$L,11,0))</f>
        <v/>
      </c>
      <c r="P15" s="84" t="str">
        <f t="shared" si="7"/>
        <v/>
      </c>
      <c r="Q15" s="85" t="str">
        <f t="shared" si="2"/>
        <v/>
      </c>
      <c r="R15" s="85" t="str">
        <f t="shared" si="3"/>
        <v/>
      </c>
      <c r="S15" s="86" t="str">
        <f t="shared" si="4"/>
        <v/>
      </c>
      <c r="T15" s="86" t="str">
        <f t="shared" si="5"/>
        <v/>
      </c>
      <c r="U15" s="87" t="str">
        <f t="shared" si="6"/>
        <v/>
      </c>
    </row>
    <row r="16" spans="1:21" x14ac:dyDescent="0.15">
      <c r="A16" s="83" t="str">
        <f>IFERROR(INDEX(Calcu!$B$3:$B$43,MATCH(ROW()-ROW($A$3),Calcu!$AA$3:$AA$43,0)),"")</f>
        <v/>
      </c>
      <c r="C16" s="84" t="str">
        <f>IFERROR(A16&amp;" "&amp;RIGHT(VLOOKUP(A16,Calcu!$B$2:$E$43,3,0),2)&amp;"-"&amp;RIGHT(VLOOKUP(A16,Calcu!$B$2:$E$43,4,0),2),"")</f>
        <v/>
      </c>
      <c r="D16" s="89" t="str">
        <f>IFERROR(VLOOKUP(A16,Calcu!$B$3:$S$43,16,0),"")</f>
        <v/>
      </c>
      <c r="E16" s="85" t="str">
        <f>IFERROR(VLOOKUP(A16,Calcu!$B$3:$S$43,17,0),"")</f>
        <v/>
      </c>
      <c r="F16" s="90" t="str">
        <f>IFERROR(VLOOKUP(A16,Calcu!$B:$V,19,0),"")</f>
        <v/>
      </c>
      <c r="G16" s="90" t="str">
        <f>IFERROR(VLOOKUP(A16,Calcu!$B:$V,20,0),"")</f>
        <v/>
      </c>
      <c r="H16" s="91" t="str">
        <f>IFERROR(VLOOKUP(A16,Calcu!$B:$V,21,0),"")</f>
        <v/>
      </c>
      <c r="J16" s="88" t="str">
        <f>IF(IFERROR(VLOOKUP(A16,Information!$B:$L,11,0),0)=0,"",VLOOKUP(A16,Information!$B:$L,11,0))</f>
        <v/>
      </c>
      <c r="P16" s="84" t="str">
        <f t="shared" si="7"/>
        <v/>
      </c>
      <c r="Q16" s="85" t="str">
        <f t="shared" si="2"/>
        <v/>
      </c>
      <c r="R16" s="85" t="str">
        <f t="shared" si="3"/>
        <v/>
      </c>
      <c r="S16" s="86" t="str">
        <f t="shared" si="4"/>
        <v/>
      </c>
      <c r="T16" s="86" t="str">
        <f t="shared" si="5"/>
        <v/>
      </c>
      <c r="U16" s="87" t="str">
        <f t="shared" si="6"/>
        <v/>
      </c>
    </row>
    <row r="17" spans="1:21" x14ac:dyDescent="0.15">
      <c r="A17" s="83" t="str">
        <f>IFERROR(INDEX(Calcu!$B$3:$B$43,MATCH(ROW()-ROW($A$3),Calcu!$AA$3:$AA$43,0)),"")</f>
        <v/>
      </c>
      <c r="C17" s="84" t="str">
        <f>IFERROR(A17&amp;" "&amp;RIGHT(VLOOKUP(A17,Calcu!$B$2:$E$43,3,0),2)&amp;"-"&amp;RIGHT(VLOOKUP(A17,Calcu!$B$2:$E$43,4,0),2),"")</f>
        <v/>
      </c>
      <c r="D17" s="89" t="str">
        <f>IFERROR(VLOOKUP(A17,Calcu!$B$3:$S$43,16,0),"")</f>
        <v/>
      </c>
      <c r="E17" s="85" t="str">
        <f>IFERROR(VLOOKUP(A17,Calcu!$B$3:$S$43,17,0),"")</f>
        <v/>
      </c>
      <c r="F17" s="90" t="str">
        <f>IFERROR(VLOOKUP(A17,Calcu!$B:$V,19,0),"")</f>
        <v/>
      </c>
      <c r="G17" s="90" t="str">
        <f>IFERROR(VLOOKUP(A17,Calcu!$B:$V,20,0),"")</f>
        <v/>
      </c>
      <c r="H17" s="91" t="str">
        <f>IFERROR(VLOOKUP(A17,Calcu!$B:$V,21,0),"")</f>
        <v/>
      </c>
      <c r="J17" s="88" t="str">
        <f>IF(IFERROR(VLOOKUP(A17,Information!$B:$L,11,0),0)=0,"",VLOOKUP(A17,Information!$B:$L,11,0))</f>
        <v/>
      </c>
      <c r="P17" s="84" t="str">
        <f t="shared" si="7"/>
        <v/>
      </c>
      <c r="Q17" s="85" t="str">
        <f t="shared" si="2"/>
        <v/>
      </c>
      <c r="R17" s="85" t="str">
        <f t="shared" si="3"/>
        <v/>
      </c>
      <c r="S17" s="86" t="str">
        <f t="shared" si="4"/>
        <v/>
      </c>
      <c r="T17" s="86" t="str">
        <f t="shared" si="5"/>
        <v/>
      </c>
      <c r="U17" s="87" t="str">
        <f t="shared" si="6"/>
        <v/>
      </c>
    </row>
    <row r="18" spans="1:21" x14ac:dyDescent="0.15">
      <c r="A18" s="83" t="str">
        <f>IFERROR(INDEX(Calcu!$B$3:$B$43,MATCH(ROW()-ROW($A$3),Calcu!$AA$3:$AA$43,0)),"")</f>
        <v/>
      </c>
      <c r="C18" s="84" t="str">
        <f>IFERROR(A18&amp;" "&amp;RIGHT(VLOOKUP(A18,Calcu!$B$2:$E$43,3,0),2)&amp;"-"&amp;RIGHT(VLOOKUP(A18,Calcu!$B$2:$E$43,4,0),2),"")</f>
        <v/>
      </c>
      <c r="D18" s="89" t="str">
        <f>IFERROR(VLOOKUP(A18,Calcu!$B$3:$S$43,16,0),"")</f>
        <v/>
      </c>
      <c r="E18" s="85" t="str">
        <f>IFERROR(VLOOKUP(A18,Calcu!$B$3:$S$43,17,0),"")</f>
        <v/>
      </c>
      <c r="F18" s="90" t="str">
        <f>IFERROR(VLOOKUP(A18,Calcu!$B:$V,19,0),"")</f>
        <v/>
      </c>
      <c r="G18" s="90" t="str">
        <f>IFERROR(VLOOKUP(A18,Calcu!$B:$V,20,0),"")</f>
        <v/>
      </c>
      <c r="H18" s="91" t="str">
        <f>IFERROR(VLOOKUP(A18,Calcu!$B:$V,21,0),"")</f>
        <v/>
      </c>
      <c r="J18" s="88" t="str">
        <f>IF(IFERROR(VLOOKUP(A18,Information!$B:$L,11,0),0)=0,"",VLOOKUP(A18,Information!$B:$L,11,0))</f>
        <v/>
      </c>
      <c r="P18" s="84" t="str">
        <f t="shared" si="7"/>
        <v/>
      </c>
      <c r="Q18" s="85" t="str">
        <f t="shared" si="2"/>
        <v/>
      </c>
      <c r="R18" s="85" t="str">
        <f t="shared" si="3"/>
        <v/>
      </c>
      <c r="S18" s="86" t="str">
        <f t="shared" si="4"/>
        <v/>
      </c>
      <c r="T18" s="86" t="str">
        <f t="shared" si="5"/>
        <v/>
      </c>
      <c r="U18" s="87" t="str">
        <f t="shared" si="6"/>
        <v/>
      </c>
    </row>
    <row r="19" spans="1:21" x14ac:dyDescent="0.15">
      <c r="A19" s="83" t="str">
        <f>IFERROR(INDEX(Calcu!$B$3:$B$43,MATCH(ROW()-ROW($A$3),Calcu!$AA$3:$AA$43,0)),"")</f>
        <v/>
      </c>
      <c r="C19" s="84" t="str">
        <f>IFERROR(A19&amp;" "&amp;RIGHT(VLOOKUP(A19,Calcu!$B$2:$E$43,3,0),2)&amp;"-"&amp;RIGHT(VLOOKUP(A19,Calcu!$B$2:$E$43,4,0),2),"")</f>
        <v/>
      </c>
      <c r="D19" s="89" t="str">
        <f>IFERROR(VLOOKUP(A19,Calcu!$B$3:$S$43,16,0),"")</f>
        <v/>
      </c>
      <c r="E19" s="85" t="str">
        <f>IFERROR(VLOOKUP(A19,Calcu!$B$3:$S$43,17,0),"")</f>
        <v/>
      </c>
      <c r="F19" s="90" t="str">
        <f>IFERROR(VLOOKUP(A19,Calcu!$B:$V,19,0),"")</f>
        <v/>
      </c>
      <c r="G19" s="90" t="str">
        <f>IFERROR(VLOOKUP(A19,Calcu!$B:$V,20,0),"")</f>
        <v/>
      </c>
      <c r="H19" s="91" t="str">
        <f>IFERROR(VLOOKUP(A19,Calcu!$B:$V,21,0),"")</f>
        <v/>
      </c>
      <c r="J19" s="88" t="str">
        <f>IF(IFERROR(VLOOKUP(A19,Information!$B:$L,11,0),0)=0,"",VLOOKUP(A19,Information!$B:$L,11,0))</f>
        <v/>
      </c>
      <c r="P19" s="84" t="str">
        <f t="shared" si="7"/>
        <v/>
      </c>
      <c r="Q19" s="85" t="str">
        <f t="shared" si="2"/>
        <v/>
      </c>
      <c r="R19" s="85" t="str">
        <f t="shared" si="3"/>
        <v/>
      </c>
      <c r="S19" s="86" t="str">
        <f t="shared" si="4"/>
        <v/>
      </c>
      <c r="T19" s="86" t="str">
        <f t="shared" si="5"/>
        <v/>
      </c>
      <c r="U19" s="87" t="str">
        <f t="shared" si="6"/>
        <v/>
      </c>
    </row>
    <row r="20" spans="1:21" x14ac:dyDescent="0.15">
      <c r="A20" s="83" t="str">
        <f>IFERROR(INDEX(Calcu!$B$3:$B$43,MATCH(ROW()-ROW($A$3),Calcu!$AA$3:$AA$43,0)),"")</f>
        <v/>
      </c>
      <c r="C20" s="84" t="str">
        <f>IFERROR(A20&amp;" "&amp;RIGHT(VLOOKUP(A20,Calcu!$B$2:$E$43,3,0),2)&amp;"-"&amp;RIGHT(VLOOKUP(A20,Calcu!$B$2:$E$43,4,0),2),"")</f>
        <v/>
      </c>
      <c r="D20" s="89" t="str">
        <f>IFERROR(VLOOKUP(A20,Calcu!$B$3:$S$43,16,0),"")</f>
        <v/>
      </c>
      <c r="E20" s="85" t="str">
        <f>IFERROR(VLOOKUP(A20,Calcu!$B$3:$S$43,17,0),"")</f>
        <v/>
      </c>
      <c r="F20" s="90" t="str">
        <f>IFERROR(VLOOKUP(A20,Calcu!$B:$V,19,0),"")</f>
        <v/>
      </c>
      <c r="G20" s="90" t="str">
        <f>IFERROR(VLOOKUP(A20,Calcu!$B:$V,20,0),"")</f>
        <v/>
      </c>
      <c r="H20" s="91" t="str">
        <f>IFERROR(VLOOKUP(A20,Calcu!$B:$V,21,0),"")</f>
        <v/>
      </c>
      <c r="J20" s="88" t="str">
        <f>IF(IFERROR(VLOOKUP(A20,Information!$B:$L,11,0),0)=0,"",VLOOKUP(A20,Information!$B:$L,11,0))</f>
        <v/>
      </c>
      <c r="P20" s="84" t="str">
        <f t="shared" si="7"/>
        <v/>
      </c>
      <c r="Q20" s="85" t="str">
        <f t="shared" si="2"/>
        <v/>
      </c>
      <c r="R20" s="85" t="str">
        <f t="shared" si="3"/>
        <v/>
      </c>
      <c r="S20" s="86" t="str">
        <f t="shared" si="4"/>
        <v/>
      </c>
      <c r="T20" s="86" t="str">
        <f t="shared" si="5"/>
        <v/>
      </c>
      <c r="U20" s="87" t="str">
        <f t="shared" si="6"/>
        <v/>
      </c>
    </row>
    <row r="21" spans="1:21" x14ac:dyDescent="0.15">
      <c r="A21" s="83" t="str">
        <f>IFERROR(INDEX(Calcu!$B$3:$B$43,MATCH(ROW()-ROW($A$3),Calcu!$AA$3:$AA$43,0)),"")</f>
        <v/>
      </c>
      <c r="C21" s="84" t="str">
        <f>IFERROR(A21&amp;" "&amp;RIGHT(VLOOKUP(A21,Calcu!$B$2:$E$43,3,0),2)&amp;"-"&amp;RIGHT(VLOOKUP(A21,Calcu!$B$2:$E$43,4,0),2),"")</f>
        <v/>
      </c>
      <c r="D21" s="89" t="str">
        <f>IFERROR(VLOOKUP(A21,Calcu!$B$3:$S$43,16,0),"")</f>
        <v/>
      </c>
      <c r="E21" s="85" t="str">
        <f>IFERROR(VLOOKUP(A21,Calcu!$B$3:$S$43,17,0),"")</f>
        <v/>
      </c>
      <c r="F21" s="90" t="str">
        <f>IFERROR(VLOOKUP(A21,Calcu!$B:$V,19,0),"")</f>
        <v/>
      </c>
      <c r="G21" s="90" t="str">
        <f>IFERROR(VLOOKUP(A21,Calcu!$B:$V,20,0),"")</f>
        <v/>
      </c>
      <c r="H21" s="91" t="str">
        <f>IFERROR(VLOOKUP(A21,Calcu!$B:$V,21,0),"")</f>
        <v/>
      </c>
      <c r="J21" s="88" t="str">
        <f>IF(IFERROR(VLOOKUP(A21,Information!$B:$L,11,0),0)=0,"",VLOOKUP(A21,Information!$B:$L,11,0))</f>
        <v/>
      </c>
      <c r="P21" s="84" t="str">
        <f t="shared" si="7"/>
        <v/>
      </c>
      <c r="Q21" s="85" t="str">
        <f t="shared" si="2"/>
        <v/>
      </c>
      <c r="R21" s="85" t="str">
        <f t="shared" si="3"/>
        <v/>
      </c>
      <c r="S21" s="86" t="str">
        <f t="shared" si="4"/>
        <v/>
      </c>
      <c r="T21" s="86" t="str">
        <f t="shared" si="5"/>
        <v/>
      </c>
      <c r="U21" s="87" t="str">
        <f t="shared" si="6"/>
        <v/>
      </c>
    </row>
    <row r="22" spans="1:21" x14ac:dyDescent="0.15">
      <c r="C22" s="84" t="str">
        <f>IFERROR(A22&amp;" "&amp;RIGHT(VLOOKUP(A22,Calcu!$B$2:$E$43,3,0),2)&amp;"-"&amp;RIGHT(VLOOKUP(A22,Calcu!$B$2:$E$43,4,0),2),"")</f>
        <v/>
      </c>
      <c r="D22" s="89" t="str">
        <f>IFERROR(VLOOKUP(A22,Calcu!$B$3:$S$43,16,0),"")</f>
        <v/>
      </c>
      <c r="E22" s="85" t="str">
        <f>IFERROR(VLOOKUP(A22,Calcu!$B$3:$S$43,17,0),"")</f>
        <v/>
      </c>
      <c r="F22" s="90" t="str">
        <f>IFERROR(VLOOKUP(A22,Calcu!$B:$V,19,0),"")</f>
        <v/>
      </c>
      <c r="G22" s="90" t="str">
        <f>IFERROR(VLOOKUP(A22,Calcu!$B:$V,20,0),"")</f>
        <v/>
      </c>
      <c r="H22" s="91" t="str">
        <f>IFERROR(VLOOKUP(A22,Calcu!$B:$V,21,0),"")</f>
        <v/>
      </c>
      <c r="J22" s="88" t="str">
        <f>IF(IFERROR(VLOOKUP(A22,Information!$B:$L,11,0),0)=0,"",VLOOKUP(A22,Information!$B:$L,11,0))</f>
        <v/>
      </c>
      <c r="P22" s="84" t="str">
        <f t="shared" si="7"/>
        <v/>
      </c>
      <c r="Q22" s="85" t="str">
        <f t="shared" si="2"/>
        <v/>
      </c>
      <c r="R22" s="85" t="str">
        <f t="shared" si="3"/>
        <v/>
      </c>
      <c r="S22" s="86" t="str">
        <f t="shared" si="4"/>
        <v/>
      </c>
      <c r="T22" s="86" t="str">
        <f t="shared" si="5"/>
        <v/>
      </c>
      <c r="U22" s="87" t="str">
        <f t="shared" si="6"/>
        <v/>
      </c>
    </row>
    <row r="23" spans="1:21" x14ac:dyDescent="0.15">
      <c r="C23" s="84" t="str">
        <f>IFERROR(A23&amp;" "&amp;RIGHT(VLOOKUP(A23,Calcu!$B$2:$E$43,3,0),2)&amp;"-"&amp;RIGHT(VLOOKUP(A23,Calcu!$B$2:$E$43,4,0),2),"")</f>
        <v/>
      </c>
      <c r="D23" s="89" t="str">
        <f>IFERROR(VLOOKUP(A23,Calcu!$B$3:$S$43,16,0),"")</f>
        <v/>
      </c>
      <c r="E23" s="85" t="str">
        <f>IFERROR(VLOOKUP(A23,Calcu!$B$3:$S$43,17,0),"")</f>
        <v/>
      </c>
      <c r="F23" s="90" t="str">
        <f>IFERROR(VLOOKUP(A23,Calcu!$B:$V,19,0),"")</f>
        <v/>
      </c>
      <c r="G23" s="90" t="str">
        <f>IFERROR(VLOOKUP(A23,Calcu!$B:$V,20,0),"")</f>
        <v/>
      </c>
      <c r="H23" s="91" t="str">
        <f>IFERROR(VLOOKUP(A23,Calcu!$B:$V,21,0),"")</f>
        <v/>
      </c>
      <c r="J23" s="88" t="str">
        <f>IF(IFERROR(VLOOKUP(A23,Information!$B:$L,11,0),0)=0,"",VLOOKUP(A23,Information!$B:$L,11,0))</f>
        <v/>
      </c>
      <c r="P23" s="84" t="str">
        <f t="shared" si="7"/>
        <v/>
      </c>
      <c r="Q23" s="85" t="str">
        <f t="shared" si="2"/>
        <v/>
      </c>
      <c r="R23" s="85" t="str">
        <f t="shared" si="3"/>
        <v/>
      </c>
      <c r="S23" s="86" t="str">
        <f t="shared" si="4"/>
        <v/>
      </c>
      <c r="T23" s="86" t="str">
        <f t="shared" si="5"/>
        <v/>
      </c>
      <c r="U23" s="87" t="str">
        <f t="shared" si="6"/>
        <v/>
      </c>
    </row>
    <row r="24" spans="1:21" x14ac:dyDescent="0.15">
      <c r="C24" s="84"/>
      <c r="D24" s="89"/>
      <c r="E24" s="89"/>
      <c r="F24" s="90" t="str">
        <f>IFERROR(VLOOKUP(A24,Calcu!$B:$V,19,0),"")</f>
        <v/>
      </c>
      <c r="G24" s="90" t="str">
        <f>IFERROR(VLOOKUP(A24,Calcu!$B:$V,20,0),"")</f>
        <v/>
      </c>
      <c r="H24" s="91" t="str">
        <f>IFERROR(VLOOKUP(A24,Calcu!$B:$V,21,0),"")</f>
        <v/>
      </c>
      <c r="J24" s="88" t="str">
        <f>IF(IFERROR(VLOOKUP(A24,Information!$B:$L,11,0),0)=0,"",VLOOKUP(A24,Information!$B:$L,11,0))</f>
        <v/>
      </c>
    </row>
    <row r="25" spans="1:21" x14ac:dyDescent="0.15">
      <c r="C25" s="84"/>
      <c r="D25" s="89"/>
      <c r="E25" s="89"/>
      <c r="F25" s="90" t="str">
        <f>IFERROR(VLOOKUP(A25,Calcu!$B:$V,19,0),"")</f>
        <v/>
      </c>
      <c r="G25" s="90" t="str">
        <f>IFERROR(VLOOKUP(A25,Calcu!$B:$V,20,0),"")</f>
        <v/>
      </c>
      <c r="H25" s="91" t="str">
        <f>IFERROR(VLOOKUP(A25,Calcu!$B:$V,21,0),"")</f>
        <v/>
      </c>
      <c r="J25" s="88" t="str">
        <f>IF(IFERROR(VLOOKUP(A25,Information!$B:$L,11,0),0)=0,"",VLOOKUP(A25,Information!$B:$L,11,0))</f>
        <v/>
      </c>
    </row>
    <row r="26" spans="1:21" x14ac:dyDescent="0.15">
      <c r="C26" s="84"/>
      <c r="D26" s="89"/>
      <c r="E26" s="89"/>
      <c r="F26" s="90" t="str">
        <f>IFERROR(VLOOKUP(A26,Calcu!$B:$V,19,0),"")</f>
        <v/>
      </c>
      <c r="G26" s="90" t="str">
        <f>IFERROR(VLOOKUP(A26,Calcu!$B:$V,20,0),"")</f>
        <v/>
      </c>
      <c r="H26" s="91" t="str">
        <f>IFERROR(VLOOKUP(A26,Calcu!$B:$V,21,0),"")</f>
        <v/>
      </c>
      <c r="J26" s="88" t="str">
        <f>IF(IFERROR(VLOOKUP(A26,Information!$B:$L,11,0),0)=0,"",VLOOKUP(A26,Information!$B:$L,11,0))</f>
        <v/>
      </c>
    </row>
    <row r="27" spans="1:21" x14ac:dyDescent="0.15">
      <c r="C27" s="84"/>
      <c r="D27" s="89"/>
      <c r="E27" s="89"/>
      <c r="F27" s="90" t="str">
        <f>IFERROR(VLOOKUP(A27,Calcu!$B:$V,19,0),"")</f>
        <v/>
      </c>
      <c r="G27" s="90" t="str">
        <f>IFERROR(VLOOKUP(A27,Calcu!$B:$V,20,0),"")</f>
        <v/>
      </c>
      <c r="H27" s="91" t="str">
        <f>IFERROR(VLOOKUP(A27,Calcu!$B:$V,21,0),"")</f>
        <v/>
      </c>
      <c r="J27" s="88" t="str">
        <f>IF(IFERROR(VLOOKUP(A27,Information!$B:$L,11,0),0)=0,"",VLOOKUP(A27,Information!$B:$L,11,0))</f>
        <v/>
      </c>
    </row>
    <row r="28" spans="1:21" x14ac:dyDescent="0.15">
      <c r="C28" s="84"/>
      <c r="D28" s="89"/>
      <c r="E28" s="89"/>
      <c r="F28" s="90" t="str">
        <f>IFERROR(VLOOKUP(A28,Calcu!$B:$V,19,0),"")</f>
        <v/>
      </c>
      <c r="G28" s="90" t="str">
        <f>IFERROR(VLOOKUP(A28,Calcu!$B:$V,20,0),"")</f>
        <v/>
      </c>
      <c r="H28" s="91" t="str">
        <f>IFERROR(VLOOKUP(A28,Calcu!$B:$V,21,0),"")</f>
        <v/>
      </c>
      <c r="J28" s="88" t="str">
        <f>IF(IFERROR(VLOOKUP(A28,Information!$B:$L,11,0),0)=0,"",VLOOKUP(A28,Information!$B:$L,11,0))</f>
        <v/>
      </c>
    </row>
    <row r="29" spans="1:21" x14ac:dyDescent="0.15">
      <c r="C29" s="84"/>
      <c r="D29" s="89"/>
      <c r="E29" s="89"/>
      <c r="F29" s="90" t="str">
        <f>IFERROR(VLOOKUP(A29,Calcu!$B:$V,19,0),"")</f>
        <v/>
      </c>
      <c r="G29" s="90" t="str">
        <f>IFERROR(VLOOKUP(A29,Calcu!$B:$V,20,0),"")</f>
        <v/>
      </c>
      <c r="H29" s="91" t="str">
        <f>IFERROR(VLOOKUP(A29,Calcu!$B:$V,21,0),"")</f>
        <v/>
      </c>
      <c r="J29" s="88" t="str">
        <f>IF(IFERROR(VLOOKUP(A29,Information!$B:$L,11,0),0)=0,"",VLOOKUP(A29,Information!$B:$L,11,0))</f>
        <v/>
      </c>
    </row>
    <row r="30" spans="1:21" x14ac:dyDescent="0.15">
      <c r="C30" s="84"/>
      <c r="D30" s="89"/>
      <c r="E30" s="89"/>
      <c r="F30" s="90" t="str">
        <f>IFERROR(VLOOKUP(A30,Calcu!$B:$V,19,0),"")</f>
        <v/>
      </c>
      <c r="G30" s="90" t="str">
        <f>IFERROR(VLOOKUP(A30,Calcu!$B:$V,20,0),"")</f>
        <v/>
      </c>
      <c r="H30" s="91" t="str">
        <f>IFERROR(VLOOKUP(A30,Calcu!$B:$V,21,0),"")</f>
        <v/>
      </c>
      <c r="J30" s="88" t="str">
        <f>IF(IFERROR(VLOOKUP(A30,Information!$B:$L,11,0),0)=0,"",VLOOKUP(A30,Information!$B:$L,11,0))</f>
        <v/>
      </c>
    </row>
    <row r="31" spans="1:21" x14ac:dyDescent="0.15">
      <c r="C31" s="84"/>
      <c r="D31" s="89"/>
      <c r="E31" s="89"/>
      <c r="F31" s="90" t="str">
        <f>IFERROR(VLOOKUP(A31,Calcu!$B:$V,19,0),"")</f>
        <v/>
      </c>
      <c r="G31" s="90" t="str">
        <f>IFERROR(VLOOKUP(A31,Calcu!$B:$V,20,0),"")</f>
        <v/>
      </c>
      <c r="H31" s="91" t="str">
        <f>IFERROR(VLOOKUP(A31,Calcu!$B:$V,21,0),"")</f>
        <v/>
      </c>
      <c r="J31" s="88" t="str">
        <f>IF(IFERROR(VLOOKUP(A31,Information!$B:$L,11,0),0)=0,"",VLOOKUP(A31,Information!$B:$L,11,0))</f>
        <v/>
      </c>
    </row>
    <row r="32" spans="1:21" x14ac:dyDescent="0.15">
      <c r="C32" s="92"/>
      <c r="D32" s="93"/>
      <c r="E32" s="93"/>
      <c r="F32" s="94" t="str">
        <f>IFERROR(VLOOKUP(A32,Calcu!$B:$V,19,0),"")</f>
        <v/>
      </c>
      <c r="G32" s="94" t="str">
        <f>IFERROR(VLOOKUP(A32,Calcu!$B:$V,20,0),"")</f>
        <v/>
      </c>
      <c r="H32" s="95" t="str">
        <f>IFERROR(VLOOKUP(A32,Calcu!$B:$V,21,0),"")</f>
        <v/>
      </c>
      <c r="J32" s="88" t="str">
        <f>IF(IFERROR(VLOOKUP(A32,Information!$B:$L,11,0),0)=0,"",VLOOKUP(A32,Information!$B:$L,11,0))</f>
        <v/>
      </c>
    </row>
    <row r="33" spans="10:10" x14ac:dyDescent="0.15">
      <c r="J33" s="88" t="str">
        <f>IF(IFERROR(VLOOKUP(A33,Information!$B:$L,11,0),0)=0,"",VLOOKUP(A33,Information!$B:$L,11,0))</f>
        <v/>
      </c>
    </row>
    <row r="34" spans="10:10" x14ac:dyDescent="0.15">
      <c r="J34" s="88" t="str">
        <f>IF(IFERROR(VLOOKUP(A34,Information!$B:$L,11,0),0)=0,"",VLOOKUP(A34,Information!$B:$L,11,0))</f>
        <v/>
      </c>
    </row>
    <row r="35" spans="10:10" x14ac:dyDescent="0.15">
      <c r="J35" s="88" t="str">
        <f>IF(IFERROR(VLOOKUP(A35,Information!$B:$L,11,0),0)=0,"",VLOOKUP(A35,Information!$B:$L,11,0))</f>
        <v/>
      </c>
    </row>
    <row r="36" spans="10:10" x14ac:dyDescent="0.15">
      <c r="J36" s="88" t="str">
        <f>IF(IFERROR(VLOOKUP(A36,Information!$B:$L,11,0),0)=0,"",VLOOKUP(A36,Information!$B:$L,11,0))</f>
        <v/>
      </c>
    </row>
    <row r="37" spans="10:10" x14ac:dyDescent="0.15">
      <c r="J37" s="88" t="str">
        <f>IF(IFERROR(VLOOKUP(A37,Information!$B:$L,11,0),0)=0,"",VLOOKUP(A37,Information!$B:$L,11,0))</f>
        <v/>
      </c>
    </row>
    <row r="38" spans="10:10" x14ac:dyDescent="0.15">
      <c r="J38" s="88" t="str">
        <f>IF(IFERROR(VLOOKUP(A38,Information!$B:$L,11,0),0)=0,"",VLOOKUP(A38,Information!$B:$L,11,0))</f>
        <v/>
      </c>
    </row>
    <row r="39" spans="10:10" x14ac:dyDescent="0.15">
      <c r="J39" s="88" t="str">
        <f>IF(IFERROR(VLOOKUP(A39,Information!$B:$L,11,0),0)=0,"",VLOOKUP(A39,Information!$B:$L,11,0))</f>
        <v/>
      </c>
    </row>
    <row r="40" spans="10:10" x14ac:dyDescent="0.15">
      <c r="J40" s="88" t="str">
        <f>IF(IFERROR(VLOOKUP(A40,Information!$B:$L,11,0),0)=0,"",VLOOKUP(A40,Information!$B:$L,11,0))</f>
        <v/>
      </c>
    </row>
    <row r="41" spans="10:10" x14ac:dyDescent="0.15">
      <c r="J41" s="88" t="str">
        <f>IF(IFERROR(VLOOKUP(A41,Information!$B:$L,11,0),0)=0,"",VLOOKUP(A41,Information!$B:$L,11,0))</f>
        <v/>
      </c>
    </row>
    <row r="42" spans="10:10" x14ac:dyDescent="0.15">
      <c r="J42" s="88" t="str">
        <f>IF(IFERROR(VLOOKUP(A42,Information!$B:$L,11,0),0)=0,"",VLOOKUP(A42,Information!$B:$L,11,0))</f>
        <v/>
      </c>
    </row>
    <row r="43" spans="10:10" x14ac:dyDescent="0.15">
      <c r="J43" s="88" t="str">
        <f>IF(IFERROR(VLOOKUP(A43,Information!$B:$L,11,0),0)=0,"",VLOOKUP(A43,Information!$B:$L,11,0))</f>
        <v/>
      </c>
    </row>
    <row r="44" spans="10:10" x14ac:dyDescent="0.15">
      <c r="J44" s="88" t="str">
        <f>IF(IFERROR(VLOOKUP(A44,Information!$B:$L,11,0),0)=0,"",VLOOKUP(A44,Information!$B:$L,11,0))</f>
        <v/>
      </c>
    </row>
    <row r="45" spans="10:10" x14ac:dyDescent="0.15">
      <c r="J45" s="88" t="str">
        <f>IF(IFERROR(VLOOKUP(A45,Information!$B:$L,11,0),0)=0,"",VLOOKUP(A45,Information!$B:$L,11,0))</f>
        <v/>
      </c>
    </row>
    <row r="46" spans="10:10" x14ac:dyDescent="0.15">
      <c r="J46" s="88" t="str">
        <f>IF(IFERROR(VLOOKUP(A46,Information!$B:$L,11,0),0)=0,"",VLOOKUP(A46,Information!$B:$L,11,0))</f>
        <v/>
      </c>
    </row>
    <row r="47" spans="10:10" x14ac:dyDescent="0.15">
      <c r="J47" s="88" t="str">
        <f>IF(IFERROR(VLOOKUP(A47,Information!$B:$L,11,0),0)=0,"",VLOOKUP(A47,Information!$B:$L,11,0))</f>
        <v/>
      </c>
    </row>
    <row r="48" spans="10:10" x14ac:dyDescent="0.15">
      <c r="J48" s="88" t="str">
        <f>IF(IFERROR(VLOOKUP(A48,Information!$B:$L,11,0),0)=0,"",VLOOKUP(A48,Information!$B:$L,11,0))</f>
        <v/>
      </c>
    </row>
    <row r="49" spans="10:10" x14ac:dyDescent="0.15">
      <c r="J49" s="88" t="str">
        <f>IF(IFERROR(VLOOKUP(A49,Information!$B:$L,11,0),0)=0,"",VLOOKUP(A49,Information!$B:$L,11,0))</f>
        <v/>
      </c>
    </row>
    <row r="50" spans="10:10" x14ac:dyDescent="0.15">
      <c r="J50" s="88" t="str">
        <f>IF(IFERROR(VLOOKUP(A50,Information!$B:$L,11,0),0)=0,"",VLOOKUP(A50,Information!$B:$L,11,0))</f>
        <v/>
      </c>
    </row>
    <row r="51" spans="10:10" x14ac:dyDescent="0.15">
      <c r="J51" s="88" t="str">
        <f>IF(IFERROR(VLOOKUP(A51,Information!$B:$L,11,0),0)=0,"",VLOOKUP(A51,Information!$B:$L,11,0))</f>
        <v/>
      </c>
    </row>
    <row r="52" spans="10:10" x14ac:dyDescent="0.15">
      <c r="J52" s="88" t="str">
        <f>IF(IFERROR(VLOOKUP(A52,Information!$B:$L,11,0),0)=0,"",VLOOKUP(A52,Information!$B:$L,11,0))</f>
        <v/>
      </c>
    </row>
    <row r="53" spans="10:10" x14ac:dyDescent="0.15">
      <c r="J53" s="88" t="str">
        <f>IF(IFERROR(VLOOKUP(A53,Information!$B:$L,11,0),0)=0,"",VLOOKUP(A53,Information!$B:$L,11,0))</f>
        <v/>
      </c>
    </row>
    <row r="54" spans="10:10" x14ac:dyDescent="0.15">
      <c r="J54" s="88" t="str">
        <f>IF(IFERROR(VLOOKUP(A54,Information!$B:$L,11,0),0)=0,"",VLOOKUP(A54,Information!$B:$L,11,0))</f>
        <v/>
      </c>
    </row>
    <row r="55" spans="10:10" x14ac:dyDescent="0.15">
      <c r="J55" s="88" t="str">
        <f>IF(IFERROR(VLOOKUP(A55,Information!$B:$L,11,0),0)=0,"",VLOOKUP(A55,Information!$B:$L,11,0))</f>
        <v/>
      </c>
    </row>
    <row r="56" spans="10:10" x14ac:dyDescent="0.15">
      <c r="J56" s="88" t="str">
        <f>IF(IFERROR(VLOOKUP(A56,Information!$B:$L,11,0),0)=0,"",VLOOKUP(A56,Information!$B:$L,11,0))</f>
        <v/>
      </c>
    </row>
    <row r="57" spans="10:10" x14ac:dyDescent="0.15">
      <c r="J57" s="88" t="str">
        <f>IF(IFERROR(VLOOKUP(A57,Information!$B:$L,11,0),0)=0,"",VLOOKUP(A57,Information!$B:$L,11,0))</f>
        <v/>
      </c>
    </row>
    <row r="58" spans="10:10" x14ac:dyDescent="0.15">
      <c r="J58" s="88" t="str">
        <f>IF(IFERROR(VLOOKUP(A58,Information!$B:$L,11,0),0)=0,"",VLOOKUP(A58,Information!$B:$L,11,0))</f>
        <v/>
      </c>
    </row>
    <row r="59" spans="10:10" x14ac:dyDescent="0.15">
      <c r="J59" s="88" t="str">
        <f>IF(IFERROR(VLOOKUP(A59,Information!$B:$L,11,0),0)=0,"",VLOOKUP(A59,Information!$B:$L,11,0))</f>
        <v/>
      </c>
    </row>
    <row r="60" spans="10:10" x14ac:dyDescent="0.15">
      <c r="J60" s="88" t="str">
        <f>IF(IFERROR(VLOOKUP(A60,Information!$B:$L,11,0),0)=0,"",VLOOKUP(A60,Information!$B:$L,11,0))</f>
        <v/>
      </c>
    </row>
    <row r="61" spans="10:10" x14ac:dyDescent="0.15">
      <c r="J61" s="88" t="str">
        <f>IF(IFERROR(VLOOKUP(A61,Information!$B:$L,11,0),0)=0,"",VLOOKUP(A61,Information!$B:$L,11,0))</f>
        <v/>
      </c>
    </row>
    <row r="62" spans="10:10" x14ac:dyDescent="0.15">
      <c r="J62" s="88" t="str">
        <f>IF(IFERROR(VLOOKUP(A62,Information!$B:$L,11,0),0)=0,"",VLOOKUP(A62,Information!$B:$L,11,0))</f>
        <v/>
      </c>
    </row>
    <row r="63" spans="10:10" x14ac:dyDescent="0.15">
      <c r="J63" s="88" t="str">
        <f>IF(IFERROR(VLOOKUP(A63,Information!$B:$L,11,0),0)=0,"",VLOOKUP(A63,Information!$B:$L,11,0))</f>
        <v/>
      </c>
    </row>
    <row r="64" spans="10:10" x14ac:dyDescent="0.15">
      <c r="J64" s="88" t="str">
        <f>IF(IFERROR(VLOOKUP(A64,Information!$B:$L,11,0),0)=0,"",VLOOKUP(A64,Information!$B:$L,11,0))</f>
        <v/>
      </c>
    </row>
    <row r="65" spans="10:10" x14ac:dyDescent="0.15">
      <c r="J65" s="88" t="str">
        <f>IF(IFERROR(VLOOKUP(A65,Information!$B:$L,11,0),0)=0,"",VLOOKUP(A65,Information!$B:$L,11,0))</f>
        <v/>
      </c>
    </row>
    <row r="66" spans="10:10" x14ac:dyDescent="0.15">
      <c r="J66" s="88" t="str">
        <f>IF(IFERROR(VLOOKUP(A66,Information!$B:$L,11,0),0)=0,"",VLOOKUP(A66,Information!$B:$L,11,0))</f>
        <v/>
      </c>
    </row>
    <row r="67" spans="10:10" x14ac:dyDescent="0.15">
      <c r="J67" s="88" t="str">
        <f>IF(IFERROR(VLOOKUP(A67,Information!$B:$L,11,0),0)=0,"",VLOOKUP(A67,Information!$B:$L,11,0))</f>
        <v/>
      </c>
    </row>
    <row r="68" spans="10:10" x14ac:dyDescent="0.15">
      <c r="J68" s="88" t="str">
        <f>IF(IFERROR(VLOOKUP(A68,Information!$B:$L,11,0),0)=0,"",VLOOKUP(A68,Information!$B:$L,11,0))</f>
        <v/>
      </c>
    </row>
    <row r="69" spans="10:10" x14ac:dyDescent="0.15">
      <c r="J69" s="88" t="str">
        <f>IF(IFERROR(VLOOKUP(A69,Information!$B:$L,11,0),0)=0,"",VLOOKUP(A69,Information!$B:$L,11,0))</f>
        <v/>
      </c>
    </row>
    <row r="70" spans="10:10" x14ac:dyDescent="0.15">
      <c r="J70" s="88" t="str">
        <f>IF(IFERROR(VLOOKUP(A70,Information!$B:$L,11,0),0)=0,"",VLOOKUP(A70,Information!$B:$L,11,0))</f>
        <v/>
      </c>
    </row>
    <row r="71" spans="10:10" x14ac:dyDescent="0.15">
      <c r="J71" s="88" t="str">
        <f>IF(IFERROR(VLOOKUP(A71,Information!$B:$L,11,0),0)=0,"",VLOOKUP(A71,Information!$B:$L,11,0))</f>
        <v/>
      </c>
    </row>
    <row r="72" spans="10:10" x14ac:dyDescent="0.15">
      <c r="J72" s="88" t="str">
        <f>IF(IFERROR(VLOOKUP(A72,Information!$B:$L,11,0),0)=0,"",VLOOKUP(A72,Information!$B:$L,11,0))</f>
        <v/>
      </c>
    </row>
    <row r="73" spans="10:10" x14ac:dyDescent="0.15">
      <c r="J73" s="88" t="str">
        <f>IF(IFERROR(VLOOKUP(A73,Information!$B:$L,11,0),0)=0,"",VLOOKUP(A73,Information!$B:$L,11,0))</f>
        <v/>
      </c>
    </row>
    <row r="74" spans="10:10" x14ac:dyDescent="0.15">
      <c r="J74" s="88" t="str">
        <f>IF(IFERROR(VLOOKUP(A74,Information!$B:$L,11,0),0)=0,"",VLOOKUP(A74,Information!$B:$L,11,0))</f>
        <v/>
      </c>
    </row>
    <row r="75" spans="10:10" x14ac:dyDescent="0.15">
      <c r="J75" s="88" t="str">
        <f>IF(IFERROR(VLOOKUP(A75,Information!$B:$L,11,0),0)=0,"",VLOOKUP(A75,Information!$B:$L,11,0))</f>
        <v/>
      </c>
    </row>
    <row r="76" spans="10:10" x14ac:dyDescent="0.15">
      <c r="J76" s="88" t="str">
        <f>IF(IFERROR(VLOOKUP(A76,Information!$B:$L,11,0),0)=0,"",VLOOKUP(A76,Information!$B:$L,11,0))</f>
        <v/>
      </c>
    </row>
    <row r="77" spans="10:10" x14ac:dyDescent="0.15">
      <c r="J77" s="88" t="str">
        <f>IF(IFERROR(VLOOKUP(A77,Information!$B:$L,11,0),0)=0,"",VLOOKUP(A77,Information!$B:$L,11,0))</f>
        <v/>
      </c>
    </row>
    <row r="78" spans="10:10" x14ac:dyDescent="0.15">
      <c r="J78" s="88" t="str">
        <f>IF(IFERROR(VLOOKUP(A78,Information!$B:$L,11,0),0)=0,"",VLOOKUP(A78,Information!$B:$L,11,0))</f>
        <v/>
      </c>
    </row>
    <row r="79" spans="10:10" x14ac:dyDescent="0.15">
      <c r="J79" s="88" t="str">
        <f>IF(IFERROR(VLOOKUP(A79,Information!$B:$L,11,0),0)=0,"",VLOOKUP(A79,Information!$B:$L,11,0))</f>
        <v/>
      </c>
    </row>
    <row r="80" spans="10:10" x14ac:dyDescent="0.15">
      <c r="J80" s="88" t="str">
        <f>IF(IFERROR(VLOOKUP(A80,Information!$B:$L,11,0),0)=0,"",VLOOKUP(A80,Information!$B:$L,11,0))</f>
        <v/>
      </c>
    </row>
    <row r="81" spans="10:10" x14ac:dyDescent="0.15">
      <c r="J81" s="88" t="str">
        <f>IF(IFERROR(VLOOKUP(A81,Information!$B:$L,11,0),0)=0,"",VLOOKUP(A81,Information!$B:$L,11,0))</f>
        <v/>
      </c>
    </row>
    <row r="82" spans="10:10" x14ac:dyDescent="0.15">
      <c r="J82" s="88" t="str">
        <f>IF(IFERROR(VLOOKUP(A82,Information!$B:$L,11,0),0)=0,"",VLOOKUP(A82,Information!$B:$L,11,0))</f>
        <v/>
      </c>
    </row>
    <row r="83" spans="10:10" x14ac:dyDescent="0.15">
      <c r="J83" s="88" t="str">
        <f>IF(IFERROR(VLOOKUP(A83,Information!$B:$L,11,0),0)=0,"",VLOOKUP(A83,Information!$B:$L,11,0))</f>
        <v/>
      </c>
    </row>
    <row r="84" spans="10:10" x14ac:dyDescent="0.15">
      <c r="J84" s="88" t="str">
        <f>IF(IFERROR(VLOOKUP(A84,Information!$B:$L,11,0),0)=0,"",VLOOKUP(A84,Information!$B:$L,11,0))</f>
        <v/>
      </c>
    </row>
    <row r="85" spans="10:10" x14ac:dyDescent="0.15">
      <c r="J85" s="88" t="str">
        <f>IF(IFERROR(VLOOKUP(A85,Information!$B:$L,11,0),0)=0,"",VLOOKUP(A85,Information!$B:$L,11,0))</f>
        <v/>
      </c>
    </row>
    <row r="86" spans="10:10" x14ac:dyDescent="0.15">
      <c r="J86" s="88" t="str">
        <f>IF(IFERROR(VLOOKUP(A86,Information!$B:$L,11,0),0)=0,"",VLOOKUP(A86,Information!$B:$L,11,0))</f>
        <v/>
      </c>
    </row>
    <row r="87" spans="10:10" x14ac:dyDescent="0.15">
      <c r="J87" s="88" t="str">
        <f>IF(IFERROR(VLOOKUP(A87,Information!$B:$L,11,0),0)=0,"",VLOOKUP(A87,Information!$B:$L,11,0))</f>
        <v/>
      </c>
    </row>
    <row r="88" spans="10:10" x14ac:dyDescent="0.15">
      <c r="J88" s="88" t="str">
        <f>IF(IFERROR(VLOOKUP(A88,Information!$B:$L,11,0),0)=0,"",VLOOKUP(A88,Information!$B:$L,11,0))</f>
        <v/>
      </c>
    </row>
    <row r="89" spans="10:10" x14ac:dyDescent="0.15">
      <c r="J89" s="88" t="str">
        <f>IF(IFERROR(VLOOKUP(A89,Information!$B:$L,11,0),0)=0,"",VLOOKUP(A89,Information!$B:$L,11,0))</f>
        <v/>
      </c>
    </row>
    <row r="90" spans="10:10" x14ac:dyDescent="0.15">
      <c r="J90" s="88" t="str">
        <f>IF(IFERROR(VLOOKUP(A90,Information!$B:$L,11,0),0)=0,"",VLOOKUP(A90,Information!$B:$L,11,0))</f>
        <v/>
      </c>
    </row>
    <row r="91" spans="10:10" x14ac:dyDescent="0.15">
      <c r="J91" s="88" t="str">
        <f>IF(IFERROR(VLOOKUP(A91,Information!$B:$L,11,0),0)=0,"",VLOOKUP(A91,Information!$B:$L,11,0))</f>
        <v/>
      </c>
    </row>
    <row r="92" spans="10:10" x14ac:dyDescent="0.15">
      <c r="J92" s="88" t="str">
        <f>IF(IFERROR(VLOOKUP(A92,Information!$B:$L,11,0),0)=0,"",VLOOKUP(A92,Information!$B:$L,11,0))</f>
        <v/>
      </c>
    </row>
    <row r="93" spans="10:10" x14ac:dyDescent="0.15">
      <c r="J93" s="88" t="str">
        <f>IF(IFERROR(VLOOKUP(A93,Information!$B:$L,11,0),0)=0,"",VLOOKUP(A93,Information!$B:$L,11,0))</f>
        <v/>
      </c>
    </row>
    <row r="94" spans="10:10" x14ac:dyDescent="0.15">
      <c r="J94" s="88" t="str">
        <f>IF(IFERROR(VLOOKUP(A94,Information!$B:$L,11,0),0)=0,"",VLOOKUP(A94,Information!$B:$L,11,0))</f>
        <v/>
      </c>
    </row>
    <row r="95" spans="10:10" x14ac:dyDescent="0.15">
      <c r="J95" s="88" t="str">
        <f>IF(IFERROR(VLOOKUP(A95,Information!$B:$L,11,0),0)=0,"",VLOOKUP(A95,Information!$B:$L,11,0))</f>
        <v/>
      </c>
    </row>
  </sheetData>
  <mergeCells count="2">
    <mergeCell ref="T2:U2"/>
    <mergeCell ref="G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S107"/>
  <sheetViews>
    <sheetView tabSelected="1" workbookViewId="0">
      <selection activeCell="C48" sqref="C48"/>
    </sheetView>
  </sheetViews>
  <sheetFormatPr defaultRowHeight="14.25" outlineLevelCol="1" x14ac:dyDescent="0.15"/>
  <cols>
    <col min="1" max="1" width="9" style="38"/>
    <col min="2" max="2" width="8.875" style="39" customWidth="1"/>
    <col min="3" max="3" width="7.25" style="39" customWidth="1"/>
    <col min="4" max="4" width="11.25" style="39" customWidth="1"/>
    <col min="5" max="5" width="12.75" style="39" customWidth="1"/>
    <col min="6" max="6" width="13.25" style="39" customWidth="1"/>
    <col min="7" max="7" width="12.25" style="39" customWidth="1" outlineLevel="1"/>
    <col min="8" max="8" width="6.25" style="39" customWidth="1" outlineLevel="1"/>
    <col min="9" max="9" width="10.375" style="39" customWidth="1" outlineLevel="1"/>
    <col min="10" max="10" width="13.625" style="39" customWidth="1"/>
    <col min="11" max="11" width="9" style="39" customWidth="1"/>
    <col min="12" max="12" width="12.25" style="39" customWidth="1"/>
    <col min="13" max="13" width="9" style="39" customWidth="1"/>
    <col min="14" max="14" width="11.75" style="39" customWidth="1"/>
    <col min="15" max="15" width="12.375" style="39" customWidth="1"/>
    <col min="16" max="16" width="29.625" style="39" customWidth="1"/>
    <col min="17" max="17" width="28.25" style="39" customWidth="1"/>
    <col min="18" max="18" width="82.25" style="40" customWidth="1"/>
    <col min="19" max="16384" width="9" style="38"/>
  </cols>
  <sheetData>
    <row r="1" spans="2:71" ht="10.5" customHeight="1" thickBot="1" x14ac:dyDescent="0.2"/>
    <row r="2" spans="2:71" ht="52.5" customHeight="1" x14ac:dyDescent="0.15">
      <c r="B2" s="12" t="s">
        <v>61</v>
      </c>
      <c r="C2" s="13" t="s">
        <v>104</v>
      </c>
      <c r="D2" s="13" t="s">
        <v>46</v>
      </c>
      <c r="E2" s="13" t="s">
        <v>47</v>
      </c>
      <c r="F2" s="13" t="s">
        <v>48</v>
      </c>
      <c r="G2" s="13" t="s">
        <v>60</v>
      </c>
      <c r="H2" s="14" t="s">
        <v>45</v>
      </c>
      <c r="I2" s="13" t="s">
        <v>49</v>
      </c>
      <c r="J2" s="13" t="s">
        <v>56</v>
      </c>
      <c r="K2" s="14" t="s">
        <v>55</v>
      </c>
      <c r="L2" s="13" t="s">
        <v>50</v>
      </c>
      <c r="M2" s="13" t="s">
        <v>52</v>
      </c>
      <c r="N2" s="13" t="s">
        <v>53</v>
      </c>
      <c r="O2" s="14" t="s">
        <v>54</v>
      </c>
      <c r="P2" s="13" t="s">
        <v>57</v>
      </c>
      <c r="Q2" s="13" t="s">
        <v>58</v>
      </c>
      <c r="R2" s="15" t="s">
        <v>59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 t="s">
        <v>44</v>
      </c>
    </row>
    <row r="3" spans="2:71" ht="15" x14ac:dyDescent="0.15">
      <c r="B3" s="19" t="s">
        <v>0</v>
      </c>
      <c r="C3" s="20">
        <v>1</v>
      </c>
      <c r="D3" s="27">
        <v>7.0000000000000007E-2</v>
      </c>
      <c r="E3" s="28">
        <v>0.4</v>
      </c>
      <c r="F3" s="28">
        <v>4</v>
      </c>
      <c r="G3" s="28">
        <v>7</v>
      </c>
      <c r="H3" s="28">
        <v>2</v>
      </c>
      <c r="I3" s="28">
        <v>7</v>
      </c>
      <c r="J3" s="28">
        <v>0.2</v>
      </c>
      <c r="K3" s="10">
        <v>0.13</v>
      </c>
      <c r="L3" s="9">
        <v>3</v>
      </c>
      <c r="M3" s="9"/>
      <c r="N3" s="9"/>
      <c r="O3" s="9" t="s">
        <v>62</v>
      </c>
      <c r="P3" s="9" t="s">
        <v>63</v>
      </c>
      <c r="Q3" s="9" t="s">
        <v>64</v>
      </c>
      <c r="R3" s="11" t="s">
        <v>65</v>
      </c>
      <c r="BS3" s="41">
        <v>5</v>
      </c>
    </row>
    <row r="4" spans="2:71" ht="15" x14ac:dyDescent="0.15">
      <c r="B4" s="21" t="s">
        <v>1</v>
      </c>
      <c r="C4" s="22">
        <v>1</v>
      </c>
      <c r="D4" s="29">
        <v>0.05</v>
      </c>
      <c r="E4" s="30">
        <v>0.5</v>
      </c>
      <c r="F4" s="30">
        <v>1</v>
      </c>
      <c r="G4" s="30">
        <v>8</v>
      </c>
      <c r="H4" s="30">
        <v>3</v>
      </c>
      <c r="I4" s="30">
        <v>8</v>
      </c>
      <c r="J4" s="30">
        <v>0.15</v>
      </c>
      <c r="K4" s="4">
        <v>0.13</v>
      </c>
      <c r="L4" s="3" t="s">
        <v>2</v>
      </c>
      <c r="M4" s="3"/>
      <c r="N4" s="3"/>
      <c r="O4" s="3" t="s">
        <v>62</v>
      </c>
      <c r="P4" s="3" t="s">
        <v>63</v>
      </c>
      <c r="Q4" s="3" t="s">
        <v>64</v>
      </c>
      <c r="R4" s="5" t="s">
        <v>66</v>
      </c>
      <c r="BS4" s="41">
        <v>1</v>
      </c>
    </row>
    <row r="5" spans="2:71" ht="15" x14ac:dyDescent="0.15">
      <c r="B5" s="21" t="s">
        <v>3</v>
      </c>
      <c r="C5" s="22">
        <v>1</v>
      </c>
      <c r="D5" s="29">
        <v>7.0000000000000007E-2</v>
      </c>
      <c r="E5" s="30">
        <v>0.5</v>
      </c>
      <c r="F5" s="30">
        <v>1</v>
      </c>
      <c r="G5" s="30">
        <v>12</v>
      </c>
      <c r="H5" s="30">
        <v>1</v>
      </c>
      <c r="I5" s="30">
        <v>12</v>
      </c>
      <c r="J5" s="30">
        <v>0.12</v>
      </c>
      <c r="K5" s="4">
        <v>0.13</v>
      </c>
      <c r="L5" s="3">
        <v>3</v>
      </c>
      <c r="M5" s="3"/>
      <c r="N5" s="3"/>
      <c r="O5" s="3" t="s">
        <v>62</v>
      </c>
      <c r="P5" s="3" t="s">
        <v>63</v>
      </c>
      <c r="Q5" s="3" t="s">
        <v>64</v>
      </c>
      <c r="R5" s="5" t="s">
        <v>65</v>
      </c>
      <c r="BS5" s="41">
        <v>5</v>
      </c>
    </row>
    <row r="6" spans="2:71" ht="15" x14ac:dyDescent="0.15">
      <c r="B6" s="21" t="s">
        <v>4</v>
      </c>
      <c r="C6" s="22">
        <v>1</v>
      </c>
      <c r="D6" s="29">
        <v>7.0000000000000007E-2</v>
      </c>
      <c r="E6" s="30">
        <v>0.8</v>
      </c>
      <c r="F6" s="30">
        <v>1</v>
      </c>
      <c r="G6" s="30">
        <v>25</v>
      </c>
      <c r="H6" s="30">
        <v>1</v>
      </c>
      <c r="I6" s="30">
        <v>25</v>
      </c>
      <c r="J6" s="30">
        <v>0.15</v>
      </c>
      <c r="K6" s="4">
        <v>0.17</v>
      </c>
      <c r="L6" s="3" t="s">
        <v>2</v>
      </c>
      <c r="M6" s="3"/>
      <c r="N6" s="3"/>
      <c r="O6" s="3" t="s">
        <v>62</v>
      </c>
      <c r="P6" s="3" t="s">
        <v>67</v>
      </c>
      <c r="Q6" s="3" t="s">
        <v>68</v>
      </c>
      <c r="R6" s="5" t="s">
        <v>66</v>
      </c>
      <c r="BS6" s="41">
        <v>5</v>
      </c>
    </row>
    <row r="7" spans="2:71" ht="15" x14ac:dyDescent="0.15">
      <c r="B7" s="21" t="s">
        <v>5</v>
      </c>
      <c r="C7" s="22">
        <v>1</v>
      </c>
      <c r="D7" s="29">
        <v>7.0000000000000007E-2</v>
      </c>
      <c r="E7" s="30">
        <v>0.9</v>
      </c>
      <c r="F7" s="30">
        <v>1</v>
      </c>
      <c r="G7" s="30">
        <v>6</v>
      </c>
      <c r="H7" s="30">
        <v>3</v>
      </c>
      <c r="I7" s="30">
        <v>6</v>
      </c>
      <c r="J7" s="30">
        <v>0.25</v>
      </c>
      <c r="K7" s="4">
        <v>0.13</v>
      </c>
      <c r="L7" s="3">
        <v>3</v>
      </c>
      <c r="M7" s="3"/>
      <c r="N7" s="3"/>
      <c r="O7" s="3" t="s">
        <v>62</v>
      </c>
      <c r="P7" s="3" t="s">
        <v>67</v>
      </c>
      <c r="Q7" s="3" t="s">
        <v>68</v>
      </c>
      <c r="R7" s="5" t="s">
        <v>65</v>
      </c>
      <c r="BS7" s="41">
        <v>5</v>
      </c>
    </row>
    <row r="8" spans="2:71" ht="15" x14ac:dyDescent="0.15">
      <c r="B8" s="21" t="s">
        <v>6</v>
      </c>
      <c r="C8" s="22">
        <v>1</v>
      </c>
      <c r="D8" s="29">
        <v>7.0000000000000007E-2</v>
      </c>
      <c r="E8" s="30">
        <v>0.9</v>
      </c>
      <c r="F8" s="30">
        <v>1</v>
      </c>
      <c r="G8" s="30">
        <v>6</v>
      </c>
      <c r="H8" s="30">
        <v>3</v>
      </c>
      <c r="I8" s="30">
        <v>6</v>
      </c>
      <c r="J8" s="30">
        <v>0.25</v>
      </c>
      <c r="K8" s="4">
        <v>0.13</v>
      </c>
      <c r="L8" s="143" t="s">
        <v>154</v>
      </c>
      <c r="M8" s="3"/>
      <c r="N8" s="3"/>
      <c r="O8" s="3" t="s">
        <v>62</v>
      </c>
      <c r="P8" s="3" t="s">
        <v>67</v>
      </c>
      <c r="Q8" s="3" t="s">
        <v>68</v>
      </c>
      <c r="R8" s="5" t="s">
        <v>69</v>
      </c>
      <c r="BS8" s="41">
        <v>8</v>
      </c>
    </row>
    <row r="9" spans="2:71" ht="15" x14ac:dyDescent="0.15">
      <c r="B9" s="21" t="s">
        <v>7</v>
      </c>
      <c r="C9" s="22">
        <v>1</v>
      </c>
      <c r="D9" s="29">
        <v>0.08</v>
      </c>
      <c r="E9" s="30">
        <v>3</v>
      </c>
      <c r="F9" s="30">
        <v>0.5</v>
      </c>
      <c r="G9" s="30">
        <v>40</v>
      </c>
      <c r="H9" s="30">
        <v>0</v>
      </c>
      <c r="I9" s="30">
        <v>30</v>
      </c>
      <c r="J9" s="31">
        <f>1.5/10000</f>
        <v>1.4999999999999999E-4</v>
      </c>
      <c r="K9" s="4">
        <v>0.13</v>
      </c>
      <c r="L9" s="143" t="s">
        <v>154</v>
      </c>
      <c r="M9" s="3" t="s">
        <v>51</v>
      </c>
      <c r="N9" s="3"/>
      <c r="O9" s="3" t="s">
        <v>70</v>
      </c>
      <c r="P9" s="3" t="s">
        <v>71</v>
      </c>
      <c r="Q9" s="3" t="s">
        <v>68</v>
      </c>
      <c r="R9" s="5" t="s">
        <v>72</v>
      </c>
      <c r="BS9" s="41">
        <v>5</v>
      </c>
    </row>
    <row r="10" spans="2:71" ht="15" x14ac:dyDescent="0.15">
      <c r="B10" s="21" t="s">
        <v>8</v>
      </c>
      <c r="C10" s="22">
        <v>1</v>
      </c>
      <c r="D10" s="29">
        <v>7.0000000000000007E-2</v>
      </c>
      <c r="E10" s="30">
        <v>1</v>
      </c>
      <c r="F10" s="30">
        <v>2</v>
      </c>
      <c r="G10" s="30">
        <v>25</v>
      </c>
      <c r="H10" s="30">
        <v>6</v>
      </c>
      <c r="I10" s="30">
        <v>25</v>
      </c>
      <c r="J10" s="110">
        <f>0.4</f>
        <v>0.4</v>
      </c>
      <c r="K10" s="4">
        <v>0.17</v>
      </c>
      <c r="L10" s="3">
        <v>3</v>
      </c>
      <c r="M10" s="3"/>
      <c r="N10" s="3"/>
      <c r="O10" s="3" t="s">
        <v>70</v>
      </c>
      <c r="P10" s="3" t="s">
        <v>67</v>
      </c>
      <c r="Q10" s="3" t="s">
        <v>64</v>
      </c>
      <c r="R10" s="5" t="s">
        <v>65</v>
      </c>
      <c r="BS10" s="41">
        <v>5</v>
      </c>
    </row>
    <row r="11" spans="2:71" ht="15" x14ac:dyDescent="0.15">
      <c r="B11" s="21" t="s">
        <v>9</v>
      </c>
      <c r="C11" s="22">
        <v>1</v>
      </c>
      <c r="D11" s="29">
        <v>7.0000000000000007E-2</v>
      </c>
      <c r="E11" s="30">
        <v>1</v>
      </c>
      <c r="F11" s="30">
        <v>2</v>
      </c>
      <c r="G11" s="30">
        <v>25</v>
      </c>
      <c r="H11" s="30">
        <v>6</v>
      </c>
      <c r="I11" s="30">
        <v>25</v>
      </c>
      <c r="J11" s="110">
        <f>0.4</f>
        <v>0.4</v>
      </c>
      <c r="K11" s="4">
        <v>0.17</v>
      </c>
      <c r="L11" s="3">
        <v>3</v>
      </c>
      <c r="M11" s="3"/>
      <c r="N11" s="3"/>
      <c r="O11" s="3" t="s">
        <v>70</v>
      </c>
      <c r="P11" s="3" t="s">
        <v>67</v>
      </c>
      <c r="Q11" s="3" t="s">
        <v>64</v>
      </c>
      <c r="R11" s="5" t="s">
        <v>65</v>
      </c>
      <c r="BS11" s="41">
        <v>5</v>
      </c>
    </row>
    <row r="12" spans="2:71" ht="15" x14ac:dyDescent="0.15">
      <c r="B12" s="21" t="s">
        <v>10</v>
      </c>
      <c r="C12" s="22">
        <v>1</v>
      </c>
      <c r="D12" s="29">
        <v>7.0000000000000007E-2</v>
      </c>
      <c r="E12" s="30">
        <v>1</v>
      </c>
      <c r="F12" s="30">
        <v>2</v>
      </c>
      <c r="G12" s="30">
        <v>25</v>
      </c>
      <c r="H12" s="30">
        <v>6</v>
      </c>
      <c r="I12" s="30">
        <v>25</v>
      </c>
      <c r="J12" s="31">
        <f>0.6/10000</f>
        <v>5.9999999999999995E-5</v>
      </c>
      <c r="K12" s="4">
        <v>0.17</v>
      </c>
      <c r="L12" s="3">
        <v>3</v>
      </c>
      <c r="M12" s="3"/>
      <c r="N12" s="3"/>
      <c r="O12" s="3" t="s">
        <v>70</v>
      </c>
      <c r="P12" s="3" t="s">
        <v>67</v>
      </c>
      <c r="Q12" s="3" t="s">
        <v>64</v>
      </c>
      <c r="R12" s="5" t="s">
        <v>65</v>
      </c>
      <c r="BS12" s="41">
        <v>5</v>
      </c>
    </row>
    <row r="13" spans="2:71" ht="15" x14ac:dyDescent="0.15">
      <c r="B13" s="21" t="s">
        <v>11</v>
      </c>
      <c r="C13" s="22">
        <v>0</v>
      </c>
      <c r="D13" s="29">
        <v>0.2</v>
      </c>
      <c r="E13" s="30">
        <v>3.5000000000000003E-2</v>
      </c>
      <c r="F13" s="30">
        <v>0.01</v>
      </c>
      <c r="G13" s="30">
        <v>0.6</v>
      </c>
      <c r="H13" s="30">
        <v>0.5</v>
      </c>
      <c r="I13" s="30">
        <v>0.6</v>
      </c>
      <c r="J13" s="31">
        <v>1E-4</v>
      </c>
      <c r="K13" s="4">
        <v>0.17</v>
      </c>
      <c r="L13" s="3" t="s">
        <v>2</v>
      </c>
      <c r="M13" s="3"/>
      <c r="N13" s="3"/>
      <c r="O13" s="3" t="s">
        <v>73</v>
      </c>
      <c r="P13" s="3" t="s">
        <v>67</v>
      </c>
      <c r="Q13" s="3" t="s">
        <v>64</v>
      </c>
      <c r="R13" s="5" t="s">
        <v>66</v>
      </c>
      <c r="BS13" s="41">
        <v>1</v>
      </c>
    </row>
    <row r="14" spans="2:71" ht="15" x14ac:dyDescent="0.15">
      <c r="B14" s="21" t="s">
        <v>12</v>
      </c>
      <c r="C14" s="22">
        <v>0</v>
      </c>
      <c r="D14" s="29">
        <v>0.2</v>
      </c>
      <c r="E14" s="30">
        <v>3.5000000000000003E-2</v>
      </c>
      <c r="F14" s="30">
        <v>0.01</v>
      </c>
      <c r="G14" s="30">
        <v>0.6</v>
      </c>
      <c r="H14" s="30">
        <v>0.5</v>
      </c>
      <c r="I14" s="30">
        <v>0.6</v>
      </c>
      <c r="J14" s="31">
        <v>1E-4</v>
      </c>
      <c r="K14" s="4">
        <v>0.17</v>
      </c>
      <c r="L14" s="3" t="s">
        <v>2</v>
      </c>
      <c r="M14" s="3"/>
      <c r="N14" s="3"/>
      <c r="O14" s="3" t="s">
        <v>73</v>
      </c>
      <c r="P14" s="3" t="s">
        <v>67</v>
      </c>
      <c r="Q14" s="3" t="s">
        <v>68</v>
      </c>
      <c r="R14" s="5" t="s">
        <v>66</v>
      </c>
      <c r="BS14" s="41">
        <v>1</v>
      </c>
    </row>
    <row r="15" spans="2:71" ht="15" x14ac:dyDescent="0.15">
      <c r="B15" s="21" t="s">
        <v>13</v>
      </c>
      <c r="C15" s="22">
        <v>1</v>
      </c>
      <c r="D15" s="29">
        <v>0.15</v>
      </c>
      <c r="E15" s="30">
        <v>1</v>
      </c>
      <c r="F15" s="30">
        <v>1</v>
      </c>
      <c r="G15" s="30">
        <v>13</v>
      </c>
      <c r="H15" s="30">
        <v>0</v>
      </c>
      <c r="I15" s="30">
        <v>13</v>
      </c>
      <c r="J15" s="31">
        <f>0.6/10000</f>
        <v>5.9999999999999995E-5</v>
      </c>
      <c r="K15" s="4">
        <v>0.17</v>
      </c>
      <c r="L15" s="3">
        <v>3</v>
      </c>
      <c r="M15" s="3"/>
      <c r="N15" s="3">
        <v>10</v>
      </c>
      <c r="O15" s="3" t="s">
        <v>74</v>
      </c>
      <c r="P15" s="3" t="s">
        <v>67</v>
      </c>
      <c r="Q15" s="3" t="s">
        <v>68</v>
      </c>
      <c r="R15" s="5" t="s">
        <v>65</v>
      </c>
      <c r="BS15" s="41">
        <v>1</v>
      </c>
    </row>
    <row r="16" spans="2:71" ht="15" x14ac:dyDescent="0.15">
      <c r="B16" s="21" t="s">
        <v>14</v>
      </c>
      <c r="C16" s="22">
        <v>1</v>
      </c>
      <c r="D16" s="29">
        <v>0.15</v>
      </c>
      <c r="E16" s="30">
        <v>1</v>
      </c>
      <c r="F16" s="30">
        <v>1</v>
      </c>
      <c r="G16" s="30">
        <v>12</v>
      </c>
      <c r="H16" s="30">
        <v>0</v>
      </c>
      <c r="I16" s="30">
        <v>12</v>
      </c>
      <c r="J16" s="31">
        <f>0.6/10000</f>
        <v>5.9999999999999995E-5</v>
      </c>
      <c r="K16" s="4">
        <v>0.17</v>
      </c>
      <c r="L16" s="143" t="s">
        <v>155</v>
      </c>
      <c r="M16" s="3"/>
      <c r="N16" s="3">
        <v>100</v>
      </c>
      <c r="O16" s="3" t="s">
        <v>75</v>
      </c>
      <c r="P16" s="3" t="s">
        <v>67</v>
      </c>
      <c r="Q16" s="3" t="s">
        <v>68</v>
      </c>
      <c r="R16" s="5" t="s">
        <v>69</v>
      </c>
      <c r="BS16" s="41">
        <v>1</v>
      </c>
    </row>
    <row r="17" spans="2:71" ht="15" x14ac:dyDescent="0.15">
      <c r="B17" s="23" t="s">
        <v>15</v>
      </c>
      <c r="C17" s="24">
        <v>1</v>
      </c>
      <c r="D17" s="32">
        <v>0.08</v>
      </c>
      <c r="E17" s="33">
        <v>0.5</v>
      </c>
      <c r="F17" s="33">
        <v>0.5</v>
      </c>
      <c r="G17" s="33">
        <v>12</v>
      </c>
      <c r="H17" s="33">
        <v>0</v>
      </c>
      <c r="I17" s="33">
        <v>12</v>
      </c>
      <c r="J17" s="34">
        <f>1.2/10000</f>
        <v>1.1999999999999999E-4</v>
      </c>
      <c r="K17" s="17">
        <v>0.17</v>
      </c>
      <c r="L17" s="16">
        <v>3</v>
      </c>
      <c r="M17" s="16"/>
      <c r="N17" s="16">
        <v>100</v>
      </c>
      <c r="O17" s="16" t="s">
        <v>74</v>
      </c>
      <c r="P17" s="16" t="s">
        <v>67</v>
      </c>
      <c r="Q17" s="16" t="s">
        <v>68</v>
      </c>
      <c r="R17" s="18" t="s">
        <v>65</v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1">
        <v>1</v>
      </c>
    </row>
    <row r="18" spans="2:71" ht="15" x14ac:dyDescent="0.15">
      <c r="B18" s="19" t="s">
        <v>16</v>
      </c>
      <c r="C18" s="20">
        <v>1</v>
      </c>
      <c r="D18" s="27">
        <v>0.08</v>
      </c>
      <c r="E18" s="28">
        <v>0.3</v>
      </c>
      <c r="F18" s="28">
        <v>2</v>
      </c>
      <c r="G18" s="28">
        <v>26</v>
      </c>
      <c r="H18" s="28">
        <v>0</v>
      </c>
      <c r="I18" s="28">
        <v>26</v>
      </c>
      <c r="J18" s="35">
        <f>0.05/1000</f>
        <v>5.0000000000000002E-5</v>
      </c>
      <c r="K18" s="10">
        <v>0.17</v>
      </c>
      <c r="L18" s="9"/>
      <c r="M18" s="9"/>
      <c r="N18" s="9">
        <v>5</v>
      </c>
      <c r="O18" s="9" t="s">
        <v>70</v>
      </c>
      <c r="P18" s="9" t="s">
        <v>76</v>
      </c>
      <c r="Q18" s="9" t="s">
        <v>77</v>
      </c>
      <c r="R18" s="11"/>
      <c r="BS18" s="41">
        <v>1</v>
      </c>
    </row>
    <row r="19" spans="2:71" ht="15" x14ac:dyDescent="0.15">
      <c r="B19" s="21" t="s">
        <v>17</v>
      </c>
      <c r="C19" s="22">
        <v>1</v>
      </c>
      <c r="D19" s="29">
        <v>0.08</v>
      </c>
      <c r="E19" s="30">
        <v>0.3</v>
      </c>
      <c r="F19" s="30">
        <v>2</v>
      </c>
      <c r="G19" s="30">
        <v>26</v>
      </c>
      <c r="H19" s="30">
        <v>0</v>
      </c>
      <c r="I19" s="30">
        <v>26</v>
      </c>
      <c r="J19" s="30">
        <v>3</v>
      </c>
      <c r="K19" s="4">
        <v>0.17</v>
      </c>
      <c r="L19" s="3"/>
      <c r="M19" s="3"/>
      <c r="N19" s="3">
        <v>5</v>
      </c>
      <c r="O19" s="3" t="s">
        <v>70</v>
      </c>
      <c r="P19" s="3" t="s">
        <v>76</v>
      </c>
      <c r="Q19" s="3" t="s">
        <v>78</v>
      </c>
      <c r="R19" s="5"/>
      <c r="BS19" s="41">
        <v>1</v>
      </c>
    </row>
    <row r="20" spans="2:71" ht="15" x14ac:dyDescent="0.15">
      <c r="B20" s="21" t="s">
        <v>18</v>
      </c>
      <c r="C20" s="22">
        <v>1</v>
      </c>
      <c r="D20" s="29">
        <v>0.08</v>
      </c>
      <c r="E20" s="30">
        <v>0.4</v>
      </c>
      <c r="F20" s="30">
        <v>2</v>
      </c>
      <c r="G20" s="30">
        <v>26</v>
      </c>
      <c r="H20" s="30">
        <v>0</v>
      </c>
      <c r="I20" s="30">
        <v>26</v>
      </c>
      <c r="J20" s="30">
        <v>3</v>
      </c>
      <c r="K20" s="4">
        <v>0.17</v>
      </c>
      <c r="L20" s="3"/>
      <c r="M20" s="3"/>
      <c r="N20" s="3">
        <v>5</v>
      </c>
      <c r="O20" s="3" t="s">
        <v>70</v>
      </c>
      <c r="P20" s="3" t="s">
        <v>79</v>
      </c>
      <c r="Q20" s="3" t="s">
        <v>77</v>
      </c>
      <c r="R20" s="5"/>
      <c r="BS20" s="41">
        <v>1</v>
      </c>
    </row>
    <row r="21" spans="2:71" ht="15" x14ac:dyDescent="0.15">
      <c r="B21" s="21" t="s">
        <v>19</v>
      </c>
      <c r="C21" s="22">
        <v>1</v>
      </c>
      <c r="D21" s="29">
        <v>0.08</v>
      </c>
      <c r="E21" s="30">
        <v>0.7</v>
      </c>
      <c r="F21" s="30">
        <v>2</v>
      </c>
      <c r="G21" s="30">
        <v>26</v>
      </c>
      <c r="H21" s="30">
        <v>0</v>
      </c>
      <c r="I21" s="30">
        <v>26</v>
      </c>
      <c r="J21" s="31">
        <f>0.04/1000</f>
        <v>4.0000000000000003E-5</v>
      </c>
      <c r="K21" s="4">
        <v>0.17</v>
      </c>
      <c r="L21" s="3"/>
      <c r="M21" s="3"/>
      <c r="N21" s="3">
        <v>5</v>
      </c>
      <c r="O21" s="3" t="s">
        <v>70</v>
      </c>
      <c r="P21" s="3" t="s">
        <v>79</v>
      </c>
      <c r="Q21" s="3" t="s">
        <v>77</v>
      </c>
      <c r="R21" s="5"/>
      <c r="BS21" s="41">
        <v>1</v>
      </c>
    </row>
    <row r="22" spans="2:71" ht="15" x14ac:dyDescent="0.15">
      <c r="B22" s="21" t="s">
        <v>20</v>
      </c>
      <c r="C22" s="22">
        <v>1</v>
      </c>
      <c r="D22" s="29">
        <v>0.08</v>
      </c>
      <c r="E22" s="30">
        <v>1.5</v>
      </c>
      <c r="F22" s="30">
        <v>2</v>
      </c>
      <c r="G22" s="30">
        <v>35</v>
      </c>
      <c r="H22" s="30">
        <v>0</v>
      </c>
      <c r="I22" s="30">
        <v>35</v>
      </c>
      <c r="J22" s="30">
        <v>3</v>
      </c>
      <c r="K22" s="4">
        <v>0.17</v>
      </c>
      <c r="L22" s="3"/>
      <c r="M22" s="3"/>
      <c r="N22" s="3">
        <v>2</v>
      </c>
      <c r="O22" s="3" t="s">
        <v>80</v>
      </c>
      <c r="P22" s="3" t="s">
        <v>79</v>
      </c>
      <c r="Q22" s="3" t="s">
        <v>78</v>
      </c>
      <c r="R22" s="5"/>
      <c r="BS22" s="41">
        <v>1</v>
      </c>
    </row>
    <row r="23" spans="2:71" ht="15" x14ac:dyDescent="0.15">
      <c r="B23" s="21" t="s">
        <v>21</v>
      </c>
      <c r="C23" s="22">
        <v>1</v>
      </c>
      <c r="D23" s="29">
        <v>0.08</v>
      </c>
      <c r="E23" s="30">
        <v>1.25</v>
      </c>
      <c r="F23" s="30">
        <v>2</v>
      </c>
      <c r="G23" s="30">
        <v>35</v>
      </c>
      <c r="H23" s="30">
        <v>0</v>
      </c>
      <c r="I23" s="30">
        <v>35</v>
      </c>
      <c r="J23" s="30">
        <v>6</v>
      </c>
      <c r="K23" s="4">
        <v>0.17</v>
      </c>
      <c r="L23" s="3"/>
      <c r="M23" s="3"/>
      <c r="N23" s="3">
        <v>6</v>
      </c>
      <c r="O23" s="3" t="s">
        <v>80</v>
      </c>
      <c r="P23" s="3" t="s">
        <v>79</v>
      </c>
      <c r="Q23" s="3" t="s">
        <v>77</v>
      </c>
      <c r="R23" s="5"/>
      <c r="BS23" s="41">
        <v>1</v>
      </c>
    </row>
    <row r="24" spans="2:71" ht="15" x14ac:dyDescent="0.15">
      <c r="B24" s="21" t="s">
        <v>22</v>
      </c>
      <c r="C24" s="22">
        <v>1</v>
      </c>
      <c r="D24" s="29">
        <v>0.08</v>
      </c>
      <c r="E24" s="30">
        <v>1.8E-3</v>
      </c>
      <c r="F24" s="30">
        <v>0.06</v>
      </c>
      <c r="G24" s="30">
        <v>2E-3</v>
      </c>
      <c r="H24" s="30">
        <v>0</v>
      </c>
      <c r="I24" s="30">
        <v>2E-3</v>
      </c>
      <c r="J24" s="30">
        <v>10</v>
      </c>
      <c r="K24" s="4">
        <v>0.17</v>
      </c>
      <c r="L24" s="3"/>
      <c r="M24" s="3"/>
      <c r="N24" s="3">
        <v>3</v>
      </c>
      <c r="O24" s="3" t="s">
        <v>81</v>
      </c>
      <c r="P24" s="3" t="s">
        <v>76</v>
      </c>
      <c r="Q24" s="3" t="s">
        <v>77</v>
      </c>
      <c r="R24" s="5"/>
      <c r="BS24" s="41">
        <v>10</v>
      </c>
    </row>
    <row r="25" spans="2:71" ht="15" x14ac:dyDescent="0.15">
      <c r="B25" s="21" t="s">
        <v>23</v>
      </c>
      <c r="C25" s="22">
        <v>1</v>
      </c>
      <c r="D25" s="29">
        <v>0.08</v>
      </c>
      <c r="E25" s="30">
        <v>1.0999999999999999E-2</v>
      </c>
      <c r="F25" s="30">
        <v>0.5</v>
      </c>
      <c r="G25" s="30">
        <v>0.09</v>
      </c>
      <c r="H25" s="30">
        <v>0</v>
      </c>
      <c r="I25" s="30">
        <v>0.09</v>
      </c>
      <c r="J25" s="31">
        <f>0.005/1000</f>
        <v>5.0000000000000004E-6</v>
      </c>
      <c r="K25" s="4">
        <v>0.17</v>
      </c>
      <c r="L25" s="3"/>
      <c r="M25" s="3"/>
      <c r="N25" s="3">
        <v>2</v>
      </c>
      <c r="O25" s="3" t="s">
        <v>82</v>
      </c>
      <c r="P25" s="3" t="s">
        <v>76</v>
      </c>
      <c r="Q25" s="3" t="s">
        <v>78</v>
      </c>
      <c r="R25" s="5"/>
      <c r="BS25" s="41">
        <v>1</v>
      </c>
    </row>
    <row r="26" spans="2:71" ht="15" x14ac:dyDescent="0.15">
      <c r="B26" s="21" t="s">
        <v>24</v>
      </c>
      <c r="C26" s="22">
        <v>1</v>
      </c>
      <c r="D26" s="29">
        <v>0.08</v>
      </c>
      <c r="E26" s="30">
        <v>0.15</v>
      </c>
      <c r="F26" s="30">
        <v>1</v>
      </c>
      <c r="G26" s="30">
        <v>18</v>
      </c>
      <c r="H26" s="30">
        <v>0</v>
      </c>
      <c r="I26" s="30">
        <v>18</v>
      </c>
      <c r="J26" s="31">
        <v>2.0000000000000001E-4</v>
      </c>
      <c r="K26" s="4">
        <v>0.17</v>
      </c>
      <c r="L26" s="3" t="s">
        <v>156</v>
      </c>
      <c r="M26" s="3"/>
      <c r="N26" s="3">
        <v>30</v>
      </c>
      <c r="O26" s="3" t="s">
        <v>62</v>
      </c>
      <c r="P26" s="3" t="s">
        <v>76</v>
      </c>
      <c r="Q26" s="3" t="s">
        <v>77</v>
      </c>
      <c r="R26" s="5" t="s">
        <v>83</v>
      </c>
      <c r="BS26" s="41">
        <v>1</v>
      </c>
    </row>
    <row r="27" spans="2:71" ht="15" x14ac:dyDescent="0.15">
      <c r="B27" s="21" t="s">
        <v>25</v>
      </c>
      <c r="C27" s="22">
        <v>1</v>
      </c>
      <c r="D27" s="29">
        <v>0.08</v>
      </c>
      <c r="E27" s="30">
        <v>0.15</v>
      </c>
      <c r="F27" s="30">
        <v>1</v>
      </c>
      <c r="G27" s="30">
        <v>18</v>
      </c>
      <c r="H27" s="30">
        <v>0</v>
      </c>
      <c r="I27" s="30">
        <v>18</v>
      </c>
      <c r="J27" s="31">
        <v>2.0000000000000001E-4</v>
      </c>
      <c r="K27" s="4">
        <v>0.17</v>
      </c>
      <c r="L27" s="3"/>
      <c r="M27" s="3"/>
      <c r="N27" s="3">
        <v>30</v>
      </c>
      <c r="O27" s="3" t="s">
        <v>62</v>
      </c>
      <c r="P27" s="3" t="s">
        <v>76</v>
      </c>
      <c r="Q27" s="3" t="s">
        <v>77</v>
      </c>
      <c r="R27" s="5" t="s">
        <v>84</v>
      </c>
      <c r="BS27" s="41">
        <v>1</v>
      </c>
    </row>
    <row r="28" spans="2:71" ht="15" x14ac:dyDescent="0.15">
      <c r="B28" s="21" t="s">
        <v>26</v>
      </c>
      <c r="C28" s="22">
        <v>0</v>
      </c>
      <c r="D28" s="29">
        <v>0.2</v>
      </c>
      <c r="E28" s="30">
        <v>0.15</v>
      </c>
      <c r="F28" s="30">
        <v>1</v>
      </c>
      <c r="G28" s="30">
        <v>18</v>
      </c>
      <c r="H28" s="30">
        <v>0</v>
      </c>
      <c r="I28" s="30">
        <v>18</v>
      </c>
      <c r="J28" s="31">
        <v>8.0000000000000007E-5</v>
      </c>
      <c r="K28" s="4">
        <v>0.17</v>
      </c>
      <c r="L28" s="3" t="s">
        <v>157</v>
      </c>
      <c r="M28" s="3"/>
      <c r="N28" s="3">
        <v>30</v>
      </c>
      <c r="O28" s="3" t="s">
        <v>62</v>
      </c>
      <c r="P28" s="3" t="s">
        <v>76</v>
      </c>
      <c r="Q28" s="3" t="s">
        <v>78</v>
      </c>
      <c r="R28" s="5" t="s">
        <v>83</v>
      </c>
      <c r="BS28" s="41">
        <v>1</v>
      </c>
    </row>
    <row r="29" spans="2:71" ht="15" x14ac:dyDescent="0.15">
      <c r="B29" s="21" t="s">
        <v>27</v>
      </c>
      <c r="C29" s="22">
        <v>1</v>
      </c>
      <c r="D29" s="29">
        <v>0.08</v>
      </c>
      <c r="E29" s="30">
        <v>1</v>
      </c>
      <c r="F29" s="30">
        <v>4</v>
      </c>
      <c r="G29" s="30">
        <v>25</v>
      </c>
      <c r="H29" s="30">
        <v>7</v>
      </c>
      <c r="I29" s="30">
        <v>25</v>
      </c>
      <c r="J29" s="31">
        <f>0.045/1000</f>
        <v>4.4999999999999996E-5</v>
      </c>
      <c r="K29" s="4">
        <v>0.13</v>
      </c>
      <c r="L29" s="3">
        <v>11</v>
      </c>
      <c r="M29" s="3"/>
      <c r="N29" s="3">
        <v>1</v>
      </c>
      <c r="O29" s="3" t="s">
        <v>62</v>
      </c>
      <c r="P29" s="3" t="s">
        <v>76</v>
      </c>
      <c r="Q29" s="3" t="s">
        <v>77</v>
      </c>
      <c r="R29" s="5" t="s">
        <v>85</v>
      </c>
      <c r="BS29" s="41">
        <v>1</v>
      </c>
    </row>
    <row r="30" spans="2:71" ht="15" x14ac:dyDescent="0.15">
      <c r="B30" s="21" t="s">
        <v>28</v>
      </c>
      <c r="C30" s="22">
        <v>1</v>
      </c>
      <c r="D30" s="29">
        <v>0.08</v>
      </c>
      <c r="E30" s="30">
        <v>1.5</v>
      </c>
      <c r="F30" s="30">
        <v>1</v>
      </c>
      <c r="G30" s="30">
        <v>40</v>
      </c>
      <c r="H30" s="30">
        <v>0</v>
      </c>
      <c r="I30" s="30">
        <v>0</v>
      </c>
      <c r="J30" s="31">
        <v>2.0000000000000001E-4</v>
      </c>
      <c r="K30" s="4">
        <v>0.17</v>
      </c>
      <c r="L30" s="3">
        <v>10</v>
      </c>
      <c r="M30" s="3"/>
      <c r="N30" s="3">
        <v>1</v>
      </c>
      <c r="O30" s="3" t="s">
        <v>62</v>
      </c>
      <c r="P30" s="3" t="s">
        <v>76</v>
      </c>
      <c r="Q30" s="3" t="s">
        <v>77</v>
      </c>
      <c r="R30" s="5" t="s">
        <v>86</v>
      </c>
      <c r="BS30" s="41">
        <v>1</v>
      </c>
    </row>
    <row r="31" spans="2:71" ht="15" x14ac:dyDescent="0.15">
      <c r="B31" s="23" t="s">
        <v>29</v>
      </c>
      <c r="C31" s="24">
        <v>0</v>
      </c>
      <c r="D31" s="32">
        <v>0.2</v>
      </c>
      <c r="E31" s="33">
        <v>1.4</v>
      </c>
      <c r="F31" s="33">
        <v>1</v>
      </c>
      <c r="G31" s="33">
        <v>0</v>
      </c>
      <c r="H31" s="33">
        <v>0</v>
      </c>
      <c r="I31" s="33">
        <v>0</v>
      </c>
      <c r="J31" s="34">
        <v>4.0000000000000003E-5</v>
      </c>
      <c r="K31" s="17">
        <v>0.17</v>
      </c>
      <c r="L31" s="16"/>
      <c r="M31" s="16"/>
      <c r="N31" s="16">
        <v>1</v>
      </c>
      <c r="O31" s="16" t="s">
        <v>87</v>
      </c>
      <c r="P31" s="16" t="s">
        <v>88</v>
      </c>
      <c r="Q31" s="16" t="s">
        <v>78</v>
      </c>
      <c r="R31" s="18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1">
        <v>1</v>
      </c>
    </row>
    <row r="32" spans="2:71" ht="15" x14ac:dyDescent="0.15">
      <c r="B32" s="19" t="s">
        <v>30</v>
      </c>
      <c r="C32" s="20">
        <v>1</v>
      </c>
      <c r="D32" s="27">
        <v>0.05</v>
      </c>
      <c r="E32" s="28">
        <v>0.5</v>
      </c>
      <c r="F32" s="28">
        <v>2</v>
      </c>
      <c r="G32" s="28">
        <v>24</v>
      </c>
      <c r="H32" s="28">
        <v>7</v>
      </c>
      <c r="I32" s="28">
        <v>0</v>
      </c>
      <c r="J32" s="28">
        <v>1.6</v>
      </c>
      <c r="K32" s="10">
        <v>0.17</v>
      </c>
      <c r="L32" s="9">
        <v>9</v>
      </c>
      <c r="M32" s="9"/>
      <c r="N32" s="9">
        <v>1</v>
      </c>
      <c r="O32" s="9" t="s">
        <v>70</v>
      </c>
      <c r="P32" s="9" t="s">
        <v>63</v>
      </c>
      <c r="Q32" s="9" t="s">
        <v>89</v>
      </c>
      <c r="R32" s="11" t="s">
        <v>90</v>
      </c>
      <c r="BS32" s="41">
        <v>1</v>
      </c>
    </row>
    <row r="33" spans="2:71" ht="15" x14ac:dyDescent="0.15">
      <c r="B33" s="21" t="s">
        <v>31</v>
      </c>
      <c r="C33" s="22">
        <v>1</v>
      </c>
      <c r="D33" s="29">
        <v>0.05</v>
      </c>
      <c r="E33" s="30">
        <v>1.5</v>
      </c>
      <c r="F33" s="30">
        <v>1</v>
      </c>
      <c r="G33" s="30">
        <v>5</v>
      </c>
      <c r="H33" s="30">
        <v>1</v>
      </c>
      <c r="I33" s="30">
        <v>0</v>
      </c>
      <c r="J33" s="30">
        <v>0.3</v>
      </c>
      <c r="K33" s="4">
        <v>0.17</v>
      </c>
      <c r="L33" s="3" t="s">
        <v>32</v>
      </c>
      <c r="M33" s="3"/>
      <c r="N33" s="3"/>
      <c r="O33" s="3" t="s">
        <v>62</v>
      </c>
      <c r="P33" s="3" t="s">
        <v>63</v>
      </c>
      <c r="Q33" s="3" t="s">
        <v>89</v>
      </c>
      <c r="R33" s="5" t="s">
        <v>91</v>
      </c>
      <c r="BS33" s="41">
        <v>1</v>
      </c>
    </row>
    <row r="34" spans="2:71" ht="15" x14ac:dyDescent="0.15">
      <c r="B34" s="21" t="s">
        <v>33</v>
      </c>
      <c r="C34" s="22">
        <v>1</v>
      </c>
      <c r="D34" s="29">
        <v>0.05</v>
      </c>
      <c r="E34" s="30">
        <v>0.25</v>
      </c>
      <c r="F34" s="30">
        <v>1</v>
      </c>
      <c r="G34" s="30">
        <v>0</v>
      </c>
      <c r="H34" s="30">
        <v>0</v>
      </c>
      <c r="I34" s="30">
        <v>0</v>
      </c>
      <c r="J34" s="30">
        <v>0.3</v>
      </c>
      <c r="K34" s="4">
        <v>0.17</v>
      </c>
      <c r="L34" s="3" t="s">
        <v>32</v>
      </c>
      <c r="M34" s="3"/>
      <c r="N34" s="3"/>
      <c r="O34" s="3" t="s">
        <v>92</v>
      </c>
      <c r="P34" s="3" t="s">
        <v>63</v>
      </c>
      <c r="Q34" s="3" t="s">
        <v>89</v>
      </c>
      <c r="R34" s="5" t="s">
        <v>91</v>
      </c>
      <c r="BS34" s="41">
        <v>1</v>
      </c>
    </row>
    <row r="35" spans="2:71" ht="15" x14ac:dyDescent="0.15">
      <c r="B35" s="21" t="s">
        <v>34</v>
      </c>
      <c r="C35" s="22">
        <v>1</v>
      </c>
      <c r="D35" s="29">
        <v>0.05</v>
      </c>
      <c r="E35" s="30">
        <v>0.05</v>
      </c>
      <c r="F35" s="30">
        <v>1</v>
      </c>
      <c r="G35" s="30">
        <v>0</v>
      </c>
      <c r="H35" s="30">
        <v>1.4</v>
      </c>
      <c r="I35" s="30">
        <v>0</v>
      </c>
      <c r="J35" s="30">
        <v>0.04</v>
      </c>
      <c r="K35" s="4">
        <v>0.17</v>
      </c>
      <c r="L35" s="3" t="s">
        <v>32</v>
      </c>
      <c r="M35" s="3"/>
      <c r="N35" s="3">
        <v>200</v>
      </c>
      <c r="O35" s="3" t="s">
        <v>74</v>
      </c>
      <c r="P35" s="3" t="s">
        <v>93</v>
      </c>
      <c r="Q35" s="3" t="s">
        <v>94</v>
      </c>
      <c r="R35" s="5" t="s">
        <v>95</v>
      </c>
      <c r="BS35" s="41">
        <v>1</v>
      </c>
    </row>
    <row r="36" spans="2:71" ht="15" x14ac:dyDescent="0.15">
      <c r="B36" s="21" t="s">
        <v>35</v>
      </c>
      <c r="C36" s="22">
        <v>1</v>
      </c>
      <c r="D36" s="29">
        <v>0.05</v>
      </c>
      <c r="E36" s="30">
        <v>0.45</v>
      </c>
      <c r="F36" s="30">
        <v>1</v>
      </c>
      <c r="G36" s="30">
        <v>0</v>
      </c>
      <c r="H36" s="30">
        <v>0</v>
      </c>
      <c r="I36" s="30">
        <v>0</v>
      </c>
      <c r="J36" s="30">
        <v>1</v>
      </c>
      <c r="K36" s="4">
        <v>0.17</v>
      </c>
      <c r="L36" s="3" t="s">
        <v>36</v>
      </c>
      <c r="M36" s="3"/>
      <c r="N36" s="3">
        <v>7</v>
      </c>
      <c r="O36" s="3" t="s">
        <v>70</v>
      </c>
      <c r="P36" s="3" t="s">
        <v>63</v>
      </c>
      <c r="Q36" s="3" t="s">
        <v>89</v>
      </c>
      <c r="R36" s="5" t="s">
        <v>96</v>
      </c>
      <c r="BS36" s="41">
        <v>1</v>
      </c>
    </row>
    <row r="37" spans="2:71" ht="15" x14ac:dyDescent="0.15">
      <c r="B37" s="21" t="s">
        <v>37</v>
      </c>
      <c r="C37" s="22">
        <v>0</v>
      </c>
      <c r="D37" s="29">
        <v>0.05</v>
      </c>
      <c r="E37" s="30">
        <v>0.45</v>
      </c>
      <c r="F37" s="30">
        <v>1</v>
      </c>
      <c r="G37" s="30">
        <v>0</v>
      </c>
      <c r="H37" s="30">
        <v>0</v>
      </c>
      <c r="I37" s="30">
        <v>0</v>
      </c>
      <c r="J37" s="30">
        <v>1</v>
      </c>
      <c r="K37" s="4">
        <v>0.17</v>
      </c>
      <c r="L37" s="3" t="s">
        <v>36</v>
      </c>
      <c r="M37" s="3"/>
      <c r="N37" s="3">
        <v>7</v>
      </c>
      <c r="O37" s="3" t="s">
        <v>70</v>
      </c>
      <c r="P37" s="3" t="s">
        <v>63</v>
      </c>
      <c r="Q37" s="3" t="s">
        <v>89</v>
      </c>
      <c r="R37" s="5" t="s">
        <v>96</v>
      </c>
      <c r="BS37" s="41">
        <v>1</v>
      </c>
    </row>
    <row r="38" spans="2:71" ht="15" x14ac:dyDescent="0.15">
      <c r="B38" s="21" t="s">
        <v>38</v>
      </c>
      <c r="C38" s="22">
        <v>1</v>
      </c>
      <c r="D38" s="29">
        <v>0.05</v>
      </c>
      <c r="E38" s="30">
        <v>0.45</v>
      </c>
      <c r="F38" s="30">
        <v>1</v>
      </c>
      <c r="G38" s="30">
        <v>10</v>
      </c>
      <c r="H38" s="30">
        <v>1.2</v>
      </c>
      <c r="I38" s="30">
        <v>10</v>
      </c>
      <c r="J38" s="30">
        <v>0.8</v>
      </c>
      <c r="K38" s="4">
        <v>0.17</v>
      </c>
      <c r="L38" s="3">
        <v>11</v>
      </c>
      <c r="M38" s="3"/>
      <c r="N38" s="3">
        <v>1</v>
      </c>
      <c r="O38" s="3" t="s">
        <v>62</v>
      </c>
      <c r="P38" s="3" t="s">
        <v>63</v>
      </c>
      <c r="Q38" s="3" t="s">
        <v>89</v>
      </c>
      <c r="R38" s="5" t="s">
        <v>97</v>
      </c>
      <c r="BS38" s="41">
        <v>1</v>
      </c>
    </row>
    <row r="39" spans="2:71" ht="15" x14ac:dyDescent="0.15">
      <c r="B39" s="21" t="s">
        <v>39</v>
      </c>
      <c r="C39" s="22">
        <v>1</v>
      </c>
      <c r="D39" s="29">
        <v>0.05</v>
      </c>
      <c r="E39" s="30">
        <v>0.6</v>
      </c>
      <c r="F39" s="30">
        <v>4</v>
      </c>
      <c r="G39" s="30">
        <v>20</v>
      </c>
      <c r="H39" s="30">
        <v>25</v>
      </c>
      <c r="I39" s="30">
        <v>20</v>
      </c>
      <c r="J39" s="30">
        <v>2.4</v>
      </c>
      <c r="K39" s="4">
        <v>0.13</v>
      </c>
      <c r="L39" s="3" t="s">
        <v>149</v>
      </c>
      <c r="M39" s="3"/>
      <c r="N39" s="3">
        <v>8</v>
      </c>
      <c r="O39" s="3" t="s">
        <v>70</v>
      </c>
      <c r="P39" s="3" t="s">
        <v>63</v>
      </c>
      <c r="Q39" s="3" t="s">
        <v>89</v>
      </c>
      <c r="R39" s="5" t="s">
        <v>98</v>
      </c>
      <c r="BS39" s="41">
        <v>1</v>
      </c>
    </row>
    <row r="40" spans="2:71" ht="15" x14ac:dyDescent="0.15">
      <c r="B40" s="21" t="s">
        <v>40</v>
      </c>
      <c r="C40" s="22">
        <v>1</v>
      </c>
      <c r="D40" s="29">
        <v>0.05</v>
      </c>
      <c r="E40" s="30">
        <v>0.9</v>
      </c>
      <c r="F40" s="30">
        <v>1</v>
      </c>
      <c r="G40" s="30">
        <v>30</v>
      </c>
      <c r="H40" s="30">
        <v>0</v>
      </c>
      <c r="I40" s="30">
        <v>0</v>
      </c>
      <c r="J40" s="30">
        <v>0.8</v>
      </c>
      <c r="K40" s="4">
        <v>0.13</v>
      </c>
      <c r="L40" s="3" t="s">
        <v>150</v>
      </c>
      <c r="M40" s="3"/>
      <c r="N40" s="3">
        <v>1</v>
      </c>
      <c r="O40" s="3" t="s">
        <v>62</v>
      </c>
      <c r="P40" s="3" t="s">
        <v>67</v>
      </c>
      <c r="Q40" s="3" t="s">
        <v>99</v>
      </c>
      <c r="R40" s="5" t="s">
        <v>100</v>
      </c>
      <c r="BS40" s="41">
        <v>11</v>
      </c>
    </row>
    <row r="41" spans="2:71" ht="15" x14ac:dyDescent="0.15">
      <c r="B41" s="21" t="s">
        <v>41</v>
      </c>
      <c r="C41" s="22">
        <v>0</v>
      </c>
      <c r="D41" s="29">
        <v>0.05</v>
      </c>
      <c r="E41" s="30">
        <v>0.5</v>
      </c>
      <c r="F41" s="30">
        <v>1</v>
      </c>
      <c r="G41" s="30">
        <v>25</v>
      </c>
      <c r="H41" s="30">
        <v>0</v>
      </c>
      <c r="I41" s="30">
        <v>0</v>
      </c>
      <c r="J41" s="30">
        <v>0.8</v>
      </c>
      <c r="K41" s="4">
        <v>0.13</v>
      </c>
      <c r="L41" s="3" t="s">
        <v>151</v>
      </c>
      <c r="M41" s="3"/>
      <c r="N41" s="3"/>
      <c r="O41" s="3" t="s">
        <v>62</v>
      </c>
      <c r="P41" s="3" t="s">
        <v>67</v>
      </c>
      <c r="Q41" s="3" t="s">
        <v>99</v>
      </c>
      <c r="R41" s="5" t="s">
        <v>101</v>
      </c>
      <c r="BS41" s="41">
        <v>11</v>
      </c>
    </row>
    <row r="42" spans="2:71" ht="15" x14ac:dyDescent="0.15">
      <c r="B42" s="21" t="s">
        <v>42</v>
      </c>
      <c r="C42" s="22">
        <v>0</v>
      </c>
      <c r="D42" s="29">
        <v>0.05</v>
      </c>
      <c r="E42" s="30">
        <v>0.5</v>
      </c>
      <c r="F42" s="30">
        <v>1</v>
      </c>
      <c r="G42" s="30">
        <v>25</v>
      </c>
      <c r="H42" s="30">
        <v>0</v>
      </c>
      <c r="I42" s="30">
        <v>0</v>
      </c>
      <c r="J42" s="30">
        <v>0.6</v>
      </c>
      <c r="K42" s="4">
        <v>0.13</v>
      </c>
      <c r="L42" s="3" t="s">
        <v>2</v>
      </c>
      <c r="M42" s="3"/>
      <c r="N42" s="3"/>
      <c r="O42" s="3" t="s">
        <v>62</v>
      </c>
      <c r="P42" s="3" t="s">
        <v>67</v>
      </c>
      <c r="Q42" s="3" t="s">
        <v>99</v>
      </c>
      <c r="R42" s="5" t="s">
        <v>102</v>
      </c>
      <c r="BS42" s="41">
        <v>1</v>
      </c>
    </row>
    <row r="43" spans="2:71" ht="15.75" thickBot="1" x14ac:dyDescent="0.2">
      <c r="B43" s="25" t="s">
        <v>43</v>
      </c>
      <c r="C43" s="26">
        <v>0</v>
      </c>
      <c r="D43" s="36">
        <v>0.05</v>
      </c>
      <c r="E43" s="37">
        <v>0.5</v>
      </c>
      <c r="F43" s="37">
        <v>1</v>
      </c>
      <c r="G43" s="37">
        <v>9</v>
      </c>
      <c r="H43" s="37">
        <v>0</v>
      </c>
      <c r="I43" s="37">
        <v>9</v>
      </c>
      <c r="J43" s="37">
        <v>0.4</v>
      </c>
      <c r="K43" s="7">
        <v>0.13</v>
      </c>
      <c r="L43" s="6">
        <v>9</v>
      </c>
      <c r="M43" s="6"/>
      <c r="N43" s="6"/>
      <c r="O43" s="6" t="s">
        <v>92</v>
      </c>
      <c r="P43" s="6" t="s">
        <v>67</v>
      </c>
      <c r="Q43" s="6" t="s">
        <v>99</v>
      </c>
      <c r="R43" s="8" t="s">
        <v>103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1">
        <v>1</v>
      </c>
    </row>
    <row r="45" spans="2:71" x14ac:dyDescent="0.15">
      <c r="B45" s="54" t="s">
        <v>117</v>
      </c>
      <c r="C45" s="55"/>
      <c r="D45" s="56"/>
    </row>
    <row r="46" spans="2:71" ht="15" x14ac:dyDescent="0.15">
      <c r="B46" s="57"/>
      <c r="C46" s="58"/>
      <c r="D46" s="59"/>
    </row>
    <row r="47" spans="2:71" x14ac:dyDescent="0.15">
      <c r="B47" s="60" t="s">
        <v>118</v>
      </c>
      <c r="C47" s="61">
        <v>0.03</v>
      </c>
      <c r="D47" s="59"/>
    </row>
    <row r="48" spans="2:71" x14ac:dyDescent="0.15">
      <c r="B48" s="60"/>
      <c r="C48" s="62"/>
      <c r="D48" s="59"/>
    </row>
    <row r="49" spans="2:4" ht="42" customHeight="1" x14ac:dyDescent="0.15">
      <c r="B49" s="66" t="s">
        <v>119</v>
      </c>
      <c r="C49" s="62">
        <v>1.5</v>
      </c>
      <c r="D49" s="59"/>
    </row>
    <row r="50" spans="2:4" x14ac:dyDescent="0.15">
      <c r="B50" s="60"/>
      <c r="C50" s="62"/>
      <c r="D50" s="59"/>
    </row>
    <row r="51" spans="2:4" x14ac:dyDescent="0.15">
      <c r="B51" s="60"/>
      <c r="C51" s="62"/>
      <c r="D51" s="62"/>
    </row>
    <row r="52" spans="2:4" ht="28.5" x14ac:dyDescent="0.15">
      <c r="B52" s="66" t="s">
        <v>122</v>
      </c>
      <c r="C52" s="62">
        <f>0.5/10000</f>
        <v>5.0000000000000002E-5</v>
      </c>
      <c r="D52" s="59"/>
    </row>
    <row r="53" spans="2:4" x14ac:dyDescent="0.15">
      <c r="B53" s="60"/>
      <c r="C53" s="62"/>
      <c r="D53" s="59"/>
    </row>
    <row r="54" spans="2:4" x14ac:dyDescent="0.15">
      <c r="B54" s="60"/>
      <c r="C54" s="62"/>
      <c r="D54" s="59"/>
    </row>
    <row r="55" spans="2:4" x14ac:dyDescent="0.15">
      <c r="B55" s="60"/>
      <c r="C55" s="62"/>
      <c r="D55" s="59"/>
    </row>
    <row r="56" spans="2:4" x14ac:dyDescent="0.15">
      <c r="B56" s="60"/>
      <c r="C56" s="62"/>
      <c r="D56" s="59"/>
    </row>
    <row r="57" spans="2:4" x14ac:dyDescent="0.15">
      <c r="B57" s="60"/>
      <c r="C57" s="62"/>
      <c r="D57" s="59"/>
    </row>
    <row r="58" spans="2:4" x14ac:dyDescent="0.15">
      <c r="B58" s="60"/>
      <c r="C58" s="62"/>
      <c r="D58" s="59"/>
    </row>
    <row r="59" spans="2:4" x14ac:dyDescent="0.15">
      <c r="B59" s="60"/>
      <c r="C59" s="62"/>
      <c r="D59" s="59"/>
    </row>
    <row r="60" spans="2:4" x14ac:dyDescent="0.15">
      <c r="B60" s="60"/>
      <c r="C60" s="62"/>
      <c r="D60" s="59"/>
    </row>
    <row r="61" spans="2:4" x14ac:dyDescent="0.15">
      <c r="B61" s="60"/>
      <c r="C61" s="62"/>
      <c r="D61" s="59"/>
    </row>
    <row r="62" spans="2:4" x14ac:dyDescent="0.15">
      <c r="B62" s="60"/>
      <c r="C62" s="62"/>
      <c r="D62" s="59"/>
    </row>
    <row r="63" spans="2:4" x14ac:dyDescent="0.15">
      <c r="B63" s="60"/>
      <c r="C63" s="62"/>
      <c r="D63" s="59"/>
    </row>
    <row r="64" spans="2:4" x14ac:dyDescent="0.15">
      <c r="B64" s="60"/>
      <c r="C64" s="62"/>
      <c r="D64" s="59"/>
    </row>
    <row r="65" spans="2:4" x14ac:dyDescent="0.15">
      <c r="B65" s="60"/>
      <c r="C65" s="62"/>
      <c r="D65" s="59"/>
    </row>
    <row r="66" spans="2:4" x14ac:dyDescent="0.15">
      <c r="B66" s="60"/>
      <c r="C66" s="62"/>
      <c r="D66" s="59"/>
    </row>
    <row r="67" spans="2:4" x14ac:dyDescent="0.15">
      <c r="B67" s="60"/>
      <c r="C67" s="62"/>
      <c r="D67" s="59"/>
    </row>
    <row r="68" spans="2:4" x14ac:dyDescent="0.15">
      <c r="B68" s="60"/>
      <c r="C68" s="62"/>
      <c r="D68" s="59"/>
    </row>
    <row r="69" spans="2:4" x14ac:dyDescent="0.15">
      <c r="B69" s="60"/>
      <c r="C69" s="62"/>
      <c r="D69" s="59"/>
    </row>
    <row r="70" spans="2:4" x14ac:dyDescent="0.15">
      <c r="B70" s="60"/>
      <c r="C70" s="62"/>
      <c r="D70" s="59"/>
    </row>
    <row r="71" spans="2:4" x14ac:dyDescent="0.15">
      <c r="B71" s="60"/>
      <c r="C71" s="62"/>
      <c r="D71" s="59"/>
    </row>
    <row r="72" spans="2:4" x14ac:dyDescent="0.15">
      <c r="B72" s="60"/>
      <c r="C72" s="62"/>
      <c r="D72" s="59"/>
    </row>
    <row r="73" spans="2:4" x14ac:dyDescent="0.15">
      <c r="B73" s="60"/>
      <c r="C73" s="62"/>
      <c r="D73" s="59"/>
    </row>
    <row r="74" spans="2:4" x14ac:dyDescent="0.15">
      <c r="B74" s="60"/>
      <c r="C74" s="62"/>
      <c r="D74" s="59"/>
    </row>
    <row r="75" spans="2:4" x14ac:dyDescent="0.15">
      <c r="B75" s="60"/>
      <c r="C75" s="62"/>
      <c r="D75" s="59"/>
    </row>
    <row r="76" spans="2:4" x14ac:dyDescent="0.15">
      <c r="B76" s="60"/>
      <c r="C76" s="62"/>
      <c r="D76" s="59"/>
    </row>
    <row r="77" spans="2:4" x14ac:dyDescent="0.15">
      <c r="B77" s="60"/>
      <c r="C77" s="62"/>
      <c r="D77" s="59"/>
    </row>
    <row r="78" spans="2:4" x14ac:dyDescent="0.15">
      <c r="B78" s="60"/>
      <c r="C78" s="62"/>
      <c r="D78" s="59"/>
    </row>
    <row r="79" spans="2:4" x14ac:dyDescent="0.15">
      <c r="B79" s="60"/>
      <c r="C79" s="62"/>
      <c r="D79" s="59"/>
    </row>
    <row r="80" spans="2:4" x14ac:dyDescent="0.15">
      <c r="B80" s="60"/>
      <c r="C80" s="62"/>
      <c r="D80" s="59"/>
    </row>
    <row r="81" spans="2:4" x14ac:dyDescent="0.15">
      <c r="B81" s="60"/>
      <c r="C81" s="62"/>
      <c r="D81" s="59"/>
    </row>
    <row r="82" spans="2:4" x14ac:dyDescent="0.15">
      <c r="B82" s="60"/>
      <c r="C82" s="62"/>
      <c r="D82" s="59"/>
    </row>
    <row r="83" spans="2:4" x14ac:dyDescent="0.15">
      <c r="B83" s="60"/>
      <c r="C83" s="62"/>
      <c r="D83" s="59"/>
    </row>
    <row r="84" spans="2:4" x14ac:dyDescent="0.15">
      <c r="B84" s="60"/>
      <c r="C84" s="62"/>
      <c r="D84" s="59"/>
    </row>
    <row r="85" spans="2:4" x14ac:dyDescent="0.15">
      <c r="B85" s="60"/>
      <c r="C85" s="62"/>
      <c r="D85" s="59"/>
    </row>
    <row r="86" spans="2:4" x14ac:dyDescent="0.15">
      <c r="B86" s="60"/>
      <c r="C86" s="62"/>
      <c r="D86" s="59"/>
    </row>
    <row r="87" spans="2:4" x14ac:dyDescent="0.15">
      <c r="B87" s="60"/>
      <c r="C87" s="62"/>
      <c r="D87" s="59"/>
    </row>
    <row r="88" spans="2:4" x14ac:dyDescent="0.15">
      <c r="B88" s="60"/>
      <c r="C88" s="62"/>
      <c r="D88" s="59"/>
    </row>
    <row r="89" spans="2:4" x14ac:dyDescent="0.15">
      <c r="B89" s="60"/>
      <c r="C89" s="62"/>
      <c r="D89" s="59"/>
    </row>
    <row r="90" spans="2:4" x14ac:dyDescent="0.15">
      <c r="B90" s="60"/>
      <c r="C90" s="62"/>
      <c r="D90" s="59"/>
    </row>
    <row r="91" spans="2:4" x14ac:dyDescent="0.15">
      <c r="B91" s="60"/>
      <c r="C91" s="62"/>
      <c r="D91" s="59"/>
    </row>
    <row r="92" spans="2:4" x14ac:dyDescent="0.15">
      <c r="B92" s="60"/>
      <c r="C92" s="62"/>
      <c r="D92" s="59"/>
    </row>
    <row r="93" spans="2:4" x14ac:dyDescent="0.15">
      <c r="B93" s="60"/>
      <c r="C93" s="62"/>
      <c r="D93" s="59"/>
    </row>
    <row r="94" spans="2:4" x14ac:dyDescent="0.15">
      <c r="B94" s="60"/>
      <c r="C94" s="62"/>
      <c r="D94" s="59"/>
    </row>
    <row r="95" spans="2:4" x14ac:dyDescent="0.15">
      <c r="B95" s="60"/>
      <c r="C95" s="62"/>
      <c r="D95" s="59"/>
    </row>
    <row r="96" spans="2:4" x14ac:dyDescent="0.15">
      <c r="B96" s="60"/>
      <c r="C96" s="62"/>
      <c r="D96" s="59"/>
    </row>
    <row r="97" spans="2:4" x14ac:dyDescent="0.15">
      <c r="B97" s="60"/>
      <c r="C97" s="62"/>
      <c r="D97" s="59"/>
    </row>
    <row r="98" spans="2:4" x14ac:dyDescent="0.15">
      <c r="B98" s="60"/>
      <c r="C98" s="62"/>
      <c r="D98" s="59"/>
    </row>
    <row r="99" spans="2:4" x14ac:dyDescent="0.15">
      <c r="B99" s="60"/>
      <c r="C99" s="62"/>
      <c r="D99" s="59"/>
    </row>
    <row r="100" spans="2:4" x14ac:dyDescent="0.15">
      <c r="B100" s="60"/>
      <c r="C100" s="62"/>
      <c r="D100" s="59"/>
    </row>
    <row r="101" spans="2:4" x14ac:dyDescent="0.15">
      <c r="B101" s="60"/>
      <c r="C101" s="62"/>
      <c r="D101" s="59"/>
    </row>
    <row r="102" spans="2:4" x14ac:dyDescent="0.15">
      <c r="B102" s="60"/>
      <c r="C102" s="62"/>
      <c r="D102" s="59"/>
    </row>
    <row r="103" spans="2:4" x14ac:dyDescent="0.15">
      <c r="B103" s="60"/>
      <c r="C103" s="62"/>
      <c r="D103" s="59"/>
    </row>
    <row r="104" spans="2:4" x14ac:dyDescent="0.15">
      <c r="B104" s="60"/>
      <c r="C104" s="62"/>
      <c r="D104" s="59"/>
    </row>
    <row r="105" spans="2:4" x14ac:dyDescent="0.15">
      <c r="B105" s="60"/>
      <c r="C105" s="62"/>
      <c r="D105" s="59"/>
    </row>
    <row r="106" spans="2:4" x14ac:dyDescent="0.15">
      <c r="B106" s="60"/>
      <c r="C106" s="62"/>
      <c r="D106" s="59"/>
    </row>
    <row r="107" spans="2:4" x14ac:dyDescent="0.15">
      <c r="B107" s="63"/>
      <c r="C107" s="64"/>
      <c r="D107" s="6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6"/>
  <sheetViews>
    <sheetView topLeftCell="A25" workbookViewId="0">
      <selection activeCell="E44" sqref="E44"/>
    </sheetView>
  </sheetViews>
  <sheetFormatPr defaultRowHeight="15.75" outlineLevelCol="1" x14ac:dyDescent="0.15"/>
  <cols>
    <col min="1" max="1" width="9" style="38"/>
    <col min="2" max="2" width="7.75" style="39" customWidth="1"/>
    <col min="3" max="3" width="9.75" style="39" customWidth="1"/>
    <col min="4" max="4" width="11.25" style="43" customWidth="1"/>
    <col min="5" max="5" width="12.75" style="39" customWidth="1"/>
    <col min="6" max="6" width="9.25" style="39" customWidth="1"/>
    <col min="7" max="7" width="10.375" style="39" customWidth="1"/>
    <col min="8" max="8" width="12.25" style="39" hidden="1" customWidth="1" outlineLevel="1"/>
    <col min="9" max="9" width="6.25" style="39" hidden="1" customWidth="1" outlineLevel="1"/>
    <col min="10" max="10" width="10.375" style="39" hidden="1" customWidth="1" outlineLevel="1"/>
    <col min="11" max="11" width="11.375" style="39" customWidth="1" collapsed="1"/>
    <col min="12" max="12" width="11.5" style="39" customWidth="1"/>
    <col min="13" max="13" width="12.25" style="39" customWidth="1"/>
    <col min="14" max="15" width="12.625" style="39" customWidth="1"/>
    <col min="16" max="16" width="11.75" style="39" customWidth="1"/>
    <col min="17" max="17" width="12.375" style="51" customWidth="1"/>
    <col min="18" max="18" width="12.75" style="51" customWidth="1"/>
    <col min="19" max="19" width="20.625" style="51" customWidth="1"/>
    <col min="20" max="20" width="10.375" style="51" customWidth="1"/>
    <col min="21" max="21" width="11.625" style="51" customWidth="1"/>
    <col min="22" max="22" width="11.625" style="40" customWidth="1"/>
    <col min="23" max="26" width="9" style="38"/>
    <col min="27" max="27" width="9.625" style="77" customWidth="1"/>
    <col min="28" max="28" width="8.125" style="38" customWidth="1"/>
    <col min="29" max="16384" width="9" style="38"/>
  </cols>
  <sheetData>
    <row r="1" spans="1:77" ht="10.5" customHeight="1" thickBot="1" x14ac:dyDescent="0.2">
      <c r="Q1" s="39"/>
      <c r="R1" s="39"/>
      <c r="S1" s="39"/>
      <c r="T1" s="39"/>
      <c r="U1" s="39"/>
      <c r="AA1" s="77" t="s">
        <v>129</v>
      </c>
    </row>
    <row r="2" spans="1:77" ht="52.5" customHeight="1" x14ac:dyDescent="0.15">
      <c r="B2" s="1" t="s">
        <v>160</v>
      </c>
      <c r="C2" s="47" t="str">
        <f>Information!C2</f>
        <v>High 
Fluidity</v>
      </c>
      <c r="D2" s="47" t="s">
        <v>105</v>
      </c>
      <c r="E2" s="47" t="s">
        <v>106</v>
      </c>
      <c r="F2" s="47" t="s">
        <v>110</v>
      </c>
      <c r="G2" s="47" t="s">
        <v>109</v>
      </c>
      <c r="H2" s="47" t="s">
        <v>60</v>
      </c>
      <c r="I2" s="48" t="s">
        <v>45</v>
      </c>
      <c r="J2" s="47" t="s">
        <v>49</v>
      </c>
      <c r="K2" s="47" t="s">
        <v>108</v>
      </c>
      <c r="L2" s="47" t="s">
        <v>111</v>
      </c>
      <c r="M2" s="47" t="s">
        <v>112</v>
      </c>
      <c r="N2" s="47" t="s">
        <v>113</v>
      </c>
      <c r="O2" s="47" t="s">
        <v>120</v>
      </c>
      <c r="P2" s="47" t="s">
        <v>114</v>
      </c>
      <c r="Q2" s="48" t="s">
        <v>115</v>
      </c>
      <c r="R2" s="47" t="s">
        <v>116</v>
      </c>
      <c r="S2" s="2" t="s">
        <v>121</v>
      </c>
      <c r="T2" s="2" t="s">
        <v>124</v>
      </c>
      <c r="U2" s="2" t="s">
        <v>126</v>
      </c>
      <c r="V2" s="76" t="s">
        <v>128</v>
      </c>
      <c r="W2" s="42"/>
      <c r="X2" s="42"/>
      <c r="Y2" s="42"/>
      <c r="Z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 t="s">
        <v>44</v>
      </c>
    </row>
    <row r="3" spans="1:77" x14ac:dyDescent="0.15">
      <c r="B3" s="67" t="str">
        <f>Information!B3</f>
        <v>A</v>
      </c>
      <c r="C3" s="46">
        <f>Information!C3</f>
        <v>1</v>
      </c>
      <c r="D3" s="49">
        <v>1801</v>
      </c>
      <c r="E3" s="49">
        <v>1805</v>
      </c>
      <c r="F3" s="46">
        <f>IF((E3-D3)&gt;12,(E3-D3-100+12)*30,(E3-D3)*30)</f>
        <v>120</v>
      </c>
      <c r="G3" s="46">
        <f>IFERROR(fetching!C2,0)</f>
        <v>3914</v>
      </c>
      <c r="H3" s="46">
        <f>IFERROR(fetching!D2,"")</f>
        <v>0</v>
      </c>
      <c r="I3" s="46" t="str">
        <f>IFERROR(fetching!E2,"")</f>
        <v>A1805.DCE</v>
      </c>
      <c r="J3" s="46">
        <f>IFERROR(fetching!F2,"")</f>
        <v>3932</v>
      </c>
      <c r="K3" s="46">
        <f>IFERROR(fetching!F2,"")</f>
        <v>3932</v>
      </c>
      <c r="L3" s="46">
        <f>F3*Information!E3</f>
        <v>48</v>
      </c>
      <c r="M3" s="46">
        <f>IF(Information!J3&lt;0.001,(Calcu!G3+Calcu!K3)*Information!J3,Information!J3*2)</f>
        <v>0.4</v>
      </c>
      <c r="N3" s="46">
        <f>Information!F3*2</f>
        <v>8</v>
      </c>
      <c r="O3" s="46">
        <f>IFERROR((G3+K3*Information!D3)*rf*Calcu!F3/360,0)</f>
        <v>41.892399999999995</v>
      </c>
      <c r="P3" s="50">
        <f>MAX(Q3*Information!K3/(1+Information!K3),0)</f>
        <v>2.0707964601769913</v>
      </c>
      <c r="Q3" s="50">
        <f>IF(C3=1,IF(G3*K3=0,0,K3-G3),0)</f>
        <v>18</v>
      </c>
      <c r="R3" s="50">
        <f>SUM(L3:P3)</f>
        <v>100.36319646017698</v>
      </c>
      <c r="S3" s="52" t="str">
        <f>IF(Q3&lt;=0,"inverse",IF(Q3&lt;R3,"carry","full carry"))</f>
        <v>carry</v>
      </c>
      <c r="T3" s="53">
        <f>IF(Q3&gt;R3,(Q3-R3)/(G3+K3*Information!D3)*(360/Calcu!F3),0)</f>
        <v>0</v>
      </c>
      <c r="U3" s="53">
        <f>IF(Q3&gt;R3,(Q3-R3)/(G3)*(360/Calcu!F3),0)</f>
        <v>0</v>
      </c>
      <c r="V3" s="68">
        <f>IF(Q3&gt;R3,(Q3-R3-G3*0.8*mf*F3)/(G3-G3*0.8+K3*Information!D3)*(360/Calcu!F3),0)</f>
        <v>0</v>
      </c>
      <c r="AA3" s="77" t="str">
        <f>IF($T3&lt;=0,"",RANK(T3,T$3:T$43)+COUNTIF(T$3:T3,T3)-1)</f>
        <v/>
      </c>
      <c r="BY3" s="41">
        <v>5</v>
      </c>
    </row>
    <row r="4" spans="1:77" x14ac:dyDescent="0.15">
      <c r="A4" s="158">
        <f>Q4-R4</f>
        <v>-152.87099999999998</v>
      </c>
      <c r="B4" s="67" t="str">
        <f>Information!B4</f>
        <v>M</v>
      </c>
      <c r="C4" s="46">
        <f>Information!C4</f>
        <v>1</v>
      </c>
      <c r="D4" s="49">
        <v>1801</v>
      </c>
      <c r="E4" s="49">
        <v>1805</v>
      </c>
      <c r="F4" s="46">
        <f t="shared" ref="F4:F43" si="0">IF((E4-D4)&gt;12,(E4-D4-100+12)*30,(E4-D4)*30)</f>
        <v>120</v>
      </c>
      <c r="G4" s="46">
        <f>IFERROR(fetching!C3,0)</f>
        <v>2724</v>
      </c>
      <c r="H4" s="46">
        <f>IFERROR(fetching!D3,"")</f>
        <v>0</v>
      </c>
      <c r="I4" s="46" t="str">
        <f>IFERROR(fetching!E3,"")</f>
        <v>M1805.DCE</v>
      </c>
      <c r="J4" s="46">
        <f>IFERROR(fetching!F3,"")</f>
        <v>2662</v>
      </c>
      <c r="K4" s="46">
        <f>IFERROR(fetching!F3,"")</f>
        <v>2662</v>
      </c>
      <c r="L4" s="46">
        <f>F4*Information!E4</f>
        <v>60</v>
      </c>
      <c r="M4" s="157">
        <f>IF(Information!J4&lt;0.001,(Calcu!G4+Calcu!K4)*Information!J4,Information!J4*2)</f>
        <v>0.3</v>
      </c>
      <c r="N4" s="46">
        <f>Information!F4*2</f>
        <v>2</v>
      </c>
      <c r="O4" s="46">
        <f>IFERROR((G4+K4*Information!D4)*rf*Calcu!F4/360,0)</f>
        <v>28.570999999999998</v>
      </c>
      <c r="P4" s="50">
        <f>MAX(Q4*Information!K4/(1+Information!K4),0)</f>
        <v>0</v>
      </c>
      <c r="Q4" s="50">
        <f t="shared" ref="Q4:Q43" si="1">IF(C4=1,IF(G4*K4=0,0,K4-G4),0)</f>
        <v>-62</v>
      </c>
      <c r="R4" s="50">
        <f t="shared" ref="R4:R43" si="2">SUM(L4:P4)</f>
        <v>90.870999999999995</v>
      </c>
      <c r="S4" s="52" t="str">
        <f t="shared" ref="S4:S43" si="3">IF(Q4&lt;=0,"inverse",IF(Q4&lt;R4,"carry","full carry"))</f>
        <v>inverse</v>
      </c>
      <c r="T4" s="53">
        <f>IF(Q4&gt;R4,(Q4-R4)/(G4+K4*Information!D4)*(360/Calcu!F4),0)</f>
        <v>0</v>
      </c>
      <c r="U4" s="53">
        <f>IF(Q4&gt;R4,(Q4-R4)/(G4)*(360/Calcu!F4),0)</f>
        <v>0</v>
      </c>
      <c r="V4" s="68">
        <f>IF(Q4&gt;R4,(Q4-R4-G4*0.8*mf*F4)/(G4-G4*0.8+K4*Information!D4)*(360/Calcu!F4),0)</f>
        <v>0</v>
      </c>
      <c r="AA4" s="77" t="str">
        <f>IF($T4&lt;=0,"",RANK(T4,T$3:T$43)+COUNTIF(T$3:T4,T4)-1)</f>
        <v/>
      </c>
      <c r="BY4" s="41"/>
    </row>
    <row r="5" spans="1:77" x14ac:dyDescent="0.15">
      <c r="B5" s="67" t="str">
        <f>Information!B5</f>
        <v>C</v>
      </c>
      <c r="C5" s="46">
        <f>Information!C5</f>
        <v>1</v>
      </c>
      <c r="D5" s="49">
        <v>1801</v>
      </c>
      <c r="E5" s="49">
        <v>1805</v>
      </c>
      <c r="F5" s="46">
        <f t="shared" si="0"/>
        <v>120</v>
      </c>
      <c r="G5" s="46">
        <f>IFERROR(fetching!C4,0)</f>
        <v>1703</v>
      </c>
      <c r="H5" s="46">
        <f>IFERROR(fetching!D4,"")</f>
        <v>0</v>
      </c>
      <c r="I5" s="46" t="str">
        <f>IFERROR(fetching!E4,"")</f>
        <v>C1805.DCE</v>
      </c>
      <c r="J5" s="46">
        <f>IFERROR(fetching!F4,"")</f>
        <v>1747</v>
      </c>
      <c r="K5" s="46">
        <f>IFERROR(fetching!F4,"")</f>
        <v>1747</v>
      </c>
      <c r="L5" s="46">
        <f>F5*Information!E5</f>
        <v>60</v>
      </c>
      <c r="M5" s="46">
        <f>IF(Information!J5&lt;0.001,(Calcu!G5+Calcu!K5)*Information!J5,Information!J5*2)</f>
        <v>0.24</v>
      </c>
      <c r="N5" s="46">
        <f>Information!F5*2</f>
        <v>2</v>
      </c>
      <c r="O5" s="46">
        <f>IFERROR((G5+K5*Information!D5)*rf*Calcu!F5/360,0)</f>
        <v>18.2529</v>
      </c>
      <c r="P5" s="50">
        <f>MAX(Q5*Information!K5/(1+Information!K5),0)</f>
        <v>5.061946902654868</v>
      </c>
      <c r="Q5" s="50">
        <f t="shared" si="1"/>
        <v>44</v>
      </c>
      <c r="R5" s="50">
        <f t="shared" si="2"/>
        <v>85.554846902654873</v>
      </c>
      <c r="S5" s="52" t="str">
        <f t="shared" si="3"/>
        <v>carry</v>
      </c>
      <c r="T5" s="53">
        <f>IF(Q5&gt;R5,(Q5-R5)/(G5+K5*Information!D5)*(360/Calcu!F5),0)</f>
        <v>0</v>
      </c>
      <c r="U5" s="53">
        <f>IF(Q5&gt;R5,(Q5-R5)/(G5)*(360/Calcu!F5),0)</f>
        <v>0</v>
      </c>
      <c r="V5" s="68">
        <f>IF(Q5&gt;R5,(Q5-R5-G5*0.8*mf*F5)/(G5-G5*0.8+K5*Information!D5)*(360/Calcu!F5),0)</f>
        <v>0</v>
      </c>
      <c r="AA5" s="77" t="str">
        <f>IF($T5&lt;=0,"",RANK(T5,T$3:T$43)+COUNTIF(T$3:T5,T5)-1)</f>
        <v/>
      </c>
      <c r="BY5" s="41">
        <v>1</v>
      </c>
    </row>
    <row r="6" spans="1:77" x14ac:dyDescent="0.15">
      <c r="B6" s="67" t="str">
        <f>Information!B6</f>
        <v>CS</v>
      </c>
      <c r="C6" s="46">
        <f>Information!C6</f>
        <v>1</v>
      </c>
      <c r="D6" s="49">
        <v>1801</v>
      </c>
      <c r="E6" s="49">
        <v>1805</v>
      </c>
      <c r="F6" s="46">
        <f t="shared" si="0"/>
        <v>120</v>
      </c>
      <c r="G6" s="46">
        <f>IFERROR(fetching!C5,0)</f>
        <v>1999</v>
      </c>
      <c r="H6" s="46">
        <f>IFERROR(fetching!D5,"")</f>
        <v>0</v>
      </c>
      <c r="I6" s="46" t="str">
        <f>IFERROR(fetching!E5,"")</f>
        <v>CS1805.DCE</v>
      </c>
      <c r="J6" s="46">
        <f>IFERROR(fetching!F5,"")</f>
        <v>2027</v>
      </c>
      <c r="K6" s="46">
        <f>IFERROR(fetching!F5,"")</f>
        <v>2027</v>
      </c>
      <c r="L6" s="46">
        <f>F6*Information!E6</f>
        <v>96</v>
      </c>
      <c r="M6" s="46">
        <f>IF(Information!J6&lt;0.001,(Calcu!G6+Calcu!K6)*Information!J6,Information!J6*2)</f>
        <v>0.3</v>
      </c>
      <c r="N6" s="46">
        <f>Information!F6*2</f>
        <v>2</v>
      </c>
      <c r="O6" s="46">
        <f>IFERROR((G6+K6*Information!D6)*rf*Calcu!F6/360,0)</f>
        <v>21.408899999999999</v>
      </c>
      <c r="P6" s="50">
        <f>MAX(Q6*Information!K6/(1+Information!K6),0)</f>
        <v>4.068376068376069</v>
      </c>
      <c r="Q6" s="50">
        <f t="shared" si="1"/>
        <v>28</v>
      </c>
      <c r="R6" s="50">
        <f t="shared" si="2"/>
        <v>123.77727606837607</v>
      </c>
      <c r="S6" s="52" t="str">
        <f t="shared" si="3"/>
        <v>carry</v>
      </c>
      <c r="T6" s="53">
        <f>IF(Q6&gt;R6,(Q6-R6)/(G6+K6*Information!D6)*(360/Calcu!F6),0)</f>
        <v>0</v>
      </c>
      <c r="U6" s="53">
        <f>IF(Q6&gt;R6,(Q6-R6)/(G6)*(360/Calcu!F6),0)</f>
        <v>0</v>
      </c>
      <c r="V6" s="68">
        <f>IF(Q6&gt;R6,(Q6-R6-G6*0.8*mf*F6)/(G6-G6*0.8+K6*Information!D6)*(360/Calcu!F6),0)</f>
        <v>0</v>
      </c>
      <c r="AA6" s="77" t="str">
        <f>IF($T6&lt;=0,"",RANK(T6,T$3:T$43)+COUNTIF(T$3:T6,T6)-1)</f>
        <v/>
      </c>
      <c r="BY6" s="41">
        <v>5</v>
      </c>
    </row>
    <row r="7" spans="1:77" x14ac:dyDescent="0.15">
      <c r="B7" s="67" t="str">
        <f>Information!B7</f>
        <v>Y</v>
      </c>
      <c r="C7" s="46">
        <f>Information!C7</f>
        <v>1</v>
      </c>
      <c r="D7" s="49">
        <v>1801</v>
      </c>
      <c r="E7" s="49">
        <v>1805</v>
      </c>
      <c r="F7" s="46">
        <f t="shared" si="0"/>
        <v>120</v>
      </c>
      <c r="G7" s="46">
        <f>IFERROR(fetching!C6,0)</f>
        <v>6318</v>
      </c>
      <c r="H7" s="46">
        <f>IFERROR(fetching!D6,"")</f>
        <v>0</v>
      </c>
      <c r="I7" s="46" t="str">
        <f>IFERROR(fetching!E6,"")</f>
        <v>Y1805.DCE</v>
      </c>
      <c r="J7" s="46">
        <f>IFERROR(fetching!F6,"")</f>
        <v>6386</v>
      </c>
      <c r="K7" s="46">
        <f>IFERROR(fetching!F6,"")</f>
        <v>6386</v>
      </c>
      <c r="L7" s="46">
        <f>F7*Information!E7</f>
        <v>108</v>
      </c>
      <c r="M7" s="46">
        <f>IF(Information!J7&lt;0.001,(Calcu!G7+Calcu!K7)*Information!J7,Information!J7*2)</f>
        <v>0.5</v>
      </c>
      <c r="N7" s="46">
        <f>Information!F7*2</f>
        <v>2</v>
      </c>
      <c r="O7" s="46">
        <f>IFERROR((G7+K7*Information!D7)*rf*Calcu!F7/360,0)</f>
        <v>67.650199999999998</v>
      </c>
      <c r="P7" s="50">
        <f>MAX(Q7*Information!K7/(1+Information!K7),0)</f>
        <v>7.8230088495575227</v>
      </c>
      <c r="Q7" s="50">
        <f t="shared" si="1"/>
        <v>68</v>
      </c>
      <c r="R7" s="50">
        <f t="shared" si="2"/>
        <v>185.97320884955749</v>
      </c>
      <c r="S7" s="52" t="str">
        <f t="shared" si="3"/>
        <v>carry</v>
      </c>
      <c r="T7" s="53">
        <f>IF(Q7&gt;R7,(Q7-R7)/(G7+K7*Information!D7)*(360/Calcu!F7),0)</f>
        <v>0</v>
      </c>
      <c r="U7" s="53">
        <f>IF(Q7&gt;R7,(Q7-R7)/(G7)*(360/Calcu!F7),0)</f>
        <v>0</v>
      </c>
      <c r="V7" s="68">
        <f>IF(Q7&gt;R7,(Q7-R7-G7*0.8*mf*F7)/(G7-G7*0.8+K7*Information!D7)*(360/Calcu!F7),0)</f>
        <v>0</v>
      </c>
      <c r="AA7" s="77" t="str">
        <f>IF($T7&lt;=0,"",RANK(T7,T$3:T$43)+COUNTIF(T$3:T7,T7)-1)</f>
        <v/>
      </c>
      <c r="BY7" s="41"/>
    </row>
    <row r="8" spans="1:77" x14ac:dyDescent="0.15">
      <c r="B8" s="67" t="str">
        <f>Information!B8</f>
        <v>P</v>
      </c>
      <c r="C8" s="46">
        <f>Information!C8</f>
        <v>1</v>
      </c>
      <c r="D8" s="49">
        <v>1801</v>
      </c>
      <c r="E8" s="49">
        <v>1805</v>
      </c>
      <c r="F8" s="46">
        <f t="shared" si="0"/>
        <v>120</v>
      </c>
      <c r="G8" s="46">
        <f>IFERROR(fetching!C7,0)</f>
        <v>5488</v>
      </c>
      <c r="H8" s="46">
        <f>IFERROR(fetching!D7,"")</f>
        <v>0</v>
      </c>
      <c r="I8" s="46" t="str">
        <f>IFERROR(fetching!E7,"")</f>
        <v>P1805.DCE</v>
      </c>
      <c r="J8" s="46">
        <f>IFERROR(fetching!F7,"")</f>
        <v>5570</v>
      </c>
      <c r="K8" s="46">
        <f>IFERROR(fetching!F7,"")</f>
        <v>5570</v>
      </c>
      <c r="L8" s="46">
        <f>F8*Information!E8</f>
        <v>108</v>
      </c>
      <c r="M8" s="46">
        <f>IF(Information!J8&lt;0.001,(Calcu!G8+Calcu!K8)*Information!J8,Information!J8*2)</f>
        <v>0.5</v>
      </c>
      <c r="N8" s="46">
        <f>Information!F8*2</f>
        <v>2</v>
      </c>
      <c r="O8" s="46">
        <f>IFERROR((G8+K8*Information!D8)*rf*Calcu!F8/360,0)</f>
        <v>58.778999999999996</v>
      </c>
      <c r="P8" s="50">
        <f>MAX(Q8*Information!K8/(1+Information!K8),0)</f>
        <v>9.4336283185840717</v>
      </c>
      <c r="Q8" s="50">
        <f t="shared" si="1"/>
        <v>82</v>
      </c>
      <c r="R8" s="50">
        <f t="shared" si="2"/>
        <v>178.71262831858408</v>
      </c>
      <c r="S8" s="52" t="str">
        <f t="shared" si="3"/>
        <v>carry</v>
      </c>
      <c r="T8" s="53">
        <f>IF(Q8&gt;R8,(Q8-R8)/(G8+K8*Information!D8)*(360/Calcu!F8),0)</f>
        <v>0</v>
      </c>
      <c r="U8" s="53">
        <f>IF(Q8&gt;R8,(Q8-R8)/(G8)*(360/Calcu!F8),0)</f>
        <v>0</v>
      </c>
      <c r="V8" s="68">
        <f>IF(Q8&gt;R8,(Q8-R8-G8*0.8*mf*F8)/(G8-G8*0.8+K8*Information!D8)*(360/Calcu!F8),0)</f>
        <v>0</v>
      </c>
      <c r="AA8" s="77" t="str">
        <f>IF($T8&lt;=0,"",RANK(T8,T$3:T$43)+COUNTIF(T$3:T8,T8)-1)</f>
        <v/>
      </c>
      <c r="BY8" s="41"/>
    </row>
    <row r="9" spans="1:77" x14ac:dyDescent="0.15">
      <c r="B9" s="67" t="str">
        <f>Information!B9</f>
        <v>JD</v>
      </c>
      <c r="C9" s="46">
        <f>Information!C9</f>
        <v>1</v>
      </c>
      <c r="D9" s="49">
        <v>1801</v>
      </c>
      <c r="E9" s="49">
        <v>1805</v>
      </c>
      <c r="F9" s="46">
        <f t="shared" si="0"/>
        <v>120</v>
      </c>
      <c r="G9" s="46">
        <f>IFERROR(fetching!C8,0)</f>
        <v>4335</v>
      </c>
      <c r="H9" s="46">
        <f>IFERROR(fetching!D8,"")</f>
        <v>0</v>
      </c>
      <c r="I9" s="46" t="str">
        <f>IFERROR(fetching!E8,"")</f>
        <v>JD1805.DCE</v>
      </c>
      <c r="J9" s="46">
        <f>IFERROR(fetching!F8,"")</f>
        <v>3871</v>
      </c>
      <c r="K9" s="46">
        <f>IFERROR(fetching!F8,"")</f>
        <v>3871</v>
      </c>
      <c r="L9" s="46">
        <f>F9*Information!E9</f>
        <v>360</v>
      </c>
      <c r="M9" s="46">
        <f>IF(Information!J9&lt;0.001,(Calcu!G9+Calcu!K9)*Information!J9,Information!J9*2)</f>
        <v>1.2308999999999999</v>
      </c>
      <c r="N9" s="46">
        <f>Information!F9*2</f>
        <v>1</v>
      </c>
      <c r="O9" s="46">
        <f>IFERROR((G9+K9*Information!D9)*rf*Calcu!F9/360,0)</f>
        <v>46.446800000000003</v>
      </c>
      <c r="P9" s="50">
        <f>MAX(Q9*Information!K9/(1+Information!K9),0)</f>
        <v>0</v>
      </c>
      <c r="Q9" s="50">
        <f t="shared" si="1"/>
        <v>-464</v>
      </c>
      <c r="R9" s="50">
        <f t="shared" si="2"/>
        <v>408.67770000000002</v>
      </c>
      <c r="S9" s="52" t="str">
        <f t="shared" si="3"/>
        <v>inverse</v>
      </c>
      <c r="T9" s="53">
        <f>IF(Q9&gt;R9,(Q9-R9)/(G9+K9*Information!D9)*(360/Calcu!F9),0)</f>
        <v>0</v>
      </c>
      <c r="U9" s="53">
        <f>IF(Q9&gt;R9,(Q9-R9)/(G9)*(360/Calcu!F9),0)</f>
        <v>0</v>
      </c>
      <c r="V9" s="68">
        <f>IF(Q9&gt;R9,(Q9-R9-G9*0.8*mf*F9)/(G9-G9*0.8+K9*Information!D9)*(360/Calcu!F9),0)</f>
        <v>0</v>
      </c>
      <c r="AA9" s="77" t="str">
        <f>IF($T9&lt;=0,"",RANK(T9,T$3:T$43)+COUNTIF(T$3:T9,T9)-1)</f>
        <v/>
      </c>
      <c r="BY9" s="41">
        <v>5</v>
      </c>
    </row>
    <row r="10" spans="1:77" x14ac:dyDescent="0.15">
      <c r="B10" s="67" t="str">
        <f>Information!B10</f>
        <v>L</v>
      </c>
      <c r="C10" s="46">
        <f>Information!C10</f>
        <v>1</v>
      </c>
      <c r="D10" s="49">
        <v>1801</v>
      </c>
      <c r="E10" s="49">
        <v>1805</v>
      </c>
      <c r="F10" s="46">
        <f t="shared" si="0"/>
        <v>120</v>
      </c>
      <c r="G10" s="46">
        <f>IFERROR(fetching!C9,0)</f>
        <v>10065</v>
      </c>
      <c r="H10" s="46">
        <f>IFERROR(fetching!D9,"")</f>
        <v>0</v>
      </c>
      <c r="I10" s="46" t="str">
        <f>IFERROR(fetching!E9,"")</f>
        <v>L1805.DCE</v>
      </c>
      <c r="J10" s="46">
        <f>IFERROR(fetching!F9,"")</f>
        <v>10130</v>
      </c>
      <c r="K10" s="46">
        <f>IFERROR(fetching!F9,"")</f>
        <v>10130</v>
      </c>
      <c r="L10" s="46">
        <f>F10*Information!E10</f>
        <v>120</v>
      </c>
      <c r="M10" s="46">
        <f>IF(Information!J10&lt;0.001,(Calcu!G10+Calcu!K10)*Information!J10,Information!J10*2)</f>
        <v>0.8</v>
      </c>
      <c r="N10" s="46">
        <f>Information!F10*2</f>
        <v>4</v>
      </c>
      <c r="O10" s="46">
        <f>IFERROR((G10+K10*Information!D10)*rf*Calcu!F10/360,0)</f>
        <v>107.741</v>
      </c>
      <c r="P10" s="50">
        <f>MAX(Q10*Information!K10/(1+Information!K10),0)</f>
        <v>9.4444444444444464</v>
      </c>
      <c r="Q10" s="50">
        <f t="shared" si="1"/>
        <v>65</v>
      </c>
      <c r="R10" s="50">
        <f t="shared" si="2"/>
        <v>241.98544444444445</v>
      </c>
      <c r="S10" s="52" t="str">
        <f t="shared" si="3"/>
        <v>carry</v>
      </c>
      <c r="T10" s="53">
        <f>IF(Q10&gt;R10,(Q10-R10)/(G10+K10*Information!D10)*(360/Calcu!F10),0)</f>
        <v>0</v>
      </c>
      <c r="U10" s="53">
        <f>IF(Q10&gt;R10,(Q10-R10)/(G10)*(360/Calcu!F10),0)</f>
        <v>0</v>
      </c>
      <c r="V10" s="68">
        <f>IF(Q10&gt;R10,(Q10-R10-G10*0.8*mf*F10)/(G10-G10*0.8+K10*Information!D10)*(360/Calcu!F10),0)</f>
        <v>0</v>
      </c>
      <c r="AA10" s="77" t="str">
        <f>IF($T10&lt;=0,"",RANK(T10,T$3:T$43)+COUNTIF(T$3:T10,T10)-1)</f>
        <v/>
      </c>
      <c r="BY10" s="41">
        <v>5</v>
      </c>
    </row>
    <row r="11" spans="1:77" x14ac:dyDescent="0.15">
      <c r="B11" s="67" t="str">
        <f>Information!B11</f>
        <v>V</v>
      </c>
      <c r="C11" s="46">
        <f>Information!C11</f>
        <v>1</v>
      </c>
      <c r="D11" s="49">
        <v>1801</v>
      </c>
      <c r="E11" s="49">
        <v>1805</v>
      </c>
      <c r="F11" s="46">
        <f t="shared" si="0"/>
        <v>120</v>
      </c>
      <c r="G11" s="46">
        <f>IFERROR(fetching!C10,0)</f>
        <v>7510</v>
      </c>
      <c r="H11" s="46">
        <f>IFERROR(fetching!D10,"")</f>
        <v>0</v>
      </c>
      <c r="I11" s="46" t="str">
        <f>IFERROR(fetching!E10,"")</f>
        <v>V1805.DCE</v>
      </c>
      <c r="J11" s="46">
        <f>IFERROR(fetching!F10,"")</f>
        <v>7335</v>
      </c>
      <c r="K11" s="46">
        <f>IFERROR(fetching!F10,"")</f>
        <v>7335</v>
      </c>
      <c r="L11" s="46">
        <f>F11*Information!E11</f>
        <v>120</v>
      </c>
      <c r="M11" s="46">
        <f>IF(Information!J11&lt;0.001,(Calcu!G11+Calcu!K11)*Information!J11,Information!J11*2)</f>
        <v>0.8</v>
      </c>
      <c r="N11" s="46">
        <f>Information!F11*2</f>
        <v>4</v>
      </c>
      <c r="O11" s="46">
        <f>IFERROR((G11+K11*Information!D11)*rf*Calcu!F11/360,0)</f>
        <v>80.234499999999997</v>
      </c>
      <c r="P11" s="50">
        <f>MAX(Q11*Information!K11/(1+Information!K11),0)</f>
        <v>0</v>
      </c>
      <c r="Q11" s="50">
        <f t="shared" si="1"/>
        <v>-175</v>
      </c>
      <c r="R11" s="50">
        <f t="shared" si="2"/>
        <v>205.03449999999998</v>
      </c>
      <c r="S11" s="52" t="str">
        <f t="shared" si="3"/>
        <v>inverse</v>
      </c>
      <c r="T11" s="53">
        <f>IF(Q11&gt;R11,(Q11-R11)/(G11+K11*Information!D11)*(360/Calcu!F11),0)</f>
        <v>0</v>
      </c>
      <c r="U11" s="53">
        <f>IF(Q11&gt;R11,(Q11-R11)/(G11)*(360/Calcu!F11),0)</f>
        <v>0</v>
      </c>
      <c r="V11" s="68">
        <f>IF(Q11&gt;R11,(Q11-R11-G11*0.8*mf*F11)/(G11-G11*0.8+K11*Information!D11)*(360/Calcu!F11),0)</f>
        <v>0</v>
      </c>
      <c r="AA11" s="77" t="str">
        <f>IF($T11&lt;=0,"",RANK(T11,T$3:T$43)+COUNTIF(T$3:T11,T11)-1)</f>
        <v/>
      </c>
      <c r="BY11" s="41">
        <v>8</v>
      </c>
    </row>
    <row r="12" spans="1:77" x14ac:dyDescent="0.15">
      <c r="B12" s="67" t="str">
        <f>Information!B12</f>
        <v>PP</v>
      </c>
      <c r="C12" s="46">
        <f>Information!C12</f>
        <v>1</v>
      </c>
      <c r="D12" s="49">
        <v>1801</v>
      </c>
      <c r="E12" s="49">
        <v>1805</v>
      </c>
      <c r="F12" s="46">
        <f t="shared" si="0"/>
        <v>120</v>
      </c>
      <c r="G12" s="46">
        <f>IFERROR(fetching!C11,0)</f>
        <v>9287</v>
      </c>
      <c r="H12" s="46">
        <f>IFERROR(fetching!D11,"")</f>
        <v>0</v>
      </c>
      <c r="I12" s="46" t="str">
        <f>IFERROR(fetching!E11,"")</f>
        <v>PP1805.DCE</v>
      </c>
      <c r="J12" s="46">
        <f>IFERROR(fetching!F11,"")</f>
        <v>9321</v>
      </c>
      <c r="K12" s="46">
        <f>IFERROR(fetching!F11,"")</f>
        <v>9321</v>
      </c>
      <c r="L12" s="46">
        <f>F12*Information!E12</f>
        <v>120</v>
      </c>
      <c r="M12" s="46">
        <f>IF(Information!J12&lt;0.001,(Calcu!G12+Calcu!K12)*Information!J12,Information!J12*2)</f>
        <v>1.1164799999999999</v>
      </c>
      <c r="N12" s="46">
        <f>Information!F12*2</f>
        <v>4</v>
      </c>
      <c r="O12" s="46">
        <f>IFERROR((G12+K12*Information!D12)*rf*Calcu!F12/360,0)</f>
        <v>99.394699999999972</v>
      </c>
      <c r="P12" s="50">
        <f>MAX(Q12*Information!K12/(1+Information!K12),0)</f>
        <v>4.9401709401709404</v>
      </c>
      <c r="Q12" s="50">
        <f t="shared" si="1"/>
        <v>34</v>
      </c>
      <c r="R12" s="50">
        <f t="shared" si="2"/>
        <v>229.4513509401709</v>
      </c>
      <c r="S12" s="52" t="str">
        <f t="shared" si="3"/>
        <v>carry</v>
      </c>
      <c r="T12" s="53">
        <f>IF(Q12&gt;R12,(Q12-R12)/(G12+K12*Information!D12)*(360/Calcu!F12),0)</f>
        <v>0</v>
      </c>
      <c r="U12" s="53">
        <f>IF(Q12&gt;R12,(Q12-R12)/(G12)*(360/Calcu!F12),0)</f>
        <v>0</v>
      </c>
      <c r="V12" s="68">
        <f>IF(Q12&gt;R12,(Q12-R12-G12*0.8*mf*F12)/(G12-G12*0.8+K12*Information!D12)*(360/Calcu!F12),0)</f>
        <v>0</v>
      </c>
      <c r="AA12" s="77" t="str">
        <f>IF($T12&lt;=0,"",RANK(T12,T$3:T$43)+COUNTIF(T$3:T12,T12)-1)</f>
        <v/>
      </c>
      <c r="BY12" s="41">
        <v>5</v>
      </c>
    </row>
    <row r="13" spans="1:77" x14ac:dyDescent="0.15">
      <c r="B13" s="67" t="str">
        <f>Information!B13</f>
        <v>BB</v>
      </c>
      <c r="C13" s="46">
        <f>Information!C13</f>
        <v>0</v>
      </c>
      <c r="D13" s="49">
        <v>1801</v>
      </c>
      <c r="E13" s="49">
        <v>1805</v>
      </c>
      <c r="F13" s="46">
        <f t="shared" si="0"/>
        <v>120</v>
      </c>
      <c r="G13" s="46">
        <f>IFERROR(fetching!C12,0)</f>
        <v>0</v>
      </c>
      <c r="H13" s="46">
        <f>IFERROR(fetching!D12,"")</f>
        <v>0</v>
      </c>
      <c r="I13" s="46" t="str">
        <f>IFERROR(fetching!E12,"")</f>
        <v>BB1805.DCE</v>
      </c>
      <c r="J13" s="46">
        <f>IFERROR(fetching!F12,"")</f>
        <v>96.25</v>
      </c>
      <c r="K13" s="46">
        <f>IFERROR(fetching!F12,"")</f>
        <v>96.25</v>
      </c>
      <c r="L13" s="46">
        <f>F13*Information!E13</f>
        <v>4.2</v>
      </c>
      <c r="M13" s="46">
        <f>IF(Information!J13&lt;0.001,(Calcu!G13+Calcu!K13)*Information!J13,Information!J13*2)</f>
        <v>9.6249999999999999E-3</v>
      </c>
      <c r="N13" s="46">
        <f>Information!F13*2</f>
        <v>0.02</v>
      </c>
      <c r="O13" s="46">
        <f>IFERROR((G13+K13*Information!D13)*rf*Calcu!F13/360,0)</f>
        <v>0.1925</v>
      </c>
      <c r="P13" s="50">
        <f>MAX(Q13*Information!K13/(1+Information!K13),0)</f>
        <v>0</v>
      </c>
      <c r="Q13" s="50">
        <f t="shared" si="1"/>
        <v>0</v>
      </c>
      <c r="R13" s="50">
        <f t="shared" si="2"/>
        <v>4.4221249999999994</v>
      </c>
      <c r="S13" s="52" t="str">
        <f t="shared" si="3"/>
        <v>inverse</v>
      </c>
      <c r="T13" s="53">
        <f>IF(Q13&gt;R13,(Q13-R13)/(G13+K13*Information!D13)*(360/Calcu!F13),0)</f>
        <v>0</v>
      </c>
      <c r="U13" s="53">
        <f>IF(Q13&gt;R13,(Q13-R13)/(G13)*(360/Calcu!F13),0)</f>
        <v>0</v>
      </c>
      <c r="V13" s="68">
        <f>IF(Q13&gt;R13,(Q13-R13-G13*0.8*mf*F13)/(G13-G13*0.8+K13*Information!D13)*(360/Calcu!F13),0)</f>
        <v>0</v>
      </c>
      <c r="AA13" s="77" t="str">
        <f>IF($T13&lt;=0,"",RANK(T13,T$3:T$43)+COUNTIF(T$3:T13,T13)-1)</f>
        <v/>
      </c>
      <c r="BY13" s="41">
        <v>5</v>
      </c>
    </row>
    <row r="14" spans="1:77" x14ac:dyDescent="0.15">
      <c r="B14" s="67" t="str">
        <f>Information!B14</f>
        <v>FB</v>
      </c>
      <c r="C14" s="46">
        <f>Information!C14</f>
        <v>0</v>
      </c>
      <c r="D14" s="49">
        <v>1801</v>
      </c>
      <c r="E14" s="49">
        <v>1805</v>
      </c>
      <c r="F14" s="46">
        <f t="shared" si="0"/>
        <v>120</v>
      </c>
      <c r="G14" s="46">
        <f>IFERROR(fetching!C13,0)</f>
        <v>75.350000000000009</v>
      </c>
      <c r="H14" s="46">
        <f>IFERROR(fetching!D13,"")</f>
        <v>0</v>
      </c>
      <c r="I14" s="46" t="str">
        <f>IFERROR(fetching!E13,"")</f>
        <v>FB1805.DCE</v>
      </c>
      <c r="J14" s="46">
        <f>IFERROR(fetching!F13,"")</f>
        <v>0</v>
      </c>
      <c r="K14" s="46">
        <f>IFERROR(fetching!F13,"")</f>
        <v>0</v>
      </c>
      <c r="L14" s="46">
        <f>F14*Information!E14</f>
        <v>4.2</v>
      </c>
      <c r="M14" s="46">
        <f>IF(Information!J14&lt;0.001,(Calcu!G14+Calcu!K14)*Information!J14,Information!J14*2)</f>
        <v>7.5350000000000009E-3</v>
      </c>
      <c r="N14" s="46">
        <f>Information!F14*2</f>
        <v>0.02</v>
      </c>
      <c r="O14" s="46">
        <f>IFERROR((G14+K14*Information!D14)*rf*Calcu!F14/360,0)</f>
        <v>0.75349999999999995</v>
      </c>
      <c r="P14" s="50">
        <f>MAX(Q14*Information!K14/(1+Information!K14),0)</f>
        <v>0</v>
      </c>
      <c r="Q14" s="50">
        <f t="shared" si="1"/>
        <v>0</v>
      </c>
      <c r="R14" s="50">
        <f t="shared" si="2"/>
        <v>4.9810349999999994</v>
      </c>
      <c r="S14" s="52" t="str">
        <f t="shared" si="3"/>
        <v>inverse</v>
      </c>
      <c r="T14" s="53">
        <f>IF(Q14&gt;R14,(Q14-R14)/(G14+K14*Information!D14)*(360/Calcu!F14),0)</f>
        <v>0</v>
      </c>
      <c r="U14" s="53">
        <f>IF(Q14&gt;R14,(Q14-R14)/(G14)*(360/Calcu!F14),0)</f>
        <v>0</v>
      </c>
      <c r="V14" s="68">
        <f>IF(Q14&gt;R14,(Q14-R14-G14*0.8*mf*F14)/(G14-G14*0.8+K14*Information!D14)*(360/Calcu!F14),0)</f>
        <v>0</v>
      </c>
      <c r="AA14" s="77" t="str">
        <f>IF($T14&lt;=0,"",RANK(T14,T$3:T$43)+COUNTIF(T$3:T14,T14)-1)</f>
        <v/>
      </c>
      <c r="BY14" s="41">
        <v>5</v>
      </c>
    </row>
    <row r="15" spans="1:77" x14ac:dyDescent="0.15">
      <c r="B15" s="67" t="str">
        <f>Information!B15</f>
        <v>J</v>
      </c>
      <c r="C15" s="46">
        <f>Information!C15</f>
        <v>1</v>
      </c>
      <c r="D15" s="49">
        <v>1801</v>
      </c>
      <c r="E15" s="49">
        <v>1805</v>
      </c>
      <c r="F15" s="46">
        <f t="shared" si="0"/>
        <v>120</v>
      </c>
      <c r="G15" s="46">
        <f>IFERROR(fetching!C14,0)</f>
        <v>2387.5</v>
      </c>
      <c r="H15" s="46">
        <f>IFERROR(fetching!D14,"")</f>
        <v>0</v>
      </c>
      <c r="I15" s="46" t="str">
        <f>IFERROR(fetching!E14,"")</f>
        <v>J1805.DCE</v>
      </c>
      <c r="J15" s="46">
        <f>IFERROR(fetching!F14,"")</f>
        <v>2225.5</v>
      </c>
      <c r="K15" s="46">
        <f>IFERROR(fetching!F14,"")</f>
        <v>2225.5</v>
      </c>
      <c r="L15" s="46">
        <f>F15*Information!E15</f>
        <v>120</v>
      </c>
      <c r="M15" s="46">
        <f>IF(Information!J15&lt;0.001,(Calcu!G15+Calcu!K15)*Information!J15,Information!J15*2)</f>
        <v>0.27677999999999997</v>
      </c>
      <c r="N15" s="46">
        <f>Information!F15*2</f>
        <v>2</v>
      </c>
      <c r="O15" s="46">
        <f>IFERROR((G15+K15*Information!D15)*rf*Calcu!F15/360,0)</f>
        <v>27.213249999999995</v>
      </c>
      <c r="P15" s="50">
        <f>MAX(Q15*Information!K15/(1+Information!K15),0)</f>
        <v>0</v>
      </c>
      <c r="Q15" s="50">
        <f t="shared" si="1"/>
        <v>-162</v>
      </c>
      <c r="R15" s="50">
        <f t="shared" si="2"/>
        <v>149.49002999999999</v>
      </c>
      <c r="S15" s="52" t="str">
        <f t="shared" si="3"/>
        <v>inverse</v>
      </c>
      <c r="T15" s="53">
        <f>IF(Q15&gt;R15,(Q15-R15)/(G15+K15*Information!D15)*(360/Calcu!F15),0)</f>
        <v>0</v>
      </c>
      <c r="U15" s="53">
        <f>IF(Q15&gt;R15,(Q15-R15)/(G15)*(360/Calcu!F15),0)</f>
        <v>0</v>
      </c>
      <c r="V15" s="68">
        <f>IF(Q15&gt;R15,(Q15-R15-G15*0.8*mf*F15)/(G15-G15*0.8+K15*Information!D15)*(360/Calcu!F15),0)</f>
        <v>0</v>
      </c>
      <c r="AA15" s="77" t="str">
        <f>IF($T15&lt;=0,"",RANK(T15,T$3:T$43)+COUNTIF(T$3:T15,T15)-1)</f>
        <v/>
      </c>
      <c r="BY15" s="41"/>
    </row>
    <row r="16" spans="1:77" x14ac:dyDescent="0.15">
      <c r="B16" s="67" t="str">
        <f>Information!B16</f>
        <v>JM</v>
      </c>
      <c r="C16" s="46">
        <f>Information!C16</f>
        <v>1</v>
      </c>
      <c r="D16" s="49">
        <v>1801</v>
      </c>
      <c r="E16" s="49">
        <v>1805</v>
      </c>
      <c r="F16" s="46">
        <f t="shared" si="0"/>
        <v>120</v>
      </c>
      <c r="G16" s="46">
        <f>IFERROR(fetching!C15,0)</f>
        <v>1404</v>
      </c>
      <c r="H16" s="46">
        <f>IFERROR(fetching!D15,"")</f>
        <v>0</v>
      </c>
      <c r="I16" s="46" t="str">
        <f>IFERROR(fetching!E15,"")</f>
        <v>JM1805.DCE</v>
      </c>
      <c r="J16" s="46">
        <f>IFERROR(fetching!F15,"")</f>
        <v>1326</v>
      </c>
      <c r="K16" s="46">
        <f>IFERROR(fetching!F15,"")</f>
        <v>1326</v>
      </c>
      <c r="L16" s="46">
        <f>F16*Information!E16</f>
        <v>120</v>
      </c>
      <c r="M16" s="46">
        <f>IF(Information!J16&lt;0.001,(Calcu!G16+Calcu!K16)*Information!J16,Information!J16*2)</f>
        <v>0.16379999999999997</v>
      </c>
      <c r="N16" s="46">
        <f>Information!F16*2</f>
        <v>2</v>
      </c>
      <c r="O16" s="46">
        <f>IFERROR((G16+K16*Information!D16)*rf*Calcu!F16/360,0)</f>
        <v>16.029</v>
      </c>
      <c r="P16" s="50">
        <f>MAX(Q16*Information!K16/(1+Information!K16),0)</f>
        <v>0</v>
      </c>
      <c r="Q16" s="50">
        <f t="shared" si="1"/>
        <v>-78</v>
      </c>
      <c r="R16" s="50">
        <f t="shared" si="2"/>
        <v>138.19280000000001</v>
      </c>
      <c r="S16" s="52" t="str">
        <f t="shared" si="3"/>
        <v>inverse</v>
      </c>
      <c r="T16" s="53">
        <f>IF(Q16&gt;R16,(Q16-R16)/(G16+K16*Information!D16)*(360/Calcu!F16),0)</f>
        <v>0</v>
      </c>
      <c r="U16" s="53">
        <f>IF(Q16&gt;R16,(Q16-R16)/(G16)*(360/Calcu!F16),0)</f>
        <v>0</v>
      </c>
      <c r="V16" s="68">
        <f>IF(Q16&gt;R16,(Q16-R16-G16*0.8*mf*F16)/(G16-G16*0.8+K16*Information!D16)*(360/Calcu!F16),0)</f>
        <v>0</v>
      </c>
      <c r="AA16" s="77" t="str">
        <f>IF($T16&lt;=0,"",RANK(T16,T$3:T$43)+COUNTIF(T$3:T16,T16)-1)</f>
        <v/>
      </c>
      <c r="BY16" s="41"/>
    </row>
    <row r="17" spans="2:77" x14ac:dyDescent="0.15">
      <c r="B17" s="67" t="str">
        <f>Information!B17</f>
        <v>I</v>
      </c>
      <c r="C17" s="46">
        <f>Information!C17</f>
        <v>1</v>
      </c>
      <c r="D17" s="49">
        <v>1801</v>
      </c>
      <c r="E17" s="49">
        <v>1805</v>
      </c>
      <c r="F17" s="46">
        <f t="shared" si="0"/>
        <v>120</v>
      </c>
      <c r="G17" s="46">
        <f>IFERROR(fetching!C16,0)</f>
        <v>554.5</v>
      </c>
      <c r="H17" s="46">
        <f>IFERROR(fetching!D16,"")</f>
        <v>0</v>
      </c>
      <c r="I17" s="46" t="str">
        <f>IFERROR(fetching!E16,"")</f>
        <v>I1805.DCE</v>
      </c>
      <c r="J17" s="46">
        <f>IFERROR(fetching!F16,"")</f>
        <v>533</v>
      </c>
      <c r="K17" s="46">
        <f>IFERROR(fetching!F16,"")</f>
        <v>533</v>
      </c>
      <c r="L17" s="46">
        <f>F17*Information!E17</f>
        <v>60</v>
      </c>
      <c r="M17" s="46">
        <f>IF(Information!J17&lt;0.001,(Calcu!G17+Calcu!K17)*Information!J17,Information!J17*2)</f>
        <v>0.13049999999999998</v>
      </c>
      <c r="N17" s="46">
        <f>Information!F17*2</f>
        <v>1</v>
      </c>
      <c r="O17" s="46">
        <f>IFERROR((G17+K17*Information!D17)*rf*Calcu!F17/360,0)</f>
        <v>5.9713999999999992</v>
      </c>
      <c r="P17" s="50">
        <f>MAX(Q17*Information!K17/(1+Information!K17),0)</f>
        <v>0</v>
      </c>
      <c r="Q17" s="50">
        <f t="shared" si="1"/>
        <v>-21.5</v>
      </c>
      <c r="R17" s="50">
        <f t="shared" si="2"/>
        <v>67.101900000000001</v>
      </c>
      <c r="S17" s="52" t="str">
        <f t="shared" si="3"/>
        <v>inverse</v>
      </c>
      <c r="T17" s="53">
        <f>IF(Q17&gt;R17,(Q17-R17)/(G17+K17*Information!D17)*(360/Calcu!F17),0)</f>
        <v>0</v>
      </c>
      <c r="U17" s="53">
        <f>IF(Q17&gt;R17,(Q17-R17)/(G17)*(360/Calcu!F17),0)</f>
        <v>0</v>
      </c>
      <c r="V17" s="68">
        <f>IF(Q17&gt;R17,(Q17-R17-G17*0.8*mf*F17)/(G17-G17*0.8+K17*Information!D17)*(360/Calcu!F17),0)</f>
        <v>0</v>
      </c>
      <c r="AA17" s="77" t="str">
        <f>IF($T17&lt;=0,"",RANK(T17,T$3:T$43)+COUNTIF(T$3:T17,T17)-1)</f>
        <v/>
      </c>
      <c r="BY17" s="41">
        <v>5</v>
      </c>
    </row>
    <row r="18" spans="2:77" x14ac:dyDescent="0.15">
      <c r="B18" s="67" t="str">
        <f>Information!B18</f>
        <v>CU</v>
      </c>
      <c r="C18" s="46">
        <f>Information!C18</f>
        <v>1</v>
      </c>
      <c r="D18" s="49">
        <v>1710</v>
      </c>
      <c r="E18" s="49">
        <v>1711</v>
      </c>
      <c r="F18" s="46">
        <f t="shared" si="0"/>
        <v>30</v>
      </c>
      <c r="G18" s="46">
        <f>IFERROR(fetching!C17,0)</f>
        <v>52690</v>
      </c>
      <c r="H18" s="46">
        <f>IFERROR(fetching!D17,"")</f>
        <v>0</v>
      </c>
      <c r="I18" s="46" t="str">
        <f>IFERROR(fetching!E17,"")</f>
        <v>CU1711.SHF</v>
      </c>
      <c r="J18" s="46">
        <f>IFERROR(fetching!F17,"")</f>
        <v>52810</v>
      </c>
      <c r="K18" s="46">
        <f>IFERROR(fetching!F17,"")</f>
        <v>52810</v>
      </c>
      <c r="L18" s="46">
        <f>F18*Information!E18</f>
        <v>9</v>
      </c>
      <c r="M18" s="46">
        <f>IF(Information!J18&lt;0.001,(Calcu!G18+Calcu!K18)*Information!J18,Information!J18*2)</f>
        <v>5.2750000000000004</v>
      </c>
      <c r="N18" s="46">
        <f>Information!F18*2</f>
        <v>4</v>
      </c>
      <c r="O18" s="46">
        <f>IFERROR((G18+K18*Information!D18)*rf*Calcu!F18/360,0)</f>
        <v>142.28700000000001</v>
      </c>
      <c r="P18" s="50">
        <f>MAX(Q18*Information!K18/(1+Information!K18),0)</f>
        <v>17.435897435897438</v>
      </c>
      <c r="Q18" s="50">
        <f t="shared" si="1"/>
        <v>120</v>
      </c>
      <c r="R18" s="50">
        <f t="shared" si="2"/>
        <v>177.99789743589744</v>
      </c>
      <c r="S18" s="52" t="str">
        <f t="shared" si="3"/>
        <v>carry</v>
      </c>
      <c r="T18" s="53">
        <f>IF(Q18&gt;R18,(Q18-R18)/(G18+K18*Information!D18)*(360/Calcu!F18),0)</f>
        <v>0</v>
      </c>
      <c r="U18" s="53">
        <f>IF(Q18&gt;R18,(Q18-R18)/(G18)*(360/Calcu!F18),0)</f>
        <v>0</v>
      </c>
      <c r="V18" s="68">
        <f>IF(Q18&gt;R18,(Q18-R18-G18*0.8*mf*F18)/(G18-G18*0.8+K18*Information!D18)*(360/Calcu!F18),0)</f>
        <v>0</v>
      </c>
      <c r="AA18" s="77" t="str">
        <f>IF($T18&lt;=0,"",RANK(T18,T$3:T$43)+COUNTIF(T$3:T18,T18)-1)</f>
        <v/>
      </c>
      <c r="BY18" s="41">
        <v>1</v>
      </c>
    </row>
    <row r="19" spans="2:77" x14ac:dyDescent="0.15">
      <c r="B19" s="67" t="str">
        <f>Information!B19</f>
        <v>ZN</v>
      </c>
      <c r="C19" s="46">
        <f>Information!C19</f>
        <v>1</v>
      </c>
      <c r="D19" s="49">
        <v>1801</v>
      </c>
      <c r="E19" s="49">
        <v>1805</v>
      </c>
      <c r="F19" s="46">
        <f t="shared" si="0"/>
        <v>120</v>
      </c>
      <c r="G19" s="46">
        <f>IFERROR(fetching!C18,0)</f>
        <v>25300</v>
      </c>
      <c r="H19" s="46">
        <f>IFERROR(fetching!D18,"")</f>
        <v>0</v>
      </c>
      <c r="I19" s="46" t="str">
        <f>IFERROR(fetching!E18,"")</f>
        <v>ZN1805.SHF</v>
      </c>
      <c r="J19" s="46">
        <f>IFERROR(fetching!F18,"")</f>
        <v>24500</v>
      </c>
      <c r="K19" s="46">
        <f>IFERROR(fetching!F18,"")</f>
        <v>24500</v>
      </c>
      <c r="L19" s="46">
        <f>F19*Information!E19</f>
        <v>36</v>
      </c>
      <c r="M19" s="46">
        <f>IF(Information!J19&lt;0.001,(Calcu!G19+Calcu!K19)*Information!J19,Information!J19*2)</f>
        <v>6</v>
      </c>
      <c r="N19" s="46">
        <f>Information!F19*2</f>
        <v>4</v>
      </c>
      <c r="O19" s="46">
        <f>IFERROR((G19+K19*Information!D19)*rf*Calcu!F19/360,0)</f>
        <v>272.60000000000002</v>
      </c>
      <c r="P19" s="50">
        <f>MAX(Q19*Information!K19/(1+Information!K19),0)</f>
        <v>0</v>
      </c>
      <c r="Q19" s="50">
        <f t="shared" si="1"/>
        <v>-800</v>
      </c>
      <c r="R19" s="50">
        <f t="shared" si="2"/>
        <v>318.60000000000002</v>
      </c>
      <c r="S19" s="52" t="str">
        <f t="shared" si="3"/>
        <v>inverse</v>
      </c>
      <c r="T19" s="53">
        <f>IF(Q19&gt;R19,(Q19-R19)/(G19+K19*Information!D19)*(360/Calcu!F19),0)</f>
        <v>0</v>
      </c>
      <c r="U19" s="53">
        <f>IF(Q19&gt;R19,(Q19-R19)/(G19)*(360/Calcu!F19),0)</f>
        <v>0</v>
      </c>
      <c r="V19" s="68">
        <f>IF(Q19&gt;R19,(Q19-R19-G19*0.8*mf*F19)/(G19-G19*0.8+K19*Information!D19)*(360/Calcu!F19),0)</f>
        <v>0</v>
      </c>
      <c r="AA19" s="77" t="str">
        <f>IF($T19&lt;=0,"",RANK(T19,T$3:T$43)+COUNTIF(T$3:T19,T19)-1)</f>
        <v/>
      </c>
      <c r="BY19" s="41">
        <v>1</v>
      </c>
    </row>
    <row r="20" spans="2:77" x14ac:dyDescent="0.15">
      <c r="B20" s="67" t="str">
        <f>Information!B20</f>
        <v>AL</v>
      </c>
      <c r="C20" s="46">
        <f>Information!C20</f>
        <v>1</v>
      </c>
      <c r="D20" s="49">
        <v>1801</v>
      </c>
      <c r="E20" s="49">
        <v>1805</v>
      </c>
      <c r="F20" s="46">
        <f t="shared" si="0"/>
        <v>120</v>
      </c>
      <c r="G20" s="46">
        <f>IFERROR(fetching!C19,0)</f>
        <v>16435</v>
      </c>
      <c r="H20" s="46">
        <f>IFERROR(fetching!D19,"")</f>
        <v>0</v>
      </c>
      <c r="I20" s="46" t="str">
        <f>IFERROR(fetching!E19,"")</f>
        <v>AL1805.SHF</v>
      </c>
      <c r="J20" s="46">
        <f>IFERROR(fetching!F19,"")</f>
        <v>16315</v>
      </c>
      <c r="K20" s="46">
        <f>IFERROR(fetching!F19,"")</f>
        <v>16315</v>
      </c>
      <c r="L20" s="46">
        <f>F20*Information!E20</f>
        <v>48</v>
      </c>
      <c r="M20" s="46">
        <f>IF(Information!J20&lt;0.001,(Calcu!G20+Calcu!K20)*Information!J20,Information!J20*2)</f>
        <v>6</v>
      </c>
      <c r="N20" s="46">
        <f>Information!F20*2</f>
        <v>4</v>
      </c>
      <c r="O20" s="46">
        <f>IFERROR((G20+K20*Information!D20)*rf*Calcu!F20/360,0)</f>
        <v>177.40200000000002</v>
      </c>
      <c r="P20" s="50">
        <f>MAX(Q20*Information!K20/(1+Information!K20),0)</f>
        <v>0</v>
      </c>
      <c r="Q20" s="50">
        <f t="shared" si="1"/>
        <v>-120</v>
      </c>
      <c r="R20" s="50">
        <f t="shared" si="2"/>
        <v>235.40200000000002</v>
      </c>
      <c r="S20" s="52" t="str">
        <f t="shared" si="3"/>
        <v>inverse</v>
      </c>
      <c r="T20" s="53">
        <f>IF(Q20&gt;R20,(Q20-R20)/(G20+K20*Information!D20)*(360/Calcu!F20),0)</f>
        <v>0</v>
      </c>
      <c r="U20" s="53">
        <f>IF(Q20&gt;R20,(Q20-R20)/(G20)*(360/Calcu!F20),0)</f>
        <v>0</v>
      </c>
      <c r="V20" s="68">
        <f>IF(Q20&gt;R20,(Q20-R20-G20*0.8*mf*F20)/(G20-G20*0.8+K20*Information!D20)*(360/Calcu!F20),0)</f>
        <v>0</v>
      </c>
      <c r="AA20" s="77" t="str">
        <f>IF($T20&lt;=0,"",RANK(T20,T$3:T$43)+COUNTIF(T$3:T20,T20)-1)</f>
        <v/>
      </c>
      <c r="BY20" s="41">
        <v>1</v>
      </c>
    </row>
    <row r="21" spans="2:77" x14ac:dyDescent="0.15">
      <c r="B21" s="67" t="str">
        <f>Information!B21</f>
        <v>PB</v>
      </c>
      <c r="C21" s="46">
        <f>Information!C21</f>
        <v>1</v>
      </c>
      <c r="D21" s="49">
        <v>1801</v>
      </c>
      <c r="E21" s="49">
        <v>1805</v>
      </c>
      <c r="F21" s="46">
        <f t="shared" si="0"/>
        <v>120</v>
      </c>
      <c r="G21" s="46">
        <f>IFERROR(fetching!C20,0)</f>
        <v>18885</v>
      </c>
      <c r="H21" s="46">
        <f>IFERROR(fetching!D20,"")</f>
        <v>0</v>
      </c>
      <c r="I21" s="46" t="str">
        <f>IFERROR(fetching!E20,"")</f>
        <v>PB1805.SHF</v>
      </c>
      <c r="J21" s="46">
        <f>IFERROR(fetching!F20,"")</f>
        <v>18465</v>
      </c>
      <c r="K21" s="46">
        <f>IFERROR(fetching!F20,"")</f>
        <v>18465</v>
      </c>
      <c r="L21" s="46">
        <f>F21*Information!E21</f>
        <v>84</v>
      </c>
      <c r="M21" s="46">
        <f>IF(Information!J21&lt;0.001,(Calcu!G21+Calcu!K21)*Information!J21,Information!J21*2)</f>
        <v>1.4940000000000002</v>
      </c>
      <c r="N21" s="46">
        <f>Information!F21*2</f>
        <v>4</v>
      </c>
      <c r="O21" s="46">
        <f>IFERROR((G21+K21*Information!D21)*rf*Calcu!F21/360,0)</f>
        <v>203.62199999999999</v>
      </c>
      <c r="P21" s="50">
        <f>MAX(Q21*Information!K21/(1+Information!K21),0)</f>
        <v>0</v>
      </c>
      <c r="Q21" s="50">
        <f t="shared" si="1"/>
        <v>-420</v>
      </c>
      <c r="R21" s="50">
        <f t="shared" si="2"/>
        <v>293.11599999999999</v>
      </c>
      <c r="S21" s="52" t="str">
        <f t="shared" si="3"/>
        <v>inverse</v>
      </c>
      <c r="T21" s="53">
        <f>IF(Q21&gt;R21,(Q21-R21)/(G21+K21*Information!D21)*(360/Calcu!F21),0)</f>
        <v>0</v>
      </c>
      <c r="U21" s="53">
        <f>IF(Q21&gt;R21,(Q21-R21)/(G21)*(360/Calcu!F21),0)</f>
        <v>0</v>
      </c>
      <c r="V21" s="68">
        <f>IF(Q21&gt;R21,(Q21-R21-G21*0.8*mf*F21)/(G21-G21*0.8+K21*Information!D21)*(360/Calcu!F21),0)</f>
        <v>0</v>
      </c>
      <c r="AA21" s="77" t="str">
        <f>IF($T21&lt;=0,"",RANK(T21,T$3:T$43)+COUNTIF(T$3:T21,T21)-1)</f>
        <v/>
      </c>
      <c r="BY21" s="41">
        <v>1</v>
      </c>
    </row>
    <row r="22" spans="2:77" x14ac:dyDescent="0.15">
      <c r="B22" s="67" t="str">
        <f>Information!B22</f>
        <v>SN</v>
      </c>
      <c r="C22" s="46">
        <f>Information!C22</f>
        <v>1</v>
      </c>
      <c r="D22" s="49">
        <v>1801</v>
      </c>
      <c r="E22" s="49">
        <v>1805</v>
      </c>
      <c r="F22" s="46">
        <f t="shared" si="0"/>
        <v>120</v>
      </c>
      <c r="G22" s="46">
        <f>IFERROR(fetching!C21,0)</f>
        <v>147420</v>
      </c>
      <c r="H22" s="46">
        <f>IFERROR(fetching!D21,"")</f>
        <v>0</v>
      </c>
      <c r="I22" s="46" t="str">
        <f>IFERROR(fetching!E21,"")</f>
        <v>SN1805.SHF</v>
      </c>
      <c r="J22" s="46">
        <f>IFERROR(fetching!F21,"")</f>
        <v>146960</v>
      </c>
      <c r="K22" s="46">
        <f>IFERROR(fetching!F21,"")</f>
        <v>146960</v>
      </c>
      <c r="L22" s="46">
        <f>F22*Information!E22</f>
        <v>180</v>
      </c>
      <c r="M22" s="46">
        <f>IF(Information!J22&lt;0.001,(Calcu!G22+Calcu!K22)*Information!J22,Information!J22*2)</f>
        <v>6</v>
      </c>
      <c r="N22" s="46">
        <f>Information!F22*2</f>
        <v>4</v>
      </c>
      <c r="O22" s="46">
        <f>IFERROR((G22+K22*Information!D22)*rf*Calcu!F22/360,0)</f>
        <v>1591.7679999999996</v>
      </c>
      <c r="P22" s="50">
        <f>MAX(Q22*Information!K22/(1+Information!K22),0)</f>
        <v>0</v>
      </c>
      <c r="Q22" s="50">
        <f t="shared" si="1"/>
        <v>-460</v>
      </c>
      <c r="R22" s="50">
        <f t="shared" si="2"/>
        <v>1781.7679999999996</v>
      </c>
      <c r="S22" s="52" t="str">
        <f t="shared" si="3"/>
        <v>inverse</v>
      </c>
      <c r="T22" s="53">
        <f>IF(Q22&gt;R22,(Q22-R22)/(G22+K22*Information!D22)*(360/Calcu!F22),0)</f>
        <v>0</v>
      </c>
      <c r="U22" s="53">
        <f>IF(Q22&gt;R22,(Q22-R22)/(G22)*(360/Calcu!F22),0)</f>
        <v>0</v>
      </c>
      <c r="V22" s="68">
        <f>IF(Q22&gt;R22,(Q22-R22-G22*0.8*mf*F22)/(G22-G22*0.8+K22*Information!D22)*(360/Calcu!F22),0)</f>
        <v>0</v>
      </c>
      <c r="AA22" s="77" t="str">
        <f>IF($T22&lt;=0,"",RANK(T22,T$3:T$43)+COUNTIF(T$3:T22,T22)-1)</f>
        <v/>
      </c>
      <c r="BY22" s="41">
        <v>1</v>
      </c>
    </row>
    <row r="23" spans="2:77" x14ac:dyDescent="0.15">
      <c r="B23" s="67" t="str">
        <f>Information!B23</f>
        <v>NI</v>
      </c>
      <c r="C23" s="46">
        <f>Information!C23</f>
        <v>1</v>
      </c>
      <c r="D23" s="49">
        <v>1801</v>
      </c>
      <c r="E23" s="49">
        <v>1805</v>
      </c>
      <c r="F23" s="46">
        <f t="shared" si="0"/>
        <v>120</v>
      </c>
      <c r="G23" s="46">
        <f>IFERROR(fetching!C22,0)</f>
        <v>94080</v>
      </c>
      <c r="H23" s="46">
        <f>IFERROR(fetching!D22,"")</f>
        <v>0</v>
      </c>
      <c r="I23" s="46" t="str">
        <f>IFERROR(fetching!E22,"")</f>
        <v>NI1805.SHF</v>
      </c>
      <c r="J23" s="46">
        <f>IFERROR(fetching!F22,"")</f>
        <v>95220</v>
      </c>
      <c r="K23" s="46">
        <f>IFERROR(fetching!F22,"")</f>
        <v>95220</v>
      </c>
      <c r="L23" s="46">
        <f>F23*Information!E23</f>
        <v>150</v>
      </c>
      <c r="M23" s="46">
        <f>IF(Information!J23&lt;0.001,(Calcu!G23+Calcu!K23)*Information!J23,Information!J23*2)</f>
        <v>12</v>
      </c>
      <c r="N23" s="46">
        <f>Information!F23*2</f>
        <v>4</v>
      </c>
      <c r="O23" s="46">
        <f>IFERROR((G23+K23*Information!D23)*rf*Calcu!F23/360,0)</f>
        <v>1016.976</v>
      </c>
      <c r="P23" s="50">
        <f>MAX(Q23*Information!K23/(1+Information!K23),0)</f>
        <v>165.64102564102566</v>
      </c>
      <c r="Q23" s="50">
        <f t="shared" si="1"/>
        <v>1140</v>
      </c>
      <c r="R23" s="50">
        <f t="shared" si="2"/>
        <v>1348.6170256410257</v>
      </c>
      <c r="S23" s="52" t="str">
        <f t="shared" si="3"/>
        <v>carry</v>
      </c>
      <c r="T23" s="53">
        <f>IF(Q23&gt;R23,(Q23-R23)/(G23+K23*Information!D23)*(360/Calcu!F23),0)</f>
        <v>0</v>
      </c>
      <c r="U23" s="53">
        <f>IF(Q23&gt;R23,(Q23-R23)/(G23)*(360/Calcu!F23),0)</f>
        <v>0</v>
      </c>
      <c r="V23" s="68">
        <f>IF(Q23&gt;R23,(Q23-R23-G23*0.8*mf*F23)/(G23-G23*0.8+K23*Information!D23)*(360/Calcu!F23),0)</f>
        <v>0</v>
      </c>
      <c r="AA23" s="77" t="str">
        <f>IF($T23&lt;=0,"",RANK(T23,T$3:T$43)+COUNTIF(T$3:T23,T23)-1)</f>
        <v/>
      </c>
      <c r="BY23" s="41">
        <v>1</v>
      </c>
    </row>
    <row r="24" spans="2:77" x14ac:dyDescent="0.15">
      <c r="B24" s="67" t="str">
        <f>Information!B24</f>
        <v>AU</v>
      </c>
      <c r="C24" s="46">
        <f>Information!C24</f>
        <v>1</v>
      </c>
      <c r="D24" s="49">
        <v>1712</v>
      </c>
      <c r="E24" s="49">
        <v>1806</v>
      </c>
      <c r="F24" s="46">
        <f t="shared" si="0"/>
        <v>180</v>
      </c>
      <c r="G24" s="46">
        <f>IFERROR(fetching!C23,0)</f>
        <v>283.8</v>
      </c>
      <c r="H24" s="46">
        <f>IFERROR(fetching!D23,"")</f>
        <v>0</v>
      </c>
      <c r="I24" s="46" t="str">
        <f>IFERROR(fetching!E23,"")</f>
        <v>AU1806.SHF</v>
      </c>
      <c r="J24" s="46">
        <f>IFERROR(fetching!F23,"")</f>
        <v>286.7</v>
      </c>
      <c r="K24" s="46">
        <f>IFERROR(fetching!F23,"")</f>
        <v>286.7</v>
      </c>
      <c r="L24" s="46">
        <f>F24*Information!E24</f>
        <v>0.32400000000000001</v>
      </c>
      <c r="M24" s="46">
        <f>IF(Information!J24&lt;0.001,(Calcu!G24+Calcu!K24)*Information!J24,Information!J24*2)</f>
        <v>20</v>
      </c>
      <c r="N24" s="46">
        <f>Information!F24*2</f>
        <v>0.12</v>
      </c>
      <c r="O24" s="46">
        <f>IFERROR((G24+K24*Information!D24)*rf*Calcu!F24/360,0)</f>
        <v>4.6010399999999994</v>
      </c>
      <c r="P24" s="50">
        <f>MAX(Q24*Information!K24/(1+Information!K24),0)</f>
        <v>0.42136752136751809</v>
      </c>
      <c r="Q24" s="50">
        <f t="shared" si="1"/>
        <v>2.8999999999999773</v>
      </c>
      <c r="R24" s="50">
        <f t="shared" si="2"/>
        <v>25.466407521367518</v>
      </c>
      <c r="S24" s="52" t="str">
        <f t="shared" si="3"/>
        <v>carry</v>
      </c>
      <c r="T24" s="53">
        <f>IF(Q24&gt;R24,(Q24-R24)/(G24+K24*Information!D24)*(360/Calcu!F24),0)</f>
        <v>0</v>
      </c>
      <c r="U24" s="53">
        <f>IF(Q24&gt;R24,(Q24-R24)/(G24)*(360/Calcu!F24),0)</f>
        <v>0</v>
      </c>
      <c r="V24" s="68">
        <f>IF(Q24&gt;R24,(Q24-R24-G24*0.8*mf*F24)/(G24-G24*0.8+K24*Information!D24)*(360/Calcu!F24),0)</f>
        <v>0</v>
      </c>
      <c r="AA24" s="77" t="str">
        <f>IF($T24&lt;=0,"",RANK(T24,T$3:T$43)+COUNTIF(T$3:T24,T24)-1)</f>
        <v/>
      </c>
      <c r="BY24" s="41">
        <v>1</v>
      </c>
    </row>
    <row r="25" spans="2:77" x14ac:dyDescent="0.15">
      <c r="B25" s="67" t="str">
        <f>Information!B25</f>
        <v>AG</v>
      </c>
      <c r="C25" s="46">
        <f>Information!C25</f>
        <v>1</v>
      </c>
      <c r="D25" s="49">
        <v>1712</v>
      </c>
      <c r="E25" s="49">
        <v>1806</v>
      </c>
      <c r="F25" s="46">
        <f t="shared" si="0"/>
        <v>180</v>
      </c>
      <c r="G25" s="46">
        <f>IFERROR(fetching!C24,0)</f>
        <v>4027</v>
      </c>
      <c r="H25" s="46">
        <f>IFERROR(fetching!D24,"")</f>
        <v>0</v>
      </c>
      <c r="I25" s="46" t="str">
        <f>IFERROR(fetching!E24,"")</f>
        <v>AG1806.SHF</v>
      </c>
      <c r="J25" s="46">
        <f>IFERROR(fetching!F24,"")</f>
        <v>4134</v>
      </c>
      <c r="K25" s="46">
        <f>IFERROR(fetching!F24,"")</f>
        <v>4134</v>
      </c>
      <c r="L25" s="46">
        <f>F25*Information!E25</f>
        <v>1.98</v>
      </c>
      <c r="M25" s="46">
        <f>IF(Information!J25&lt;0.001,(Calcu!G25+Calcu!K25)*Information!J25,Information!J25*2)</f>
        <v>4.0805000000000001E-2</v>
      </c>
      <c r="N25" s="46">
        <f>Information!F25*2</f>
        <v>1</v>
      </c>
      <c r="O25" s="46">
        <f>IFERROR((G25+K25*Information!D25)*rf*Calcu!F25/360,0)</f>
        <v>65.365800000000007</v>
      </c>
      <c r="P25" s="50">
        <f>MAX(Q25*Information!K25/(1+Information!K25),0)</f>
        <v>15.547008547008549</v>
      </c>
      <c r="Q25" s="50">
        <f t="shared" si="1"/>
        <v>107</v>
      </c>
      <c r="R25" s="50">
        <f t="shared" si="2"/>
        <v>83.933613547008548</v>
      </c>
      <c r="S25" s="52" t="str">
        <f t="shared" si="3"/>
        <v>full carry</v>
      </c>
      <c r="T25" s="53">
        <f>IF(Q25&gt;R25,(Q25-R25)/(G25+K25*Information!D25)*(360/Calcu!F25),0)</f>
        <v>1.0586447249016206E-2</v>
      </c>
      <c r="U25" s="53">
        <f>IF(Q25&gt;R25,(Q25-R25)/(G25)*(360/Calcu!F25),0)</f>
        <v>1.1455866130117433E-2</v>
      </c>
      <c r="V25" s="68">
        <f>IF(Q25&gt;R25,(Q25-R25-G25*0.8*mf*F25)/(G25-G25*0.8+K25*Information!D25)*(360/Calcu!F25),0)</f>
        <v>-1.0435541222773221E-2</v>
      </c>
      <c r="AA25" s="77">
        <f>IF($T25&lt;=0,"",RANK(T25,T$3:T$43)+COUNTIF(T$3:T25,T25)-1)</f>
        <v>1</v>
      </c>
      <c r="BY25" s="41">
        <v>10</v>
      </c>
    </row>
    <row r="26" spans="2:77" x14ac:dyDescent="0.15">
      <c r="B26" s="67" t="str">
        <f>Information!B26</f>
        <v>RB</v>
      </c>
      <c r="C26" s="46">
        <f>Information!C26</f>
        <v>1</v>
      </c>
      <c r="D26" s="49">
        <v>1801</v>
      </c>
      <c r="E26" s="49">
        <v>1805</v>
      </c>
      <c r="F26" s="46">
        <f t="shared" si="0"/>
        <v>120</v>
      </c>
      <c r="G26" s="46">
        <f>IFERROR(fetching!C25,0)</f>
        <v>3882</v>
      </c>
      <c r="H26" s="46">
        <f>IFERROR(fetching!D25,"")</f>
        <v>0</v>
      </c>
      <c r="I26" s="46" t="str">
        <f>IFERROR(fetching!E25,"")</f>
        <v>RB1805.SHF</v>
      </c>
      <c r="J26" s="46">
        <f>IFERROR(fetching!F25,"")</f>
        <v>3764</v>
      </c>
      <c r="K26" s="46">
        <f>IFERROR(fetching!F25,"")</f>
        <v>3764</v>
      </c>
      <c r="L26" s="46">
        <f>F26*Information!E26</f>
        <v>18</v>
      </c>
      <c r="M26" s="46">
        <f>IF(Information!J26&lt;0.001,(Calcu!G26+Calcu!K26)*Information!J26,Information!J26*2)</f>
        <v>1.5292000000000001</v>
      </c>
      <c r="N26" s="46">
        <f>Information!F26*2</f>
        <v>2</v>
      </c>
      <c r="O26" s="46">
        <f>IFERROR((G26+K26*Information!D26)*rf*Calcu!F26/360,0)</f>
        <v>41.831199999999995</v>
      </c>
      <c r="P26" s="50">
        <f>MAX(Q26*Information!K26/(1+Information!K26),0)</f>
        <v>0</v>
      </c>
      <c r="Q26" s="50">
        <f t="shared" si="1"/>
        <v>-118</v>
      </c>
      <c r="R26" s="50">
        <f t="shared" si="2"/>
        <v>63.360399999999998</v>
      </c>
      <c r="S26" s="52" t="str">
        <f t="shared" si="3"/>
        <v>inverse</v>
      </c>
      <c r="T26" s="53">
        <f>IF(Q26&gt;R26,(Q26-R26)/(G26+K26*Information!D26)*(360/Calcu!F26),0)</f>
        <v>0</v>
      </c>
      <c r="U26" s="53">
        <f>IF(Q26&gt;R26,(Q26-R26)/(G26)*(360/Calcu!F26),0)</f>
        <v>0</v>
      </c>
      <c r="V26" s="68">
        <f>IF(Q26&gt;R26,(Q26-R26-G26*0.8*mf*F26)/(G26-G26*0.8+K26*Information!D26)*(360/Calcu!F26),0)</f>
        <v>0</v>
      </c>
      <c r="AA26" s="77" t="str">
        <f>IF($T26&lt;=0,"",RANK(T26,T$3:T$43)+COUNTIF(T$3:T26,T26)-1)</f>
        <v/>
      </c>
      <c r="BY26" s="41">
        <v>1</v>
      </c>
    </row>
    <row r="27" spans="2:77" x14ac:dyDescent="0.15">
      <c r="B27" s="67" t="str">
        <f>Information!B27</f>
        <v>HC</v>
      </c>
      <c r="C27" s="46">
        <f>Information!C27</f>
        <v>1</v>
      </c>
      <c r="D27" s="49">
        <v>1801</v>
      </c>
      <c r="E27" s="49">
        <v>1805</v>
      </c>
      <c r="F27" s="46">
        <f t="shared" si="0"/>
        <v>120</v>
      </c>
      <c r="G27" s="46">
        <f>IFERROR(fetching!C26,0)</f>
        <v>4054</v>
      </c>
      <c r="H27" s="46">
        <f>IFERROR(fetching!D26,"")</f>
        <v>0</v>
      </c>
      <c r="I27" s="46" t="str">
        <f>IFERROR(fetching!E26,"")</f>
        <v>HC1805.SHF</v>
      </c>
      <c r="J27" s="46">
        <f>IFERROR(fetching!F26,"")</f>
        <v>3903</v>
      </c>
      <c r="K27" s="46">
        <f>IFERROR(fetching!F26,"")</f>
        <v>3903</v>
      </c>
      <c r="L27" s="46">
        <f>F27*Information!E27</f>
        <v>18</v>
      </c>
      <c r="M27" s="46">
        <f>IF(Information!J27&lt;0.001,(Calcu!G27+Calcu!K27)*Information!J27,Information!J27*2)</f>
        <v>1.5914000000000001</v>
      </c>
      <c r="N27" s="46">
        <f>Information!F27*2</f>
        <v>2</v>
      </c>
      <c r="O27" s="46">
        <f>IFERROR((G27+K27*Information!D27)*rf*Calcu!F27/360,0)</f>
        <v>43.662399999999998</v>
      </c>
      <c r="P27" s="50">
        <f>MAX(Q27*Information!K27/(1+Information!K27),0)</f>
        <v>0</v>
      </c>
      <c r="Q27" s="50">
        <f t="shared" si="1"/>
        <v>-151</v>
      </c>
      <c r="R27" s="50">
        <f t="shared" si="2"/>
        <v>65.253799999999998</v>
      </c>
      <c r="S27" s="52" t="str">
        <f t="shared" si="3"/>
        <v>inverse</v>
      </c>
      <c r="T27" s="53">
        <f>IF(Q27&gt;R27,(Q27-R27)/(G27+K27*Information!D27)*(360/Calcu!F27),0)</f>
        <v>0</v>
      </c>
      <c r="U27" s="53">
        <f>IF(Q27&gt;R27,(Q27-R27)/(G27)*(360/Calcu!F27),0)</f>
        <v>0</v>
      </c>
      <c r="V27" s="68">
        <f>IF(Q27&gt;R27,(Q27-R27-G27*0.8*mf*F27)/(G27-G27*0.8+K27*Information!D27)*(360/Calcu!F27),0)</f>
        <v>0</v>
      </c>
      <c r="AA27" s="77" t="str">
        <f>IF($T27&lt;=0,"",RANK(T27,T$3:T$43)+COUNTIF(T$3:T27,T27)-1)</f>
        <v/>
      </c>
      <c r="BY27" s="41">
        <v>1</v>
      </c>
    </row>
    <row r="28" spans="2:77" x14ac:dyDescent="0.15">
      <c r="B28" s="67" t="str">
        <f>Information!B28</f>
        <v>WR</v>
      </c>
      <c r="C28" s="46">
        <f>Information!C28</f>
        <v>0</v>
      </c>
      <c r="D28" s="49">
        <v>1801</v>
      </c>
      <c r="E28" s="49">
        <v>1805</v>
      </c>
      <c r="F28" s="46">
        <f t="shared" si="0"/>
        <v>120</v>
      </c>
      <c r="G28" s="46">
        <f>IFERROR(fetching!C27,0)</f>
        <v>0</v>
      </c>
      <c r="H28" s="46">
        <f>IFERROR(fetching!D27,"")</f>
        <v>0</v>
      </c>
      <c r="I28" s="46" t="str">
        <f>IFERROR(fetching!E27,"")</f>
        <v>WR1805.SHF</v>
      </c>
      <c r="J28" s="46">
        <f>IFERROR(fetching!F27,"")</f>
        <v>0</v>
      </c>
      <c r="K28" s="46">
        <f>IFERROR(fetching!F27,"")</f>
        <v>0</v>
      </c>
      <c r="L28" s="46">
        <f>F28*Information!E28</f>
        <v>18</v>
      </c>
      <c r="M28" s="46">
        <f>IF(Information!J28&lt;0.001,(Calcu!G28+Calcu!K28)*Information!J28,Information!J28*2)</f>
        <v>0</v>
      </c>
      <c r="N28" s="46">
        <f>Information!F28*2</f>
        <v>2</v>
      </c>
      <c r="O28" s="46">
        <f>IFERROR((G28+K28*Information!D28)*rf*Calcu!F28/360,0)</f>
        <v>0</v>
      </c>
      <c r="P28" s="50">
        <f>MAX(Q28*Information!K28/(1+Information!K28),0)</f>
        <v>0</v>
      </c>
      <c r="Q28" s="50">
        <f t="shared" si="1"/>
        <v>0</v>
      </c>
      <c r="R28" s="50">
        <f t="shared" si="2"/>
        <v>20</v>
      </c>
      <c r="S28" s="52" t="str">
        <f t="shared" si="3"/>
        <v>inverse</v>
      </c>
      <c r="T28" s="53">
        <f>IF(Q28&gt;R28,(Q28-R28)/(G28+K28*Information!D28)*(360/Calcu!F28),0)</f>
        <v>0</v>
      </c>
      <c r="U28" s="53">
        <f>IF(Q28&gt;R28,(Q28-R28)/(G28)*(360/Calcu!F28),0)</f>
        <v>0</v>
      </c>
      <c r="V28" s="68">
        <f>IF(Q28&gt;R28,(Q28-R28-G28*0.8*mf*F28)/(G28-G28*0.8+K28*Information!D28)*(360/Calcu!F28),0)</f>
        <v>0</v>
      </c>
      <c r="AA28" s="77" t="str">
        <f>IF($T28&lt;=0,"",RANK(T28,T$3:T$43)+COUNTIF(T$3:T28,T28)-1)</f>
        <v/>
      </c>
      <c r="BY28" s="41">
        <v>1</v>
      </c>
    </row>
    <row r="29" spans="2:77" x14ac:dyDescent="0.15">
      <c r="B29" s="67" t="str">
        <f>Information!B29</f>
        <v>RU</v>
      </c>
      <c r="C29" s="46">
        <f>Information!C29</f>
        <v>1</v>
      </c>
      <c r="D29" s="49">
        <v>1801</v>
      </c>
      <c r="E29" s="49">
        <v>1805</v>
      </c>
      <c r="F29" s="46">
        <f t="shared" si="0"/>
        <v>120</v>
      </c>
      <c r="G29" s="46">
        <f>IFERROR(fetching!C28,0)</f>
        <v>16445</v>
      </c>
      <c r="H29" s="46">
        <f>IFERROR(fetching!D28,"")</f>
        <v>0</v>
      </c>
      <c r="I29" s="46" t="str">
        <f>IFERROR(fetching!E28,"")</f>
        <v>RU1805.SHF</v>
      </c>
      <c r="J29" s="46">
        <f>IFERROR(fetching!F28,"")</f>
        <v>16825</v>
      </c>
      <c r="K29" s="46">
        <f>IFERROR(fetching!F28,"")</f>
        <v>16825</v>
      </c>
      <c r="L29" s="46">
        <f>F29*Information!E29</f>
        <v>120</v>
      </c>
      <c r="M29" s="46">
        <f>IF(Information!J29&lt;0.001,(Calcu!G29+Calcu!K29)*Information!J29,Information!J29*2)</f>
        <v>1.4971499999999998</v>
      </c>
      <c r="N29" s="46">
        <f>Information!F29*2</f>
        <v>8</v>
      </c>
      <c r="O29" s="46">
        <f>IFERROR((G29+K29*Information!D29)*rf*Calcu!F29/360,0)</f>
        <v>177.91000000000003</v>
      </c>
      <c r="P29" s="50">
        <f>MAX(Q29*Information!K29/(1+Information!K29),0)</f>
        <v>43.716814159292035</v>
      </c>
      <c r="Q29" s="50">
        <f>IF(C29=1,IF(G29*K29=0,0,K29-G29),0)</f>
        <v>380</v>
      </c>
      <c r="R29" s="50">
        <f t="shared" si="2"/>
        <v>351.12396415929203</v>
      </c>
      <c r="S29" s="52" t="str">
        <f t="shared" si="3"/>
        <v>full carry</v>
      </c>
      <c r="T29" s="53">
        <f>IF(Q29&gt;R29,(Q29-R29)/(G29+K29*Information!D29)*(360/Calcu!F29),0)</f>
        <v>4.8692095734991798E-3</v>
      </c>
      <c r="U29" s="53">
        <f>IF(Q29&gt;R29,(Q29-R29)/(G29)*(360/Calcu!F29),0)</f>
        <v>5.2677474929841237E-3</v>
      </c>
      <c r="V29" s="68">
        <f>IF(Q29&gt;R29,(Q29-R29-G29*0.8*mf*F29)/(G29-G29*0.8+K29*Information!D29)*(360/Calcu!F29),0)</f>
        <v>-3.2401271300512645E-2</v>
      </c>
      <c r="AA29" s="77">
        <f>IF($T29&lt;=0,"",RANK(T29,T$3:T$43)+COUNTIF(T$3:T29,T29)-1)</f>
        <v>2</v>
      </c>
      <c r="BY29" s="41">
        <v>1</v>
      </c>
    </row>
    <row r="30" spans="2:77" x14ac:dyDescent="0.15">
      <c r="B30" s="67" t="str">
        <f>Information!B30</f>
        <v>BU</v>
      </c>
      <c r="C30" s="46">
        <f>Information!C30</f>
        <v>1</v>
      </c>
      <c r="D30" s="49">
        <v>1712</v>
      </c>
      <c r="E30" s="49">
        <v>1806</v>
      </c>
      <c r="F30" s="46">
        <f t="shared" si="0"/>
        <v>180</v>
      </c>
      <c r="G30" s="46">
        <f>IFERROR(fetching!C29,0)</f>
        <v>2718</v>
      </c>
      <c r="H30" s="46">
        <f>IFERROR(fetching!D29,"")</f>
        <v>0</v>
      </c>
      <c r="I30" s="46" t="str">
        <f>IFERROR(fetching!E29,"")</f>
        <v>BU1806.SHF</v>
      </c>
      <c r="J30" s="46">
        <f>IFERROR(fetching!F29,"")</f>
        <v>2862</v>
      </c>
      <c r="K30" s="46">
        <f>IFERROR(fetching!F29,"")</f>
        <v>2862</v>
      </c>
      <c r="L30" s="46">
        <f>F30*Information!E30</f>
        <v>270</v>
      </c>
      <c r="M30" s="46">
        <f>IF(Information!J30&lt;0.001,(Calcu!G30+Calcu!K30)*Information!J30,Information!J30*2)</f>
        <v>1.1160000000000001</v>
      </c>
      <c r="N30" s="46">
        <f>Information!F30*2</f>
        <v>2</v>
      </c>
      <c r="O30" s="46">
        <f>IFERROR((G30+K30*Information!D30)*rf*Calcu!F30/360,0)</f>
        <v>44.2044</v>
      </c>
      <c r="P30" s="50">
        <f>MAX(Q30*Information!K30/(1+Information!K30),0)</f>
        <v>20.923076923076923</v>
      </c>
      <c r="Q30" s="50">
        <f t="shared" si="1"/>
        <v>144</v>
      </c>
      <c r="R30" s="50">
        <f t="shared" si="2"/>
        <v>338.24347692307691</v>
      </c>
      <c r="S30" s="52" t="str">
        <f t="shared" si="3"/>
        <v>carry</v>
      </c>
      <c r="T30" s="53">
        <f>IF(Q30&gt;R30,(Q30-R30)/(G30+K30*Information!D30)*(360/Calcu!F30),0)</f>
        <v>0</v>
      </c>
      <c r="U30" s="53">
        <f>IF(Q30&gt;R30,(Q30-R30)/(G30)*(360/Calcu!F30),0)</f>
        <v>0</v>
      </c>
      <c r="V30" s="68">
        <f>IF(Q30&gt;R30,(Q30-R30-G30*0.8*mf*F30)/(G30-G30*0.8+K30*Information!D30)*(360/Calcu!F30),0)</f>
        <v>0</v>
      </c>
      <c r="AA30" s="77" t="str">
        <f>IF($T30&lt;=0,"",RANK(T30,T$3:T$43)+COUNTIF(T$3:T30,T30)-1)</f>
        <v/>
      </c>
      <c r="BY30" s="41">
        <v>1</v>
      </c>
    </row>
    <row r="31" spans="2:77" x14ac:dyDescent="0.15">
      <c r="B31" s="67" t="str">
        <f>Information!B31</f>
        <v>FU</v>
      </c>
      <c r="C31" s="46">
        <f>Information!C31</f>
        <v>0</v>
      </c>
      <c r="D31" s="49">
        <v>1801</v>
      </c>
      <c r="E31" s="49">
        <v>1801</v>
      </c>
      <c r="F31" s="46">
        <f t="shared" si="0"/>
        <v>0</v>
      </c>
      <c r="G31" s="46">
        <f>IFERROR(fetching!C30,0)</f>
        <v>4240</v>
      </c>
      <c r="H31" s="46">
        <f>IFERROR(fetching!D30,"")</f>
        <v>0</v>
      </c>
      <c r="I31" s="46" t="str">
        <f>IFERROR(fetching!E30,"")</f>
        <v>FU1801.SHF</v>
      </c>
      <c r="J31" s="46">
        <f>IFERROR(fetching!F30,"")</f>
        <v>0</v>
      </c>
      <c r="K31" s="46">
        <f>IFERROR(fetching!F30,"")</f>
        <v>0</v>
      </c>
      <c r="L31" s="46">
        <f>F31*Information!E31</f>
        <v>0</v>
      </c>
      <c r="M31" s="46">
        <f>IFERROR(IF(Information!J31&lt;0.001,(Calcu!G31+Calcu!K31)*Information!J31,Information!J31*2),0)</f>
        <v>0.1696</v>
      </c>
      <c r="N31" s="46">
        <f>Information!F31*2</f>
        <v>2</v>
      </c>
      <c r="O31" s="46">
        <f>IFERROR((G31+K31*Information!D31)*rf*Calcu!F31/360,0)</f>
        <v>0</v>
      </c>
      <c r="P31" s="50">
        <f>MAX(Q31*Information!K31/(1+Information!K31),0)</f>
        <v>0</v>
      </c>
      <c r="Q31" s="50">
        <f t="shared" si="1"/>
        <v>0</v>
      </c>
      <c r="R31" s="50">
        <f>SUM(L31:P31)</f>
        <v>2.1696</v>
      </c>
      <c r="S31" s="52" t="str">
        <f t="shared" si="3"/>
        <v>inverse</v>
      </c>
      <c r="T31" s="53">
        <f>IF(Q31&gt;R31,(Q31-R31)/(G31+K31*Information!D31)*(360/Calcu!F31),0)</f>
        <v>0</v>
      </c>
      <c r="U31" s="53">
        <f>IF(Q31&gt;R31,(Q31-R31)/(G31)*(360/Calcu!F31),0)</f>
        <v>0</v>
      </c>
      <c r="V31" s="68">
        <f>IF(Q31&gt;R31,(Q31-R31-G31*0.8*mf*F31)/(G31-G31*0.8+K31*Information!D31)*(360/Calcu!F31),0)</f>
        <v>0</v>
      </c>
      <c r="AA31" s="77" t="str">
        <f>IF($T31&lt;=0,"",RANK(T31,T$3:T$43)+COUNTIF(T$3:T31,T31)-1)</f>
        <v/>
      </c>
      <c r="BY31" s="41">
        <v>1</v>
      </c>
    </row>
    <row r="32" spans="2:77" x14ac:dyDescent="0.15">
      <c r="B32" s="67" t="str">
        <f>Information!B32</f>
        <v>TA</v>
      </c>
      <c r="C32" s="46">
        <f>Information!C32</f>
        <v>1</v>
      </c>
      <c r="D32" s="49">
        <v>801</v>
      </c>
      <c r="E32" s="49">
        <v>805</v>
      </c>
      <c r="F32" s="46">
        <f t="shared" si="0"/>
        <v>120</v>
      </c>
      <c r="G32" s="46">
        <f>IFERROR(fetching!C31,0)</f>
        <v>5282</v>
      </c>
      <c r="H32" s="46">
        <f>IFERROR(fetching!D31,"")</f>
        <v>0</v>
      </c>
      <c r="I32" s="46" t="str">
        <f>IFERROR(fetching!E31,"")</f>
        <v>TA805.CZC</v>
      </c>
      <c r="J32" s="46">
        <f>IFERROR(fetching!F31,"")</f>
        <v>5230</v>
      </c>
      <c r="K32" s="46">
        <f>IFERROR(fetching!F31,"")</f>
        <v>5230</v>
      </c>
      <c r="L32" s="46">
        <f>F32*Information!E32</f>
        <v>60</v>
      </c>
      <c r="M32" s="46">
        <f>IF(Information!J32&lt;0.001,(Calcu!G32+Calcu!K32)*Information!J32,Information!J32*2)</f>
        <v>3.2</v>
      </c>
      <c r="N32" s="46">
        <f>Information!F32*2</f>
        <v>4</v>
      </c>
      <c r="O32" s="46">
        <f>IFERROR((G32+K32*Information!D32)*rf*Calcu!F32/360,0)</f>
        <v>55.435000000000009</v>
      </c>
      <c r="P32" s="50">
        <f>MAX(Q32*Information!K32/(1+Information!K32),0)</f>
        <v>0</v>
      </c>
      <c r="Q32" s="50">
        <f t="shared" si="1"/>
        <v>-52</v>
      </c>
      <c r="R32" s="50">
        <f t="shared" si="2"/>
        <v>122.63500000000002</v>
      </c>
      <c r="S32" s="52" t="str">
        <f t="shared" si="3"/>
        <v>inverse</v>
      </c>
      <c r="T32" s="53">
        <f>IF(Q32&gt;R32,(Q32-R32)/(G32+K32*Information!D32)*(360/Calcu!F32),0)</f>
        <v>0</v>
      </c>
      <c r="U32" s="53">
        <f>IF(Q32&gt;R32,(Q32-R32)/(G32)*(360/Calcu!F32),0)</f>
        <v>0</v>
      </c>
      <c r="V32" s="68">
        <f>IF(Q32&gt;R32,(Q32-R32-G32*0.75*mf*F32)/(G32-G32*0.75+K32*Information!D32)*(360/Calcu!F32),0)</f>
        <v>0</v>
      </c>
      <c r="W32" s="42"/>
      <c r="X32" s="42"/>
      <c r="Y32" s="42"/>
      <c r="Z32" s="42"/>
      <c r="AA32" s="77" t="str">
        <f>IF($T32&lt;=0,"",RANK(T32,T$3:T$43)+COUNTIF(T$3:T32,T32)-1)</f>
        <v/>
      </c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1">
        <v>1</v>
      </c>
    </row>
    <row r="33" spans="2:77" x14ac:dyDescent="0.15">
      <c r="B33" s="67" t="str">
        <f>Information!B33</f>
        <v>MA</v>
      </c>
      <c r="C33" s="46">
        <f>Information!C33</f>
        <v>1</v>
      </c>
      <c r="D33" s="49">
        <v>801</v>
      </c>
      <c r="E33" s="49">
        <v>805</v>
      </c>
      <c r="F33" s="46">
        <f t="shared" si="0"/>
        <v>120</v>
      </c>
      <c r="G33" s="46">
        <f>IFERROR(fetching!C32,0)</f>
        <v>2846</v>
      </c>
      <c r="H33" s="46">
        <f>IFERROR(fetching!D32,"")</f>
        <v>0</v>
      </c>
      <c r="I33" s="46" t="str">
        <f>IFERROR(fetching!E32,"")</f>
        <v>MA805.CZC</v>
      </c>
      <c r="J33" s="46">
        <f>IFERROR(fetching!F32,"")</f>
        <v>2807</v>
      </c>
      <c r="K33" s="46">
        <f>IFERROR(fetching!F32,"")</f>
        <v>2807</v>
      </c>
      <c r="L33" s="46">
        <f>F33*Information!E33</f>
        <v>180</v>
      </c>
      <c r="M33" s="46">
        <f>IF(Information!J33&lt;0.001,(Calcu!G33+Calcu!K33)*Information!J33,Information!J33*2)</f>
        <v>0.6</v>
      </c>
      <c r="N33" s="46">
        <f>Information!F33*2</f>
        <v>2</v>
      </c>
      <c r="O33" s="46">
        <f>IFERROR((G33+K33*Information!D33)*rf*Calcu!F33/360,0)</f>
        <v>29.863499999999995</v>
      </c>
      <c r="P33" s="50">
        <f>MAX(Q33*Information!K33/(1+Information!K33),0)</f>
        <v>0</v>
      </c>
      <c r="Q33" s="50">
        <f t="shared" si="1"/>
        <v>-39</v>
      </c>
      <c r="R33" s="50">
        <f t="shared" si="2"/>
        <v>212.46349999999998</v>
      </c>
      <c r="S33" s="52" t="str">
        <f t="shared" si="3"/>
        <v>inverse</v>
      </c>
      <c r="T33" s="53">
        <f>IF(Q33&gt;R33,(Q33-R33)/(G33+K33*Information!D33)*(360/Calcu!F33),0)</f>
        <v>0</v>
      </c>
      <c r="U33" s="53">
        <f>IF(Q33&gt;R33,(Q33-R33)/(G33)*(360/Calcu!F33),0)</f>
        <v>0</v>
      </c>
      <c r="V33" s="68">
        <f>IF(Q33&gt;R33,(Q33-R33-G33*0.75*mf*F33)/(G33-G33*0.75+K33*Information!D33)*(360/Calcu!F33),0)</f>
        <v>0</v>
      </c>
      <c r="AA33" s="77" t="str">
        <f>IF($T33&lt;=0,"",RANK(T33,T$3:T$43)+COUNTIF(T$3:T33,T33)-1)</f>
        <v/>
      </c>
      <c r="BY33" s="41">
        <v>1</v>
      </c>
    </row>
    <row r="34" spans="2:77" x14ac:dyDescent="0.15">
      <c r="B34" s="67" t="str">
        <f>Information!B34</f>
        <v>FG</v>
      </c>
      <c r="C34" s="46">
        <f>Information!C34</f>
        <v>1</v>
      </c>
      <c r="D34" s="49">
        <v>801</v>
      </c>
      <c r="E34" s="49">
        <v>805</v>
      </c>
      <c r="F34" s="46">
        <f t="shared" si="0"/>
        <v>120</v>
      </c>
      <c r="G34" s="46">
        <f>IFERROR(fetching!C33,0)</f>
        <v>1435</v>
      </c>
      <c r="H34" s="46">
        <f>IFERROR(fetching!D33,"")</f>
        <v>0</v>
      </c>
      <c r="I34" s="46" t="str">
        <f>IFERROR(fetching!E33,"")</f>
        <v>FG805.CZC</v>
      </c>
      <c r="J34" s="46">
        <f>IFERROR(fetching!F33,"")</f>
        <v>1413</v>
      </c>
      <c r="K34" s="46">
        <f>IFERROR(fetching!F33,"")</f>
        <v>1413</v>
      </c>
      <c r="L34" s="46">
        <f>F34*Information!E34</f>
        <v>30</v>
      </c>
      <c r="M34" s="46">
        <f>IF(Information!J34&lt;0.001,(Calcu!G34+Calcu!K34)*Information!J34,Information!J34*2)</f>
        <v>0.6</v>
      </c>
      <c r="N34" s="46">
        <f>Information!F34*2</f>
        <v>2</v>
      </c>
      <c r="O34" s="46">
        <f>IFERROR((G34+K34*Information!D34)*rf*Calcu!F34/360,0)</f>
        <v>15.0565</v>
      </c>
      <c r="P34" s="50">
        <f>MAX(Q34*Information!K34/(1+Information!K34),0)</f>
        <v>0</v>
      </c>
      <c r="Q34" s="50">
        <f t="shared" si="1"/>
        <v>-22</v>
      </c>
      <c r="R34" s="50">
        <f t="shared" si="2"/>
        <v>47.656500000000001</v>
      </c>
      <c r="S34" s="52" t="str">
        <f t="shared" si="3"/>
        <v>inverse</v>
      </c>
      <c r="T34" s="53">
        <f>IF(Q34&gt;R34,(Q34-R34)/(G34+K34*Information!D34)*(360/Calcu!F34),0)</f>
        <v>0</v>
      </c>
      <c r="U34" s="53">
        <f>IF(Q34&gt;R34,(Q34-R34)/(G34)*(360/Calcu!F34),0)</f>
        <v>0</v>
      </c>
      <c r="V34" s="68">
        <f>IF(Q34&gt;R34,(Q34-R34-G34*0.75*mf*F34)/(G34-G34*0.75+K34*Information!D34)*(360/Calcu!F34),0)</f>
        <v>0</v>
      </c>
      <c r="AA34" s="77" t="str">
        <f>IF($T34&lt;=0,"",RANK(T34,T$3:T$43)+COUNTIF(T$3:T34,T34)-1)</f>
        <v/>
      </c>
      <c r="BY34" s="41">
        <v>1</v>
      </c>
    </row>
    <row r="35" spans="2:77" x14ac:dyDescent="0.15">
      <c r="B35" s="67" t="str">
        <f>Information!B35</f>
        <v>ZC</v>
      </c>
      <c r="C35" s="46">
        <f>Information!C35</f>
        <v>1</v>
      </c>
      <c r="D35" s="49">
        <v>801</v>
      </c>
      <c r="E35" s="49">
        <v>805</v>
      </c>
      <c r="F35" s="46">
        <f t="shared" si="0"/>
        <v>120</v>
      </c>
      <c r="G35" s="46">
        <f>IFERROR(fetching!C34,0)</f>
        <v>611.20000000000005</v>
      </c>
      <c r="H35" s="46">
        <f>IFERROR(fetching!D34,"")</f>
        <v>0</v>
      </c>
      <c r="I35" s="46" t="str">
        <f>IFERROR(fetching!E34,"")</f>
        <v>ZC805.CZC</v>
      </c>
      <c r="J35" s="46">
        <f>IFERROR(fetching!F34,"")</f>
        <v>572.20000000000005</v>
      </c>
      <c r="K35" s="46">
        <f>IFERROR(fetching!F34,"")</f>
        <v>572.20000000000005</v>
      </c>
      <c r="L35" s="46">
        <f>F35*Information!E35</f>
        <v>6</v>
      </c>
      <c r="M35" s="46">
        <f>IF(Information!J35&lt;0.001,(Calcu!G35+Calcu!K35)*Information!J35,Information!J35*2)</f>
        <v>0.08</v>
      </c>
      <c r="N35" s="46">
        <f>Information!F35*2</f>
        <v>2</v>
      </c>
      <c r="O35" s="46">
        <f>IFERROR((G35+K35*Information!D35)*rf*Calcu!F35/360,0)</f>
        <v>6.3981000000000003</v>
      </c>
      <c r="P35" s="50">
        <f>MAX(Q35*Information!K35/(1+Information!K35),0)</f>
        <v>0</v>
      </c>
      <c r="Q35" s="50">
        <f t="shared" si="1"/>
        <v>-39</v>
      </c>
      <c r="R35" s="50">
        <f t="shared" si="2"/>
        <v>14.478100000000001</v>
      </c>
      <c r="S35" s="52" t="str">
        <f t="shared" si="3"/>
        <v>inverse</v>
      </c>
      <c r="T35" s="53">
        <f>IF(Q35&gt;R35,(Q35-R35)/(G35+K35*Information!D35)*(360/Calcu!F35),0)</f>
        <v>0</v>
      </c>
      <c r="U35" s="53">
        <f>IF(Q35&gt;R35,(Q35-R35)/(G35)*(360/Calcu!F35),0)</f>
        <v>0</v>
      </c>
      <c r="V35" s="68">
        <f>IF(Q35&gt;R35,(Q35-R35-G35*0.75*mf*F35)/(G35-G35*0.75+K35*Information!D35)*(360/Calcu!F35),0)</f>
        <v>0</v>
      </c>
      <c r="AA35" s="77" t="str">
        <f>IF($T35&lt;=0,"",RANK(T35,T$3:T$43)+COUNTIF(T$3:T35,T35)-1)</f>
        <v/>
      </c>
      <c r="BY35" s="41">
        <v>1</v>
      </c>
    </row>
    <row r="36" spans="2:77" x14ac:dyDescent="0.15">
      <c r="B36" s="67" t="str">
        <f>Information!B36</f>
        <v>SF</v>
      </c>
      <c r="C36" s="46">
        <f>Information!C36</f>
        <v>1</v>
      </c>
      <c r="D36" s="49">
        <v>801</v>
      </c>
      <c r="E36" s="49">
        <v>805</v>
      </c>
      <c r="F36" s="46">
        <f t="shared" si="0"/>
        <v>120</v>
      </c>
      <c r="G36" s="46">
        <f>IFERROR(fetching!C35,0)</f>
        <v>7106</v>
      </c>
      <c r="H36" s="46">
        <f>IFERROR(fetching!D35,"")</f>
        <v>0</v>
      </c>
      <c r="I36" s="46" t="str">
        <f>IFERROR(fetching!E35,"")</f>
        <v>SF805.CZC</v>
      </c>
      <c r="J36" s="46">
        <f>IFERROR(fetching!F35,"")</f>
        <v>0</v>
      </c>
      <c r="K36" s="46">
        <f>IFERROR(fetching!F35,"")</f>
        <v>0</v>
      </c>
      <c r="L36" s="46">
        <f>F36*Information!E36</f>
        <v>54</v>
      </c>
      <c r="M36" s="46">
        <f>IF(Information!J36&lt;0.001,(Calcu!G36+Calcu!K36)*Information!J36,Information!J36*2)</f>
        <v>2</v>
      </c>
      <c r="N36" s="46">
        <f>Information!F36*2</f>
        <v>2</v>
      </c>
      <c r="O36" s="46">
        <f>IFERROR((G36+K36*Information!D36)*rf*Calcu!F36/360,0)</f>
        <v>71.06</v>
      </c>
      <c r="P36" s="50">
        <f>MAX(Q36*Information!K36/(1+Information!K36),0)</f>
        <v>0</v>
      </c>
      <c r="Q36" s="50">
        <f t="shared" si="1"/>
        <v>0</v>
      </c>
      <c r="R36" s="50">
        <f t="shared" si="2"/>
        <v>129.06</v>
      </c>
      <c r="S36" s="52" t="str">
        <f t="shared" si="3"/>
        <v>inverse</v>
      </c>
      <c r="T36" s="53">
        <f>IF(Q36&gt;R36,(Q36-R36)/(G36+K36*Information!D36)*(360/Calcu!F36),0)</f>
        <v>0</v>
      </c>
      <c r="U36" s="53">
        <f>IF(Q36&gt;R36,(Q36-R36)/(G36)*(360/Calcu!F36),0)</f>
        <v>0</v>
      </c>
      <c r="V36" s="68">
        <f>IF(Q36&gt;R36,(Q36-R36-G36*0.75*mf*F36)/(G36-G36*0.75+K36*Information!D36)*(360/Calcu!F36),0)</f>
        <v>0</v>
      </c>
      <c r="AA36" s="77" t="str">
        <f>IF($T36&lt;=0,"",RANK(T36,T$3:T$43)+COUNTIF(T$3:T36,T36)-1)</f>
        <v/>
      </c>
      <c r="BY36" s="41">
        <v>1</v>
      </c>
    </row>
    <row r="37" spans="2:77" x14ac:dyDescent="0.15">
      <c r="B37" s="67" t="str">
        <f>Information!B37</f>
        <v>SM</v>
      </c>
      <c r="C37" s="46">
        <f>Information!C37</f>
        <v>0</v>
      </c>
      <c r="D37" s="49">
        <v>801</v>
      </c>
      <c r="E37" s="49">
        <v>805</v>
      </c>
      <c r="F37" s="46">
        <f t="shared" si="0"/>
        <v>120</v>
      </c>
      <c r="G37" s="46">
        <f>IFERROR(fetching!C36,0)</f>
        <v>7306</v>
      </c>
      <c r="H37" s="46">
        <f>IFERROR(fetching!D36,"")</f>
        <v>0</v>
      </c>
      <c r="I37" s="46" t="str">
        <f>IFERROR(fetching!E36,"")</f>
        <v>SM805.CZC</v>
      </c>
      <c r="J37" s="46">
        <f>IFERROR(fetching!F36,"")</f>
        <v>7182</v>
      </c>
      <c r="K37" s="46">
        <f>IFERROR(fetching!F36,"")</f>
        <v>7182</v>
      </c>
      <c r="L37" s="46">
        <f>F37*Information!E37</f>
        <v>54</v>
      </c>
      <c r="M37" s="46">
        <f>IF(Information!J37&lt;0.001,(Calcu!G37+Calcu!K37)*Information!J37,Information!J37*2)</f>
        <v>2</v>
      </c>
      <c r="N37" s="46">
        <f>Information!F37*2</f>
        <v>2</v>
      </c>
      <c r="O37" s="46">
        <f>IFERROR((G37+K37*Information!D37)*rf*Calcu!F37/360,0)</f>
        <v>76.650999999999996</v>
      </c>
      <c r="P37" s="50">
        <f>MAX(Q37*Information!K37/(1+Information!K37),0)</f>
        <v>0</v>
      </c>
      <c r="Q37" s="50">
        <f t="shared" si="1"/>
        <v>0</v>
      </c>
      <c r="R37" s="50">
        <f t="shared" si="2"/>
        <v>134.65100000000001</v>
      </c>
      <c r="S37" s="52" t="str">
        <f t="shared" si="3"/>
        <v>inverse</v>
      </c>
      <c r="T37" s="53">
        <f>IF(Q37&gt;R37,(Q37-R37)/(G37+K37*Information!D37)*(360/Calcu!F37),0)</f>
        <v>0</v>
      </c>
      <c r="U37" s="53">
        <f>IF(Q37&gt;R37,(Q37-R37)/(G37)*(360/Calcu!F37),0)</f>
        <v>0</v>
      </c>
      <c r="V37" s="68">
        <f>IF(Q37&gt;R37,(Q37-R37-G37*0.75*mf*F37)/(G37-G37*0.75+K37*Information!D37)*(360/Calcu!F37),0)</f>
        <v>0</v>
      </c>
      <c r="AA37" s="77" t="str">
        <f>IF($T37&lt;=0,"",RANK(T37,T$3:T$43)+COUNTIF(T$3:T37,T37)-1)</f>
        <v/>
      </c>
      <c r="BY37" s="41">
        <v>1</v>
      </c>
    </row>
    <row r="38" spans="2:77" x14ac:dyDescent="0.15">
      <c r="B38" s="67" t="str">
        <f>Information!B38</f>
        <v>SR</v>
      </c>
      <c r="C38" s="46">
        <f>Information!C38</f>
        <v>1</v>
      </c>
      <c r="D38" s="49">
        <v>801</v>
      </c>
      <c r="E38" s="49">
        <v>805</v>
      </c>
      <c r="F38" s="46">
        <f t="shared" si="0"/>
        <v>120</v>
      </c>
      <c r="G38" s="46">
        <f>IFERROR(fetching!C37,0)</f>
        <v>6467</v>
      </c>
      <c r="H38" s="46">
        <f>IFERROR(fetching!D37,"")</f>
        <v>0</v>
      </c>
      <c r="I38" s="46" t="str">
        <f>IFERROR(fetching!E37,"")</f>
        <v>SR805.CZC</v>
      </c>
      <c r="J38" s="46">
        <f>IFERROR(fetching!F37,"")</f>
        <v>6311</v>
      </c>
      <c r="K38" s="46">
        <f>IFERROR(fetching!F37,"")</f>
        <v>6311</v>
      </c>
      <c r="L38" s="46">
        <f>F38*Information!E38</f>
        <v>54</v>
      </c>
      <c r="M38" s="46">
        <f>IF(Information!J38&lt;0.001,(Calcu!G38+Calcu!K38)*Information!J38,Information!J38*2)</f>
        <v>1.6</v>
      </c>
      <c r="N38" s="46">
        <f>Information!F38*2</f>
        <v>2</v>
      </c>
      <c r="O38" s="46">
        <f>IFERROR((G38+K38*Information!D38)*rf*Calcu!F38/360,0)</f>
        <v>67.825500000000005</v>
      </c>
      <c r="P38" s="50">
        <f>MAX(Q38*Information!K38/(1+Information!K38),0)</f>
        <v>0</v>
      </c>
      <c r="Q38" s="50">
        <f t="shared" si="1"/>
        <v>-156</v>
      </c>
      <c r="R38" s="50">
        <f t="shared" si="2"/>
        <v>125.4255</v>
      </c>
      <c r="S38" s="52" t="str">
        <f t="shared" si="3"/>
        <v>inverse</v>
      </c>
      <c r="T38" s="53">
        <f>IF(Q38&gt;R38,(Q38-R38)/(G38+K38*Information!D38)*(360/Calcu!F38),0)</f>
        <v>0</v>
      </c>
      <c r="U38" s="53">
        <f>IF(Q38&gt;R38,(Q38-R38)/(G38)*(360/Calcu!F38),0)</f>
        <v>0</v>
      </c>
      <c r="V38" s="68">
        <f>IF(Q38&gt;R38,(Q38-R38-G38*0.75*mf*F38)/(G38-G38*0.75+K38*Information!D38)*(360/Calcu!F38),0)</f>
        <v>0</v>
      </c>
      <c r="AA38" s="77" t="str">
        <f>IF($T38&lt;=0,"",RANK(T38,T$3:T$43)+COUNTIF(T$3:T38,T38)-1)</f>
        <v/>
      </c>
      <c r="BY38" s="41">
        <v>1</v>
      </c>
    </row>
    <row r="39" spans="2:77" x14ac:dyDescent="0.15">
      <c r="B39" s="67" t="str">
        <f>Information!B39</f>
        <v>CF</v>
      </c>
      <c r="C39" s="46">
        <f>Information!C39</f>
        <v>1</v>
      </c>
      <c r="D39" s="49">
        <v>801</v>
      </c>
      <c r="E39" s="49">
        <v>805</v>
      </c>
      <c r="F39" s="46">
        <f t="shared" si="0"/>
        <v>120</v>
      </c>
      <c r="G39" s="46">
        <f>IFERROR(fetching!C38,0)</f>
        <v>15295</v>
      </c>
      <c r="H39" s="46">
        <f>IFERROR(fetching!D38,"")</f>
        <v>0</v>
      </c>
      <c r="I39" s="46" t="str">
        <f>IFERROR(fetching!E38,"")</f>
        <v>CF805.CZC</v>
      </c>
      <c r="J39" s="46">
        <f>IFERROR(fetching!F38,"")</f>
        <v>15270</v>
      </c>
      <c r="K39" s="46">
        <f>IFERROR(fetching!F38,"")</f>
        <v>15270</v>
      </c>
      <c r="L39" s="46">
        <f>F39*Information!E39</f>
        <v>72</v>
      </c>
      <c r="M39" s="46">
        <f>IF(Information!J39&lt;0.001,(Calcu!G39+Calcu!K39)*Information!J39,Information!J39*2)</f>
        <v>4.8</v>
      </c>
      <c r="N39" s="46">
        <f>Information!F39*2</f>
        <v>8</v>
      </c>
      <c r="O39" s="46">
        <f>IFERROR((G39+K39*Information!D39)*rf*Calcu!F39/360,0)</f>
        <v>160.58500000000001</v>
      </c>
      <c r="P39" s="50">
        <f>MAX(Q39*Information!K39/(1+Information!K39),0)</f>
        <v>0</v>
      </c>
      <c r="Q39" s="50">
        <f t="shared" si="1"/>
        <v>-25</v>
      </c>
      <c r="R39" s="50">
        <f t="shared" si="2"/>
        <v>245.38499999999999</v>
      </c>
      <c r="S39" s="52" t="str">
        <f t="shared" si="3"/>
        <v>inverse</v>
      </c>
      <c r="T39" s="53">
        <f>IF(Q39&gt;R39,(Q39-R39)/(G39+K39*Information!D39)*(360/Calcu!F39),0)</f>
        <v>0</v>
      </c>
      <c r="U39" s="53">
        <f>IF(Q39&gt;R39,(Q39-R39)/(G39)*(360/Calcu!F39),0)</f>
        <v>0</v>
      </c>
      <c r="V39" s="68">
        <f>IF(Q39&gt;R39,(Q39-R39-G39*0.75*mf*F39)/(G39-G39*0.75+K39*Information!D39)*(360/Calcu!F39),0)</f>
        <v>0</v>
      </c>
      <c r="AA39" s="77" t="str">
        <f>IF($T39&lt;=0,"",RANK(T39,T$3:T$43)+COUNTIF(T$3:T39,T39)-1)</f>
        <v/>
      </c>
      <c r="BY39" s="41">
        <v>1</v>
      </c>
    </row>
    <row r="40" spans="2:77" x14ac:dyDescent="0.15">
      <c r="B40" s="67" t="str">
        <f>Information!B40</f>
        <v>OI</v>
      </c>
      <c r="C40" s="46">
        <f>Information!C40</f>
        <v>1</v>
      </c>
      <c r="D40" s="49">
        <v>801</v>
      </c>
      <c r="E40" s="49">
        <v>805</v>
      </c>
      <c r="F40" s="46">
        <f t="shared" si="0"/>
        <v>120</v>
      </c>
      <c r="G40" s="46">
        <f>IFERROR(fetching!C39,0)</f>
        <v>6966</v>
      </c>
      <c r="H40" s="46">
        <f>IFERROR(fetching!D39,"")</f>
        <v>0</v>
      </c>
      <c r="I40" s="46" t="str">
        <f>IFERROR(fetching!E39,"")</f>
        <v>OI805.CZC</v>
      </c>
      <c r="J40" s="46">
        <f>IFERROR(fetching!F39,"")</f>
        <v>7088</v>
      </c>
      <c r="K40" s="46">
        <f>IFERROR(fetching!F39,"")</f>
        <v>7088</v>
      </c>
      <c r="L40" s="46">
        <f>F40*Information!E40</f>
        <v>108</v>
      </c>
      <c r="M40" s="46">
        <f>IF(Information!J40&lt;0.001,(Calcu!G40+Calcu!K40)*Information!J40,Information!J40*2)</f>
        <v>1.6</v>
      </c>
      <c r="N40" s="46">
        <f>Information!F40*2</f>
        <v>2</v>
      </c>
      <c r="O40" s="46">
        <f>IFERROR((G40+K40*Information!D40)*rf*Calcu!F40/360,0)</f>
        <v>73.203999999999994</v>
      </c>
      <c r="P40" s="50">
        <f>MAX(Q40*Information!K40/(1+Information!K40),0)</f>
        <v>14.035398230088498</v>
      </c>
      <c r="Q40" s="50">
        <f t="shared" si="1"/>
        <v>122</v>
      </c>
      <c r="R40" s="50">
        <f t="shared" si="2"/>
        <v>198.83939823008848</v>
      </c>
      <c r="S40" s="52" t="str">
        <f t="shared" si="3"/>
        <v>carry</v>
      </c>
      <c r="T40" s="53">
        <f>IF(Q40&gt;R40,(Q40-R40)/(G40+K40*Information!D40)*(360/Calcu!F40),0)</f>
        <v>0</v>
      </c>
      <c r="U40" s="53">
        <f>IF(Q40&gt;R40,(Q40-R40)/(G40)*(360/Calcu!F40),0)</f>
        <v>0</v>
      </c>
      <c r="V40" s="68">
        <f>IF(Q40&gt;R40,(Q40-R40-G40*0.75*mf*F40)/(G40-G40*0.75+K40*Information!D40)*(360/Calcu!F40),0)</f>
        <v>0</v>
      </c>
      <c r="AA40" s="77" t="str">
        <f>IF($T40&lt;=0,"",RANK(T40,T$3:T$43)+COUNTIF(T$3:T40,T40)-1)</f>
        <v/>
      </c>
      <c r="BY40" s="41">
        <v>1</v>
      </c>
    </row>
    <row r="41" spans="2:77" x14ac:dyDescent="0.15">
      <c r="B41" s="67" t="str">
        <f>Information!B41</f>
        <v>RS</v>
      </c>
      <c r="C41" s="46">
        <f>Information!C41</f>
        <v>0</v>
      </c>
      <c r="D41" s="49">
        <v>801</v>
      </c>
      <c r="E41" s="49">
        <v>805</v>
      </c>
      <c r="F41" s="46">
        <f t="shared" si="0"/>
        <v>120</v>
      </c>
      <c r="G41" s="46">
        <f>IFERROR(fetching!C40,0)</f>
        <v>0</v>
      </c>
      <c r="H41" s="46">
        <f>IFERROR(fetching!D40,"")</f>
        <v>0</v>
      </c>
      <c r="I41" s="46" t="str">
        <f>IFERROR(fetching!E40,"")</f>
        <v>RS805.CZC</v>
      </c>
      <c r="J41" s="46">
        <f>IFERROR(fetching!F40,"")</f>
        <v>0</v>
      </c>
      <c r="K41" s="46">
        <f>IFERROR(fetching!F40,"")</f>
        <v>0</v>
      </c>
      <c r="L41" s="46">
        <f>F41*Information!E41</f>
        <v>60</v>
      </c>
      <c r="M41" s="46">
        <f>IF(Information!J41&lt;0.001,(Calcu!G41+Calcu!K41)*Information!J41,Information!J41*2)</f>
        <v>1.6</v>
      </c>
      <c r="N41" s="46">
        <f>Information!F41*2</f>
        <v>2</v>
      </c>
      <c r="O41" s="46">
        <f>IFERROR((G41+K41*Information!D41)*rf*Calcu!F41/360,0)</f>
        <v>0</v>
      </c>
      <c r="P41" s="50">
        <f>MAX(Q41*Information!K41/(1+Information!K41),0)</f>
        <v>0</v>
      </c>
      <c r="Q41" s="50">
        <f t="shared" si="1"/>
        <v>0</v>
      </c>
      <c r="R41" s="50">
        <f t="shared" si="2"/>
        <v>63.6</v>
      </c>
      <c r="S41" s="52" t="str">
        <f t="shared" si="3"/>
        <v>inverse</v>
      </c>
      <c r="T41" s="53">
        <f>IF(Q41&gt;R41,(Q41-R41)/(G41+K41*Information!D41)*(360/Calcu!F41),0)</f>
        <v>0</v>
      </c>
      <c r="U41" s="53">
        <f>IF(Q41&gt;R41,(Q41-R41)/(G41)*(360/Calcu!F41),0)</f>
        <v>0</v>
      </c>
      <c r="V41" s="68">
        <f>IF(Q41&gt;R41,(Q41-R41-G41*0.75*mf*F41)/(G41-G41*0.75+K41*Information!D41)*(360/Calcu!F41),0)</f>
        <v>0</v>
      </c>
      <c r="AA41" s="77" t="str">
        <f>IF($T41&lt;=0,"",RANK(T41,T$3:T$43)+COUNTIF(T$3:T41,T41)-1)</f>
        <v/>
      </c>
      <c r="BY41" s="41">
        <v>11</v>
      </c>
    </row>
    <row r="42" spans="2:77" x14ac:dyDescent="0.15">
      <c r="B42" s="67" t="str">
        <f>Information!B42</f>
        <v>RM</v>
      </c>
      <c r="C42" s="46">
        <f>Information!C42</f>
        <v>0</v>
      </c>
      <c r="D42" s="49">
        <v>801</v>
      </c>
      <c r="E42" s="49">
        <v>805</v>
      </c>
      <c r="F42" s="46">
        <f t="shared" si="0"/>
        <v>120</v>
      </c>
      <c r="G42" s="46">
        <f>IFERROR(fetching!C41,0)</f>
        <v>2177</v>
      </c>
      <c r="H42" s="46">
        <f>IFERROR(fetching!D41,"")</f>
        <v>0</v>
      </c>
      <c r="I42" s="46" t="str">
        <f>IFERROR(fetching!E41,"")</f>
        <v>RM805.CZC</v>
      </c>
      <c r="J42" s="46">
        <f>IFERROR(fetching!F41,"")</f>
        <v>2197</v>
      </c>
      <c r="K42" s="46">
        <f>IFERROR(fetching!F41,"")</f>
        <v>2197</v>
      </c>
      <c r="L42" s="46">
        <f>F42*Information!E42</f>
        <v>60</v>
      </c>
      <c r="M42" s="46">
        <f>IF(Information!J42&lt;0.001,(Calcu!G42+Calcu!K42)*Information!J42,Information!J42*2)</f>
        <v>1.2</v>
      </c>
      <c r="N42" s="46">
        <f>Information!F42*2</f>
        <v>2</v>
      </c>
      <c r="O42" s="46">
        <f>IFERROR((G42+K42*Information!D42)*rf*Calcu!F42/360,0)</f>
        <v>22.868500000000001</v>
      </c>
      <c r="P42" s="50">
        <f>MAX(Q42*Information!K42/(1+Information!K42),0)</f>
        <v>0</v>
      </c>
      <c r="Q42" s="50">
        <f t="shared" si="1"/>
        <v>0</v>
      </c>
      <c r="R42" s="50">
        <f t="shared" si="2"/>
        <v>86.0685</v>
      </c>
      <c r="S42" s="52" t="str">
        <f t="shared" si="3"/>
        <v>inverse</v>
      </c>
      <c r="T42" s="53">
        <f>IF(Q42&gt;R42,(Q42-R42)/(G42+K42*Information!D42)*(360/Calcu!F42),0)</f>
        <v>0</v>
      </c>
      <c r="U42" s="53">
        <f>IF(Q42&gt;R42,(Q42-R42)/(G42)*(360/Calcu!F42),0)</f>
        <v>0</v>
      </c>
      <c r="V42" s="68">
        <f>IF(Q42&gt;R42,(Q42-R42-G42*0.75*mf*F42)/(G42-G42*0.75+K42*Information!D42)*(360/Calcu!F42),0)</f>
        <v>0</v>
      </c>
      <c r="AA42" s="77" t="str">
        <f>IF($T42&lt;=0,"",RANK(T42,T$3:T$43)+COUNTIF(T$3:T42,T42)-1)</f>
        <v/>
      </c>
      <c r="BY42" s="41">
        <v>11</v>
      </c>
    </row>
    <row r="43" spans="2:77" ht="16.5" thickBot="1" x14ac:dyDescent="0.2">
      <c r="B43" s="69" t="str">
        <f>Information!B43</f>
        <v>WH</v>
      </c>
      <c r="C43" s="70">
        <f>Information!C43</f>
        <v>0</v>
      </c>
      <c r="D43" s="71">
        <v>801</v>
      </c>
      <c r="E43" s="71">
        <v>801</v>
      </c>
      <c r="F43" s="70">
        <f t="shared" si="0"/>
        <v>0</v>
      </c>
      <c r="G43" s="156">
        <f>IFERROR(fetching!C42,0)</f>
        <v>2713</v>
      </c>
      <c r="H43" s="70">
        <f>IFERROR(fetching!D42,"")</f>
        <v>0</v>
      </c>
      <c r="I43" s="70" t="str">
        <f>IFERROR(fetching!E42,"")</f>
        <v>WH801.CZC</v>
      </c>
      <c r="J43" s="70">
        <f>IFERROR(fetching!F42,"")</f>
        <v>2711</v>
      </c>
      <c r="K43" s="70">
        <f>IFERROR(fetching!F42,"")</f>
        <v>2711</v>
      </c>
      <c r="L43" s="70">
        <f>F43*Information!E43</f>
        <v>0</v>
      </c>
      <c r="M43" s="70">
        <f>IF(Information!J43&lt;0.001,(Calcu!G43+Calcu!K43)*Information!J43,Information!J43*2)</f>
        <v>0.8</v>
      </c>
      <c r="N43" s="70">
        <f>Information!F43*2</f>
        <v>2</v>
      </c>
      <c r="O43" s="70">
        <f>IFERROR((G43+K43*Information!D43)*rf*Calcu!F43/360,0)</f>
        <v>0</v>
      </c>
      <c r="P43" s="72">
        <f>MAX(Q43*Information!K43/(1+Information!K43),0)</f>
        <v>0</v>
      </c>
      <c r="Q43" s="72">
        <f t="shared" si="1"/>
        <v>0</v>
      </c>
      <c r="R43" s="72">
        <f t="shared" si="2"/>
        <v>2.8</v>
      </c>
      <c r="S43" s="73" t="str">
        <f t="shared" si="3"/>
        <v>inverse</v>
      </c>
      <c r="T43" s="74">
        <f>IF(Q43&gt;R43,(Q43-R43)/(G43+K43*Information!D43)*(360/Calcu!F43),0)</f>
        <v>0</v>
      </c>
      <c r="U43" s="74">
        <f>IF(Q43&gt;R43,(Q43-R43)/(G43)*(360/Calcu!F43),0)</f>
        <v>0</v>
      </c>
      <c r="V43" s="75">
        <f>IF(Q43&gt;R43,(Q43-R43-G43*0.75*mf*F43)/(G43-G43*0.75+K43*Information!D43)*(360/Calcu!F43),0)</f>
        <v>0</v>
      </c>
      <c r="AA43" s="77" t="str">
        <f>IF($T43&lt;=0,"",RANK(T43,T$3:T$43)+COUNTIF(T$3:T43,T43)-1)</f>
        <v/>
      </c>
      <c r="BY43" s="41">
        <v>1</v>
      </c>
    </row>
    <row r="46" spans="2:77" x14ac:dyDescent="0.15">
      <c r="B46" s="41"/>
      <c r="C46" s="4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28" sqref="C28:E28"/>
    </sheetView>
  </sheetViews>
  <sheetFormatPr defaultColWidth="6.625" defaultRowHeight="14.25" x14ac:dyDescent="0.15"/>
  <cols>
    <col min="1" max="1" width="6.625" style="44"/>
    <col min="2" max="2" width="12.25" style="44" customWidth="1"/>
    <col min="3" max="3" width="10.75" style="44" customWidth="1"/>
    <col min="4" max="4" width="6.625" style="44"/>
    <col min="5" max="5" width="12.25" style="44" customWidth="1"/>
    <col min="6" max="6" width="7.75" style="44" customWidth="1"/>
    <col min="7" max="16384" width="6.625" style="44"/>
  </cols>
  <sheetData>
    <row r="1" spans="1:6" x14ac:dyDescent="0.15">
      <c r="C1" s="44" t="s">
        <v>107</v>
      </c>
    </row>
    <row r="2" spans="1:6" x14ac:dyDescent="0.15">
      <c r="A2" s="44" t="str">
        <f>Calcu!B3</f>
        <v>A</v>
      </c>
      <c r="B2" s="44" t="str">
        <f>Calcu!B3&amp;Calcu!D3&amp;".DCE"</f>
        <v>A1801.DCE</v>
      </c>
      <c r="C2" s="44">
        <f>RTD("wdf.rtq", ,B2, "Ask_price1")</f>
        <v>3914</v>
      </c>
      <c r="E2" s="44" t="str">
        <f>Calcu!B3&amp;Calcu!E3&amp;".DCE"</f>
        <v>A1805.DCE</v>
      </c>
      <c r="F2" s="44">
        <f>RTD("wdf.rtq", ,E2, "Bid_Price1")</f>
        <v>3932</v>
      </c>
    </row>
    <row r="3" spans="1:6" x14ac:dyDescent="0.15">
      <c r="A3" s="44" t="str">
        <f>Calcu!B4</f>
        <v>M</v>
      </c>
      <c r="B3" s="44" t="str">
        <f>Calcu!B4&amp;Calcu!D4&amp;".DCE"</f>
        <v>M1801.DCE</v>
      </c>
      <c r="C3" s="44">
        <f>RTD("wdf.rtq", ,B3, "Ask_price1")</f>
        <v>2724</v>
      </c>
      <c r="E3" s="44" t="str">
        <f>Calcu!B4&amp;Calcu!E4&amp;".DCE"</f>
        <v>M1805.DCE</v>
      </c>
      <c r="F3" s="44">
        <f>RTD("wdf.rtq", ,E3, "Bid_Price1")</f>
        <v>2662</v>
      </c>
    </row>
    <row r="4" spans="1:6" x14ac:dyDescent="0.15">
      <c r="A4" s="44" t="str">
        <f>Calcu!B5</f>
        <v>C</v>
      </c>
      <c r="B4" s="44" t="str">
        <f>Calcu!B5&amp;Calcu!D5&amp;".DCE"</f>
        <v>C1801.DCE</v>
      </c>
      <c r="C4" s="44">
        <f>RTD("wdf.rtq", ,B4, "Ask_price1")</f>
        <v>1703</v>
      </c>
      <c r="E4" s="44" t="str">
        <f>Calcu!B5&amp;Calcu!E5&amp;".DCE"</f>
        <v>C1805.DCE</v>
      </c>
      <c r="F4" s="44">
        <f>RTD("wdf.rtq", ,E4, "Bid_Price1")</f>
        <v>1747</v>
      </c>
    </row>
    <row r="5" spans="1:6" x14ac:dyDescent="0.15">
      <c r="A5" s="44" t="str">
        <f>Calcu!B6</f>
        <v>CS</v>
      </c>
      <c r="B5" s="44" t="str">
        <f>Calcu!B6&amp;Calcu!D6&amp;".DCE"</f>
        <v>CS1801.DCE</v>
      </c>
      <c r="C5" s="44">
        <f>RTD("wdf.rtq", ,B5, "Ask_price1")</f>
        <v>1999</v>
      </c>
      <c r="E5" s="44" t="str">
        <f>Calcu!B6&amp;Calcu!E6&amp;".DCE"</f>
        <v>CS1805.DCE</v>
      </c>
      <c r="F5" s="44">
        <f>RTD("wdf.rtq", ,E5, "Bid_Price1")</f>
        <v>2027</v>
      </c>
    </row>
    <row r="6" spans="1:6" x14ac:dyDescent="0.15">
      <c r="A6" s="44" t="str">
        <f>Calcu!B7</f>
        <v>Y</v>
      </c>
      <c r="B6" s="44" t="str">
        <f>Calcu!B7&amp;Calcu!D7&amp;".DCE"</f>
        <v>Y1801.DCE</v>
      </c>
      <c r="C6" s="44">
        <f>RTD("wdf.rtq", ,B6, "Ask_price1")</f>
        <v>6318</v>
      </c>
      <c r="E6" s="44" t="str">
        <f>Calcu!B7&amp;Calcu!E7&amp;".DCE"</f>
        <v>Y1805.DCE</v>
      </c>
      <c r="F6" s="44">
        <f>RTD("wdf.rtq", ,E6, "Bid_Price1")</f>
        <v>6386</v>
      </c>
    </row>
    <row r="7" spans="1:6" x14ac:dyDescent="0.15">
      <c r="A7" s="44" t="str">
        <f>Calcu!B8</f>
        <v>P</v>
      </c>
      <c r="B7" s="44" t="str">
        <f>Calcu!B8&amp;Calcu!D8&amp;".DCE"</f>
        <v>P1801.DCE</v>
      </c>
      <c r="C7" s="44">
        <f>RTD("wdf.rtq", ,B7, "Ask_price1")</f>
        <v>5488</v>
      </c>
      <c r="E7" s="44" t="str">
        <f>Calcu!B8&amp;Calcu!E8&amp;".DCE"</f>
        <v>P1805.DCE</v>
      </c>
      <c r="F7" s="44">
        <f>RTD("wdf.rtq", ,E7, "Bid_Price1")</f>
        <v>5570</v>
      </c>
    </row>
    <row r="8" spans="1:6" x14ac:dyDescent="0.15">
      <c r="A8" s="44" t="str">
        <f>Calcu!B9</f>
        <v>JD</v>
      </c>
      <c r="B8" s="44" t="str">
        <f>Calcu!B9&amp;Calcu!D9&amp;".DCE"</f>
        <v>JD1801.DCE</v>
      </c>
      <c r="C8" s="44">
        <f>RTD("wdf.rtq", ,B8, "Ask_price1")</f>
        <v>4335</v>
      </c>
      <c r="E8" s="44" t="str">
        <f>Calcu!B9&amp;Calcu!E9&amp;".DCE"</f>
        <v>JD1805.DCE</v>
      </c>
      <c r="F8" s="44">
        <f>RTD("wdf.rtq", ,E8, "Bid_Price1")</f>
        <v>3871</v>
      </c>
    </row>
    <row r="9" spans="1:6" x14ac:dyDescent="0.15">
      <c r="A9" s="44" t="str">
        <f>Calcu!B10</f>
        <v>L</v>
      </c>
      <c r="B9" s="44" t="str">
        <f>Calcu!B10&amp;Calcu!D10&amp;".DCE"</f>
        <v>L1801.DCE</v>
      </c>
      <c r="C9" s="44">
        <f>RTD("wdf.rtq", ,B9, "Ask_price1")</f>
        <v>10065</v>
      </c>
      <c r="E9" s="44" t="str">
        <f>Calcu!B10&amp;Calcu!E10&amp;".DCE"</f>
        <v>L1805.DCE</v>
      </c>
      <c r="F9" s="44">
        <f>RTD("wdf.rtq", ,E9, "Bid_Price1")</f>
        <v>10130</v>
      </c>
    </row>
    <row r="10" spans="1:6" x14ac:dyDescent="0.15">
      <c r="A10" s="44" t="str">
        <f>Calcu!B11</f>
        <v>V</v>
      </c>
      <c r="B10" s="44" t="str">
        <f>Calcu!B11&amp;Calcu!D11&amp;".DCE"</f>
        <v>V1801.DCE</v>
      </c>
      <c r="C10" s="44">
        <f>RTD("wdf.rtq", ,B10, "Ask_price1")</f>
        <v>7510</v>
      </c>
      <c r="E10" s="44" t="str">
        <f>Calcu!B11&amp;Calcu!E11&amp;".DCE"</f>
        <v>V1805.DCE</v>
      </c>
      <c r="F10" s="44">
        <f>RTD("wdf.rtq", ,E10, "Bid_Price1")</f>
        <v>7335</v>
      </c>
    </row>
    <row r="11" spans="1:6" x14ac:dyDescent="0.15">
      <c r="A11" s="44" t="str">
        <f>Calcu!B12</f>
        <v>PP</v>
      </c>
      <c r="B11" s="44" t="str">
        <f>Calcu!B12&amp;Calcu!D12&amp;".DCE"</f>
        <v>PP1801.DCE</v>
      </c>
      <c r="C11" s="44">
        <f>RTD("wdf.rtq", ,B11, "Ask_price1")</f>
        <v>9287</v>
      </c>
      <c r="E11" s="44" t="str">
        <f>Calcu!B12&amp;Calcu!E12&amp;".DCE"</f>
        <v>PP1805.DCE</v>
      </c>
      <c r="F11" s="44">
        <f>RTD("wdf.rtq", ,E11, "Bid_Price1")</f>
        <v>9321</v>
      </c>
    </row>
    <row r="12" spans="1:6" x14ac:dyDescent="0.15">
      <c r="A12" s="44" t="str">
        <f>Calcu!B13</f>
        <v>BB</v>
      </c>
      <c r="B12" s="44" t="str">
        <f>Calcu!B13&amp;Calcu!D13&amp;".DCE"</f>
        <v>BB1801.DCE</v>
      </c>
      <c r="C12" s="44">
        <f>RTD("wdf.rtq", ,B12, "Ask_price1")</f>
        <v>0</v>
      </c>
      <c r="E12" s="44" t="str">
        <f>Calcu!B13&amp;Calcu!E13&amp;".DCE"</f>
        <v>BB1805.DCE</v>
      </c>
      <c r="F12" s="44">
        <f>RTD("wdf.rtq", ,E12, "Bid_Price1")</f>
        <v>96.25</v>
      </c>
    </row>
    <row r="13" spans="1:6" x14ac:dyDescent="0.15">
      <c r="A13" s="44" t="str">
        <f>Calcu!B14</f>
        <v>FB</v>
      </c>
      <c r="B13" s="44" t="str">
        <f>Calcu!B14&amp;Calcu!D14&amp;".DCE"</f>
        <v>FB1801.DCE</v>
      </c>
      <c r="C13" s="44">
        <f>RTD("wdf.rtq", ,B13, "Ask_price1")</f>
        <v>75.350000000000009</v>
      </c>
      <c r="E13" s="44" t="str">
        <f>Calcu!B14&amp;Calcu!E14&amp;".DCE"</f>
        <v>FB1805.DCE</v>
      </c>
      <c r="F13" s="44">
        <f>RTD("wdf.rtq", ,E13, "Bid_Price1")</f>
        <v>0</v>
      </c>
    </row>
    <row r="14" spans="1:6" x14ac:dyDescent="0.15">
      <c r="A14" s="44" t="str">
        <f>Calcu!B15</f>
        <v>J</v>
      </c>
      <c r="B14" s="44" t="str">
        <f>Calcu!B15&amp;Calcu!D15&amp;".DCE"</f>
        <v>J1801.DCE</v>
      </c>
      <c r="C14" s="44">
        <f>RTD("wdf.rtq", ,B14, "Ask_price1")</f>
        <v>2387.5</v>
      </c>
      <c r="E14" s="44" t="str">
        <f>Calcu!B15&amp;Calcu!E15&amp;".DCE"</f>
        <v>J1805.DCE</v>
      </c>
      <c r="F14" s="44">
        <f>RTD("wdf.rtq", ,E14, "Bid_Price1")</f>
        <v>2225.5</v>
      </c>
    </row>
    <row r="15" spans="1:6" x14ac:dyDescent="0.15">
      <c r="A15" s="44" t="str">
        <f>Calcu!B16</f>
        <v>JM</v>
      </c>
      <c r="B15" s="44" t="str">
        <f>Calcu!B16&amp;Calcu!D16&amp;".DCE"</f>
        <v>JM1801.DCE</v>
      </c>
      <c r="C15" s="44">
        <f>RTD("wdf.rtq", ,B15, "Ask_price1")</f>
        <v>1404</v>
      </c>
      <c r="E15" s="44" t="str">
        <f>Calcu!B16&amp;Calcu!E16&amp;".DCE"</f>
        <v>JM1805.DCE</v>
      </c>
      <c r="F15" s="44">
        <f>RTD("wdf.rtq", ,E15, "Bid_Price1")</f>
        <v>1326</v>
      </c>
    </row>
    <row r="16" spans="1:6" s="45" customFormat="1" x14ac:dyDescent="0.15">
      <c r="A16" s="45" t="str">
        <f>Calcu!B17</f>
        <v>I</v>
      </c>
      <c r="B16" s="45" t="str">
        <f>Calcu!B17&amp;Calcu!D17&amp;".DCE"</f>
        <v>I1801.DCE</v>
      </c>
      <c r="C16" s="45">
        <f>RTD("wdf.rtq", ,B16, "Ask_price1")</f>
        <v>554.5</v>
      </c>
      <c r="E16" s="45" t="str">
        <f>Calcu!B17&amp;Calcu!E17&amp;".DCE"</f>
        <v>I1805.DCE</v>
      </c>
      <c r="F16" s="45">
        <f>RTD("wdf.rtq", ,E16, "Bid_Price1")</f>
        <v>533</v>
      </c>
    </row>
    <row r="17" spans="1:6" x14ac:dyDescent="0.15">
      <c r="A17" s="44" t="str">
        <f>Calcu!B18</f>
        <v>CU</v>
      </c>
      <c r="B17" s="44" t="str">
        <f>Calcu!B18&amp;Calcu!D18&amp;".SHF"</f>
        <v>CU1710.SHF</v>
      </c>
      <c r="C17" s="44">
        <f>RTD("wdf.rtq", ,B17, "Ask_price1")</f>
        <v>52690</v>
      </c>
      <c r="E17" s="44" t="str">
        <f>Calcu!B18&amp;Calcu!E18&amp;".SHF"</f>
        <v>CU1711.SHF</v>
      </c>
      <c r="F17" s="44">
        <f>RTD("wdf.rtq", ,E17, "Bid_Price1")</f>
        <v>52810</v>
      </c>
    </row>
    <row r="18" spans="1:6" x14ac:dyDescent="0.15">
      <c r="A18" s="44" t="str">
        <f>Calcu!B19</f>
        <v>ZN</v>
      </c>
      <c r="B18" s="44" t="str">
        <f>Calcu!B19&amp;Calcu!D19&amp;".SHF"</f>
        <v>ZN1801.SHF</v>
      </c>
      <c r="C18" s="44">
        <f>RTD("wdf.rtq", ,B18, "Ask_price1")</f>
        <v>25300</v>
      </c>
      <c r="E18" s="44" t="str">
        <f>Calcu!B19&amp;Calcu!E19&amp;".SHF"</f>
        <v>ZN1805.SHF</v>
      </c>
      <c r="F18" s="44">
        <f>RTD("wdf.rtq", ,E18, "Bid_Price1")</f>
        <v>24500</v>
      </c>
    </row>
    <row r="19" spans="1:6" x14ac:dyDescent="0.15">
      <c r="A19" s="44" t="str">
        <f>Calcu!B20</f>
        <v>AL</v>
      </c>
      <c r="B19" s="44" t="str">
        <f>Calcu!B20&amp;Calcu!D20&amp;".SHF"</f>
        <v>AL1801.SHF</v>
      </c>
      <c r="C19" s="44">
        <f>RTD("wdf.rtq", ,B19, "Ask_price1")</f>
        <v>16435</v>
      </c>
      <c r="E19" s="44" t="str">
        <f>Calcu!B20&amp;Calcu!E20&amp;".SHF"</f>
        <v>AL1805.SHF</v>
      </c>
      <c r="F19" s="44">
        <f>RTD("wdf.rtq", ,E19, "Bid_Price1")</f>
        <v>16315</v>
      </c>
    </row>
    <row r="20" spans="1:6" x14ac:dyDescent="0.15">
      <c r="A20" s="44" t="str">
        <f>Calcu!B21</f>
        <v>PB</v>
      </c>
      <c r="B20" s="44" t="str">
        <f>Calcu!B21&amp;Calcu!D21&amp;".SHF"</f>
        <v>PB1801.SHF</v>
      </c>
      <c r="C20" s="44">
        <f>RTD("wdf.rtq", ,B20, "Ask_price1")</f>
        <v>18885</v>
      </c>
      <c r="E20" s="44" t="str">
        <f>Calcu!B21&amp;Calcu!E21&amp;".SHF"</f>
        <v>PB1805.SHF</v>
      </c>
      <c r="F20" s="44">
        <f>RTD("wdf.rtq", ,E20, "Bid_Price1")</f>
        <v>18465</v>
      </c>
    </row>
    <row r="21" spans="1:6" x14ac:dyDescent="0.15">
      <c r="A21" s="44" t="str">
        <f>Calcu!B22</f>
        <v>SN</v>
      </c>
      <c r="B21" s="44" t="str">
        <f>Calcu!B22&amp;Calcu!D22&amp;".SHF"</f>
        <v>SN1801.SHF</v>
      </c>
      <c r="C21" s="44">
        <f>RTD("wdf.rtq", ,B21, "Ask_price1")</f>
        <v>147420</v>
      </c>
      <c r="E21" s="44" t="str">
        <f>Calcu!B22&amp;Calcu!E22&amp;".SHF"</f>
        <v>SN1805.SHF</v>
      </c>
      <c r="F21" s="44">
        <f>RTD("wdf.rtq", ,E21, "Bid_Price1")</f>
        <v>146960</v>
      </c>
    </row>
    <row r="22" spans="1:6" x14ac:dyDescent="0.15">
      <c r="A22" s="44" t="str">
        <f>Calcu!B23</f>
        <v>NI</v>
      </c>
      <c r="B22" s="44" t="str">
        <f>Calcu!B23&amp;Calcu!D23&amp;".SHF"</f>
        <v>NI1801.SHF</v>
      </c>
      <c r="C22" s="44">
        <f>RTD("wdf.rtq", ,B22, "Ask_price1")</f>
        <v>94080</v>
      </c>
      <c r="E22" s="44" t="str">
        <f>Calcu!B23&amp;Calcu!E23&amp;".SHF"</f>
        <v>NI1805.SHF</v>
      </c>
      <c r="F22" s="44">
        <f>RTD("wdf.rtq", ,E22, "Bid_Price1")</f>
        <v>95220</v>
      </c>
    </row>
    <row r="23" spans="1:6" x14ac:dyDescent="0.15">
      <c r="A23" s="44" t="str">
        <f>Calcu!B24</f>
        <v>AU</v>
      </c>
      <c r="B23" s="44" t="str">
        <f>Calcu!B24&amp;Calcu!D24&amp;".SHF"</f>
        <v>AU1712.SHF</v>
      </c>
      <c r="C23" s="44">
        <f>RTD("wdf.rtq", ,B23, "Ask_price1")</f>
        <v>283.8</v>
      </c>
      <c r="E23" s="44" t="str">
        <f>Calcu!B24&amp;Calcu!E24&amp;".SHF"</f>
        <v>AU1806.SHF</v>
      </c>
      <c r="F23" s="44">
        <f>RTD("wdf.rtq", ,E23, "Bid_Price1")</f>
        <v>286.7</v>
      </c>
    </row>
    <row r="24" spans="1:6" x14ac:dyDescent="0.15">
      <c r="A24" s="44" t="str">
        <f>Calcu!B25</f>
        <v>AG</v>
      </c>
      <c r="B24" s="44" t="str">
        <f>Calcu!B25&amp;Calcu!D25&amp;".SHF"</f>
        <v>AG1712.SHF</v>
      </c>
      <c r="C24" s="44">
        <f>RTD("wdf.rtq", ,B24, "Ask_price1")</f>
        <v>4027</v>
      </c>
      <c r="E24" s="44" t="str">
        <f>Calcu!B25&amp;Calcu!E25&amp;".SHF"</f>
        <v>AG1806.SHF</v>
      </c>
      <c r="F24" s="44">
        <f>RTD("wdf.rtq", ,E24, "Bid_Price1")</f>
        <v>4134</v>
      </c>
    </row>
    <row r="25" spans="1:6" x14ac:dyDescent="0.15">
      <c r="A25" s="44" t="str">
        <f>Calcu!B26</f>
        <v>RB</v>
      </c>
      <c r="B25" s="44" t="str">
        <f>Calcu!B26&amp;Calcu!D26&amp;".SHF"</f>
        <v>RB1801.SHF</v>
      </c>
      <c r="C25" s="44">
        <f>RTD("wdf.rtq", ,B25, "Ask_price1")</f>
        <v>3882</v>
      </c>
      <c r="E25" s="44" t="str">
        <f>Calcu!B26&amp;Calcu!E26&amp;".SHF"</f>
        <v>RB1805.SHF</v>
      </c>
      <c r="F25" s="44">
        <f>RTD("wdf.rtq", ,E25, "Bid_Price1")</f>
        <v>3764</v>
      </c>
    </row>
    <row r="26" spans="1:6" x14ac:dyDescent="0.15">
      <c r="A26" s="44" t="str">
        <f>Calcu!B27</f>
        <v>HC</v>
      </c>
      <c r="B26" s="44" t="str">
        <f>Calcu!B27&amp;Calcu!D27&amp;".SHF"</f>
        <v>HC1801.SHF</v>
      </c>
      <c r="C26" s="44">
        <f>RTD("wdf.rtq", ,B26, "Ask_price1")</f>
        <v>4054</v>
      </c>
      <c r="E26" s="44" t="str">
        <f>Calcu!B27&amp;Calcu!E27&amp;".SHF"</f>
        <v>HC1805.SHF</v>
      </c>
      <c r="F26" s="44">
        <f>RTD("wdf.rtq", ,E26, "Bid_Price1")</f>
        <v>3903</v>
      </c>
    </row>
    <row r="27" spans="1:6" x14ac:dyDescent="0.15">
      <c r="A27" s="44" t="str">
        <f>Calcu!B28</f>
        <v>WR</v>
      </c>
      <c r="B27" s="44" t="str">
        <f>Calcu!B28&amp;Calcu!D28&amp;".SHF"</f>
        <v>WR1801.SHF</v>
      </c>
      <c r="C27" s="44">
        <f>RTD("wdf.rtq", ,B27, "Ask_price1")</f>
        <v>0</v>
      </c>
      <c r="E27" s="44" t="str">
        <f>Calcu!B28&amp;Calcu!E28&amp;".SHF"</f>
        <v>WR1805.SHF</v>
      </c>
      <c r="F27" s="44">
        <f>RTD("wdf.rtq", ,E27, "Bid_Price1")</f>
        <v>0</v>
      </c>
    </row>
    <row r="28" spans="1:6" x14ac:dyDescent="0.15">
      <c r="A28" s="44" t="str">
        <f>Calcu!B29</f>
        <v>RU</v>
      </c>
      <c r="B28" s="44" t="str">
        <f>Calcu!B29&amp;Calcu!D29&amp;".SHF"</f>
        <v>RU1801.SHF</v>
      </c>
      <c r="C28" s="44">
        <f>RTD("wdf.rtq", ,B28, "Ask_price1")</f>
        <v>16445</v>
      </c>
      <c r="E28" s="44" t="str">
        <f>Calcu!B29&amp;Calcu!E29&amp;".SHF"</f>
        <v>RU1805.SHF</v>
      </c>
      <c r="F28" s="44">
        <f>RTD("wdf.rtq", ,E28, "Bid_Price1")</f>
        <v>16825</v>
      </c>
    </row>
    <row r="29" spans="1:6" x14ac:dyDescent="0.15">
      <c r="A29" s="44" t="str">
        <f>Calcu!B30</f>
        <v>BU</v>
      </c>
      <c r="B29" s="44" t="str">
        <f>Calcu!B30&amp;Calcu!D30&amp;".SHF"</f>
        <v>BU1712.SHF</v>
      </c>
      <c r="C29" s="44">
        <f>RTD("wdf.rtq", ,B29, "Ask_price1")</f>
        <v>2718</v>
      </c>
      <c r="E29" s="44" t="str">
        <f>Calcu!B30&amp;Calcu!E30&amp;".SHF"</f>
        <v>BU1806.SHF</v>
      </c>
      <c r="F29" s="44">
        <f>RTD("wdf.rtq", ,E29, "Bid_Price1")</f>
        <v>2862</v>
      </c>
    </row>
    <row r="30" spans="1:6" s="45" customFormat="1" x14ac:dyDescent="0.15">
      <c r="A30" s="45" t="str">
        <f>Calcu!B31</f>
        <v>FU</v>
      </c>
      <c r="B30" s="45" t="str">
        <f>Calcu!B31&amp;Calcu!D31&amp;".SHF"</f>
        <v>FU1801.SHF</v>
      </c>
      <c r="C30" s="45">
        <f>RTD("wdf.rtq", ,B30, "Ask_price1")</f>
        <v>4240</v>
      </c>
      <c r="E30" s="45" t="str">
        <f>Calcu!B31&amp;Calcu!E31&amp;".SHF"</f>
        <v>FU1801.SHF</v>
      </c>
      <c r="F30" s="45">
        <f>RTD("wdf.rtq", ,E30, "Bid_Price1")</f>
        <v>0</v>
      </c>
    </row>
    <row r="31" spans="1:6" x14ac:dyDescent="0.15">
      <c r="A31" s="44" t="str">
        <f>Calcu!B32</f>
        <v>TA</v>
      </c>
      <c r="B31" s="44" t="str">
        <f>Calcu!B32&amp;Calcu!D32&amp;".CZC"</f>
        <v>TA801.CZC</v>
      </c>
      <c r="C31" s="44">
        <f>RTD("wdf.rtq", ,B31, "Ask_price1")</f>
        <v>5282</v>
      </c>
      <c r="E31" s="44" t="str">
        <f>Calcu!B32&amp;Calcu!E32&amp;".CZC"</f>
        <v>TA805.CZC</v>
      </c>
      <c r="F31" s="44">
        <f>RTD("wdf.rtq", ,E31, "Bid_Price1")</f>
        <v>5230</v>
      </c>
    </row>
    <row r="32" spans="1:6" x14ac:dyDescent="0.15">
      <c r="A32" s="44" t="str">
        <f>Calcu!B33</f>
        <v>MA</v>
      </c>
      <c r="B32" s="44" t="str">
        <f>Calcu!B33&amp;Calcu!D33&amp;".CZC"</f>
        <v>MA801.CZC</v>
      </c>
      <c r="C32" s="44">
        <f>RTD("wdf.rtq", ,B32, "Ask_price1")</f>
        <v>2846</v>
      </c>
      <c r="E32" s="44" t="str">
        <f>Calcu!B33&amp;Calcu!E33&amp;".CZC"</f>
        <v>MA805.CZC</v>
      </c>
      <c r="F32" s="44">
        <f>RTD("wdf.rtq", ,E32, "Bid_Price1")</f>
        <v>2807</v>
      </c>
    </row>
    <row r="33" spans="1:6" x14ac:dyDescent="0.15">
      <c r="A33" s="44" t="str">
        <f>Calcu!B34</f>
        <v>FG</v>
      </c>
      <c r="B33" s="44" t="str">
        <f>Calcu!B34&amp;Calcu!D34&amp;".CZC"</f>
        <v>FG801.CZC</v>
      </c>
      <c r="C33" s="44">
        <f>RTD("wdf.rtq", ,B33, "Ask_price1")</f>
        <v>1435</v>
      </c>
      <c r="E33" s="44" t="str">
        <f>Calcu!B34&amp;Calcu!E34&amp;".CZC"</f>
        <v>FG805.CZC</v>
      </c>
      <c r="F33" s="44">
        <f>RTD("wdf.rtq", ,E33, "Bid_Price1")</f>
        <v>1413</v>
      </c>
    </row>
    <row r="34" spans="1:6" x14ac:dyDescent="0.15">
      <c r="A34" s="44" t="str">
        <f>Calcu!B35</f>
        <v>ZC</v>
      </c>
      <c r="B34" s="44" t="str">
        <f>Calcu!B35&amp;Calcu!D35&amp;".CZC"</f>
        <v>ZC801.CZC</v>
      </c>
      <c r="C34" s="44">
        <f>RTD("wdf.rtq", ,B34, "Ask_price1")</f>
        <v>611.20000000000005</v>
      </c>
      <c r="E34" s="44" t="str">
        <f>Calcu!B35&amp;Calcu!E35&amp;".CZC"</f>
        <v>ZC805.CZC</v>
      </c>
      <c r="F34" s="44">
        <f>RTD("wdf.rtq", ,E34, "Bid_Price1")</f>
        <v>572.20000000000005</v>
      </c>
    </row>
    <row r="35" spans="1:6" x14ac:dyDescent="0.15">
      <c r="A35" s="44" t="str">
        <f>Calcu!B36</f>
        <v>SF</v>
      </c>
      <c r="B35" s="44" t="str">
        <f>Calcu!B36&amp;Calcu!D36&amp;".CZC"</f>
        <v>SF801.CZC</v>
      </c>
      <c r="C35" s="44">
        <f>RTD("wdf.rtq", ,B35, "Ask_price1")</f>
        <v>7106</v>
      </c>
      <c r="E35" s="44" t="str">
        <f>Calcu!B36&amp;Calcu!E36&amp;".CZC"</f>
        <v>SF805.CZC</v>
      </c>
      <c r="F35" s="44">
        <f>RTD("wdf.rtq", ,E35, "Bid_Price1")</f>
        <v>0</v>
      </c>
    </row>
    <row r="36" spans="1:6" x14ac:dyDescent="0.15">
      <c r="A36" s="44" t="str">
        <f>Calcu!B37</f>
        <v>SM</v>
      </c>
      <c r="B36" s="44" t="str">
        <f>Calcu!B37&amp;Calcu!D37&amp;".CZC"</f>
        <v>SM801.CZC</v>
      </c>
      <c r="C36" s="44">
        <f>RTD("wdf.rtq", ,B36, "Ask_price1")</f>
        <v>7306</v>
      </c>
      <c r="E36" s="44" t="str">
        <f>Calcu!B37&amp;Calcu!E37&amp;".CZC"</f>
        <v>SM805.CZC</v>
      </c>
      <c r="F36" s="44">
        <f>RTD("wdf.rtq", ,E36, "Bid_Price1")</f>
        <v>7182</v>
      </c>
    </row>
    <row r="37" spans="1:6" x14ac:dyDescent="0.15">
      <c r="A37" s="44" t="str">
        <f>Calcu!B38</f>
        <v>SR</v>
      </c>
      <c r="B37" s="44" t="str">
        <f>Calcu!B38&amp;Calcu!D38&amp;".CZC"</f>
        <v>SR801.CZC</v>
      </c>
      <c r="C37" s="44">
        <f>RTD("wdf.rtq", ,B37, "Ask_price1")</f>
        <v>6467</v>
      </c>
      <c r="E37" s="44" t="str">
        <f>Calcu!B38&amp;Calcu!E38&amp;".CZC"</f>
        <v>SR805.CZC</v>
      </c>
      <c r="F37" s="44">
        <f>RTD("wdf.rtq", ,E37, "Bid_Price1")</f>
        <v>6311</v>
      </c>
    </row>
    <row r="38" spans="1:6" x14ac:dyDescent="0.15">
      <c r="A38" s="44" t="str">
        <f>Calcu!B39</f>
        <v>CF</v>
      </c>
      <c r="B38" s="44" t="str">
        <f>Calcu!B39&amp;Calcu!D39&amp;".CZC"</f>
        <v>CF801.CZC</v>
      </c>
      <c r="C38" s="44">
        <f>RTD("wdf.rtq", ,B38, "Ask_price1")</f>
        <v>15295</v>
      </c>
      <c r="E38" s="44" t="str">
        <f>Calcu!B39&amp;Calcu!E39&amp;".CZC"</f>
        <v>CF805.CZC</v>
      </c>
      <c r="F38" s="44">
        <f>RTD("wdf.rtq", ,E38, "Bid_Price1")</f>
        <v>15270</v>
      </c>
    </row>
    <row r="39" spans="1:6" x14ac:dyDescent="0.15">
      <c r="A39" s="44" t="str">
        <f>Calcu!B40</f>
        <v>OI</v>
      </c>
      <c r="B39" s="44" t="str">
        <f>Calcu!B40&amp;Calcu!D40&amp;".CZC"</f>
        <v>OI801.CZC</v>
      </c>
      <c r="C39" s="44">
        <f>RTD("wdf.rtq", ,B39, "Ask_price1")</f>
        <v>6966</v>
      </c>
      <c r="E39" s="44" t="str">
        <f>Calcu!B40&amp;Calcu!E40&amp;".CZC"</f>
        <v>OI805.CZC</v>
      </c>
      <c r="F39" s="44">
        <f>RTD("wdf.rtq", ,E39, "Bid_Price1")</f>
        <v>7088</v>
      </c>
    </row>
    <row r="40" spans="1:6" x14ac:dyDescent="0.15">
      <c r="A40" s="44" t="str">
        <f>Calcu!B41</f>
        <v>RS</v>
      </c>
      <c r="B40" s="44" t="str">
        <f>Calcu!B41&amp;Calcu!D41&amp;".CZC"</f>
        <v>RS801.CZC</v>
      </c>
      <c r="C40" s="44">
        <f>RTD("wdf.rtq", ,B40, "Ask_price1")</f>
        <v>0</v>
      </c>
      <c r="E40" s="44" t="str">
        <f>Calcu!B41&amp;Calcu!E41&amp;".CZC"</f>
        <v>RS805.CZC</v>
      </c>
      <c r="F40" s="44">
        <f>RTD("wdf.rtq", ,E40, "Bid_Price1")</f>
        <v>0</v>
      </c>
    </row>
    <row r="41" spans="1:6" x14ac:dyDescent="0.15">
      <c r="A41" s="44" t="str">
        <f>Calcu!B42</f>
        <v>RM</v>
      </c>
      <c r="B41" s="44" t="str">
        <f>Calcu!B42&amp;Calcu!D42&amp;".CZC"</f>
        <v>RM801.CZC</v>
      </c>
      <c r="C41" s="44">
        <f>RTD("wdf.rtq", ,B41, "Ask_price1")</f>
        <v>2177</v>
      </c>
      <c r="E41" s="44" t="str">
        <f>Calcu!B42&amp;Calcu!E42&amp;".CZC"</f>
        <v>RM805.CZC</v>
      </c>
      <c r="F41" s="44">
        <f>RTD("wdf.rtq", ,E41, "Bid_Price1")</f>
        <v>2197</v>
      </c>
    </row>
    <row r="42" spans="1:6" s="45" customFormat="1" x14ac:dyDescent="0.15">
      <c r="A42" s="45" t="str">
        <f>Calcu!B43</f>
        <v>WH</v>
      </c>
      <c r="B42" s="45" t="str">
        <f>Calcu!B43&amp;Calcu!D43&amp;".CZC"</f>
        <v>WH801.CZC</v>
      </c>
      <c r="C42" s="45">
        <f>RTD("wdf.rtq", ,B42, "Ask_price1")</f>
        <v>2713</v>
      </c>
      <c r="E42" s="45" t="str">
        <f>Calcu!B43&amp;Calcu!E43&amp;".CZC"</f>
        <v>WH801.CZC</v>
      </c>
      <c r="F42" s="45">
        <f>RTD("wdf.rtq", ,E42, "Bid_Price1")</f>
        <v>2711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40"/>
  <sheetViews>
    <sheetView workbookViewId="0">
      <selection activeCell="H28" sqref="H28"/>
    </sheetView>
  </sheetViews>
  <sheetFormatPr defaultRowHeight="13.5" x14ac:dyDescent="0.15"/>
  <cols>
    <col min="3" max="3" width="10.625" customWidth="1"/>
    <col min="4" max="4" width="8.625" customWidth="1"/>
    <col min="5" max="5" width="8.125" customWidth="1"/>
    <col min="6" max="6" width="10.625" customWidth="1"/>
    <col min="7" max="7" width="10.375" customWidth="1"/>
    <col min="8" max="8" width="11.125" customWidth="1"/>
    <col min="9" max="9" width="10.75" customWidth="1"/>
    <col min="15" max="15" width="9" customWidth="1"/>
  </cols>
  <sheetData>
    <row r="3" spans="3:19" ht="14.25" thickBot="1" x14ac:dyDescent="0.2">
      <c r="D3" s="106"/>
      <c r="E3" s="106"/>
    </row>
    <row r="4" spans="3:19" ht="15" x14ac:dyDescent="0.15">
      <c r="C4" s="116" t="s">
        <v>153</v>
      </c>
      <c r="D4" s="117"/>
      <c r="E4" s="117"/>
      <c r="F4" s="118"/>
      <c r="G4" s="118"/>
      <c r="H4" s="162">
        <f ca="1">Windows!G2</f>
        <v>42976.681125347219</v>
      </c>
      <c r="I4" s="163"/>
      <c r="M4" s="116" t="s">
        <v>153</v>
      </c>
      <c r="N4" s="117"/>
      <c r="O4" s="117"/>
      <c r="P4" s="118"/>
      <c r="Q4" s="118"/>
      <c r="R4" s="162">
        <f>Windows!Q2</f>
        <v>0</v>
      </c>
      <c r="S4" s="163"/>
    </row>
    <row r="5" spans="3:19" s="111" customFormat="1" ht="38.25" customHeight="1" x14ac:dyDescent="0.15">
      <c r="C5" s="144" t="s">
        <v>143</v>
      </c>
      <c r="D5" s="145" t="s">
        <v>144</v>
      </c>
      <c r="E5" s="146" t="s">
        <v>145</v>
      </c>
      <c r="F5" s="147" t="s">
        <v>146</v>
      </c>
      <c r="G5" s="147" t="s">
        <v>148</v>
      </c>
      <c r="H5" s="147" t="s">
        <v>147</v>
      </c>
      <c r="I5" s="148" t="s">
        <v>152</v>
      </c>
      <c r="M5" s="119" t="s">
        <v>143</v>
      </c>
      <c r="N5" s="120" t="s">
        <v>144</v>
      </c>
      <c r="O5" s="121" t="s">
        <v>145</v>
      </c>
      <c r="P5" s="122" t="s">
        <v>146</v>
      </c>
      <c r="Q5" s="122" t="s">
        <v>148</v>
      </c>
      <c r="R5" s="122" t="s">
        <v>147</v>
      </c>
      <c r="S5" s="123" t="s">
        <v>152</v>
      </c>
    </row>
    <row r="6" spans="3:19" ht="15.75" x14ac:dyDescent="0.15">
      <c r="C6" s="149" t="str">
        <f>Windows!C4</f>
        <v>AG 12-06</v>
      </c>
      <c r="D6" s="114">
        <f>Windows!D4</f>
        <v>107</v>
      </c>
      <c r="E6" s="114">
        <f>Windows!E4</f>
        <v>83.933613547008548</v>
      </c>
      <c r="F6" s="115">
        <f>Windows!F4</f>
        <v>1.0586447249016206E-2</v>
      </c>
      <c r="G6" s="115">
        <f>Windows!G4</f>
        <v>1.1455866130117433E-2</v>
      </c>
      <c r="H6" s="115" t="str">
        <f>IF(Windows!H4&lt;0,"-",Windows!H4)</f>
        <v>-</v>
      </c>
      <c r="I6" s="150" t="str">
        <f>Windows!J4</f>
        <v/>
      </c>
    </row>
    <row r="7" spans="3:19" ht="15.75" x14ac:dyDescent="0.15">
      <c r="C7" s="149" t="str">
        <f>Windows!C5</f>
        <v>RU 01-05</v>
      </c>
      <c r="D7" s="114">
        <f>Windows!D5</f>
        <v>380</v>
      </c>
      <c r="E7" s="114">
        <f>Windows!E5</f>
        <v>351.12396415929203</v>
      </c>
      <c r="F7" s="115">
        <f>Windows!F5</f>
        <v>4.8692095734991798E-3</v>
      </c>
      <c r="G7" s="115">
        <f>Windows!G5</f>
        <v>5.2677474929841237E-3</v>
      </c>
      <c r="H7" s="115" t="str">
        <f>IF(Windows!H5&lt;0,"-",Windows!H5)</f>
        <v>-</v>
      </c>
      <c r="I7" s="150">
        <f>Windows!J5</f>
        <v>11</v>
      </c>
    </row>
    <row r="8" spans="3:19" ht="15.75" x14ac:dyDescent="0.15">
      <c r="C8" s="149" t="str">
        <f>Windows!C6</f>
        <v/>
      </c>
      <c r="D8" s="114" t="str">
        <f>Windows!D6</f>
        <v/>
      </c>
      <c r="E8" s="114" t="str">
        <f>Windows!E6</f>
        <v/>
      </c>
      <c r="F8" s="115" t="str">
        <f>Windows!F6</f>
        <v/>
      </c>
      <c r="G8" s="115" t="str">
        <f>Windows!G6</f>
        <v/>
      </c>
      <c r="H8" s="115" t="str">
        <f>IF(Windows!H6&lt;0,"-",Windows!H6)</f>
        <v/>
      </c>
      <c r="I8" s="150" t="str">
        <f>Windows!J6</f>
        <v/>
      </c>
    </row>
    <row r="9" spans="3:19" ht="15.75" x14ac:dyDescent="0.15">
      <c r="C9" s="149" t="str">
        <f>Windows!C7</f>
        <v/>
      </c>
      <c r="D9" s="114" t="str">
        <f>Windows!D7</f>
        <v/>
      </c>
      <c r="E9" s="114" t="str">
        <f>Windows!E7</f>
        <v/>
      </c>
      <c r="F9" s="115" t="str">
        <f>Windows!F7</f>
        <v/>
      </c>
      <c r="G9" s="115" t="str">
        <f>Windows!G7</f>
        <v/>
      </c>
      <c r="H9" s="115" t="str">
        <f>IF(Windows!H7&lt;0,"-",Windows!H7)</f>
        <v/>
      </c>
      <c r="I9" s="150" t="str">
        <f>Windows!J7</f>
        <v/>
      </c>
    </row>
    <row r="10" spans="3:19" ht="15.75" x14ac:dyDescent="0.15">
      <c r="C10" s="149" t="str">
        <f>Windows!C8</f>
        <v/>
      </c>
      <c r="D10" s="114" t="str">
        <f>Windows!D8</f>
        <v/>
      </c>
      <c r="E10" s="114" t="str">
        <f>Windows!E8</f>
        <v/>
      </c>
      <c r="F10" s="115" t="str">
        <f>Windows!F8</f>
        <v/>
      </c>
      <c r="G10" s="115" t="str">
        <f>Windows!G8</f>
        <v/>
      </c>
      <c r="H10" s="115" t="str">
        <f>IF(Windows!H8&lt;0,"-",Windows!H8)</f>
        <v/>
      </c>
      <c r="I10" s="150" t="str">
        <f>Windows!J8</f>
        <v/>
      </c>
    </row>
    <row r="11" spans="3:19" ht="15.75" x14ac:dyDescent="0.15">
      <c r="C11" s="149" t="str">
        <f>Windows!C9</f>
        <v/>
      </c>
      <c r="D11" s="114" t="str">
        <f>Windows!D9</f>
        <v/>
      </c>
      <c r="E11" s="114" t="str">
        <f>Windows!E9</f>
        <v/>
      </c>
      <c r="F11" s="115" t="str">
        <f>Windows!F9</f>
        <v/>
      </c>
      <c r="G11" s="115" t="str">
        <f>Windows!G9</f>
        <v/>
      </c>
      <c r="H11" s="115" t="str">
        <f>IF(Windows!H9&lt;0,"-",Windows!H9)</f>
        <v/>
      </c>
      <c r="I11" s="150" t="str">
        <f>Windows!J9</f>
        <v/>
      </c>
    </row>
    <row r="12" spans="3:19" ht="15.75" x14ac:dyDescent="0.15">
      <c r="C12" s="149" t="str">
        <f>Windows!C10</f>
        <v/>
      </c>
      <c r="D12" s="114" t="str">
        <f>Windows!D10</f>
        <v/>
      </c>
      <c r="E12" s="114" t="str">
        <f>Windows!E10</f>
        <v/>
      </c>
      <c r="F12" s="115" t="str">
        <f>Windows!F10</f>
        <v/>
      </c>
      <c r="G12" s="115" t="str">
        <f>Windows!G10</f>
        <v/>
      </c>
      <c r="H12" s="115" t="str">
        <f>IF(Windows!H10&lt;0,"-",Windows!H10)</f>
        <v/>
      </c>
      <c r="I12" s="150" t="str">
        <f>Windows!J10</f>
        <v/>
      </c>
    </row>
    <row r="13" spans="3:19" ht="15.75" x14ac:dyDescent="0.15">
      <c r="C13" s="149" t="str">
        <f>Windows!C11</f>
        <v/>
      </c>
      <c r="D13" s="114" t="str">
        <f>Windows!D11</f>
        <v/>
      </c>
      <c r="E13" s="114" t="str">
        <f>Windows!E11</f>
        <v/>
      </c>
      <c r="F13" s="115" t="str">
        <f>Windows!F11</f>
        <v/>
      </c>
      <c r="G13" s="115" t="str">
        <f>Windows!G11</f>
        <v/>
      </c>
      <c r="H13" s="115" t="str">
        <f>IF(Windows!H11&lt;0,"-",Windows!H11)</f>
        <v/>
      </c>
      <c r="I13" s="150" t="str">
        <f>Windows!J11</f>
        <v/>
      </c>
    </row>
    <row r="14" spans="3:19" ht="15.75" x14ac:dyDescent="0.15">
      <c r="C14" s="149" t="str">
        <f>Windows!C12</f>
        <v/>
      </c>
      <c r="D14" s="114" t="str">
        <f>Windows!D12</f>
        <v/>
      </c>
      <c r="E14" s="114" t="str">
        <f>Windows!E12</f>
        <v/>
      </c>
      <c r="F14" s="115" t="str">
        <f>Windows!F12</f>
        <v/>
      </c>
      <c r="G14" s="115" t="str">
        <f>Windows!G12</f>
        <v/>
      </c>
      <c r="H14" s="115" t="str">
        <f>IF(Windows!H12&lt;0,"-",Windows!H12)</f>
        <v/>
      </c>
      <c r="I14" s="150" t="str">
        <f>Windows!J12</f>
        <v/>
      </c>
    </row>
    <row r="15" spans="3:19" ht="15.75" x14ac:dyDescent="0.15">
      <c r="C15" s="149" t="str">
        <f>Windows!C13</f>
        <v/>
      </c>
      <c r="D15" s="114" t="str">
        <f>Windows!D13</f>
        <v/>
      </c>
      <c r="E15" s="114" t="str">
        <f>Windows!E13</f>
        <v/>
      </c>
      <c r="F15" s="115" t="str">
        <f>Windows!F13</f>
        <v/>
      </c>
      <c r="G15" s="115" t="str">
        <f>Windows!G13</f>
        <v/>
      </c>
      <c r="H15" s="115" t="str">
        <f>IF(Windows!H13&lt;0,"-",Windows!H13)</f>
        <v/>
      </c>
      <c r="I15" s="150" t="str">
        <f>Windows!J13</f>
        <v/>
      </c>
    </row>
    <row r="16" spans="3:19" ht="15.75" x14ac:dyDescent="0.15">
      <c r="C16" s="149" t="str">
        <f>Windows!C14</f>
        <v/>
      </c>
      <c r="D16" s="114" t="str">
        <f>Windows!D14</f>
        <v/>
      </c>
      <c r="E16" s="114" t="str">
        <f>Windows!E14</f>
        <v/>
      </c>
      <c r="F16" s="115" t="str">
        <f>Windows!F14</f>
        <v/>
      </c>
      <c r="G16" s="115" t="str">
        <f>Windows!G14</f>
        <v/>
      </c>
      <c r="H16" s="115" t="str">
        <f>IF(Windows!H14&lt;0,"-",Windows!H14)</f>
        <v/>
      </c>
      <c r="I16" s="150" t="str">
        <f>Windows!J14</f>
        <v/>
      </c>
    </row>
    <row r="17" spans="3:9" ht="16.5" thickBot="1" x14ac:dyDescent="0.2">
      <c r="C17" s="151" t="str">
        <f>Windows!C15</f>
        <v/>
      </c>
      <c r="D17" s="152" t="str">
        <f>Windows!D15</f>
        <v/>
      </c>
      <c r="E17" s="152" t="str">
        <f>Windows!E15</f>
        <v/>
      </c>
      <c r="F17" s="153" t="str">
        <f>Windows!F15</f>
        <v/>
      </c>
      <c r="G17" s="153" t="str">
        <f>Windows!G15</f>
        <v/>
      </c>
      <c r="H17" s="153" t="str">
        <f>IF(Windows!H15&lt;0,"-",Windows!H15)</f>
        <v/>
      </c>
      <c r="I17" s="154" t="str">
        <f>Windows!J15</f>
        <v/>
      </c>
    </row>
    <row r="18" spans="3:9" s="124" customFormat="1" ht="14.25" x14ac:dyDescent="0.15">
      <c r="C18" s="125"/>
      <c r="D18" s="126" t="str">
        <f>Windows!D16</f>
        <v/>
      </c>
      <c r="E18" s="126" t="str">
        <f>Windows!E16</f>
        <v/>
      </c>
      <c r="F18" s="127" t="str">
        <f>Windows!F16</f>
        <v/>
      </c>
      <c r="G18" s="127" t="str">
        <f>Windows!G16</f>
        <v/>
      </c>
      <c r="H18" s="127" t="str">
        <f>IF(Windows!H16&lt;0,"-",Windows!H16)</f>
        <v/>
      </c>
      <c r="I18" s="125" t="str">
        <f>Windows!J16</f>
        <v/>
      </c>
    </row>
    <row r="19" spans="3:9" s="131" customFormat="1" ht="14.25" x14ac:dyDescent="0.15">
      <c r="C19" s="128" t="str">
        <f>Windows!C17</f>
        <v/>
      </c>
      <c r="D19" s="129" t="str">
        <f>Windows!D17</f>
        <v/>
      </c>
      <c r="E19" s="129" t="str">
        <f>Windows!E17</f>
        <v/>
      </c>
      <c r="F19" s="130" t="str">
        <f>Windows!F17</f>
        <v/>
      </c>
      <c r="G19" s="130" t="str">
        <f>Windows!G17</f>
        <v/>
      </c>
      <c r="H19" s="130" t="str">
        <f>IF(Windows!H17&lt;0,"-",Windows!H17)</f>
        <v/>
      </c>
      <c r="I19" s="128" t="str">
        <f>Windows!J17</f>
        <v/>
      </c>
    </row>
    <row r="20" spans="3:9" s="131" customFormat="1" ht="14.25" x14ac:dyDescent="0.15">
      <c r="C20" s="128" t="str">
        <f>Windows!C18</f>
        <v/>
      </c>
      <c r="D20" s="129" t="str">
        <f>Windows!D18</f>
        <v/>
      </c>
      <c r="E20" s="129" t="str">
        <f>Windows!E18</f>
        <v/>
      </c>
      <c r="F20" s="130" t="str">
        <f>Windows!F18</f>
        <v/>
      </c>
      <c r="G20" s="130" t="str">
        <f>Windows!G18</f>
        <v/>
      </c>
      <c r="H20" s="130" t="str">
        <f>IF(Windows!H18&lt;0,"-",Windows!H18)</f>
        <v/>
      </c>
      <c r="I20" s="128" t="str">
        <f>Windows!J18</f>
        <v/>
      </c>
    </row>
    <row r="21" spans="3:9" s="131" customFormat="1" ht="14.25" x14ac:dyDescent="0.15">
      <c r="C21" s="128" t="str">
        <f>Windows!C19</f>
        <v/>
      </c>
      <c r="D21" s="129" t="str">
        <f>Windows!D19</f>
        <v/>
      </c>
      <c r="E21" s="129" t="str">
        <f>Windows!E19</f>
        <v/>
      </c>
      <c r="F21" s="130" t="str">
        <f>Windows!F19</f>
        <v/>
      </c>
      <c r="G21" s="130" t="str">
        <f>Windows!G19</f>
        <v/>
      </c>
      <c r="H21" s="130" t="str">
        <f>IF(Windows!H19&lt;0,"-",Windows!H19)</f>
        <v/>
      </c>
      <c r="I21" s="128" t="str">
        <f>Windows!J19</f>
        <v/>
      </c>
    </row>
    <row r="22" spans="3:9" s="131" customFormat="1" ht="16.5" x14ac:dyDescent="0.15">
      <c r="C22" s="164" t="s">
        <v>158</v>
      </c>
      <c r="D22" s="164"/>
      <c r="E22" s="164"/>
      <c r="F22" s="164"/>
      <c r="G22" s="164"/>
      <c r="H22" s="164"/>
      <c r="I22" s="164"/>
    </row>
    <row r="23" spans="3:9" s="131" customFormat="1" ht="16.5" x14ac:dyDescent="0.15">
      <c r="C23" s="164" t="s">
        <v>159</v>
      </c>
      <c r="D23" s="164"/>
      <c r="E23" s="164"/>
      <c r="F23" s="164"/>
      <c r="G23" s="164"/>
      <c r="H23" s="164"/>
      <c r="I23" s="164"/>
    </row>
    <row r="24" spans="3:9" s="131" customFormat="1" ht="14.25" x14ac:dyDescent="0.15">
      <c r="C24" s="155"/>
      <c r="D24" s="129" t="str">
        <f>Windows!D22</f>
        <v/>
      </c>
      <c r="E24" s="129" t="str">
        <f>Windows!E22</f>
        <v/>
      </c>
      <c r="F24" s="130" t="str">
        <f>Windows!F22</f>
        <v/>
      </c>
      <c r="G24" s="130" t="str">
        <f>Windows!G22</f>
        <v/>
      </c>
      <c r="H24" s="130" t="str">
        <f>IF(Windows!H22&lt;0,"-",Windows!H22)</f>
        <v/>
      </c>
      <c r="I24" s="128" t="str">
        <f>Windows!J22</f>
        <v/>
      </c>
    </row>
    <row r="25" spans="3:9" s="131" customFormat="1" ht="14.25" x14ac:dyDescent="0.15">
      <c r="C25" s="128" t="str">
        <f>Windows!C23</f>
        <v/>
      </c>
      <c r="D25" s="129" t="str">
        <f>Windows!D23</f>
        <v/>
      </c>
      <c r="E25" s="129" t="str">
        <f>Windows!E23</f>
        <v/>
      </c>
      <c r="F25" s="130" t="str">
        <f>Windows!F23</f>
        <v/>
      </c>
      <c r="G25" s="130" t="str">
        <f>Windows!G23</f>
        <v/>
      </c>
      <c r="H25" s="130" t="str">
        <f>IF(Windows!H23&lt;0,"-",Windows!H23)</f>
        <v/>
      </c>
      <c r="I25" s="128" t="str">
        <f>Windows!J23</f>
        <v/>
      </c>
    </row>
    <row r="26" spans="3:9" s="131" customFormat="1" ht="14.25" x14ac:dyDescent="0.15">
      <c r="C26" s="128"/>
      <c r="D26" s="129"/>
      <c r="E26" s="129"/>
      <c r="F26" s="130" t="str">
        <f>Windows!F24</f>
        <v/>
      </c>
      <c r="G26" s="130" t="str">
        <f>Windows!G24</f>
        <v/>
      </c>
      <c r="H26" s="130" t="str">
        <f>IF(Windows!H24&lt;0,"-",Windows!H24)</f>
        <v/>
      </c>
      <c r="I26" s="128" t="str">
        <f>Windows!J24</f>
        <v/>
      </c>
    </row>
    <row r="27" spans="3:9" s="131" customFormat="1" ht="15.75" x14ac:dyDescent="0.15">
      <c r="C27" s="132"/>
      <c r="D27" s="133"/>
      <c r="E27" s="133"/>
      <c r="F27" s="134" t="str">
        <f>Windows!F25</f>
        <v/>
      </c>
      <c r="G27" s="134" t="str">
        <f>Windows!G25</f>
        <v/>
      </c>
      <c r="H27" s="134" t="str">
        <f>IF(Windows!H25&lt;0,"-",Windows!H25)</f>
        <v/>
      </c>
      <c r="I27" s="132" t="str">
        <f>Windows!J25</f>
        <v/>
      </c>
    </row>
    <row r="28" spans="3:9" s="131" customFormat="1" ht="15.75" x14ac:dyDescent="0.15">
      <c r="C28" s="132"/>
      <c r="D28" s="135"/>
      <c r="E28" s="135"/>
      <c r="F28" s="136"/>
      <c r="G28" s="136"/>
      <c r="H28" s="136"/>
      <c r="I28" s="132" t="str">
        <f>Windows!J26</f>
        <v/>
      </c>
    </row>
    <row r="29" spans="3:9" s="131" customFormat="1" ht="15.75" x14ac:dyDescent="0.15">
      <c r="C29" s="132"/>
      <c r="D29" s="135"/>
      <c r="E29" s="135"/>
      <c r="F29" s="136"/>
      <c r="G29" s="136"/>
      <c r="H29" s="136"/>
      <c r="I29" s="132" t="str">
        <f>Windows!J27</f>
        <v/>
      </c>
    </row>
    <row r="30" spans="3:9" s="140" customFormat="1" ht="15.75" x14ac:dyDescent="0.15">
      <c r="C30" s="137"/>
      <c r="D30" s="138"/>
      <c r="E30" s="138"/>
      <c r="F30" s="139"/>
      <c r="G30" s="139"/>
      <c r="H30" s="139"/>
      <c r="I30" s="137" t="str">
        <f>Windows!J28</f>
        <v/>
      </c>
    </row>
    <row r="31" spans="3:9" s="140" customFormat="1" ht="15.75" x14ac:dyDescent="0.15">
      <c r="C31" s="137"/>
      <c r="D31" s="138"/>
      <c r="E31" s="138"/>
      <c r="F31" s="139"/>
      <c r="G31" s="139"/>
      <c r="H31" s="139"/>
      <c r="I31" s="137" t="str">
        <f>Windows!J29</f>
        <v/>
      </c>
    </row>
    <row r="32" spans="3:9" s="140" customFormat="1" x14ac:dyDescent="0.15">
      <c r="D32" s="141"/>
      <c r="E32" s="141"/>
      <c r="F32" s="142"/>
      <c r="G32" s="142"/>
      <c r="H32" s="142"/>
      <c r="I32" s="140" t="str">
        <f>Windows!J30</f>
        <v/>
      </c>
    </row>
    <row r="33" spans="4:8" s="140" customFormat="1" x14ac:dyDescent="0.15">
      <c r="D33" s="141"/>
      <c r="E33" s="141"/>
      <c r="F33" s="142"/>
      <c r="G33" s="142"/>
      <c r="H33" s="142"/>
    </row>
    <row r="34" spans="4:8" s="140" customFormat="1" x14ac:dyDescent="0.15">
      <c r="D34" s="141"/>
      <c r="E34" s="141"/>
      <c r="F34" s="142"/>
      <c r="G34" s="142"/>
      <c r="H34" s="142"/>
    </row>
    <row r="35" spans="4:8" s="140" customFormat="1" x14ac:dyDescent="0.15">
      <c r="D35" s="141"/>
      <c r="E35" s="141"/>
      <c r="F35" s="142"/>
      <c r="G35" s="142"/>
      <c r="H35" s="142"/>
    </row>
    <row r="36" spans="4:8" x14ac:dyDescent="0.15">
      <c r="D36" s="112"/>
      <c r="E36" s="112"/>
      <c r="F36" s="113"/>
      <c r="G36" s="113"/>
      <c r="H36" s="113"/>
    </row>
    <row r="37" spans="4:8" x14ac:dyDescent="0.15">
      <c r="D37" s="112"/>
      <c r="E37" s="112"/>
      <c r="F37" s="113"/>
      <c r="G37" s="113"/>
      <c r="H37" s="113"/>
    </row>
    <row r="38" spans="4:8" x14ac:dyDescent="0.15">
      <c r="D38" s="112"/>
      <c r="E38" s="112"/>
      <c r="F38" s="113"/>
      <c r="G38" s="113"/>
      <c r="H38" s="113"/>
    </row>
    <row r="39" spans="4:8" x14ac:dyDescent="0.15">
      <c r="D39" s="112"/>
      <c r="E39" s="112"/>
    </row>
    <row r="40" spans="4:8" x14ac:dyDescent="0.15">
      <c r="D40" s="112"/>
      <c r="E40" s="112"/>
    </row>
  </sheetData>
  <mergeCells count="4">
    <mergeCell ref="H4:I4"/>
    <mergeCell ref="R4:S4"/>
    <mergeCell ref="C22:I22"/>
    <mergeCell ref="C23:I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Windows</vt:lpstr>
      <vt:lpstr>Information</vt:lpstr>
      <vt:lpstr>Calcu</vt:lpstr>
      <vt:lpstr>fetching</vt:lpstr>
      <vt:lpstr>report</vt:lpstr>
      <vt:lpstr>brokerfee</vt:lpstr>
      <vt:lpstr>mf</vt:lpstr>
      <vt:lpstr>rf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WangWenke</cp:lastModifiedBy>
  <dcterms:created xsi:type="dcterms:W3CDTF">2016-11-01T06:05:04Z</dcterms:created>
  <dcterms:modified xsi:type="dcterms:W3CDTF">2017-08-29T08:21:31Z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c909907b-7436-4d7c-b6f9-14d64c5d0da0</vt:lpwstr>
  </property>
</Properties>
</file>