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1"/>
  </bookViews>
  <sheets>
    <sheet name="权益" sheetId="2" r:id="rId1"/>
    <sheet name="成交记录" sheetId="1" r:id="rId2"/>
    <sheet name="Sheet1" sheetId="5" r:id="rId3"/>
    <sheet name="持仓记录" sheetId="3" r:id="rId4"/>
    <sheet name="stat" sheetId="4" r:id="rId5"/>
  </sheets>
  <externalReferences>
    <externalReference r:id="rId6"/>
  </externalReferences>
  <definedNames>
    <definedName name="nv">权益!#REF!:OFFSET(权益!#REF!,权益!$E$1,0)</definedName>
    <definedName name="tt">权益!#REF!:OFFSET(权益!#REF!,权益!$E$1,0)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0" i="1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27" i="1"/>
  <c r="N26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P140" i="1" l="1"/>
  <c r="P141" i="1"/>
  <c r="G139" i="1" l="1"/>
  <c r="P139" i="1" l="1"/>
  <c r="G138" i="1"/>
  <c r="P138" i="1" l="1"/>
  <c r="G137" i="1" l="1"/>
  <c r="G136" i="1"/>
  <c r="P137" i="1" l="1"/>
  <c r="P136" i="1"/>
  <c r="G135" i="1"/>
  <c r="G134" i="1"/>
  <c r="N25" i="1"/>
  <c r="N29" i="1"/>
  <c r="N31" i="1"/>
  <c r="N34" i="1"/>
  <c r="N30" i="1"/>
  <c r="N32" i="1"/>
  <c r="N28" i="1"/>
  <c r="K133" i="1" l="1"/>
  <c r="P135" i="1"/>
  <c r="G133" i="1"/>
  <c r="P134" i="1" l="1"/>
  <c r="P133" i="1"/>
  <c r="C27" i="2"/>
  <c r="C26" i="2"/>
  <c r="G132" i="1"/>
  <c r="G131" i="1"/>
  <c r="G129" i="1"/>
  <c r="G128" i="1"/>
  <c r="G127" i="1"/>
  <c r="G126" i="1"/>
  <c r="G125" i="1"/>
  <c r="P128" i="1" l="1"/>
  <c r="P130" i="1"/>
  <c r="P129" i="1"/>
  <c r="P131" i="1"/>
  <c r="P132" i="1"/>
  <c r="P127" i="1"/>
  <c r="P126" i="1"/>
  <c r="G124" i="1"/>
  <c r="G123" i="1"/>
  <c r="G122" i="1"/>
  <c r="G121" i="1"/>
  <c r="K120" i="1"/>
  <c r="G120" i="1"/>
  <c r="K115" i="1" l="1"/>
  <c r="K116" i="1"/>
  <c r="K83" i="1"/>
  <c r="P125" i="1"/>
  <c r="P124" i="1"/>
  <c r="P121" i="1"/>
  <c r="P123" i="1"/>
  <c r="P122" i="1"/>
  <c r="P120" i="1"/>
  <c r="G119" i="1"/>
  <c r="G118" i="1"/>
  <c r="P119" i="1" l="1"/>
  <c r="P118" i="1"/>
  <c r="G117" i="1"/>
  <c r="G114" i="1"/>
  <c r="G113" i="1"/>
  <c r="G112" i="1"/>
  <c r="G111" i="1"/>
  <c r="P117" i="1" l="1"/>
  <c r="P114" i="1"/>
  <c r="K27" i="1"/>
  <c r="P113" i="1"/>
  <c r="P112" i="1"/>
  <c r="G110" i="1"/>
  <c r="P111" i="1" l="1"/>
  <c r="P110" i="1"/>
  <c r="C25" i="2"/>
  <c r="C24" i="2"/>
  <c r="C23" i="2"/>
  <c r="G107" i="1"/>
  <c r="F11" i="5"/>
  <c r="G106" i="1"/>
  <c r="G104" i="1"/>
  <c r="G103" i="1"/>
  <c r="G102" i="1"/>
  <c r="G101" i="1"/>
  <c r="G100" i="1"/>
  <c r="G99" i="1"/>
  <c r="G98" i="1"/>
  <c r="K88" i="1" l="1"/>
  <c r="K26" i="1"/>
  <c r="P109" i="1"/>
  <c r="P108" i="1"/>
  <c r="P107" i="1"/>
  <c r="K81" i="1"/>
  <c r="P106" i="1"/>
  <c r="P105" i="1"/>
  <c r="P104" i="1"/>
  <c r="P103" i="1"/>
  <c r="P102" i="1"/>
  <c r="P101" i="1"/>
  <c r="P88" i="1"/>
  <c r="K34" i="1"/>
  <c r="P100" i="1" l="1"/>
  <c r="P99" i="1"/>
  <c r="P98" i="1"/>
  <c r="P96" i="1"/>
  <c r="P97" i="1"/>
  <c r="K77" i="1"/>
  <c r="P95" i="1"/>
  <c r="P94" i="1"/>
  <c r="G91" i="1"/>
  <c r="G90" i="1"/>
  <c r="K33" i="1" l="1"/>
  <c r="P93" i="1"/>
  <c r="P90" i="1"/>
  <c r="K91" i="1"/>
  <c r="P91" i="1"/>
  <c r="P92" i="1"/>
  <c r="K85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7" i="1"/>
  <c r="K118" i="1"/>
  <c r="K119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4" i="1"/>
  <c r="K135" i="1"/>
  <c r="K136" i="1"/>
  <c r="K137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87" i="1" l="1"/>
  <c r="K89" i="1"/>
  <c r="P89" i="1"/>
  <c r="H2" i="4"/>
  <c r="J2" i="4"/>
  <c r="H3" i="4"/>
  <c r="J3" i="4"/>
  <c r="H4" i="4"/>
  <c r="J4" i="4"/>
  <c r="H5" i="4"/>
  <c r="J5" i="4"/>
  <c r="H6" i="4"/>
  <c r="J6" i="4"/>
  <c r="H7" i="4"/>
  <c r="J7" i="4"/>
  <c r="H8" i="4"/>
  <c r="J8" i="4"/>
  <c r="H9" i="4"/>
  <c r="J9" i="4"/>
  <c r="H10" i="4"/>
  <c r="J10" i="4"/>
  <c r="H11" i="4"/>
  <c r="J11" i="4"/>
  <c r="H12" i="4"/>
  <c r="J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82" i="1" l="1"/>
  <c r="K86" i="1"/>
  <c r="K84" i="1"/>
  <c r="P87" i="1"/>
  <c r="P86" i="1"/>
  <c r="P85" i="1"/>
  <c r="P84" i="1"/>
  <c r="C22" i="2"/>
  <c r="P83" i="1" l="1"/>
  <c r="P82" i="1"/>
  <c r="C21" i="2"/>
  <c r="K78" i="1" l="1"/>
  <c r="K80" i="1"/>
  <c r="K79" i="1"/>
  <c r="P79" i="1"/>
  <c r="P80" i="1"/>
  <c r="P81" i="1"/>
  <c r="C18" i="2"/>
  <c r="C19" i="2"/>
  <c r="C20" i="2"/>
  <c r="P78" i="1" l="1"/>
  <c r="P77" i="1"/>
  <c r="K76" i="1"/>
  <c r="K75" i="1"/>
  <c r="K73" i="1"/>
  <c r="K72" i="1"/>
  <c r="K70" i="1"/>
  <c r="H69" i="1" l="1"/>
  <c r="D35" i="1"/>
  <c r="D67" i="1"/>
  <c r="H66" i="1"/>
  <c r="D66" i="1"/>
  <c r="K64" i="1"/>
  <c r="C63" i="1"/>
  <c r="D62" i="1"/>
  <c r="K62" i="1" s="1"/>
  <c r="D60" i="1"/>
  <c r="D59" i="1"/>
  <c r="D58" i="1"/>
  <c r="D56" i="1"/>
  <c r="K49" i="1"/>
  <c r="K51" i="1"/>
  <c r="C38" i="1"/>
  <c r="H37" i="1"/>
  <c r="K47" i="1" l="1"/>
  <c r="K71" i="1"/>
  <c r="K74" i="1"/>
  <c r="P75" i="1"/>
  <c r="P76" i="1"/>
  <c r="P73" i="1"/>
  <c r="P74" i="1"/>
  <c r="K61" i="1"/>
  <c r="K55" i="1"/>
  <c r="K60" i="1"/>
  <c r="P72" i="1"/>
  <c r="K59" i="1"/>
  <c r="K63" i="1"/>
  <c r="K65" i="1"/>
  <c r="K36" i="1"/>
  <c r="K35" i="1"/>
  <c r="K66" i="1"/>
  <c r="K69" i="1"/>
  <c r="K68" i="1"/>
  <c r="K67" i="1"/>
  <c r="K48" i="1"/>
  <c r="K40" i="1"/>
  <c r="K43" i="1"/>
  <c r="K50" i="1"/>
  <c r="K38" i="1"/>
  <c r="K58" i="1"/>
  <c r="K57" i="1"/>
  <c r="K56" i="1"/>
  <c r="K54" i="1"/>
  <c r="K53" i="1"/>
  <c r="K52" i="1"/>
  <c r="K46" i="1"/>
  <c r="K39" i="1"/>
  <c r="K37" i="1"/>
  <c r="C17" i="2"/>
  <c r="C4" i="2"/>
  <c r="K42" i="1" l="1"/>
  <c r="K44" i="1"/>
  <c r="K45" i="1"/>
  <c r="L42" i="1"/>
  <c r="D24" i="1" l="1"/>
  <c r="D23" i="1"/>
  <c r="C23" i="1"/>
  <c r="C3" i="1"/>
  <c r="C4" i="1"/>
  <c r="G4" i="1"/>
  <c r="G17" i="1"/>
  <c r="K18" i="1"/>
  <c r="L20" i="1"/>
  <c r="L19" i="1"/>
  <c r="K14" i="1"/>
  <c r="K15" i="1"/>
  <c r="K16" i="1"/>
  <c r="P44" i="1" l="1"/>
  <c r="K41" i="1"/>
  <c r="P41" i="1"/>
  <c r="P45" i="1"/>
  <c r="P20" i="1"/>
  <c r="K22" i="1"/>
  <c r="P40" i="1"/>
  <c r="P43" i="1"/>
  <c r="P42" i="1"/>
  <c r="K20" i="1"/>
  <c r="P19" i="1"/>
  <c r="K19" i="1"/>
  <c r="L3" i="1"/>
  <c r="G3" i="1"/>
  <c r="L5" i="1"/>
  <c r="G6" i="1"/>
  <c r="G5" i="1"/>
  <c r="P17" i="1" l="1"/>
  <c r="P12" i="1"/>
  <c r="K17" i="1"/>
  <c r="P16" i="1"/>
  <c r="K6" i="1"/>
  <c r="L13" i="1"/>
  <c r="L12" i="1"/>
  <c r="L10" i="1"/>
  <c r="L11" i="1"/>
  <c r="L8" i="1"/>
  <c r="L7" i="1"/>
  <c r="L2" i="1"/>
  <c r="P13" i="1" l="1"/>
  <c r="P14" i="1"/>
  <c r="K12" i="1"/>
  <c r="P15" i="1"/>
  <c r="C3" i="2"/>
  <c r="K11" i="1" l="1"/>
  <c r="P11" i="1"/>
  <c r="K10" i="1"/>
  <c r="K7" i="1"/>
  <c r="C2" i="2"/>
  <c r="K2" i="1" l="1"/>
  <c r="K3" i="1"/>
  <c r="K5" i="1"/>
  <c r="K8" i="1"/>
  <c r="K9" i="1"/>
  <c r="K13" i="1"/>
  <c r="T1" i="1" l="1"/>
  <c r="S1" i="1"/>
  <c r="P1" i="1"/>
  <c r="Q1" i="1"/>
  <c r="E1" i="2"/>
  <c r="G2" i="2" l="1"/>
  <c r="R1" i="1" l="1"/>
  <c r="G3" i="2" l="1"/>
</calcChain>
</file>

<file path=xl/sharedStrings.xml><?xml version="1.0" encoding="utf-8"?>
<sst xmlns="http://schemas.openxmlformats.org/spreadsheetml/2006/main" count="273" uniqueCount="154">
  <si>
    <t>日期</t>
    <phoneticPr fontId="1" type="noConversion"/>
  </si>
  <si>
    <t>合约</t>
    <phoneticPr fontId="1" type="noConversion"/>
  </si>
  <si>
    <t>开仓</t>
    <phoneticPr fontId="1" type="noConversion"/>
  </si>
  <si>
    <t>开仓价</t>
    <phoneticPr fontId="1" type="noConversion"/>
  </si>
  <si>
    <t>平仓盈亏</t>
    <phoneticPr fontId="1" type="noConversion"/>
  </si>
  <si>
    <t>仓位</t>
    <phoneticPr fontId="1" type="noConversion"/>
  </si>
  <si>
    <t>平仓价</t>
    <phoneticPr fontId="1" type="noConversion"/>
  </si>
  <si>
    <t>交易单位</t>
    <phoneticPr fontId="1" type="noConversion"/>
  </si>
  <si>
    <t>Date</t>
    <phoneticPr fontId="1" type="noConversion"/>
  </si>
  <si>
    <t>Capital</t>
    <phoneticPr fontId="1" type="noConversion"/>
  </si>
  <si>
    <t>NV</t>
    <phoneticPr fontId="1" type="noConversion"/>
  </si>
  <si>
    <t>持仓周期</t>
    <phoneticPr fontId="1" type="noConversion"/>
  </si>
  <si>
    <t>胜率</t>
  </si>
  <si>
    <t>盈亏比</t>
    <phoneticPr fontId="1" type="noConversion"/>
  </si>
  <si>
    <t>HC1805</t>
    <phoneticPr fontId="1" type="noConversion"/>
  </si>
  <si>
    <t>RB1805</t>
    <phoneticPr fontId="1" type="noConversion"/>
  </si>
  <si>
    <t>J1805</t>
    <phoneticPr fontId="1" type="noConversion"/>
  </si>
  <si>
    <t>V1805</t>
    <phoneticPr fontId="1" type="noConversion"/>
  </si>
  <si>
    <t>L1805</t>
    <phoneticPr fontId="1" type="noConversion"/>
  </si>
  <si>
    <t>RU1805</t>
    <phoneticPr fontId="1" type="noConversion"/>
  </si>
  <si>
    <t>MA805</t>
    <phoneticPr fontId="1" type="noConversion"/>
  </si>
  <si>
    <t>平仓日期</t>
    <phoneticPr fontId="1" type="noConversion"/>
  </si>
  <si>
    <t>CS1805</t>
    <phoneticPr fontId="1" type="noConversion"/>
  </si>
  <si>
    <t>V1805</t>
    <phoneticPr fontId="1" type="noConversion"/>
  </si>
  <si>
    <t>仓位</t>
    <phoneticPr fontId="1" type="noConversion"/>
  </si>
  <si>
    <t>开仓均价</t>
    <phoneticPr fontId="1" type="noConversion"/>
  </si>
  <si>
    <t>价值</t>
    <phoneticPr fontId="1" type="noConversion"/>
  </si>
  <si>
    <t>保证金</t>
    <phoneticPr fontId="1" type="noConversion"/>
  </si>
  <si>
    <t>资金占比</t>
    <phoneticPr fontId="1" type="noConversion"/>
  </si>
  <si>
    <t>RU1805</t>
    <phoneticPr fontId="1" type="noConversion"/>
  </si>
  <si>
    <t>MA805</t>
    <phoneticPr fontId="1" type="noConversion"/>
  </si>
  <si>
    <t>·</t>
    <phoneticPr fontId="1" type="noConversion"/>
  </si>
  <si>
    <t>NI1805</t>
    <phoneticPr fontId="1" type="noConversion"/>
  </si>
  <si>
    <t>BU1806</t>
    <phoneticPr fontId="1" type="noConversion"/>
  </si>
  <si>
    <t>RU1805</t>
    <phoneticPr fontId="1" type="noConversion"/>
  </si>
  <si>
    <t>CS1805</t>
    <phoneticPr fontId="1" type="noConversion"/>
  </si>
  <si>
    <t>TA805</t>
    <phoneticPr fontId="1" type="noConversion"/>
  </si>
  <si>
    <t>RM805</t>
    <phoneticPr fontId="1" type="noConversion"/>
  </si>
  <si>
    <t>IC1803</t>
    <phoneticPr fontId="1" type="noConversion"/>
  </si>
  <si>
    <t>SF805</t>
    <phoneticPr fontId="1" type="noConversion"/>
  </si>
  <si>
    <t>CU1803</t>
    <phoneticPr fontId="1" type="noConversion"/>
  </si>
  <si>
    <t>AG1806</t>
    <phoneticPr fontId="1" type="noConversion"/>
  </si>
  <si>
    <t>FG805</t>
    <phoneticPr fontId="1" type="noConversion"/>
  </si>
  <si>
    <t>ZC805</t>
    <phoneticPr fontId="1" type="noConversion"/>
  </si>
  <si>
    <t>AU1806</t>
    <phoneticPr fontId="1" type="noConversion"/>
  </si>
  <si>
    <t>BU1805</t>
    <phoneticPr fontId="1" type="noConversion"/>
  </si>
  <si>
    <t>BU1806</t>
    <phoneticPr fontId="1" type="noConversion"/>
  </si>
  <si>
    <t>RB1805</t>
    <phoneticPr fontId="1" type="noConversion"/>
  </si>
  <si>
    <t>RU1805</t>
    <phoneticPr fontId="1" type="noConversion"/>
  </si>
  <si>
    <t>MA805</t>
    <phoneticPr fontId="1" type="noConversion"/>
  </si>
  <si>
    <t>开仓时间</t>
    <phoneticPr fontId="1" type="noConversion"/>
  </si>
  <si>
    <t>平仓时间</t>
    <phoneticPr fontId="1" type="noConversion"/>
  </si>
  <si>
    <t>CS1805</t>
    <phoneticPr fontId="1" type="noConversion"/>
  </si>
  <si>
    <t>M1805</t>
    <phoneticPr fontId="1" type="noConversion"/>
  </si>
  <si>
    <t>PP1805</t>
    <phoneticPr fontId="1" type="noConversion"/>
  </si>
  <si>
    <t>V1805</t>
    <phoneticPr fontId="1" type="noConversion"/>
  </si>
  <si>
    <t>V1805</t>
    <phoneticPr fontId="1" type="noConversion"/>
  </si>
  <si>
    <t>NI1805</t>
    <phoneticPr fontId="1" type="noConversion"/>
  </si>
  <si>
    <t>RM805</t>
    <phoneticPr fontId="1" type="noConversion"/>
  </si>
  <si>
    <t>HC1805</t>
    <phoneticPr fontId="1" type="noConversion"/>
  </si>
  <si>
    <t>JM1805</t>
    <phoneticPr fontId="1" type="noConversion"/>
  </si>
  <si>
    <t>RB1805</t>
  </si>
  <si>
    <t>V1805</t>
  </si>
  <si>
    <t>CU1803</t>
  </si>
  <si>
    <t>FG805</t>
  </si>
  <si>
    <t>ZC805</t>
  </si>
  <si>
    <t>TA805</t>
  </si>
  <si>
    <t>RM805</t>
  </si>
  <si>
    <t>CS1805</t>
  </si>
  <si>
    <t>NI1805</t>
  </si>
  <si>
    <t>IC1803</t>
  </si>
  <si>
    <t>SF805</t>
  </si>
  <si>
    <t>AG1806</t>
  </si>
  <si>
    <t>AU1806</t>
  </si>
  <si>
    <t>BU1805</t>
  </si>
  <si>
    <t>BU1806</t>
  </si>
  <si>
    <t>RU1805</t>
  </si>
  <si>
    <t>MA805</t>
  </si>
  <si>
    <t>M1805</t>
  </si>
  <si>
    <t>PP1805</t>
  </si>
  <si>
    <t>HC1805</t>
  </si>
  <si>
    <t>合约</t>
    <phoneticPr fontId="1" type="noConversion"/>
  </si>
  <si>
    <t>开仓</t>
    <phoneticPr fontId="1" type="noConversion"/>
  </si>
  <si>
    <t>开仓价</t>
    <phoneticPr fontId="1" type="noConversion"/>
  </si>
  <si>
    <t>平仓价</t>
    <phoneticPr fontId="1" type="noConversion"/>
  </si>
  <si>
    <t>乘数</t>
    <phoneticPr fontId="1" type="noConversion"/>
  </si>
  <si>
    <t>盈亏</t>
    <phoneticPr fontId="1" type="noConversion"/>
  </si>
  <si>
    <t>开仓日</t>
    <phoneticPr fontId="1" type="noConversion"/>
  </si>
  <si>
    <t>平仓日</t>
    <phoneticPr fontId="1" type="noConversion"/>
  </si>
  <si>
    <t>I1805</t>
    <phoneticPr fontId="1" type="noConversion"/>
  </si>
  <si>
    <t>收盘价</t>
    <phoneticPr fontId="1" type="noConversion"/>
  </si>
  <si>
    <t>持仓盈亏</t>
    <phoneticPr fontId="1" type="noConversion"/>
  </si>
  <si>
    <t>ZN1805</t>
    <phoneticPr fontId="1" type="noConversion"/>
  </si>
  <si>
    <t>TA805</t>
    <phoneticPr fontId="1" type="noConversion"/>
  </si>
  <si>
    <t>BU1806</t>
    <phoneticPr fontId="1" type="noConversion"/>
  </si>
  <si>
    <t>IC1803</t>
    <phoneticPr fontId="1" type="noConversion"/>
  </si>
  <si>
    <t>PP1805</t>
    <phoneticPr fontId="1" type="noConversion"/>
  </si>
  <si>
    <t>NI1805</t>
    <phoneticPr fontId="1" type="noConversion"/>
  </si>
  <si>
    <t>SF805</t>
    <phoneticPr fontId="1" type="noConversion"/>
  </si>
  <si>
    <t>M1805</t>
    <phoneticPr fontId="1" type="noConversion"/>
  </si>
  <si>
    <t>P1805</t>
    <phoneticPr fontId="1" type="noConversion"/>
  </si>
  <si>
    <t>M1805</t>
    <phoneticPr fontId="1" type="noConversion"/>
  </si>
  <si>
    <t>NI1805</t>
    <phoneticPr fontId="1" type="noConversion"/>
  </si>
  <si>
    <t>PP1805</t>
    <phoneticPr fontId="1" type="noConversion"/>
  </si>
  <si>
    <t>JM1805</t>
    <phoneticPr fontId="1" type="noConversion"/>
  </si>
  <si>
    <t>MA805</t>
    <phoneticPr fontId="1" type="noConversion"/>
  </si>
  <si>
    <t>P1805</t>
    <phoneticPr fontId="1" type="noConversion"/>
  </si>
  <si>
    <t>SF805</t>
    <phoneticPr fontId="1" type="noConversion"/>
  </si>
  <si>
    <t>TA805</t>
    <phoneticPr fontId="1" type="noConversion"/>
  </si>
  <si>
    <t>ZN1805</t>
    <phoneticPr fontId="1" type="noConversion"/>
  </si>
  <si>
    <t>L1805</t>
    <phoneticPr fontId="1" type="noConversion"/>
  </si>
  <si>
    <t>FG805</t>
    <phoneticPr fontId="1" type="noConversion"/>
  </si>
  <si>
    <t>PP1805</t>
    <phoneticPr fontId="1" type="noConversion"/>
  </si>
  <si>
    <t>P1805</t>
  </si>
  <si>
    <t>P1805</t>
    <phoneticPr fontId="1" type="noConversion"/>
  </si>
  <si>
    <t>开仓日</t>
    <phoneticPr fontId="1" type="noConversion"/>
  </si>
  <si>
    <t>CS1805</t>
    <phoneticPr fontId="1" type="noConversion"/>
  </si>
  <si>
    <t>T1803</t>
    <phoneticPr fontId="1" type="noConversion"/>
  </si>
  <si>
    <t>开仓日期</t>
    <phoneticPr fontId="1" type="noConversion"/>
  </si>
  <si>
    <t>I1805</t>
  </si>
  <si>
    <t>TF1803</t>
    <phoneticPr fontId="1" type="noConversion"/>
  </si>
  <si>
    <t>IH1803</t>
  </si>
  <si>
    <t>IH1803</t>
    <phoneticPr fontId="1" type="noConversion"/>
  </si>
  <si>
    <t>Ban List</t>
    <phoneticPr fontId="1" type="noConversion"/>
  </si>
  <si>
    <t>PP1805</t>
    <phoneticPr fontId="1" type="noConversion"/>
  </si>
  <si>
    <t>FG805</t>
    <phoneticPr fontId="1" type="noConversion"/>
  </si>
  <si>
    <t>V1805</t>
    <phoneticPr fontId="1" type="noConversion"/>
  </si>
  <si>
    <t>RU1805</t>
    <phoneticPr fontId="1" type="noConversion"/>
  </si>
  <si>
    <t>AG1806</t>
    <phoneticPr fontId="1" type="noConversion"/>
  </si>
  <si>
    <t>JD1805</t>
    <phoneticPr fontId="1" type="noConversion"/>
  </si>
  <si>
    <t>MA805</t>
    <phoneticPr fontId="1" type="noConversion"/>
  </si>
  <si>
    <t>M1805</t>
    <phoneticPr fontId="1" type="noConversion"/>
  </si>
  <si>
    <t>IF1803</t>
    <phoneticPr fontId="1" type="noConversion"/>
  </si>
  <si>
    <t>ZC805</t>
    <phoneticPr fontId="1" type="noConversion"/>
  </si>
  <si>
    <t>AL1805</t>
    <phoneticPr fontId="1" type="noConversion"/>
  </si>
  <si>
    <t>J1805</t>
    <phoneticPr fontId="1" type="noConversion"/>
  </si>
  <si>
    <t>L1805</t>
    <phoneticPr fontId="1" type="noConversion"/>
  </si>
  <si>
    <t>IF1803</t>
    <phoneticPr fontId="1" type="noConversion"/>
  </si>
  <si>
    <t>IH1803</t>
    <phoneticPr fontId="1" type="noConversion"/>
  </si>
  <si>
    <t>ZN1805</t>
    <phoneticPr fontId="1" type="noConversion"/>
  </si>
  <si>
    <t>BU1806</t>
    <phoneticPr fontId="1" type="noConversion"/>
  </si>
  <si>
    <t>RM805</t>
    <phoneticPr fontId="1" type="noConversion"/>
  </si>
  <si>
    <t>J1805</t>
    <phoneticPr fontId="1" type="noConversion"/>
  </si>
  <si>
    <t>RB1805</t>
    <phoneticPr fontId="1" type="noConversion"/>
  </si>
  <si>
    <t>HC1805</t>
    <phoneticPr fontId="1" type="noConversion"/>
  </si>
  <si>
    <t>M1805</t>
    <phoneticPr fontId="1" type="noConversion"/>
  </si>
  <si>
    <t>T1803</t>
    <phoneticPr fontId="1" type="noConversion"/>
  </si>
  <si>
    <t>SF805</t>
    <phoneticPr fontId="1" type="noConversion"/>
  </si>
  <si>
    <t>MA805</t>
    <phoneticPr fontId="1" type="noConversion"/>
  </si>
  <si>
    <t>JM1805</t>
    <phoneticPr fontId="1" type="noConversion"/>
  </si>
  <si>
    <t>CU1803</t>
    <phoneticPr fontId="1" type="noConversion"/>
  </si>
  <si>
    <t>P1805</t>
    <phoneticPr fontId="1" type="noConversion"/>
  </si>
  <si>
    <t>CS1805</t>
    <phoneticPr fontId="1" type="noConversion"/>
  </si>
  <si>
    <t>T1803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</si>
</sst>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%"/>
    <numFmt numFmtId="177" formatCode="0.000"/>
    <numFmt numFmtId="178" formatCode="0.0000"/>
    <numFmt numFmtId="179" formatCode="0.00_);[Red]\(0.00\)"/>
    <numFmt numFmtId="180" formatCode="_ * #,##0_ ;_ * \-#,##0_ ;_ * &quot;-&quot;??_ ;_ @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7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1" applyFont="1" applyAlignment="1"/>
    <xf numFmtId="9" fontId="0" fillId="0" borderId="0" xfId="1" applyNumberFormat="1" applyFont="1" applyAlignment="1"/>
    <xf numFmtId="0" fontId="4" fillId="0" borderId="1" xfId="0" applyFont="1" applyBorder="1" applyAlignment="1">
      <alignment horizontal="center"/>
    </xf>
    <xf numFmtId="0" fontId="5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0" xfId="0" applyFont="1"/>
    <xf numFmtId="178" fontId="0" fillId="0" borderId="0" xfId="0" applyNumberFormat="1" applyAlignment="1">
      <alignment horizontal="center"/>
    </xf>
    <xf numFmtId="43" fontId="0" fillId="0" borderId="0" xfId="2" applyFont="1" applyAlignment="1"/>
    <xf numFmtId="10" fontId="0" fillId="0" borderId="0" xfId="1" applyNumberFormat="1" applyFont="1" applyAlignment="1"/>
    <xf numFmtId="43" fontId="0" fillId="0" borderId="1" xfId="2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43" fontId="0" fillId="0" borderId="1" xfId="2" applyFont="1" applyBorder="1" applyAlignment="1"/>
    <xf numFmtId="10" fontId="0" fillId="0" borderId="1" xfId="1" applyNumberFormat="1" applyFont="1" applyBorder="1" applyAlignment="1"/>
    <xf numFmtId="0" fontId="0" fillId="0" borderId="0" xfId="0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43" fontId="0" fillId="0" borderId="0" xfId="2" applyFont="1" applyBorder="1" applyAlignment="1"/>
    <xf numFmtId="10" fontId="0" fillId="0" borderId="0" xfId="1" applyNumberFormat="1" applyFont="1" applyBorder="1" applyAlignment="1"/>
    <xf numFmtId="0" fontId="0" fillId="0" borderId="1" xfId="0" applyFill="1" applyBorder="1" applyAlignment="1">
      <alignment horizontal="center"/>
    </xf>
    <xf numFmtId="179" fontId="0" fillId="0" borderId="0" xfId="1" applyNumberFormat="1" applyFont="1" applyAlignment="1"/>
    <xf numFmtId="0" fontId="0" fillId="0" borderId="0" xfId="0" applyFill="1" applyBorder="1" applyAlignment="1">
      <alignment horizontal="center"/>
    </xf>
    <xf numFmtId="176" fontId="0" fillId="0" borderId="0" xfId="1" applyNumberFormat="1" applyFont="1" applyAlignment="1">
      <alignment horizontal="center"/>
    </xf>
    <xf numFmtId="176" fontId="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76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Fill="1" applyAlignment="1">
      <alignment horizontal="center"/>
    </xf>
    <xf numFmtId="180" fontId="0" fillId="0" borderId="0" xfId="2" applyNumberFormat="1" applyFont="1" applyAlignment="1">
      <alignment horizontal="center"/>
    </xf>
    <xf numFmtId="180" fontId="0" fillId="0" borderId="0" xfId="2" applyNumberFormat="1" applyFont="1" applyAlignment="1"/>
    <xf numFmtId="20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176" fontId="0" fillId="0" borderId="2" xfId="1" applyNumberFormat="1" applyFont="1" applyBorder="1" applyAlignment="1">
      <alignment horizontal="center"/>
    </xf>
    <xf numFmtId="0" fontId="0" fillId="0" borderId="2" xfId="0" applyBorder="1"/>
    <xf numFmtId="20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176" fontId="0" fillId="0" borderId="3" xfId="1" applyNumberFormat="1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0" fontId="0" fillId="0" borderId="0" xfId="0" applyFill="1" applyBorder="1"/>
    <xf numFmtId="0" fontId="0" fillId="0" borderId="3" xfId="0" applyFill="1" applyBorder="1" applyAlignment="1">
      <alignment horizontal="center"/>
    </xf>
    <xf numFmtId="180" fontId="0" fillId="0" borderId="1" xfId="2" applyNumberFormat="1" applyFont="1" applyBorder="1" applyAlignment="1"/>
    <xf numFmtId="178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权益!$C$1</c:f>
              <c:strCache>
                <c:ptCount val="1"/>
                <c:pt idx="0">
                  <c:v>NV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权益!$A$2:$A$31</c:f>
              <c:numCache>
                <c:formatCode>m/d/yyyy</c:formatCode>
                <c:ptCount val="30"/>
                <c:pt idx="0">
                  <c:v>43094</c:v>
                </c:pt>
                <c:pt idx="1">
                  <c:v>43095</c:v>
                </c:pt>
                <c:pt idx="2">
                  <c:v>43096</c:v>
                </c:pt>
                <c:pt idx="3">
                  <c:v>43097</c:v>
                </c:pt>
                <c:pt idx="4">
                  <c:v>43098</c:v>
                </c:pt>
                <c:pt idx="5">
                  <c:v>43101</c:v>
                </c:pt>
                <c:pt idx="6">
                  <c:v>43102</c:v>
                </c:pt>
                <c:pt idx="7">
                  <c:v>43103</c:v>
                </c:pt>
                <c:pt idx="8">
                  <c:v>43104</c:v>
                </c:pt>
                <c:pt idx="9">
                  <c:v>43105</c:v>
                </c:pt>
                <c:pt idx="10">
                  <c:v>43108</c:v>
                </c:pt>
                <c:pt idx="11">
                  <c:v>43109</c:v>
                </c:pt>
                <c:pt idx="12">
                  <c:v>43110</c:v>
                </c:pt>
                <c:pt idx="13">
                  <c:v>43111</c:v>
                </c:pt>
                <c:pt idx="14">
                  <c:v>43112</c:v>
                </c:pt>
                <c:pt idx="15">
                  <c:v>43115</c:v>
                </c:pt>
                <c:pt idx="16">
                  <c:v>43116</c:v>
                </c:pt>
                <c:pt idx="17">
                  <c:v>43117</c:v>
                </c:pt>
                <c:pt idx="18">
                  <c:v>43118</c:v>
                </c:pt>
                <c:pt idx="19">
                  <c:v>43119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43129</c:v>
                </c:pt>
                <c:pt idx="26">
                  <c:v>43130</c:v>
                </c:pt>
                <c:pt idx="27">
                  <c:v>43131</c:v>
                </c:pt>
                <c:pt idx="28">
                  <c:v>43132</c:v>
                </c:pt>
                <c:pt idx="29">
                  <c:v>43133</c:v>
                </c:pt>
              </c:numCache>
            </c:numRef>
          </c:cat>
          <c:val>
            <c:numRef>
              <c:f>权益!$C$2:$C$31</c:f>
              <c:numCache>
                <c:formatCode>0.0000</c:formatCode>
                <c:ptCount val="30"/>
                <c:pt idx="0">
                  <c:v>1</c:v>
                </c:pt>
                <c:pt idx="1">
                  <c:v>0.99183259999999995</c:v>
                </c:pt>
                <c:pt idx="2">
                  <c:v>0.992039</c:v>
                </c:pt>
                <c:pt idx="15">
                  <c:v>0.98367360000000004</c:v>
                </c:pt>
                <c:pt idx="16">
                  <c:v>0.9743676</c:v>
                </c:pt>
                <c:pt idx="17">
                  <c:v>0.96859209999999996</c:v>
                </c:pt>
                <c:pt idx="18">
                  <c:v>0.97040610000000005</c:v>
                </c:pt>
                <c:pt idx="19">
                  <c:v>0.97298989999999996</c:v>
                </c:pt>
                <c:pt idx="20">
                  <c:v>0.97157280000000001</c:v>
                </c:pt>
                <c:pt idx="21">
                  <c:v>0.97568270000000001</c:v>
                </c:pt>
                <c:pt idx="22">
                  <c:v>0.97392330000000005</c:v>
                </c:pt>
                <c:pt idx="23">
                  <c:v>0.97964110000000004</c:v>
                </c:pt>
                <c:pt idx="24">
                  <c:v>0.97581989999999996</c:v>
                </c:pt>
                <c:pt idx="25">
                  <c:v>0.98014959999999995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4C-4662-BEE7-8D967E8C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74512"/>
        <c:axId val="263775632"/>
      </c:lineChart>
      <c:dateAx>
        <c:axId val="263774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75632"/>
        <c:crosses val="autoZero"/>
        <c:auto val="1"/>
        <c:lblOffset val="100"/>
        <c:baseTimeUnit val="days"/>
      </c:dateAx>
      <c:valAx>
        <c:axId val="2637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权益!$A$22:$A$25</c:f>
              <c:numCache>
                <c:formatCode>m/d/yyyy</c:formatCode>
                <c:ptCount val="4"/>
                <c:pt idx="0">
                  <c:v>43122</c:v>
                </c:pt>
                <c:pt idx="1">
                  <c:v>43123</c:v>
                </c:pt>
                <c:pt idx="2">
                  <c:v>43124</c:v>
                </c:pt>
                <c:pt idx="3">
                  <c:v>43125</c:v>
                </c:pt>
              </c:numCache>
            </c:numRef>
          </c:cat>
          <c:val>
            <c:numRef>
              <c:f>权益!$B$22:$B$25</c:f>
              <c:numCache>
                <c:formatCode>_ * #,##0_ ;_ * \-#,##0_ ;_ * "-"??_ ;_ @_ </c:formatCode>
                <c:ptCount val="4"/>
                <c:pt idx="0">
                  <c:v>9715728</c:v>
                </c:pt>
                <c:pt idx="1">
                  <c:v>9756827</c:v>
                </c:pt>
                <c:pt idx="2">
                  <c:v>9739233</c:v>
                </c:pt>
                <c:pt idx="3">
                  <c:v>9796411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35-416B-9AFA-953125FAB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778992"/>
        <c:axId val="263779552"/>
      </c:lineChart>
      <c:dateAx>
        <c:axId val="26377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79552"/>
        <c:crosses val="autoZero"/>
        <c:auto val="1"/>
        <c:lblOffset val="100"/>
        <c:baseTimeUnit val="days"/>
      </c:dateAx>
      <c:valAx>
        <c:axId val="263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37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</xdr:row>
      <xdr:rowOff>57150</xdr:rowOff>
    </xdr:from>
    <xdr:to>
      <xdr:col>16</xdr:col>
      <xdr:colOff>238125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21</xdr:row>
      <xdr:rowOff>152400</xdr:rowOff>
    </xdr:from>
    <xdr:to>
      <xdr:col>14</xdr:col>
      <xdr:colOff>323850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1"/>
  <sheetViews>
    <sheetView workbookViewId="0">
      <pane ySplit="1" topLeftCell="A8" activePane="bottomLeft" state="frozen"/>
      <selection pane="bottomLeft" activeCell="A27" sqref="A27:C31"/>
    </sheetView>
  </sheetViews>
  <sheetFormatPr defaultRowHeight="13.5"/>
  <cols>
    <col min="1" max="1" width="12.75" style="1" customWidth="1"/>
    <col min="2" max="2" width="18.375" style="39" bestFit="1" customWidth="1"/>
    <col min="3" max="3" width="11.125" customWidth="1"/>
    <col min="5" max="5" width="5.5" customWidth="1"/>
    <col min="7" max="7" width="8" customWidth="1"/>
    <col min="8" max="9" width="5.75" customWidth="1"/>
  </cols>
  <sheetData>
    <row r="1" spans="1:9">
      <c r="A1" s="1" t="s">
        <v>8</v>
      </c>
      <c r="B1" s="38" t="s">
        <v>9</v>
      </c>
      <c r="C1" s="1" t="s">
        <v>10</v>
      </c>
      <c r="E1" s="7">
        <f>COUNTA(C2:C9986)</f>
        <v>14</v>
      </c>
      <c r="I1" s="8"/>
    </row>
    <row r="2" spans="1:9">
      <c r="A2" s="2">
        <v>43094</v>
      </c>
      <c r="B2" s="38">
        <v>10000000</v>
      </c>
      <c r="C2" s="15">
        <f>B2/$B$2</f>
        <v>1</v>
      </c>
      <c r="F2" t="s">
        <v>12</v>
      </c>
      <c r="G2" s="9">
        <f>成交记录!Q1/成交记录!P1</f>
        <v>0.25210084033613445</v>
      </c>
    </row>
    <row r="3" spans="1:9">
      <c r="A3" s="2">
        <v>43095</v>
      </c>
      <c r="B3" s="38">
        <v>9918326</v>
      </c>
      <c r="C3" s="15">
        <f>B3/$B$2</f>
        <v>0.99183259999999995</v>
      </c>
      <c r="F3" t="s">
        <v>13</v>
      </c>
      <c r="G3" s="29">
        <f>成交记录!S1/成交记录!T1</f>
        <v>0.81162590350452546</v>
      </c>
    </row>
    <row r="4" spans="1:9">
      <c r="A4" s="2">
        <v>43096</v>
      </c>
      <c r="B4" s="38">
        <v>9920390</v>
      </c>
      <c r="C4" s="15">
        <f>B4/$B$2</f>
        <v>0.992039</v>
      </c>
    </row>
    <row r="5" spans="1:9">
      <c r="A5" s="2">
        <v>43097</v>
      </c>
      <c r="B5" s="38"/>
      <c r="C5" s="5"/>
    </row>
    <row r="6" spans="1:9">
      <c r="A6" s="2">
        <v>43098</v>
      </c>
      <c r="B6" s="38"/>
      <c r="C6" s="5"/>
    </row>
    <row r="7" spans="1:9">
      <c r="A7" s="2">
        <v>43101</v>
      </c>
      <c r="B7" s="38"/>
      <c r="C7" s="5"/>
    </row>
    <row r="8" spans="1:9">
      <c r="A8" s="2">
        <v>43102</v>
      </c>
      <c r="B8" s="38"/>
      <c r="C8" s="5"/>
    </row>
    <row r="9" spans="1:9">
      <c r="A9" s="2">
        <v>43103</v>
      </c>
      <c r="B9" s="38"/>
      <c r="C9" s="5"/>
    </row>
    <row r="10" spans="1:9">
      <c r="A10" s="2">
        <v>43104</v>
      </c>
      <c r="B10" s="38"/>
      <c r="C10" s="5"/>
    </row>
    <row r="11" spans="1:9">
      <c r="A11" s="2">
        <v>43105</v>
      </c>
      <c r="B11" s="38"/>
      <c r="C11" s="5"/>
    </row>
    <row r="12" spans="1:9">
      <c r="A12" s="2">
        <v>43108</v>
      </c>
      <c r="B12" s="38"/>
      <c r="C12" s="5"/>
    </row>
    <row r="13" spans="1:9">
      <c r="A13" s="2">
        <v>43109</v>
      </c>
    </row>
    <row r="14" spans="1:9">
      <c r="A14" s="2">
        <v>43110</v>
      </c>
    </row>
    <row r="15" spans="1:9">
      <c r="A15" s="2">
        <v>43111</v>
      </c>
    </row>
    <row r="16" spans="1:9">
      <c r="A16" s="33">
        <v>43112</v>
      </c>
      <c r="B16" s="55"/>
      <c r="C16" s="4"/>
    </row>
    <row r="17" spans="1:3">
      <c r="A17" s="2">
        <v>43115</v>
      </c>
      <c r="B17" s="39">
        <v>9836736</v>
      </c>
      <c r="C17" s="15">
        <f>B17/$B$2</f>
        <v>0.98367360000000004</v>
      </c>
    </row>
    <row r="18" spans="1:3">
      <c r="A18" s="2">
        <v>43116</v>
      </c>
      <c r="B18" s="39">
        <v>9743676</v>
      </c>
      <c r="C18" s="15">
        <f t="shared" ref="C18:C27" si="0">B18/$B$2</f>
        <v>0.9743676</v>
      </c>
    </row>
    <row r="19" spans="1:3">
      <c r="A19" s="2">
        <v>43117</v>
      </c>
      <c r="B19" s="39">
        <v>9685921</v>
      </c>
      <c r="C19" s="15">
        <f t="shared" si="0"/>
        <v>0.96859209999999996</v>
      </c>
    </row>
    <row r="20" spans="1:3">
      <c r="A20" s="2">
        <v>43118</v>
      </c>
      <c r="B20" s="39">
        <v>9704061</v>
      </c>
      <c r="C20" s="15">
        <f t="shared" si="0"/>
        <v>0.97040610000000005</v>
      </c>
    </row>
    <row r="21" spans="1:3">
      <c r="A21" s="33">
        <v>43119</v>
      </c>
      <c r="B21" s="55">
        <v>9729899</v>
      </c>
      <c r="C21" s="56">
        <f t="shared" si="0"/>
        <v>0.97298989999999996</v>
      </c>
    </row>
    <row r="22" spans="1:3">
      <c r="A22" s="2">
        <v>43122</v>
      </c>
      <c r="B22" s="39">
        <v>9715728</v>
      </c>
      <c r="C22" s="15">
        <f t="shared" si="0"/>
        <v>0.97157280000000001</v>
      </c>
    </row>
    <row r="23" spans="1:3">
      <c r="A23" s="2">
        <v>43123</v>
      </c>
      <c r="B23" s="39">
        <v>9756827</v>
      </c>
      <c r="C23" s="15">
        <f t="shared" si="0"/>
        <v>0.97568270000000001</v>
      </c>
    </row>
    <row r="24" spans="1:3">
      <c r="A24" s="2">
        <v>43124</v>
      </c>
      <c r="B24" s="39">
        <v>9739233</v>
      </c>
      <c r="C24" s="15">
        <f t="shared" si="0"/>
        <v>0.97392330000000005</v>
      </c>
    </row>
    <row r="25" spans="1:3">
      <c r="A25" s="2">
        <v>43125</v>
      </c>
      <c r="B25" s="39">
        <v>9796411</v>
      </c>
      <c r="C25" s="15">
        <f t="shared" si="0"/>
        <v>0.97964110000000004</v>
      </c>
    </row>
    <row r="26" spans="1:3">
      <c r="A26" s="33">
        <v>43126</v>
      </c>
      <c r="B26" s="55">
        <v>9758199</v>
      </c>
      <c r="C26" s="56">
        <f t="shared" si="0"/>
        <v>0.97581989999999996</v>
      </c>
    </row>
    <row r="27" spans="1:3">
      <c r="A27" s="2">
        <v>43129</v>
      </c>
      <c r="B27" s="39">
        <v>9801496</v>
      </c>
      <c r="C27" s="15">
        <f t="shared" si="0"/>
        <v>0.98014959999999995</v>
      </c>
    </row>
    <row r="28" spans="1:3">
      <c r="A28" s="2">
        <v>43130</v>
      </c>
      <c r="C28" s="15"/>
    </row>
    <row r="29" spans="1:3">
      <c r="A29" s="2">
        <v>43131</v>
      </c>
      <c r="C29" s="15"/>
    </row>
    <row r="30" spans="1:3">
      <c r="A30" s="2">
        <v>43132</v>
      </c>
      <c r="C30" s="15"/>
    </row>
    <row r="31" spans="1:3">
      <c r="A31" s="2">
        <v>43133</v>
      </c>
      <c r="C31" s="1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71"/>
  <sheetViews>
    <sheetView tabSelected="1" workbookViewId="0">
      <pane ySplit="1" topLeftCell="A117" activePane="bottomLeft" state="frozen"/>
      <selection pane="bottomLeft" activeCell="B142" sqref="B142"/>
    </sheetView>
  </sheetViews>
  <sheetFormatPr defaultRowHeight="13.5"/>
  <cols>
    <col min="1" max="1" width="15.25" style="1" customWidth="1"/>
    <col min="2" max="2" width="10.25" style="1" customWidth="1"/>
    <col min="3" max="3" width="10.375" style="1" customWidth="1"/>
    <col min="4" max="6" width="13" style="1" customWidth="1"/>
    <col min="7" max="7" width="9.875" style="31" customWidth="1"/>
    <col min="8" max="8" width="10.125" style="1" customWidth="1"/>
    <col min="9" max="9" width="11.625" style="1" bestFit="1" customWidth="1"/>
    <col min="10" max="10" width="11.625" style="1" customWidth="1"/>
    <col min="11" max="11" width="12" style="1" customWidth="1"/>
    <col min="12" max="12" width="9" style="1"/>
    <col min="13" max="13" width="1.875" customWidth="1"/>
    <col min="14" max="14" width="10.875" style="12" customWidth="1"/>
    <col min="15" max="15" width="9.5" bestFit="1" customWidth="1"/>
    <col min="16" max="16" width="9" style="1"/>
  </cols>
  <sheetData>
    <row r="1" spans="1:21" s="4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115</v>
      </c>
      <c r="F1" s="3" t="s">
        <v>50</v>
      </c>
      <c r="G1" s="32" t="s">
        <v>5</v>
      </c>
      <c r="H1" s="3" t="s">
        <v>6</v>
      </c>
      <c r="I1" s="3" t="s">
        <v>21</v>
      </c>
      <c r="J1" s="24" t="s">
        <v>51</v>
      </c>
      <c r="K1" s="24" t="s">
        <v>4</v>
      </c>
      <c r="L1" s="3" t="s">
        <v>11</v>
      </c>
      <c r="N1" s="10" t="s">
        <v>7</v>
      </c>
      <c r="O1" s="13"/>
      <c r="P1" s="10">
        <f>COUNT(K2:K9988)</f>
        <v>119</v>
      </c>
      <c r="Q1" s="13">
        <f>COUNTIF(K2:K9988,"&gt;0")</f>
        <v>30</v>
      </c>
      <c r="R1" s="13">
        <f>COUNTIF(K2:K9988,"&lt;0")</f>
        <v>87</v>
      </c>
      <c r="S1" s="13">
        <f>SUMIF(K2:K9988,"&gt;0")</f>
        <v>499641.5</v>
      </c>
      <c r="T1" s="13">
        <f>ABS(SUMIF(K2:K9988,"&lt;0"))</f>
        <v>615605.66000000038</v>
      </c>
      <c r="U1" s="13"/>
    </row>
    <row r="2" spans="1:21" ht="14.25">
      <c r="A2" s="2">
        <v>43094</v>
      </c>
      <c r="B2" s="1" t="s">
        <v>14</v>
      </c>
      <c r="C2" s="1">
        <v>-26</v>
      </c>
      <c r="D2" s="1">
        <v>3833.23</v>
      </c>
      <c r="G2" s="31">
        <v>1.49E-2</v>
      </c>
      <c r="H2" s="1">
        <v>3887</v>
      </c>
      <c r="I2" s="2">
        <v>43096</v>
      </c>
      <c r="J2" s="2"/>
      <c r="K2" s="30">
        <f>IF(H2="","",C2*(H2-D2)*N2)</f>
        <v>-13980.199999999995</v>
      </c>
      <c r="L2" s="1">
        <f>I2-$A$2</f>
        <v>2</v>
      </c>
      <c r="N2" s="11">
        <f>[1]!WSD($B2,"contractmultiplier",$A$2,$A$2,"TradingCalendar=SSE","rptType=1","ShowCodes=N","ShowDates=N","ShowParams=Y","cols=1;rows=1")</f>
        <v>10</v>
      </c>
      <c r="P2" s="12" t="s">
        <v>123</v>
      </c>
      <c r="Q2" s="14" t="s">
        <v>124</v>
      </c>
      <c r="R2" s="14" t="s">
        <v>125</v>
      </c>
      <c r="S2" s="14" t="s">
        <v>126</v>
      </c>
      <c r="T2" s="14" t="s">
        <v>127</v>
      </c>
      <c r="U2" s="14" t="s">
        <v>128</v>
      </c>
    </row>
    <row r="3" spans="1:21" ht="14.25">
      <c r="B3" s="1" t="s">
        <v>15</v>
      </c>
      <c r="C3" s="1">
        <f>-26*0.5</f>
        <v>-13</v>
      </c>
      <c r="D3" s="1">
        <v>3793.85</v>
      </c>
      <c r="G3" s="31">
        <f>1.48%*0.5</f>
        <v>7.4000000000000003E-3</v>
      </c>
      <c r="H3" s="1">
        <v>3761</v>
      </c>
      <c r="I3" s="2">
        <v>43096</v>
      </c>
      <c r="J3" s="2"/>
      <c r="K3" s="30">
        <f>IF(H3="","",C3*(H3-D3)*N3)</f>
        <v>4270.4999999999882</v>
      </c>
      <c r="L3" s="1">
        <f>I3-$A$2</f>
        <v>2</v>
      </c>
      <c r="N3" s="11">
        <f>[1]!WSD($B3,"contractmultiplier",$A$2,$A$2,"TradingCalendar=SSE","rptType=1","ShowCodes=N","ShowDates=N","ShowParams=Y","cols=1;rows=1")</f>
        <v>10</v>
      </c>
      <c r="P3" s="12"/>
      <c r="Q3" s="14"/>
      <c r="R3" s="14"/>
      <c r="S3" s="14"/>
      <c r="T3" s="14"/>
      <c r="U3" s="14"/>
    </row>
    <row r="4" spans="1:21" ht="14.25">
      <c r="B4" s="1" t="s">
        <v>15</v>
      </c>
      <c r="C4" s="1">
        <f>-26*0.5</f>
        <v>-13</v>
      </c>
      <c r="D4" s="1">
        <v>3793.85</v>
      </c>
      <c r="G4" s="31">
        <f>1.48%*0.5</f>
        <v>7.4000000000000003E-3</v>
      </c>
      <c r="K4" s="30"/>
      <c r="N4" s="11">
        <f>[1]!WSD($B4,"contractmultiplier",$A$2,$A$2,"TradingCalendar=SSE","rptType=1","ShowCodes=N","ShowDates=N","ShowParams=Y","cols=1;rows=1")</f>
        <v>10</v>
      </c>
      <c r="P4" s="12"/>
      <c r="Q4" s="14"/>
      <c r="R4" s="14"/>
      <c r="S4" s="14"/>
      <c r="T4" s="14"/>
      <c r="U4" s="14"/>
    </row>
    <row r="5" spans="1:21" ht="14.25">
      <c r="A5" s="2"/>
      <c r="B5" s="1" t="s">
        <v>16</v>
      </c>
      <c r="C5" s="1">
        <v>-2</v>
      </c>
      <c r="D5" s="1">
        <v>2009.3</v>
      </c>
      <c r="G5" s="31">
        <f>1.51%*2/5</f>
        <v>6.0400000000000002E-3</v>
      </c>
      <c r="H5" s="1">
        <v>1979</v>
      </c>
      <c r="I5" s="2">
        <v>43096</v>
      </c>
      <c r="J5" s="2"/>
      <c r="K5" s="30">
        <f t="shared" ref="K5:K20" si="0">IF(H5="","",C5*(H5-D5)*N5)</f>
        <v>6059.9999999999909</v>
      </c>
      <c r="L5" s="1">
        <f>I5-$A$2</f>
        <v>2</v>
      </c>
      <c r="N5" s="11">
        <f>[1]!WSD($B5,"contractmultiplier",$A$2,$A$2,"TradingCalendar=SSE","rptType=1","ShowCodes=N","ShowDates=N","ShowParams=Y","cols=1;rows=1")</f>
        <v>100</v>
      </c>
      <c r="P5" s="12"/>
      <c r="Q5" s="14"/>
      <c r="R5" s="14"/>
      <c r="S5" s="14"/>
      <c r="T5" s="14"/>
      <c r="U5" s="14"/>
    </row>
    <row r="6" spans="1:21" ht="14.25">
      <c r="A6" s="2"/>
      <c r="B6" s="1" t="s">
        <v>16</v>
      </c>
      <c r="C6" s="1">
        <v>-3</v>
      </c>
      <c r="D6" s="1">
        <v>2009.3</v>
      </c>
      <c r="G6" s="31">
        <f>1.51%*3/5</f>
        <v>9.0600000000000003E-3</v>
      </c>
      <c r="H6" s="1">
        <v>1966.5</v>
      </c>
      <c r="I6" s="2">
        <v>43096</v>
      </c>
      <c r="J6" s="2"/>
      <c r="K6" s="30">
        <f t="shared" si="0"/>
        <v>12839.999999999985</v>
      </c>
      <c r="N6" s="11">
        <f>[1]!WSD($B6,"contractmultiplier",$A$2,$A$2,"TradingCalendar=SSE","rptType=1","ShowCodes=N","ShowDates=N","ShowParams=Y","cols=1;rows=1")</f>
        <v>100</v>
      </c>
      <c r="P6" s="12"/>
      <c r="Q6" s="14"/>
      <c r="R6" s="14"/>
      <c r="S6" s="14"/>
      <c r="T6" s="14"/>
      <c r="U6" s="14"/>
    </row>
    <row r="7" spans="1:21" ht="14.25">
      <c r="A7" s="1" t="s">
        <v>31</v>
      </c>
      <c r="B7" s="1" t="s">
        <v>17</v>
      </c>
      <c r="C7" s="1">
        <v>-31</v>
      </c>
      <c r="D7" s="1">
        <v>6540</v>
      </c>
      <c r="G7" s="31">
        <v>1.52E-2</v>
      </c>
      <c r="H7" s="1">
        <v>6700</v>
      </c>
      <c r="I7" s="2">
        <v>43095</v>
      </c>
      <c r="J7" s="2"/>
      <c r="K7" s="30">
        <f t="shared" si="0"/>
        <v>-24800</v>
      </c>
      <c r="L7" s="1">
        <f t="shared" ref="L7" si="1">I7-$A$2</f>
        <v>1</v>
      </c>
      <c r="N7" s="11">
        <f>[1]!WSD($B7,"contractmultiplier",$A$2,$A$2,"TradingCalendar=SSE","rptType=1","ShowCodes=N","ShowDates=N","ShowParams=Y","cols=1;rows=1")</f>
        <v>5</v>
      </c>
      <c r="P7" s="12"/>
      <c r="Q7" s="14"/>
      <c r="R7" s="14"/>
      <c r="S7" s="14"/>
      <c r="T7" s="14"/>
      <c r="U7" s="14"/>
    </row>
    <row r="8" spans="1:21" ht="14.25">
      <c r="A8" s="2">
        <v>43095</v>
      </c>
      <c r="B8" s="1" t="s">
        <v>18</v>
      </c>
      <c r="C8" s="1">
        <v>-25</v>
      </c>
      <c r="D8" s="1">
        <v>9570</v>
      </c>
      <c r="G8" s="31">
        <v>1.7000000000000001E-2</v>
      </c>
      <c r="H8" s="1">
        <v>9815</v>
      </c>
      <c r="I8" s="2">
        <v>43095</v>
      </c>
      <c r="J8" s="2"/>
      <c r="K8" s="30">
        <f t="shared" si="0"/>
        <v>-30625</v>
      </c>
      <c r="L8" s="1">
        <f>I8-$A$8</f>
        <v>0</v>
      </c>
      <c r="N8" s="11">
        <f>[1]!WSD($B8,"contractmultiplier",$A$2,$A$2,"TradingCalendar=SSE","rptType=1","ShowCodes=N","ShowDates=N","ShowParams=Y","cols=1;rows=1")</f>
        <v>5</v>
      </c>
      <c r="P8" s="12"/>
      <c r="Q8" s="14"/>
      <c r="R8" s="14"/>
      <c r="S8" s="14"/>
      <c r="T8" s="14"/>
      <c r="U8" s="14"/>
    </row>
    <row r="9" spans="1:21" ht="14.25">
      <c r="B9" s="1" t="s">
        <v>19</v>
      </c>
      <c r="C9" s="1">
        <v>8</v>
      </c>
      <c r="D9" s="6">
        <v>14305</v>
      </c>
      <c r="E9" s="6"/>
      <c r="F9" s="6"/>
      <c r="G9" s="31">
        <v>1.7000000000000001E-2</v>
      </c>
      <c r="H9" s="1">
        <v>14160</v>
      </c>
      <c r="I9" s="2">
        <v>43096</v>
      </c>
      <c r="J9" s="2"/>
      <c r="K9" s="30">
        <f t="shared" si="0"/>
        <v>-11600</v>
      </c>
      <c r="N9" s="11">
        <f>[1]!WSD($B9,"contractmultiplier",$A$2,$A$2,"TradingCalendar=SSE","rptType=1","ShowCodes=N","ShowDates=N","ShowParams=Y","cols=1;rows=1")</f>
        <v>10</v>
      </c>
      <c r="P9" s="12"/>
      <c r="Q9" s="14"/>
      <c r="R9" s="14"/>
      <c r="S9" s="14"/>
      <c r="T9" s="14"/>
      <c r="U9" s="14"/>
    </row>
    <row r="10" spans="1:21" ht="14.25">
      <c r="B10" s="1" t="s">
        <v>20</v>
      </c>
      <c r="C10" s="1">
        <v>37</v>
      </c>
      <c r="D10" s="6">
        <v>2900</v>
      </c>
      <c r="E10" s="6"/>
      <c r="F10" s="6"/>
      <c r="G10" s="31">
        <v>1.6E-2</v>
      </c>
      <c r="H10" s="1">
        <v>2891</v>
      </c>
      <c r="I10" s="2">
        <v>43095</v>
      </c>
      <c r="J10" s="2"/>
      <c r="K10" s="30">
        <f t="shared" si="0"/>
        <v>-3330</v>
      </c>
      <c r="L10" s="1">
        <f t="shared" ref="L10:L11" si="2">I10-$A$8</f>
        <v>0</v>
      </c>
      <c r="N10" s="11">
        <f>[1]!WSD($B10,"contractmultiplier",$A$2,$A$2,"TradingCalendar=SSE","rptType=1","ShowCodes=N","ShowDates=N","ShowParams=Y","cols=1;rows=1")</f>
        <v>10</v>
      </c>
    </row>
    <row r="11" spans="1:21" ht="14.25">
      <c r="A11" s="2"/>
      <c r="B11" s="1" t="s">
        <v>20</v>
      </c>
      <c r="C11" s="1">
        <v>-36</v>
      </c>
      <c r="D11" s="1">
        <v>2870</v>
      </c>
      <c r="G11" s="31">
        <v>1.4999999999999999E-2</v>
      </c>
      <c r="H11" s="1">
        <v>2884</v>
      </c>
      <c r="I11" s="2">
        <v>43095</v>
      </c>
      <c r="J11" s="2"/>
      <c r="K11" s="30">
        <f t="shared" si="0"/>
        <v>-5040</v>
      </c>
      <c r="L11" s="1">
        <f t="shared" si="2"/>
        <v>0</v>
      </c>
      <c r="N11" s="11">
        <f>[1]!WSD($B11,"contractmultiplier",$A$2,$A$2,"TradingCalendar=SSE","rptType=1","ShowCodes=N","ShowDates=N","ShowParams=Y","cols=1;rows=1")</f>
        <v>10</v>
      </c>
      <c r="O11">
        <v>9920000</v>
      </c>
      <c r="P11" s="1">
        <f>O11*G11/(D11*N11*0.15)</f>
        <v>34.564459930313589</v>
      </c>
    </row>
    <row r="12" spans="1:21" ht="14.25">
      <c r="A12" s="2">
        <v>43096</v>
      </c>
      <c r="B12" s="1" t="s">
        <v>22</v>
      </c>
      <c r="C12" s="1">
        <v>45</v>
      </c>
      <c r="D12" s="1">
        <v>2121</v>
      </c>
      <c r="G12" s="31">
        <v>1.4999999999999999E-2</v>
      </c>
      <c r="H12" s="1">
        <v>2116</v>
      </c>
      <c r="I12" s="2">
        <v>43096</v>
      </c>
      <c r="J12" s="2"/>
      <c r="K12" s="30">
        <f t="shared" si="0"/>
        <v>-2250</v>
      </c>
      <c r="L12" s="1">
        <f>I12-$A$12</f>
        <v>0</v>
      </c>
      <c r="N12" s="11">
        <f>[1]!WSD($B12,"contractmultiplier",$A$2,$A$2,"TradingCalendar=SSE","rptType=1","ShowCodes=N","ShowDates=N","ShowParams=Y","cols=1;rows=1")</f>
        <v>10</v>
      </c>
      <c r="O12">
        <v>9913478</v>
      </c>
      <c r="P12" s="1">
        <f>O12*G12/(D12*N12*0.15)</f>
        <v>46.739641678453552</v>
      </c>
    </row>
    <row r="13" spans="1:21" ht="14.25">
      <c r="B13" s="1" t="s">
        <v>22</v>
      </c>
      <c r="C13" s="1">
        <v>46</v>
      </c>
      <c r="D13" s="1">
        <v>2124</v>
      </c>
      <c r="G13" s="31">
        <v>1.4999999999999999E-2</v>
      </c>
      <c r="H13" s="1">
        <v>2115</v>
      </c>
      <c r="I13" s="2">
        <v>43096</v>
      </c>
      <c r="J13" s="2"/>
      <c r="K13" s="30">
        <f t="shared" si="0"/>
        <v>-4140</v>
      </c>
      <c r="L13" s="1">
        <f t="shared" ref="L13" si="3">I13-$A$12</f>
        <v>0</v>
      </c>
      <c r="N13" s="11">
        <f>[1]!WSD($B13,"contractmultiplier",$A$2,$A$2,"TradingCalendar=SSE","rptType=1","ShowCodes=N","ShowDates=N","ShowParams=Y","cols=1;rows=1")</f>
        <v>10</v>
      </c>
      <c r="P13" s="1">
        <f t="shared" ref="P13:P16" si="4">O13*G13/(D13*N13*0.15)</f>
        <v>0</v>
      </c>
    </row>
    <row r="14" spans="1:21" ht="14.25">
      <c r="A14" s="2"/>
      <c r="B14" s="1" t="s">
        <v>20</v>
      </c>
      <c r="C14" s="1">
        <v>-35</v>
      </c>
      <c r="D14" s="1">
        <v>2864</v>
      </c>
      <c r="G14" s="31">
        <v>1.4999999999999999E-2</v>
      </c>
      <c r="K14" s="30" t="str">
        <f t="shared" si="0"/>
        <v/>
      </c>
      <c r="N14" s="11">
        <f>[1]!WSD($B14,"contractmultiplier",$A$2,$A$2,"TradingCalendar=SSE","rptType=1","ShowCodes=N","ShowDates=N","ShowParams=Y","cols=1;rows=1")</f>
        <v>10</v>
      </c>
      <c r="P14" s="1">
        <f t="shared" si="4"/>
        <v>0</v>
      </c>
    </row>
    <row r="15" spans="1:21" ht="14.25">
      <c r="A15" s="2"/>
      <c r="B15" s="1" t="s">
        <v>23</v>
      </c>
      <c r="C15" s="1">
        <v>-50</v>
      </c>
      <c r="D15" s="1">
        <v>6585</v>
      </c>
      <c r="G15" s="31">
        <v>2.5000000000000001E-2</v>
      </c>
      <c r="K15" s="30" t="str">
        <f t="shared" si="0"/>
        <v/>
      </c>
      <c r="N15" s="11">
        <f>[1]!WSD($B15,"contractmultiplier",$A$2,$A$2,"TradingCalendar=SSE","rptType=1","ShowCodes=N","ShowDates=N","ShowParams=Y","cols=1;rows=1")</f>
        <v>5</v>
      </c>
      <c r="O15">
        <v>9918000</v>
      </c>
      <c r="P15" s="1">
        <f t="shared" si="4"/>
        <v>50.205011389521637</v>
      </c>
    </row>
    <row r="16" spans="1:21" ht="14.25">
      <c r="B16" s="1" t="s">
        <v>16</v>
      </c>
      <c r="C16" s="1">
        <v>-3</v>
      </c>
      <c r="D16" s="1">
        <v>1977.5</v>
      </c>
      <c r="G16" s="31">
        <v>8.9999999999999993E-3</v>
      </c>
      <c r="K16" s="30" t="str">
        <f t="shared" si="0"/>
        <v/>
      </c>
      <c r="N16" s="11">
        <f>[1]!WSD($B16,"contractmultiplier",$A$2,$A$2,"TradingCalendar=SSE","rptType=1","ShowCodes=N","ShowDates=N","ShowParams=Y","cols=1;rows=1")</f>
        <v>100</v>
      </c>
      <c r="P16" s="1">
        <f t="shared" si="4"/>
        <v>0</v>
      </c>
    </row>
    <row r="17" spans="1:16" ht="14.25">
      <c r="B17" s="1" t="s">
        <v>32</v>
      </c>
      <c r="C17" s="1">
        <v>6</v>
      </c>
      <c r="D17" s="1">
        <v>95370</v>
      </c>
      <c r="G17" s="31">
        <f>2.9%*6/20</f>
        <v>8.6999999999999994E-3</v>
      </c>
      <c r="H17" s="1">
        <v>97250</v>
      </c>
      <c r="I17" s="2">
        <v>43097</v>
      </c>
      <c r="J17" s="2"/>
      <c r="K17" s="30">
        <f t="shared" si="0"/>
        <v>11280</v>
      </c>
      <c r="N17" s="11">
        <f>[1]!WSD($B17,"contractmultiplier",$A$2,$A$2,"TradingCalendar=SSE","rptType=1","ShowCodes=N","ShowDates=N","ShowParams=Y","cols=1;rows=1")</f>
        <v>1</v>
      </c>
      <c r="O17">
        <v>9908000</v>
      </c>
      <c r="P17" s="1">
        <f>O17*G17/(D17*N17*0.15)</f>
        <v>6.0256265072874067</v>
      </c>
    </row>
    <row r="18" spans="1:16" ht="14.25">
      <c r="B18" s="1" t="s">
        <v>32</v>
      </c>
      <c r="C18" s="1">
        <v>14</v>
      </c>
      <c r="D18" s="1">
        <v>95370</v>
      </c>
      <c r="G18" s="31">
        <v>2.9000000000000001E-2</v>
      </c>
      <c r="I18" s="2"/>
      <c r="J18" s="2"/>
      <c r="K18" s="30" t="str">
        <f t="shared" si="0"/>
        <v/>
      </c>
      <c r="N18" s="11">
        <f>[1]!WSD($B18,"contractmultiplier",$A$2,$A$2,"TradingCalendar=SSE","rptType=1","ShowCodes=N","ShowDates=N","ShowParams=Y","cols=1;rows=1")</f>
        <v>1</v>
      </c>
    </row>
    <row r="19" spans="1:16" ht="14.25">
      <c r="A19" s="2">
        <v>43097</v>
      </c>
      <c r="B19" s="1" t="s">
        <v>34</v>
      </c>
      <c r="C19" s="1">
        <v>7</v>
      </c>
      <c r="D19" s="1">
        <v>14215</v>
      </c>
      <c r="G19" s="31">
        <v>1.4E-2</v>
      </c>
      <c r="H19" s="1">
        <v>14140</v>
      </c>
      <c r="I19" s="2">
        <v>43097</v>
      </c>
      <c r="J19" s="2"/>
      <c r="K19" s="30">
        <f t="shared" si="0"/>
        <v>-5250</v>
      </c>
      <c r="L19" s="1">
        <f>I19-$A$19</f>
        <v>0</v>
      </c>
      <c r="N19" s="11">
        <f>[1]!WSD($B19,"contractmultiplier",$A$2,$A$2,"TradingCalendar=SSE","rptType=1","ShowCodes=N","ShowDates=N","ShowParams=Y","cols=1;rows=1")</f>
        <v>10</v>
      </c>
      <c r="P19" s="1">
        <f>O20*G20/(D20*N20*0.15)</f>
        <v>98.879693486590043</v>
      </c>
    </row>
    <row r="20" spans="1:16" ht="14.25">
      <c r="B20" s="1" t="s">
        <v>33</v>
      </c>
      <c r="C20" s="1">
        <v>-98</v>
      </c>
      <c r="D20" s="1">
        <v>2610</v>
      </c>
      <c r="G20" s="31">
        <v>3.9E-2</v>
      </c>
      <c r="H20" s="1">
        <v>2626</v>
      </c>
      <c r="I20" s="2">
        <v>43097</v>
      </c>
      <c r="J20" s="2"/>
      <c r="K20" s="30">
        <f t="shared" si="0"/>
        <v>-15680</v>
      </c>
      <c r="L20" s="1">
        <f>I20-$A$19</f>
        <v>0</v>
      </c>
      <c r="N20" s="11">
        <f>[1]!WSD($B20,"contractmultiplier",$A$2,$A$2,"TradingCalendar=SSE","rptType=1","ShowCodes=N","ShowDates=N","ShowParams=Y","cols=1;rows=1")</f>
        <v>10</v>
      </c>
      <c r="O20">
        <v>9926000</v>
      </c>
      <c r="P20" s="1">
        <f>O21*G21/(D21*N21*0.15)</f>
        <v>59.353241694221374</v>
      </c>
    </row>
    <row r="21" spans="1:16" ht="14.25">
      <c r="B21" s="1" t="s">
        <v>35</v>
      </c>
      <c r="C21" s="1">
        <v>59</v>
      </c>
      <c r="D21" s="1">
        <v>2117</v>
      </c>
      <c r="G21" s="31">
        <v>1.9E-2</v>
      </c>
      <c r="K21" s="30"/>
      <c r="N21" s="11">
        <f>[1]!WSD($B21,"contractmultiplier",$A$2,$A$2,"TradingCalendar=SSE","rptType=1","ShowCodes=N","ShowDates=N","ShowParams=Y","cols=1;rows=1")</f>
        <v>10</v>
      </c>
      <c r="O21">
        <v>9919801</v>
      </c>
    </row>
    <row r="22" spans="1:16" ht="14.25">
      <c r="A22" s="2">
        <v>43098</v>
      </c>
      <c r="B22" s="1" t="s">
        <v>33</v>
      </c>
      <c r="C22" s="1">
        <v>-20</v>
      </c>
      <c r="D22" s="1">
        <v>2618</v>
      </c>
      <c r="H22" s="1">
        <v>2626</v>
      </c>
      <c r="I22" s="2">
        <v>43098</v>
      </c>
      <c r="J22" s="2"/>
      <c r="K22" s="30">
        <f>IF(H22="","",C22*(H22-D22)*N22)</f>
        <v>-1600</v>
      </c>
      <c r="N22" s="11">
        <f>[1]!WSD($B22,"contractmultiplier",$A$2,$A$2,"TradingCalendar=SSE","rptType=1","ShowCodes=N","ShowDates=N","ShowParams=Y","cols=1;rows=1")</f>
        <v>10</v>
      </c>
    </row>
    <row r="23" spans="1:16" ht="14.25">
      <c r="A23" s="2"/>
      <c r="B23" s="1" t="s">
        <v>36</v>
      </c>
      <c r="C23" s="1">
        <f>2+2+2+4+10+10+8+2+2+6+2+6+4+10</f>
        <v>70</v>
      </c>
      <c r="D23" s="1">
        <f>5502*1/7+5504*5/7+5506*1/7</f>
        <v>5504</v>
      </c>
      <c r="K23" s="30"/>
      <c r="N23" s="11">
        <f>[1]!WSD($B23,"contractmultiplier",$A$2,$A$2,"TradingCalendar=SSE","rptType=1","ShowCodes=N","ShowDates=N","ShowParams=Y","cols=1;rows=1")</f>
        <v>5</v>
      </c>
    </row>
    <row r="24" spans="1:16" ht="15" thickBot="1">
      <c r="A24" s="52"/>
      <c r="B24" s="48" t="s">
        <v>60</v>
      </c>
      <c r="C24" s="48">
        <v>22</v>
      </c>
      <c r="D24" s="48">
        <f>1332*5/22+1331.5*5/22</f>
        <v>605.34090909090912</v>
      </c>
      <c r="E24" s="48"/>
      <c r="F24" s="48"/>
      <c r="G24" s="50"/>
      <c r="H24" s="48"/>
      <c r="I24" s="48"/>
      <c r="J24" s="48"/>
      <c r="K24" s="54"/>
      <c r="L24" s="48"/>
      <c r="M24" s="51"/>
      <c r="N24" s="11">
        <f>[1]!WSD($B24,"contractmultiplier",$A$2,$A$2,"TradingCalendar=SSE","rptType=1","ShowCodes=N","ShowDates=N","ShowParams=Y","cols=1;rows=1")</f>
        <v>60</v>
      </c>
    </row>
    <row r="25" spans="1:16" ht="14.25">
      <c r="A25" s="2">
        <v>43101</v>
      </c>
      <c r="N25" s="11" t="str">
        <f>[1]!WSD($B25,"contractmultiplier",$A$2,$A$2,"TradingCalendar=SSE","rptType=1","ShowCodes=N","ShowDates=N","ShowParams=Y","cols=1;rows=1")</f>
        <v>#NA</v>
      </c>
    </row>
    <row r="26" spans="1:16" ht="14.25">
      <c r="A26" s="2">
        <v>43102</v>
      </c>
      <c r="B26" s="1" t="s">
        <v>122</v>
      </c>
      <c r="C26" s="1">
        <v>1</v>
      </c>
      <c r="D26" s="1">
        <v>2929</v>
      </c>
      <c r="E26" s="2">
        <v>43102</v>
      </c>
      <c r="H26" s="1">
        <v>3168.4</v>
      </c>
      <c r="I26" s="2">
        <v>43125</v>
      </c>
      <c r="J26" s="40">
        <v>0.4694444444444445</v>
      </c>
      <c r="K26" s="30">
        <f>IF(H26="","",C26*(H26-D26)*N26)</f>
        <v>71820.000000000029</v>
      </c>
      <c r="N26" s="11">
        <f>[1]!WSD($B26,"contractmultiplier",$A$2,$A$2,"TradingCalendar=SSE","rptType=1","ShowCodes=N","ShowDates=N","ShowParams=Y","cols=1;rows=1")</f>
        <v>300</v>
      </c>
    </row>
    <row r="27" spans="1:16" ht="14.25">
      <c r="A27" s="2"/>
      <c r="B27" s="1" t="s">
        <v>132</v>
      </c>
      <c r="C27" s="1">
        <v>1</v>
      </c>
      <c r="D27" s="1">
        <v>4106.8</v>
      </c>
      <c r="E27" s="2">
        <v>43102</v>
      </c>
      <c r="H27" s="1">
        <v>4385.8</v>
      </c>
      <c r="I27" s="2">
        <v>43126</v>
      </c>
      <c r="J27" s="40">
        <v>0.40277777777777773</v>
      </c>
      <c r="K27" s="30">
        <f>IF(H27="","",C27*(H27-D27)*N27)</f>
        <v>83700</v>
      </c>
      <c r="N27" s="11">
        <f>[1]!WSD($B27,"contractmultiplier",$A$2,$A$2,"TradingCalendar=SSE","rptType=1","ShowCodes=N","ShowDates=N","ShowParams=Y","cols=1;rows=1")</f>
        <v>300</v>
      </c>
    </row>
    <row r="28" spans="1:16" ht="14.25">
      <c r="A28" s="2">
        <v>43103</v>
      </c>
      <c r="N28" s="11" t="str">
        <f>[1]!WSD($B28,"contractmultiplier",$A$2,$A$2,"TradingCalendar=SSE","rptType=1","ShowCodes=N","ShowDates=N","ShowParams=Y","cols=1;rows=1")</f>
        <v>#NA</v>
      </c>
    </row>
    <row r="29" spans="1:16" ht="14.25">
      <c r="A29" s="2">
        <v>43104</v>
      </c>
      <c r="N29" s="11" t="str">
        <f>[1]!WSD($B29,"contractmultiplier",$A$2,$A$2,"TradingCalendar=SSE","rptType=1","ShowCodes=N","ShowDates=N","ShowParams=Y","cols=1;rows=1")</f>
        <v>#NA</v>
      </c>
    </row>
    <row r="30" spans="1:16" ht="14.25">
      <c r="A30" s="2">
        <v>43105</v>
      </c>
      <c r="N30" s="11" t="str">
        <f>[1]!WSD($B30,"contractmultiplier",$A$2,$A$2,"TradingCalendar=SSE","rptType=1","ShowCodes=N","ShowDates=N","ShowParams=Y","cols=1;rows=1")</f>
        <v>#NA</v>
      </c>
    </row>
    <row r="31" spans="1:16" ht="14.25">
      <c r="A31" s="2">
        <v>43108</v>
      </c>
      <c r="N31" s="11" t="str">
        <f>[1]!WSD($B31,"contractmultiplier",$A$2,$A$2,"TradingCalendar=SSE","rptType=1","ShowCodes=N","ShowDates=N","ShowParams=Y","cols=1;rows=1")</f>
        <v>#NA</v>
      </c>
    </row>
    <row r="32" spans="1:16" ht="14.25">
      <c r="A32" s="2">
        <v>43109</v>
      </c>
      <c r="N32" s="11" t="str">
        <f>[1]!WSD($B32,"contractmultiplier",$A$2,$A$2,"TradingCalendar=SSE","rptType=1","ShowCodes=N","ShowDates=N","ShowParams=Y","cols=1;rows=1")</f>
        <v>#NA</v>
      </c>
    </row>
    <row r="33" spans="1:16" ht="14.25">
      <c r="A33" s="2">
        <v>43110</v>
      </c>
      <c r="B33" s="1" t="s">
        <v>100</v>
      </c>
      <c r="C33" s="1">
        <v>-16</v>
      </c>
      <c r="D33" s="1">
        <v>5336</v>
      </c>
      <c r="F33" s="40">
        <v>0.56388888888888888</v>
      </c>
      <c r="G33" s="31">
        <v>1.4999999999999999E-2</v>
      </c>
      <c r="H33" s="1">
        <v>5228</v>
      </c>
      <c r="I33" s="2">
        <v>43124</v>
      </c>
      <c r="J33" s="40">
        <v>0.89930555555555547</v>
      </c>
      <c r="K33" s="30">
        <f>IF(H33="","",C33*(H33-D33)*N33)</f>
        <v>17280</v>
      </c>
      <c r="N33" s="11">
        <f>[1]!WSD($B33,"contractmultiplier",$A$2,$A$2,"TradingCalendar=SSE","rptType=1","ShowCodes=N","ShowDates=N","ShowParams=Y","cols=1;rows=1")</f>
        <v>10</v>
      </c>
    </row>
    <row r="34" spans="1:16" ht="14.25">
      <c r="A34" s="33">
        <v>43111</v>
      </c>
      <c r="B34" s="3"/>
      <c r="C34" s="3"/>
      <c r="D34" s="3"/>
      <c r="E34" s="3"/>
      <c r="F34" s="3"/>
      <c r="G34" s="32"/>
      <c r="H34" s="3"/>
      <c r="I34" s="3"/>
      <c r="J34" s="3"/>
      <c r="K34" s="28" t="str">
        <f t="shared" ref="K34:K58" si="5">IF(H34="","",C34*(H34-D34)*N34)</f>
        <v/>
      </c>
      <c r="L34" s="3"/>
      <c r="M34" s="4"/>
      <c r="N34" s="11" t="str">
        <f>[1]!WSD($B34,"contractmultiplier",$A$2,$A$2,"TradingCalendar=SSE","rptType=1","ShowCodes=N","ShowDates=N","ShowParams=Y","cols=1;rows=1")</f>
        <v>#NA</v>
      </c>
      <c r="O34" s="36"/>
      <c r="P34" s="24"/>
    </row>
    <row r="35" spans="1:16" ht="14.25">
      <c r="A35" s="35">
        <v>43112</v>
      </c>
      <c r="B35" s="24" t="s">
        <v>47</v>
      </c>
      <c r="C35" s="24">
        <v>-30</v>
      </c>
      <c r="D35" s="24">
        <f>10/30*3782+20/30*3781</f>
        <v>3781.333333333333</v>
      </c>
      <c r="E35" s="24"/>
      <c r="F35" s="24"/>
      <c r="G35" s="34"/>
      <c r="H35" s="24">
        <v>3834</v>
      </c>
      <c r="I35" s="35">
        <v>43117</v>
      </c>
      <c r="J35" s="24"/>
      <c r="K35" s="30">
        <f t="shared" si="5"/>
        <v>-15800.000000000091</v>
      </c>
      <c r="L35" s="24"/>
      <c r="M35" s="36"/>
      <c r="N35" s="11">
        <f>[1]!WSD($B35,"contractmultiplier",$A$2,$A$2,"TradingCalendar=SSE","rptType=1","ShowCodes=N","ShowDates=N","ShowParams=Y","cols=1;rows=1")</f>
        <v>10</v>
      </c>
      <c r="O35" s="36"/>
      <c r="P35" s="24"/>
    </row>
    <row r="36" spans="1:16" ht="15" thickBot="1">
      <c r="A36" s="52"/>
      <c r="B36" s="48" t="s">
        <v>55</v>
      </c>
      <c r="C36" s="48">
        <v>40</v>
      </c>
      <c r="D36" s="48">
        <v>6795</v>
      </c>
      <c r="E36" s="48"/>
      <c r="F36" s="48"/>
      <c r="G36" s="50"/>
      <c r="H36" s="48">
        <v>6640</v>
      </c>
      <c r="I36" s="52">
        <v>43117</v>
      </c>
      <c r="J36" s="48"/>
      <c r="K36" s="54">
        <f t="shared" si="5"/>
        <v>-31000</v>
      </c>
      <c r="L36" s="48"/>
      <c r="M36" s="51"/>
      <c r="N36" s="11">
        <f>[1]!WSD($B36,"contractmultiplier",$A$2,$A$2,"TradingCalendar=SSE","rptType=1","ShowCodes=N","ShowDates=N","ShowParams=Y","cols=1;rows=1")</f>
        <v>5</v>
      </c>
      <c r="O36" s="36"/>
      <c r="P36" s="24"/>
    </row>
    <row r="37" spans="1:16" ht="14.25">
      <c r="A37" s="2">
        <v>43115</v>
      </c>
      <c r="B37" s="37" t="s">
        <v>40</v>
      </c>
      <c r="C37" s="1">
        <v>-10</v>
      </c>
      <c r="D37" s="1">
        <v>54520</v>
      </c>
      <c r="H37" s="1">
        <f>54520*0.4+55030*0.6</f>
        <v>54826</v>
      </c>
      <c r="I37" s="2">
        <v>43115</v>
      </c>
      <c r="J37" s="2"/>
      <c r="K37" s="30">
        <f t="shared" si="5"/>
        <v>-15300</v>
      </c>
      <c r="N37" s="11">
        <f>[1]!WSD($B37,"contractmultiplier",$A$2,$A$2,"TradingCalendar=SSE","rptType=1","ShowCodes=N","ShowDates=N","ShowParams=Y","cols=1;rows=1")</f>
        <v>5</v>
      </c>
      <c r="O37" s="36"/>
      <c r="P37" s="24"/>
    </row>
    <row r="38" spans="1:16" ht="14.25">
      <c r="B38" s="37" t="s">
        <v>42</v>
      </c>
      <c r="C38" s="1">
        <f>2+18+4+4+4+4+4+2+2+2+2+2</f>
        <v>50</v>
      </c>
      <c r="D38" s="1">
        <v>1491</v>
      </c>
      <c r="H38" s="1">
        <v>1472</v>
      </c>
      <c r="I38" s="2">
        <v>43117</v>
      </c>
      <c r="J38" s="2"/>
      <c r="K38" s="30">
        <f t="shared" si="5"/>
        <v>-19000</v>
      </c>
      <c r="N38" s="11">
        <f>[1]!WSD($B38,"contractmultiplier",$A$2,$A$2,"TradingCalendar=SSE","rptType=1","ShowCodes=N","ShowDates=N","ShowParams=Y","cols=1;rows=1")</f>
        <v>20</v>
      </c>
      <c r="O38" s="36"/>
      <c r="P38" s="24"/>
    </row>
    <row r="39" spans="1:16" ht="14.25">
      <c r="B39" s="28" t="s">
        <v>43</v>
      </c>
      <c r="C39" s="3">
        <v>30</v>
      </c>
      <c r="D39" s="3">
        <v>633</v>
      </c>
      <c r="E39" s="3"/>
      <c r="F39" s="3"/>
      <c r="G39" s="32"/>
      <c r="H39" s="3">
        <v>629</v>
      </c>
      <c r="I39" s="33">
        <v>43115</v>
      </c>
      <c r="J39" s="33"/>
      <c r="K39" s="28">
        <f t="shared" si="5"/>
        <v>-12000</v>
      </c>
      <c r="L39" s="3"/>
      <c r="M39" s="4"/>
      <c r="N39" s="11">
        <f>[1]!WSD($B39,"contractmultiplier",$A$2,$A$2,"TradingCalendar=SSE","rptType=1","ShowCodes=N","ShowDates=N","ShowParams=Y","cols=1;rows=1")</f>
        <v>100</v>
      </c>
      <c r="O39" s="36"/>
      <c r="P39" s="24"/>
    </row>
    <row r="40" spans="1:16" ht="14.25">
      <c r="B40" s="37" t="s">
        <v>36</v>
      </c>
      <c r="C40" s="1">
        <v>76</v>
      </c>
      <c r="D40" s="1">
        <v>5680</v>
      </c>
      <c r="G40" s="31">
        <v>3.3000000000000002E-2</v>
      </c>
      <c r="H40" s="1">
        <v>5624</v>
      </c>
      <c r="I40" s="2">
        <v>43117</v>
      </c>
      <c r="J40" s="2"/>
      <c r="K40" s="30">
        <f t="shared" si="5"/>
        <v>-21280</v>
      </c>
      <c r="N40" s="11">
        <f>[1]!WSD($B40,"contractmultiplier",$A$2,$A$2,"TradingCalendar=SSE","rptType=1","ShowCodes=N","ShowDates=N","ShowParams=Y","cols=1;rows=1")</f>
        <v>5</v>
      </c>
      <c r="O40" s="36">
        <v>9900000</v>
      </c>
      <c r="P40" s="24">
        <f t="shared" ref="P40:P45" si="6">O40*G40/(D40*N40*0.15)</f>
        <v>76.690140845070417</v>
      </c>
    </row>
    <row r="41" spans="1:16" ht="14.25">
      <c r="B41" s="37" t="s">
        <v>37</v>
      </c>
      <c r="C41" s="1">
        <v>64</v>
      </c>
      <c r="D41" s="1">
        <v>2271</v>
      </c>
      <c r="G41" s="31">
        <v>2.1999999999999999E-2</v>
      </c>
      <c r="H41" s="1">
        <v>2265</v>
      </c>
      <c r="I41" s="2">
        <v>43115</v>
      </c>
      <c r="J41" s="2"/>
      <c r="K41" s="30">
        <f t="shared" si="5"/>
        <v>-3840</v>
      </c>
      <c r="N41" s="11">
        <f>[1]!WSD($B41,"contractmultiplier",$A$2,$A$2,"TradingCalendar=SSE","rptType=1","ShowCodes=N","ShowDates=N","ShowParams=Y","cols=1;rows=1")</f>
        <v>10</v>
      </c>
      <c r="O41" s="36">
        <v>9900000</v>
      </c>
      <c r="P41" s="24">
        <f t="shared" si="6"/>
        <v>63.936591809775429</v>
      </c>
    </row>
    <row r="42" spans="1:16" ht="14.25">
      <c r="B42" s="37" t="s">
        <v>35</v>
      </c>
      <c r="C42" s="1">
        <v>89</v>
      </c>
      <c r="D42" s="1">
        <v>2150</v>
      </c>
      <c r="G42" s="31">
        <v>2.9000000000000001E-2</v>
      </c>
      <c r="H42" s="1">
        <v>2137</v>
      </c>
      <c r="I42" s="2">
        <v>43115</v>
      </c>
      <c r="J42" s="2"/>
      <c r="K42" s="30">
        <f t="shared" si="5"/>
        <v>-11570</v>
      </c>
      <c r="L42" s="1">
        <f>I42-$A$37</f>
        <v>0</v>
      </c>
      <c r="N42" s="11">
        <f>[1]!WSD($B42,"contractmultiplier",$A$2,$A$2,"TradingCalendar=SSE","rptType=1","ShowCodes=N","ShowDates=N","ShowParams=Y","cols=1;rows=1")</f>
        <v>10</v>
      </c>
      <c r="O42" s="36">
        <v>9890000</v>
      </c>
      <c r="P42" s="24">
        <f t="shared" si="6"/>
        <v>88.933333333333337</v>
      </c>
    </row>
    <row r="43" spans="1:16" ht="14.25">
      <c r="B43" s="37" t="s">
        <v>32</v>
      </c>
      <c r="C43" s="1">
        <v>19</v>
      </c>
      <c r="D43" s="1">
        <v>99620</v>
      </c>
      <c r="G43" s="31">
        <v>2.9000000000000001E-2</v>
      </c>
      <c r="H43" s="1">
        <v>97180</v>
      </c>
      <c r="I43" s="2">
        <v>43117</v>
      </c>
      <c r="J43" s="2"/>
      <c r="K43" s="30">
        <f t="shared" si="5"/>
        <v>-46360</v>
      </c>
      <c r="N43" s="11">
        <f>[1]!WSD($B43,"contractmultiplier",$A$2,$A$2,"TradingCalendar=SSE","rptType=1","ShowCodes=N","ShowDates=N","ShowParams=Y","cols=1;rows=1")</f>
        <v>1</v>
      </c>
      <c r="O43" s="36">
        <v>9900000</v>
      </c>
      <c r="P43" s="24">
        <f t="shared" si="6"/>
        <v>19.213009435856254</v>
      </c>
    </row>
    <row r="44" spans="1:16" ht="14.25">
      <c r="B44" s="37" t="s">
        <v>38</v>
      </c>
      <c r="C44" s="1">
        <v>1</v>
      </c>
      <c r="D44" s="1">
        <v>6293.6</v>
      </c>
      <c r="G44" s="31">
        <v>2.8000000000000001E-2</v>
      </c>
      <c r="H44" s="1">
        <v>6196</v>
      </c>
      <c r="I44" s="2">
        <v>43115</v>
      </c>
      <c r="J44" s="2"/>
      <c r="K44" s="30">
        <f t="shared" si="5"/>
        <v>-19520.000000000073</v>
      </c>
      <c r="N44" s="11">
        <f>[1]!WSD($B44,"contractmultiplier",$A$2,$A$2,"TradingCalendar=SSE","rptType=1","ShowCodes=N","ShowDates=N","ShowParams=Y","cols=1;rows=1")</f>
        <v>200</v>
      </c>
      <c r="O44" s="36">
        <v>9900000</v>
      </c>
      <c r="P44" s="24">
        <f t="shared" si="6"/>
        <v>1.4681581288928436</v>
      </c>
    </row>
    <row r="45" spans="1:16" ht="14.25">
      <c r="A45" s="24"/>
      <c r="B45" s="30" t="s">
        <v>39</v>
      </c>
      <c r="C45" s="24">
        <v>-51</v>
      </c>
      <c r="D45" s="24">
        <v>6444</v>
      </c>
      <c r="E45" s="24"/>
      <c r="F45" s="24"/>
      <c r="G45" s="34">
        <v>2.5000000000000001E-2</v>
      </c>
      <c r="H45" s="24">
        <v>6472</v>
      </c>
      <c r="I45" s="35">
        <v>43115</v>
      </c>
      <c r="J45" s="35"/>
      <c r="K45" s="30">
        <f t="shared" si="5"/>
        <v>-7140</v>
      </c>
      <c r="L45" s="24"/>
      <c r="M45" s="36"/>
      <c r="N45" s="11">
        <f>[1]!WSD($B45,"contractmultiplier",$A$2,$A$2,"TradingCalendar=SSE","rptType=1","ShowCodes=N","ShowDates=N","ShowParams=Y","cols=1;rows=1")</f>
        <v>5</v>
      </c>
      <c r="O45" s="36">
        <v>9900000</v>
      </c>
      <c r="P45" s="24">
        <f t="shared" si="6"/>
        <v>51.21042830540037</v>
      </c>
    </row>
    <row r="46" spans="1:16" ht="14.25">
      <c r="A46" s="3"/>
      <c r="B46" s="3" t="s">
        <v>40</v>
      </c>
      <c r="C46" s="3">
        <v>6</v>
      </c>
      <c r="D46" s="3">
        <v>55030</v>
      </c>
      <c r="E46" s="3"/>
      <c r="F46" s="3"/>
      <c r="G46" s="32">
        <v>2.5000000000000001E-2</v>
      </c>
      <c r="H46" s="3">
        <v>54950</v>
      </c>
      <c r="I46" s="33">
        <v>43116</v>
      </c>
      <c r="J46" s="33"/>
      <c r="K46" s="28">
        <f t="shared" si="5"/>
        <v>-2400</v>
      </c>
      <c r="L46" s="3"/>
      <c r="M46" s="4"/>
      <c r="N46" s="11">
        <f>[1]!WSD($B46,"contractmultiplier",$A$2,$A$2,"TradingCalendar=SSE","rptType=1","ShowCodes=N","ShowDates=N","ShowParams=Y","cols=1;rows=1")</f>
        <v>5</v>
      </c>
      <c r="O46" s="36"/>
      <c r="P46" s="24"/>
    </row>
    <row r="47" spans="1:16" ht="14.25">
      <c r="A47" s="2">
        <v>43116</v>
      </c>
      <c r="B47" s="1" t="s">
        <v>37</v>
      </c>
      <c r="C47" s="1">
        <v>72</v>
      </c>
      <c r="D47" s="1">
        <v>2269</v>
      </c>
      <c r="G47" s="31">
        <v>2.5000000000000001E-2</v>
      </c>
      <c r="H47" s="1">
        <v>2270</v>
      </c>
      <c r="I47" s="2">
        <v>43119</v>
      </c>
      <c r="J47" s="40">
        <v>0.8847222222222223</v>
      </c>
      <c r="K47" s="30">
        <f t="shared" si="5"/>
        <v>720</v>
      </c>
      <c r="N47" s="11">
        <f>[1]!WSD($B47,"contractmultiplier",$A$2,$A$2,"TradingCalendar=SSE","rptType=1","ShowCodes=N","ShowDates=N","ShowParams=Y","cols=1;rows=1")</f>
        <v>10</v>
      </c>
      <c r="O47" s="36"/>
      <c r="P47" s="24"/>
    </row>
    <row r="48" spans="1:16" ht="14.25">
      <c r="B48" s="1" t="s">
        <v>41</v>
      </c>
      <c r="C48" s="1">
        <v>32</v>
      </c>
      <c r="D48" s="1">
        <v>3927</v>
      </c>
      <c r="G48" s="31">
        <v>2.9000000000000001E-2</v>
      </c>
      <c r="H48" s="1">
        <v>3879</v>
      </c>
      <c r="I48" s="2">
        <v>43117</v>
      </c>
      <c r="J48" s="2"/>
      <c r="K48" s="30">
        <f t="shared" si="5"/>
        <v>-23040</v>
      </c>
      <c r="N48" s="11">
        <f>[1]!WSD($B48,"contractmultiplier",$A$2,$A$2,"TradingCalendar=SSE","rptType=1","ShowCodes=N","ShowDates=N","ShowParams=Y","cols=1;rows=1")</f>
        <v>15</v>
      </c>
      <c r="O48" s="36"/>
      <c r="P48" s="24"/>
    </row>
    <row r="49" spans="1:16" ht="14.25">
      <c r="A49" s="3"/>
      <c r="B49" s="3" t="s">
        <v>40</v>
      </c>
      <c r="C49" s="3">
        <v>-5</v>
      </c>
      <c r="D49" s="3">
        <v>54880</v>
      </c>
      <c r="E49" s="3"/>
      <c r="F49" s="3"/>
      <c r="G49" s="32">
        <v>2.3E-2</v>
      </c>
      <c r="H49" s="3">
        <v>52700</v>
      </c>
      <c r="I49" s="33">
        <v>43124</v>
      </c>
      <c r="J49" s="45">
        <v>0.62013888888888891</v>
      </c>
      <c r="K49" s="28">
        <f t="shared" si="5"/>
        <v>54500</v>
      </c>
      <c r="L49" s="3"/>
      <c r="M49" s="4"/>
      <c r="N49" s="11">
        <f>[1]!WSD($B49,"contractmultiplier",$A$2,$A$2,"TradingCalendar=SSE","rptType=1","ShowCodes=N","ShowDates=N","ShowParams=Y","cols=1;rows=1")</f>
        <v>5</v>
      </c>
      <c r="O49" s="36"/>
      <c r="P49" s="24"/>
    </row>
    <row r="50" spans="1:16" ht="14.25">
      <c r="A50" s="2">
        <v>43117</v>
      </c>
      <c r="B50" s="1" t="s">
        <v>41</v>
      </c>
      <c r="C50" s="1">
        <v>-17</v>
      </c>
      <c r="D50" s="1">
        <v>3880</v>
      </c>
      <c r="H50" s="1">
        <v>3895</v>
      </c>
      <c r="I50" s="2">
        <v>43117</v>
      </c>
      <c r="J50" s="2"/>
      <c r="K50" s="30">
        <f t="shared" si="5"/>
        <v>-3825</v>
      </c>
      <c r="N50" s="11">
        <f>[1]!WSD($B50,"contractmultiplier",$A$2,$A$2,"TradingCalendar=SSE","rptType=1","ShowCodes=N","ShowDates=N","ShowParams=Y","cols=1;rows=1")</f>
        <v>15</v>
      </c>
      <c r="O50" s="36"/>
      <c r="P50" s="24"/>
    </row>
    <row r="51" spans="1:16" ht="14.25">
      <c r="B51" s="1" t="s">
        <v>41</v>
      </c>
      <c r="C51" s="1">
        <v>-18</v>
      </c>
      <c r="D51" s="1">
        <v>3886</v>
      </c>
      <c r="H51" s="1">
        <v>3835</v>
      </c>
      <c r="I51" s="2">
        <v>43124</v>
      </c>
      <c r="J51" s="40">
        <v>0.62013888888888891</v>
      </c>
      <c r="K51" s="30">
        <f t="shared" si="5"/>
        <v>13770</v>
      </c>
      <c r="N51" s="11">
        <f>[1]!WSD($B51,"contractmultiplier",$A$2,$A$2,"TradingCalendar=SSE","rptType=1","ShowCodes=N","ShowDates=N","ShowParams=Y","cols=1;rows=1")</f>
        <v>15</v>
      </c>
      <c r="O51" s="36"/>
      <c r="P51" s="24"/>
    </row>
    <row r="52" spans="1:16" ht="14.25">
      <c r="B52" s="1" t="s">
        <v>44</v>
      </c>
      <c r="C52" s="1">
        <v>7</v>
      </c>
      <c r="D52" s="1">
        <v>281.64999999999998</v>
      </c>
      <c r="H52" s="1">
        <v>281.14999999999998</v>
      </c>
      <c r="I52" s="2">
        <v>43117</v>
      </c>
      <c r="K52" s="30">
        <f t="shared" si="5"/>
        <v>-3500</v>
      </c>
      <c r="N52" s="11">
        <f>[1]!WSD($B52,"contractmultiplier",$A$2,$A$2,"TradingCalendar=SSE","rptType=1","ShowCodes=N","ShowDates=N","ShowParams=Y","cols=1;rows=1")</f>
        <v>1000</v>
      </c>
      <c r="O52" s="36"/>
      <c r="P52" s="24"/>
    </row>
    <row r="53" spans="1:16" ht="14.25">
      <c r="B53" s="1" t="s">
        <v>45</v>
      </c>
      <c r="C53" s="1">
        <v>9</v>
      </c>
      <c r="D53" s="1">
        <v>2732</v>
      </c>
      <c r="H53" s="1">
        <v>2726</v>
      </c>
      <c r="I53" s="2">
        <v>43117</v>
      </c>
      <c r="K53" s="30">
        <f t="shared" si="5"/>
        <v>-540</v>
      </c>
      <c r="N53" s="11">
        <f>[1]!WSD($B53,"contractmultiplier",$A$2,$A$2,"TradingCalendar=SSE","rptType=1","ShowCodes=N","ShowDates=N","ShowParams=Y","cols=1;rows=1")</f>
        <v>10</v>
      </c>
    </row>
    <row r="54" spans="1:16" ht="14.25">
      <c r="B54" s="1" t="s">
        <v>45</v>
      </c>
      <c r="C54" s="1">
        <v>3</v>
      </c>
      <c r="D54" s="1">
        <v>2738</v>
      </c>
      <c r="H54" s="1">
        <v>2734</v>
      </c>
      <c r="I54" s="2">
        <v>43117</v>
      </c>
      <c r="K54" s="30">
        <f t="shared" si="5"/>
        <v>-120</v>
      </c>
      <c r="N54" s="11">
        <f>[1]!WSD($B54,"contractmultiplier",$A$2,$A$2,"TradingCalendar=SSE","rptType=1","ShowCodes=N","ShowDates=N","ShowParams=Y","cols=1;rows=1")</f>
        <v>10</v>
      </c>
    </row>
    <row r="55" spans="1:16" ht="14.25">
      <c r="B55" s="1" t="s">
        <v>46</v>
      </c>
      <c r="C55" s="1">
        <v>10</v>
      </c>
      <c r="D55" s="1">
        <v>2768</v>
      </c>
      <c r="H55" s="1">
        <v>2764</v>
      </c>
      <c r="I55" s="2">
        <v>43118</v>
      </c>
      <c r="J55" s="40">
        <v>0.8881944444444444</v>
      </c>
      <c r="K55" s="30">
        <f t="shared" si="5"/>
        <v>-400</v>
      </c>
      <c r="N55" s="11">
        <f>[1]!WSD($B55,"contractmultiplier",$A$2,$A$2,"TradingCalendar=SSE","rptType=1","ShowCodes=N","ShowDates=N","ShowParams=Y","cols=1;rows=1")</f>
        <v>10</v>
      </c>
    </row>
    <row r="56" spans="1:16" ht="14.25">
      <c r="B56" s="1" t="s">
        <v>47</v>
      </c>
      <c r="C56" s="1">
        <v>-31</v>
      </c>
      <c r="D56" s="1">
        <f>3803*1/31+3805*30/31</f>
        <v>3804.9354838709678</v>
      </c>
      <c r="H56" s="1">
        <v>3826</v>
      </c>
      <c r="I56" s="2">
        <v>43117</v>
      </c>
      <c r="K56" s="30">
        <f t="shared" si="5"/>
        <v>-6529.9999999999818</v>
      </c>
      <c r="N56" s="11">
        <f>[1]!WSD($B56,"contractmultiplier",$A$2,$A$2,"TradingCalendar=SSE","rptType=1","ShowCodes=N","ShowDates=N","ShowParams=Y","cols=1;rows=1")</f>
        <v>10</v>
      </c>
    </row>
    <row r="57" spans="1:16" ht="14.25">
      <c r="B57" s="1" t="s">
        <v>48</v>
      </c>
      <c r="C57" s="1">
        <v>-7</v>
      </c>
      <c r="D57" s="1">
        <v>14200</v>
      </c>
      <c r="H57" s="1">
        <v>14240</v>
      </c>
      <c r="I57" s="2">
        <v>43117</v>
      </c>
      <c r="K57" s="30">
        <f t="shared" si="5"/>
        <v>-2800</v>
      </c>
      <c r="N57" s="11">
        <f>[1]!WSD($B57,"contractmultiplier",$A$2,$A$2,"TradingCalendar=SSE","rptType=1","ShowCodes=N","ShowDates=N","ShowParams=Y","cols=1;rows=1")</f>
        <v>10</v>
      </c>
    </row>
    <row r="58" spans="1:16" ht="14.25">
      <c r="B58" s="1" t="s">
        <v>48</v>
      </c>
      <c r="C58" s="1">
        <v>6</v>
      </c>
      <c r="D58" s="1">
        <f>14240*1/6+14245*5/6</f>
        <v>14244.166666666668</v>
      </c>
      <c r="H58" s="1">
        <v>14215</v>
      </c>
      <c r="I58" s="2">
        <v>43117</v>
      </c>
      <c r="K58" s="30">
        <f t="shared" si="5"/>
        <v>-1750.0000000000728</v>
      </c>
      <c r="N58" s="11">
        <f>[1]!WSD($B58,"contractmultiplier",$A$2,$A$2,"TradingCalendar=SSE","rptType=1","ShowCodes=N","ShowDates=N","ShowParams=Y","cols=1;rows=1")</f>
        <v>10</v>
      </c>
    </row>
    <row r="59" spans="1:16" ht="14.25">
      <c r="B59" s="1" t="s">
        <v>48</v>
      </c>
      <c r="C59" s="1">
        <v>6</v>
      </c>
      <c r="D59" s="1">
        <f>14225*1/6+14230*5/6</f>
        <v>14229.166666666668</v>
      </c>
      <c r="H59" s="1">
        <v>14190</v>
      </c>
      <c r="I59" s="2">
        <v>43117</v>
      </c>
      <c r="K59" s="30">
        <f t="shared" ref="K59:K78" si="7">IF(H59="","",C59*(H59-D59)*N59)</f>
        <v>-2350.0000000000728</v>
      </c>
      <c r="N59" s="11">
        <f>[1]!WSD($B59,"contractmultiplier",$A$2,$A$2,"TradingCalendar=SSE","rptType=1","ShowCodes=N","ShowDates=N","ShowParams=Y","cols=1;rows=1")</f>
        <v>10</v>
      </c>
    </row>
    <row r="60" spans="1:16" ht="14.25">
      <c r="B60" s="1" t="s">
        <v>48</v>
      </c>
      <c r="C60" s="1">
        <v>-16</v>
      </c>
      <c r="D60" s="1">
        <f>14125*1/16+14130*15/16</f>
        <v>14129.6875</v>
      </c>
      <c r="H60" s="1">
        <v>14175</v>
      </c>
      <c r="I60" s="2">
        <v>43118</v>
      </c>
      <c r="J60" s="40">
        <v>0.37847222222222227</v>
      </c>
      <c r="K60" s="30">
        <f t="shared" si="7"/>
        <v>-7250</v>
      </c>
      <c r="N60" s="11">
        <f>[1]!WSD($B60,"contractmultiplier",$A$2,$A$2,"TradingCalendar=SSE","rptType=1","ShowCodes=N","ShowDates=N","ShowParams=Y","cols=1;rows=1")</f>
        <v>10</v>
      </c>
    </row>
    <row r="61" spans="1:16" ht="14.25">
      <c r="B61" s="1" t="s">
        <v>42</v>
      </c>
      <c r="C61" s="1">
        <v>61</v>
      </c>
      <c r="D61" s="1">
        <v>1478</v>
      </c>
      <c r="H61" s="1">
        <v>1477</v>
      </c>
      <c r="I61" s="2">
        <v>43118</v>
      </c>
      <c r="J61" s="40">
        <v>0.8881944444444444</v>
      </c>
      <c r="K61" s="30">
        <f t="shared" si="7"/>
        <v>-1220</v>
      </c>
      <c r="N61" s="11">
        <f>[1]!WSD($B61,"contractmultiplier",$A$2,$A$2,"TradingCalendar=SSE","rptType=1","ShowCodes=N","ShowDates=N","ShowParams=Y","cols=1;rows=1")</f>
        <v>20</v>
      </c>
    </row>
    <row r="62" spans="1:16" ht="14.25">
      <c r="B62" s="1" t="s">
        <v>49</v>
      </c>
      <c r="C62" s="1">
        <v>-16</v>
      </c>
      <c r="D62" s="1">
        <f>2827*1/16+2825*15/16</f>
        <v>2825.125</v>
      </c>
      <c r="H62" s="1">
        <v>2857</v>
      </c>
      <c r="I62" s="2">
        <v>43123</v>
      </c>
      <c r="J62" s="40">
        <v>0.4680555555555555</v>
      </c>
      <c r="K62" s="30">
        <f t="shared" si="7"/>
        <v>-5100</v>
      </c>
      <c r="N62" s="11">
        <f>[1]!WSD($B62,"contractmultiplier",$A$2,$A$2,"TradingCalendar=SSE","rptType=1","ShowCodes=N","ShowDates=N","ShowParams=Y","cols=1;rows=1")</f>
        <v>10</v>
      </c>
    </row>
    <row r="63" spans="1:16" ht="14.25">
      <c r="B63" s="1" t="s">
        <v>52</v>
      </c>
      <c r="C63" s="1">
        <f>1+6+114+12</f>
        <v>133</v>
      </c>
      <c r="D63" s="1">
        <v>2132</v>
      </c>
      <c r="H63" s="1">
        <v>2123</v>
      </c>
      <c r="I63" s="2">
        <v>43117</v>
      </c>
      <c r="K63" s="30">
        <f t="shared" si="7"/>
        <v>-11970</v>
      </c>
      <c r="N63" s="11">
        <f>[1]!WSD($B63,"contractmultiplier",$A$2,$A$2,"TradingCalendar=SSE","rptType=1","ShowCodes=N","ShowDates=N","ShowParams=Y","cols=1;rows=1")</f>
        <v>10</v>
      </c>
    </row>
    <row r="64" spans="1:16" ht="14.25">
      <c r="B64" s="1" t="s">
        <v>52</v>
      </c>
      <c r="C64" s="1">
        <v>-6</v>
      </c>
      <c r="D64" s="1">
        <v>2122</v>
      </c>
      <c r="H64" s="1">
        <v>2094</v>
      </c>
      <c r="I64" s="2">
        <v>43125</v>
      </c>
      <c r="J64" s="40">
        <v>0.37986111111111115</v>
      </c>
      <c r="K64" s="30">
        <f t="shared" si="7"/>
        <v>1680</v>
      </c>
      <c r="N64" s="11">
        <f>[1]!WSD($B64,"contractmultiplier",$A$2,$A$2,"TradingCalendar=SSE","rptType=1","ShowCodes=N","ShowDates=N","ShowParams=Y","cols=1;rows=1")</f>
        <v>10</v>
      </c>
    </row>
    <row r="65" spans="1:16" ht="14.25">
      <c r="B65" s="1" t="s">
        <v>53</v>
      </c>
      <c r="C65" s="1">
        <v>-33</v>
      </c>
      <c r="D65" s="1">
        <v>2761</v>
      </c>
      <c r="H65" s="1">
        <v>2762</v>
      </c>
      <c r="I65" s="2">
        <v>43117</v>
      </c>
      <c r="K65" s="30">
        <f t="shared" si="7"/>
        <v>-330</v>
      </c>
      <c r="N65" s="11">
        <f>[1]!WSD($B65,"contractmultiplier",$A$2,$A$2,"TradingCalendar=SSE","rptType=1","ShowCodes=N","ShowDates=N","ShowParams=Y","cols=1;rows=1")</f>
        <v>10</v>
      </c>
    </row>
    <row r="66" spans="1:16" ht="14.25">
      <c r="B66" s="1" t="s">
        <v>54</v>
      </c>
      <c r="C66" s="1">
        <v>36</v>
      </c>
      <c r="D66" s="1">
        <f>9443*1/36+9438*35/36</f>
        <v>9438.1388888888887</v>
      </c>
      <c r="H66" s="1">
        <f>9421*2/36+9422*34/36</f>
        <v>9421.9444444444434</v>
      </c>
      <c r="I66" s="2">
        <v>43117</v>
      </c>
      <c r="K66" s="30">
        <f t="shared" si="7"/>
        <v>-2915.0000000001455</v>
      </c>
      <c r="N66" s="11">
        <f>[1]!WSD($B66,"contractmultiplier",$A$2,$A$2,"TradingCalendar=SSE","rptType=1","ShowCodes=N","ShowDates=N","ShowParams=Y","cols=1;rows=1")</f>
        <v>5</v>
      </c>
    </row>
    <row r="67" spans="1:16" ht="14.25">
      <c r="B67" s="1" t="s">
        <v>54</v>
      </c>
      <c r="C67" s="1">
        <v>36</v>
      </c>
      <c r="D67" s="1">
        <f>9387*1/36+9390*35/36</f>
        <v>9389.9166666666661</v>
      </c>
      <c r="H67" s="1">
        <v>9385</v>
      </c>
      <c r="I67" s="2">
        <v>43117</v>
      </c>
      <c r="K67" s="30">
        <f t="shared" si="7"/>
        <v>-884.99999999989086</v>
      </c>
      <c r="N67" s="11">
        <f>[1]!WSD($B67,"contractmultiplier",$A$2,$A$2,"TradingCalendar=SSE","rptType=1","ShowCodes=N","ShowDates=N","ShowParams=Y","cols=1;rows=1")</f>
        <v>5</v>
      </c>
    </row>
    <row r="68" spans="1:16" ht="14.25">
      <c r="B68" s="1" t="s">
        <v>56</v>
      </c>
      <c r="C68" s="1">
        <v>-34</v>
      </c>
      <c r="D68" s="1">
        <v>6570</v>
      </c>
      <c r="H68" s="1">
        <v>6585</v>
      </c>
      <c r="I68" s="2">
        <v>43117</v>
      </c>
      <c r="K68" s="30">
        <f t="shared" si="7"/>
        <v>-2550</v>
      </c>
      <c r="N68" s="11">
        <f>[1]!WSD($B68,"contractmultiplier",$A$2,$A$2,"TradingCalendar=SSE","rptType=1","ShowCodes=N","ShowDates=N","ShowParams=Y","cols=1;rows=1")</f>
        <v>5</v>
      </c>
    </row>
    <row r="69" spans="1:16" ht="14.25">
      <c r="A69" s="3"/>
      <c r="B69" s="3" t="s">
        <v>56</v>
      </c>
      <c r="C69" s="3">
        <v>-34</v>
      </c>
      <c r="D69" s="3">
        <v>6570</v>
      </c>
      <c r="E69" s="3"/>
      <c r="F69" s="3"/>
      <c r="G69" s="32"/>
      <c r="H69" s="3">
        <f>6580*4/34+6575*30/34</f>
        <v>6575.5882352941171</v>
      </c>
      <c r="I69" s="33">
        <v>43117</v>
      </c>
      <c r="J69" s="3"/>
      <c r="K69" s="28">
        <f t="shared" si="7"/>
        <v>-949.99999999990905</v>
      </c>
      <c r="L69" s="3"/>
      <c r="M69" s="4"/>
      <c r="N69" s="11">
        <f>[1]!WSD($B69,"contractmultiplier",$A$2,$A$2,"TradingCalendar=SSE","rptType=1","ShowCodes=N","ShowDates=N","ShowParams=Y","cols=1;rows=1")</f>
        <v>5</v>
      </c>
    </row>
    <row r="70" spans="1:16" ht="14.25">
      <c r="A70" s="2">
        <v>43118</v>
      </c>
      <c r="B70" s="41" t="s">
        <v>57</v>
      </c>
      <c r="C70" s="41">
        <v>-12</v>
      </c>
      <c r="D70" s="41">
        <v>97244.17</v>
      </c>
      <c r="E70" s="57">
        <v>43118</v>
      </c>
      <c r="F70" s="42">
        <v>0.88888888888888884</v>
      </c>
      <c r="G70" s="43">
        <v>1.7999999999999999E-2</v>
      </c>
      <c r="H70" s="41">
        <v>98170</v>
      </c>
      <c r="I70" s="33">
        <v>43122</v>
      </c>
      <c r="J70" s="42">
        <v>0.97013888888888899</v>
      </c>
      <c r="K70" s="46">
        <f t="shared" si="7"/>
        <v>-11109.960000000021</v>
      </c>
      <c r="L70" s="41"/>
      <c r="M70" s="44"/>
      <c r="N70" s="11">
        <f>[1]!WSD($B70,"contractmultiplier",$A$2,$A$2,"TradingCalendar=SSE","rptType=1","ShowCodes=N","ShowDates=N","ShowParams=Y","cols=1;rows=1")</f>
        <v>1</v>
      </c>
    </row>
    <row r="71" spans="1:16" ht="14.25">
      <c r="B71" s="1" t="s">
        <v>48</v>
      </c>
      <c r="C71" s="1">
        <v>1</v>
      </c>
      <c r="D71" s="1">
        <v>14180</v>
      </c>
      <c r="E71" s="2">
        <v>43118</v>
      </c>
      <c r="F71" s="40">
        <v>0.37847222222222227</v>
      </c>
      <c r="G71" s="31">
        <v>2E-3</v>
      </c>
      <c r="H71" s="1">
        <v>14170</v>
      </c>
      <c r="I71" s="2">
        <v>43119</v>
      </c>
      <c r="J71" s="40">
        <v>0.8847222222222223</v>
      </c>
      <c r="K71" s="30">
        <f t="shared" si="7"/>
        <v>-100</v>
      </c>
      <c r="N71" s="11">
        <f>[1]!WSD($B71,"contractmultiplier",$A$2,$A$2,"TradingCalendar=SSE","rptType=1","ShowCodes=N","ShowDates=N","ShowParams=Y","cols=1;rows=1")</f>
        <v>10</v>
      </c>
    </row>
    <row r="72" spans="1:16" ht="14.25">
      <c r="A72" s="3"/>
      <c r="B72" s="3" t="s">
        <v>42</v>
      </c>
      <c r="C72" s="3">
        <v>38</v>
      </c>
      <c r="D72" s="3">
        <v>1494</v>
      </c>
      <c r="E72" s="33">
        <v>43118</v>
      </c>
      <c r="F72" s="45">
        <v>0.58750000000000002</v>
      </c>
      <c r="G72" s="32">
        <v>1.7999999999999999E-2</v>
      </c>
      <c r="H72" s="3">
        <v>1467</v>
      </c>
      <c r="I72" s="33">
        <v>43122</v>
      </c>
      <c r="J72" s="45">
        <v>0.92083333333333339</v>
      </c>
      <c r="K72" s="28">
        <f t="shared" si="7"/>
        <v>-20520</v>
      </c>
      <c r="L72" s="3"/>
      <c r="M72" s="4"/>
      <c r="N72" s="11">
        <f>[1]!WSD($B72,"contractmultiplier",$A$2,$A$2,"TradingCalendar=SSE","rptType=1","ShowCodes=N","ShowDates=N","ShowParams=Y","cols=1;rows=1")</f>
        <v>20</v>
      </c>
      <c r="O72" s="36">
        <v>9689000</v>
      </c>
      <c r="P72" s="24">
        <f t="shared" ref="P72:P73" si="8">O72*G72/(D72*N72*0.15)</f>
        <v>38.911646586345384</v>
      </c>
    </row>
    <row r="73" spans="1:16" ht="14.25">
      <c r="A73" s="2">
        <v>43119</v>
      </c>
      <c r="B73" s="1" t="s">
        <v>15</v>
      </c>
      <c r="C73" s="1">
        <v>26</v>
      </c>
      <c r="D73" s="1">
        <v>3874</v>
      </c>
      <c r="E73" s="2">
        <v>43119</v>
      </c>
      <c r="F73" s="40">
        <v>0.8847222222222223</v>
      </c>
      <c r="G73" s="31">
        <v>1.6E-2</v>
      </c>
      <c r="H73" s="1">
        <v>3933</v>
      </c>
      <c r="I73" s="2">
        <v>43122</v>
      </c>
      <c r="J73" s="40">
        <v>0.60416666666666663</v>
      </c>
      <c r="K73" s="30">
        <f t="shared" si="7"/>
        <v>15340</v>
      </c>
      <c r="N73" s="11">
        <f>[1]!WSD($B73,"contractmultiplier",$A$2,$A$2,"TradingCalendar=SSE","rptType=1","ShowCodes=N","ShowDates=N","ShowParams=Y","cols=1;rows=1")</f>
        <v>10</v>
      </c>
      <c r="O73" s="36">
        <v>9689000</v>
      </c>
      <c r="P73" s="24">
        <f t="shared" si="8"/>
        <v>26.677680261572878</v>
      </c>
    </row>
    <row r="74" spans="1:16" ht="14.25">
      <c r="B74" s="3" t="s">
        <v>19</v>
      </c>
      <c r="C74" s="3">
        <v>-17</v>
      </c>
      <c r="D74" s="3">
        <v>14155</v>
      </c>
      <c r="E74" s="33">
        <v>43119</v>
      </c>
      <c r="F74" s="45">
        <v>0.92083333333333339</v>
      </c>
      <c r="G74" s="32">
        <v>3.7999999999999999E-2</v>
      </c>
      <c r="H74" s="3">
        <v>14185</v>
      </c>
      <c r="I74" s="33">
        <v>43119</v>
      </c>
      <c r="J74" s="45">
        <v>0.375</v>
      </c>
      <c r="K74" s="28">
        <f t="shared" si="7"/>
        <v>-5100</v>
      </c>
      <c r="L74" s="3"/>
      <c r="M74" s="4"/>
      <c r="N74" s="11">
        <f>[1]!WSD($B74,"contractmultiplier",$A$2,$A$2,"TradingCalendar=SSE","rptType=1","ShowCodes=N","ShowDates=N","ShowParams=Y","cols=1;rows=1")</f>
        <v>10</v>
      </c>
      <c r="O74" s="36">
        <v>9689001</v>
      </c>
      <c r="P74" s="24">
        <f t="shared" ref="P74:P75" si="9">O74*G74/(D74*N74*0.15)</f>
        <v>17.340493959731543</v>
      </c>
    </row>
    <row r="75" spans="1:16" ht="14.25">
      <c r="B75" s="1" t="s">
        <v>58</v>
      </c>
      <c r="C75" s="1">
        <v>84</v>
      </c>
      <c r="D75" s="1">
        <v>2293</v>
      </c>
      <c r="E75" s="2">
        <v>43119</v>
      </c>
      <c r="F75" s="40">
        <v>0.375</v>
      </c>
      <c r="G75" s="31">
        <v>0.03</v>
      </c>
      <c r="H75" s="1">
        <v>2285</v>
      </c>
      <c r="I75" s="2">
        <v>43124</v>
      </c>
      <c r="J75" s="40">
        <v>0.57013888888888886</v>
      </c>
      <c r="K75" s="30">
        <f t="shared" si="7"/>
        <v>-6720</v>
      </c>
      <c r="N75" s="11">
        <f>[1]!WSD($B75,"contractmultiplier",$A$2,$A$2,"TradingCalendar=SSE","rptType=1","ShowCodes=N","ShowDates=N","ShowParams=Y","cols=1;rows=1")</f>
        <v>10</v>
      </c>
      <c r="O75" s="36">
        <v>9695001</v>
      </c>
      <c r="P75" s="24">
        <f t="shared" si="9"/>
        <v>84.561718273004786</v>
      </c>
    </row>
    <row r="76" spans="1:16" ht="14.25">
      <c r="B76" s="1" t="s">
        <v>59</v>
      </c>
      <c r="C76" s="1">
        <v>-8</v>
      </c>
      <c r="D76" s="1">
        <v>3847</v>
      </c>
      <c r="E76" s="2">
        <v>43119</v>
      </c>
      <c r="F76" s="40">
        <v>0.375</v>
      </c>
      <c r="G76" s="31">
        <v>5.0000000000000001E-3</v>
      </c>
      <c r="H76" s="1">
        <v>3906</v>
      </c>
      <c r="I76" s="2">
        <v>43122</v>
      </c>
      <c r="J76" s="40">
        <v>0.37916666666666665</v>
      </c>
      <c r="K76" s="30">
        <f t="shared" si="7"/>
        <v>-4720</v>
      </c>
      <c r="N76" s="11">
        <f>[1]!WSD($B76,"contractmultiplier",$A$2,$A$2,"TradingCalendar=SSE","rptType=1","ShowCodes=N","ShowDates=N","ShowParams=Y","cols=1;rows=1")</f>
        <v>10</v>
      </c>
      <c r="O76" s="36">
        <v>9695002</v>
      </c>
      <c r="P76" s="24">
        <f t="shared" ref="P76:P77" si="10">O76*G76/(D76*N76*0.15)</f>
        <v>8.40048695953557</v>
      </c>
    </row>
    <row r="77" spans="1:16" ht="14.25">
      <c r="B77" s="24" t="s">
        <v>19</v>
      </c>
      <c r="C77" s="24">
        <v>-17</v>
      </c>
      <c r="D77" s="24">
        <v>14055</v>
      </c>
      <c r="E77" s="2">
        <v>43119</v>
      </c>
      <c r="F77" s="47">
        <v>0.44027777777777777</v>
      </c>
      <c r="G77" s="34">
        <v>3.7999999999999999E-2</v>
      </c>
      <c r="H77" s="24">
        <v>13800</v>
      </c>
      <c r="I77" s="35">
        <v>43124</v>
      </c>
      <c r="J77" s="47">
        <v>0.62013888888888891</v>
      </c>
      <c r="K77" s="30">
        <f t="shared" si="7"/>
        <v>43350</v>
      </c>
      <c r="L77" s="24"/>
      <c r="M77" s="36"/>
      <c r="N77" s="11">
        <f>[1]!WSD($B77,"contractmultiplier",$A$2,$A$2,"TradingCalendar=SSE","rptType=1","ShowCodes=N","ShowDates=N","ShowParams=Y","cols=1;rows=1")</f>
        <v>10</v>
      </c>
      <c r="O77" s="36">
        <v>9689001</v>
      </c>
      <c r="P77" s="24">
        <f t="shared" si="10"/>
        <v>17.463869939523303</v>
      </c>
    </row>
    <row r="78" spans="1:16" ht="15" thickBot="1">
      <c r="A78" s="48"/>
      <c r="B78" s="48" t="s">
        <v>89</v>
      </c>
      <c r="C78" s="48">
        <v>16</v>
      </c>
      <c r="D78" s="48">
        <v>539</v>
      </c>
      <c r="E78" s="52">
        <v>43119</v>
      </c>
      <c r="F78" s="49">
        <v>0.59583333333333333</v>
      </c>
      <c r="G78" s="50">
        <v>1.4E-2</v>
      </c>
      <c r="H78" s="48">
        <v>540.5</v>
      </c>
      <c r="I78" s="52">
        <v>43122</v>
      </c>
      <c r="J78" s="49">
        <v>0.57013888888888886</v>
      </c>
      <c r="K78" s="54">
        <f t="shared" si="7"/>
        <v>2400</v>
      </c>
      <c r="L78" s="48"/>
      <c r="M78" s="51"/>
      <c r="N78" s="11">
        <f>[1]!WSD($B78,"contractmultiplier",$A$2,$A$2,"TradingCalendar=SSE","rptType=1","ShowCodes=N","ShowDates=N","ShowParams=Y","cols=1;rows=1")</f>
        <v>100</v>
      </c>
      <c r="O78" s="36">
        <v>9689002</v>
      </c>
      <c r="P78" s="24">
        <f t="shared" ref="P78" si="11">O78*G78/(D78*N78*0.15)</f>
        <v>16.777492640692639</v>
      </c>
    </row>
    <row r="79" spans="1:16" ht="14.25">
      <c r="A79" s="2">
        <v>43122</v>
      </c>
      <c r="B79" s="1" t="s">
        <v>92</v>
      </c>
      <c r="C79" s="1">
        <v>7</v>
      </c>
      <c r="D79" s="1">
        <v>26130</v>
      </c>
      <c r="E79" s="2">
        <v>43122</v>
      </c>
      <c r="F79" s="40">
        <v>0.88541666666666663</v>
      </c>
      <c r="G79" s="31">
        <v>1.4999999999999999E-2</v>
      </c>
      <c r="H79" s="1">
        <v>26080</v>
      </c>
      <c r="I79" s="2">
        <v>43122</v>
      </c>
      <c r="J79" s="40">
        <v>0.92083333333333339</v>
      </c>
      <c r="K79" s="30">
        <f t="shared" ref="K79:K81" si="12">IF(H79="","",C79*(H79-D79)*N79)</f>
        <v>-1750</v>
      </c>
      <c r="N79" s="11">
        <f>[1]!WSD($B79,"contractmultiplier",$A$2,$A$2,"TradingCalendar=SSE","rptType=1","ShowCodes=N","ShowDates=N","ShowParams=Y","cols=1;rows=1")</f>
        <v>5</v>
      </c>
      <c r="O79" s="36">
        <v>9689002</v>
      </c>
      <c r="P79" s="24">
        <f t="shared" ref="P79" si="13">O79*G79/(D79*N79*0.15)</f>
        <v>7.4159984691924992</v>
      </c>
    </row>
    <row r="80" spans="1:16" ht="14.25">
      <c r="B80" s="1" t="s">
        <v>92</v>
      </c>
      <c r="C80" s="1">
        <v>7</v>
      </c>
      <c r="D80" s="1">
        <v>26105</v>
      </c>
      <c r="E80" s="2">
        <v>43122</v>
      </c>
      <c r="F80" s="40">
        <v>0.97222222222222221</v>
      </c>
      <c r="G80" s="31">
        <v>1.4999999999999999E-2</v>
      </c>
      <c r="H80" s="1">
        <v>26085</v>
      </c>
      <c r="I80" s="2">
        <v>43122</v>
      </c>
      <c r="J80" s="40">
        <v>0.37916666666666665</v>
      </c>
      <c r="K80" s="30">
        <f t="shared" si="12"/>
        <v>-700</v>
      </c>
      <c r="N80" s="11">
        <f>[1]!WSD($B80,"contractmultiplier",$A$2,$A$2,"TradingCalendar=SSE","rptType=1","ShowCodes=N","ShowDates=N","ShowParams=Y","cols=1;rows=1")</f>
        <v>5</v>
      </c>
      <c r="O80" s="36">
        <v>9689003</v>
      </c>
      <c r="P80" s="24">
        <f t="shared" ref="P80:P82" si="14">O80*G80/(D80*N80*0.15)</f>
        <v>7.4231013215859019</v>
      </c>
    </row>
    <row r="81" spans="1:16" ht="14.25">
      <c r="B81" s="24" t="s">
        <v>93</v>
      </c>
      <c r="C81" s="24">
        <v>43</v>
      </c>
      <c r="D81" s="24">
        <v>5628</v>
      </c>
      <c r="E81" s="2">
        <v>43122</v>
      </c>
      <c r="F81" s="47">
        <v>0.97222222222222221</v>
      </c>
      <c r="G81" s="34">
        <v>1.9E-2</v>
      </c>
      <c r="H81" s="24">
        <v>5744</v>
      </c>
      <c r="I81" s="35">
        <v>43125</v>
      </c>
      <c r="J81" s="47">
        <v>0.87708333333333333</v>
      </c>
      <c r="K81" s="24">
        <f t="shared" si="12"/>
        <v>24940</v>
      </c>
      <c r="L81" s="24"/>
      <c r="M81" s="36"/>
      <c r="N81" s="11">
        <f>[1]!WSD($B81,"contractmultiplier",$A$2,$A$2,"TradingCalendar=SSE","rptType=1","ShowCodes=N","ShowDates=N","ShowParams=Y","cols=1;rows=1")</f>
        <v>5</v>
      </c>
      <c r="O81" s="36">
        <v>9689004</v>
      </c>
      <c r="P81" s="24">
        <f t="shared" si="14"/>
        <v>43.613142857142854</v>
      </c>
    </row>
    <row r="82" spans="1:16" ht="14.25">
      <c r="B82" s="24" t="s">
        <v>94</v>
      </c>
      <c r="C82" s="1">
        <v>5</v>
      </c>
      <c r="D82" s="1">
        <v>2776</v>
      </c>
      <c r="E82" s="2">
        <v>43122</v>
      </c>
      <c r="F82" s="40">
        <v>0.39861111111111108</v>
      </c>
      <c r="G82" s="31">
        <v>2E-3</v>
      </c>
      <c r="H82" s="1">
        <v>2756</v>
      </c>
      <c r="I82" s="2">
        <v>43123</v>
      </c>
      <c r="J82" s="40">
        <v>0.5708333333333333</v>
      </c>
      <c r="K82" s="30">
        <f t="shared" ref="K82:K148" si="15">IF(H82="","",C82*(H82-D82)*N82)</f>
        <v>-1000</v>
      </c>
      <c r="N82" s="11">
        <f>[1]!WSD($B82,"contractmultiplier",$A$2,$A$2,"TradingCalendar=SSE","rptType=1","ShowCodes=N","ShowDates=N","ShowParams=Y","cols=1;rows=1")</f>
        <v>10</v>
      </c>
      <c r="O82" s="53">
        <v>9708000</v>
      </c>
      <c r="P82" s="24">
        <f t="shared" si="14"/>
        <v>4.662824207492795</v>
      </c>
    </row>
    <row r="83" spans="1:16" ht="14.25">
      <c r="A83" s="3"/>
      <c r="B83" s="3" t="s">
        <v>95</v>
      </c>
      <c r="C83" s="3">
        <v>1</v>
      </c>
      <c r="D83" s="3">
        <v>6316.2</v>
      </c>
      <c r="E83" s="33">
        <v>43122</v>
      </c>
      <c r="F83" s="45">
        <v>0.56944444444444442</v>
      </c>
      <c r="G83" s="32">
        <v>1.9E-2</v>
      </c>
      <c r="H83" s="3">
        <v>6367.2</v>
      </c>
      <c r="I83" s="33">
        <v>43129</v>
      </c>
      <c r="J83" s="45">
        <v>0.4375</v>
      </c>
      <c r="K83" s="3">
        <f t="shared" si="15"/>
        <v>10200</v>
      </c>
      <c r="L83" s="3"/>
      <c r="M83" s="4"/>
      <c r="N83" s="11">
        <f>[1]!WSD($B83,"contractmultiplier",$A$2,$A$2,"TradingCalendar=SSE","rptType=1","ShowCodes=N","ShowDates=N","ShowParams=Y","cols=1;rows=1")</f>
        <v>200</v>
      </c>
      <c r="O83" s="53">
        <v>9708001</v>
      </c>
      <c r="P83" s="24">
        <f t="shared" ref="P83" si="16">O83*G83/(D83*N83*0.15)</f>
        <v>0.97343349376734956</v>
      </c>
    </row>
    <row r="84" spans="1:16" ht="14.25">
      <c r="A84" s="2">
        <v>43123</v>
      </c>
      <c r="B84" s="1" t="s">
        <v>96</v>
      </c>
      <c r="C84" s="1">
        <v>21</v>
      </c>
      <c r="D84" s="1">
        <v>9480</v>
      </c>
      <c r="E84" s="2">
        <v>43123</v>
      </c>
      <c r="F84" s="40">
        <v>0.37777777777777777</v>
      </c>
      <c r="G84" s="31">
        <v>1.4999999999999999E-2</v>
      </c>
      <c r="H84" s="1">
        <v>9407</v>
      </c>
      <c r="I84" s="2">
        <v>43123</v>
      </c>
      <c r="J84" s="40">
        <v>0.40833333333333338</v>
      </c>
      <c r="K84" s="30">
        <f t="shared" si="15"/>
        <v>-7665</v>
      </c>
      <c r="N84" s="11">
        <f>[1]!WSD($B84,"contractmultiplier",$A$2,$A$2,"TradingCalendar=SSE","rptType=1","ShowCodes=N","ShowDates=N","ShowParams=Y","cols=1;rows=1")</f>
        <v>5</v>
      </c>
      <c r="O84" s="53">
        <v>9708002</v>
      </c>
      <c r="P84" s="24">
        <f t="shared" ref="P84" si="17">O84*G84/(D84*N84*0.15)</f>
        <v>20.481016877637131</v>
      </c>
    </row>
    <row r="85" spans="1:16" ht="14.25">
      <c r="B85" s="1" t="s">
        <v>97</v>
      </c>
      <c r="C85" s="1">
        <v>-12</v>
      </c>
      <c r="D85" s="1">
        <v>98110</v>
      </c>
      <c r="E85" s="2">
        <v>43123</v>
      </c>
      <c r="F85" s="40">
        <v>0.40833333333333338</v>
      </c>
      <c r="G85" s="31">
        <v>1.9E-2</v>
      </c>
      <c r="H85" s="1">
        <v>99540</v>
      </c>
      <c r="I85" s="2">
        <v>43123</v>
      </c>
      <c r="J85" s="40">
        <v>0.62222222222222223</v>
      </c>
      <c r="K85" s="30">
        <f t="shared" si="15"/>
        <v>-17160</v>
      </c>
      <c r="N85" s="11">
        <f>[1]!WSD($B85,"contractmultiplier",$A$2,$A$2,"TradingCalendar=SSE","rptType=1","ShowCodes=N","ShowDates=N","ShowParams=Y","cols=1;rows=1")</f>
        <v>1</v>
      </c>
      <c r="O85" s="53">
        <v>9708003</v>
      </c>
      <c r="P85" s="24">
        <f t="shared" ref="P85" si="18">O85*G85/(D85*N85*0.15)</f>
        <v>12.533690551421873</v>
      </c>
    </row>
    <row r="86" spans="1:16" ht="14.25">
      <c r="B86" s="1" t="s">
        <v>98</v>
      </c>
      <c r="C86" s="1">
        <v>-33</v>
      </c>
      <c r="D86" s="1">
        <v>6650.3</v>
      </c>
      <c r="E86" s="2">
        <v>43123</v>
      </c>
      <c r="F86" s="40">
        <v>0.40833333333333338</v>
      </c>
      <c r="G86" s="31">
        <v>1.7000000000000001E-2</v>
      </c>
      <c r="H86" s="1">
        <v>6686</v>
      </c>
      <c r="I86" s="2">
        <v>43123</v>
      </c>
      <c r="J86" s="40">
        <v>0.5708333333333333</v>
      </c>
      <c r="K86" s="30">
        <f t="shared" si="15"/>
        <v>-5890.49999999997</v>
      </c>
      <c r="N86" s="11">
        <f>[1]!WSD($B86,"contractmultiplier",$A$2,$A$2,"TradingCalendar=SSE","rptType=1","ShowCodes=N","ShowDates=N","ShowParams=Y","cols=1;rows=1")</f>
        <v>5</v>
      </c>
      <c r="O86" s="53">
        <v>9708004</v>
      </c>
      <c r="P86" s="24">
        <f t="shared" ref="P86" si="19">O86*G86/(D86*N86*0.15)</f>
        <v>33.088445734277656</v>
      </c>
    </row>
    <row r="87" spans="1:16" ht="14.25">
      <c r="A87" s="24"/>
      <c r="B87" s="24" t="s">
        <v>96</v>
      </c>
      <c r="C87" s="24">
        <v>28</v>
      </c>
      <c r="D87" s="24">
        <v>9538</v>
      </c>
      <c r="E87" s="2">
        <v>43123</v>
      </c>
      <c r="F87" s="47">
        <v>0.4694444444444445</v>
      </c>
      <c r="G87" s="34">
        <v>2.1000000000000001E-2</v>
      </c>
      <c r="H87" s="24">
        <v>9486</v>
      </c>
      <c r="I87" s="35">
        <v>43124</v>
      </c>
      <c r="J87" s="47">
        <v>0.44444444444444442</v>
      </c>
      <c r="K87" s="30">
        <f t="shared" si="15"/>
        <v>-7280</v>
      </c>
      <c r="L87" s="24"/>
      <c r="M87" s="36"/>
      <c r="N87" s="11">
        <f>[1]!WSD($B87,"contractmultiplier",$A$2,$A$2,"TradingCalendar=SSE","rptType=1","ShowCodes=N","ShowDates=N","ShowParams=Y","cols=1;rows=1")</f>
        <v>5</v>
      </c>
      <c r="O87" s="53">
        <v>9708005</v>
      </c>
      <c r="P87" s="24">
        <f t="shared" ref="P87" si="20">O87*G87/(D87*N87*0.15)</f>
        <v>28.499071084084715</v>
      </c>
    </row>
    <row r="88" spans="1:16" ht="14.25">
      <c r="A88" s="3"/>
      <c r="B88" s="3" t="s">
        <v>107</v>
      </c>
      <c r="C88" s="3">
        <v>26</v>
      </c>
      <c r="D88" s="3">
        <v>6740</v>
      </c>
      <c r="E88" s="33">
        <v>43123</v>
      </c>
      <c r="F88" s="45">
        <v>0.59166666666666667</v>
      </c>
      <c r="G88" s="32">
        <v>1.4E-2</v>
      </c>
      <c r="H88" s="3">
        <v>6758</v>
      </c>
      <c r="I88" s="33">
        <v>43125</v>
      </c>
      <c r="J88" s="45">
        <v>0.59652777777777777</v>
      </c>
      <c r="K88" s="28">
        <f t="shared" si="15"/>
        <v>2340</v>
      </c>
      <c r="L88" s="3"/>
      <c r="M88" s="4"/>
      <c r="N88" s="11">
        <f>[1]!WSD($B88,"contractmultiplier",$A$2,$A$2,"TradingCalendar=SSE","rptType=1","ShowCodes=N","ShowDates=N","ShowParams=Y","cols=1;rows=1")</f>
        <v>5</v>
      </c>
      <c r="O88" s="53">
        <v>9708006</v>
      </c>
      <c r="P88" s="24">
        <f t="shared" ref="P88" si="21">O88*G88/(D88*N88*0.15)</f>
        <v>26.886663501483682</v>
      </c>
    </row>
    <row r="89" spans="1:16" ht="14.25">
      <c r="A89" s="2">
        <v>43124</v>
      </c>
      <c r="B89" s="41" t="s">
        <v>99</v>
      </c>
      <c r="C89" s="41">
        <v>53</v>
      </c>
      <c r="D89" s="41">
        <v>2787</v>
      </c>
      <c r="E89" s="33">
        <v>43124</v>
      </c>
      <c r="F89" s="42">
        <v>0.89930555555555547</v>
      </c>
      <c r="G89" s="43">
        <v>2.3E-2</v>
      </c>
      <c r="H89" s="41">
        <v>2770</v>
      </c>
      <c r="I89" s="57">
        <v>43124</v>
      </c>
      <c r="J89" s="42">
        <v>0.3840277777777778</v>
      </c>
      <c r="K89" s="46">
        <f t="shared" si="15"/>
        <v>-9010</v>
      </c>
      <c r="L89" s="41"/>
      <c r="M89" s="44"/>
      <c r="N89" s="11">
        <f>[1]!WSD($B89,"contractmultiplier",$A$2,$A$2,"TradingCalendar=SSE","rptType=1","ShowCodes=N","ShowDates=N","ShowParams=Y","cols=1;rows=1")</f>
        <v>10</v>
      </c>
      <c r="O89" s="53">
        <v>9708006</v>
      </c>
      <c r="P89" s="24">
        <f t="shared" ref="P89" si="22">O89*G89/(D89*N89*0.15)</f>
        <v>53.410869034804449</v>
      </c>
    </row>
    <row r="90" spans="1:16" ht="14.25">
      <c r="B90" s="1" t="s">
        <v>101</v>
      </c>
      <c r="C90" s="1">
        <v>-6</v>
      </c>
      <c r="D90" s="1">
        <v>2770</v>
      </c>
      <c r="E90" s="2">
        <v>43124</v>
      </c>
      <c r="F90" s="40">
        <v>0.3840277777777778</v>
      </c>
      <c r="G90" s="31">
        <f>0.7%*3/4</f>
        <v>5.2499999999999995E-3</v>
      </c>
      <c r="H90" s="1">
        <v>2781</v>
      </c>
      <c r="I90" s="2">
        <v>43125</v>
      </c>
      <c r="J90" s="40">
        <v>0.37986111111111115</v>
      </c>
      <c r="K90" s="30">
        <f t="shared" si="15"/>
        <v>-660</v>
      </c>
      <c r="N90" s="11">
        <f>[1]!WSD($B90,"contractmultiplier",$A$2,$A$2,"TradingCalendar=SSE","rptType=1","ShowCodes=N","ShowDates=N","ShowParams=Y","cols=1;rows=1")</f>
        <v>10</v>
      </c>
      <c r="O90" s="53">
        <v>9708007</v>
      </c>
      <c r="P90" s="24">
        <f t="shared" ref="P90:P92" si="23">O90*G90/(D90*N90*0.15)</f>
        <v>12.266434837545125</v>
      </c>
    </row>
    <row r="91" spans="1:16" ht="14.25">
      <c r="B91" s="1" t="s">
        <v>101</v>
      </c>
      <c r="C91" s="1">
        <v>-2</v>
      </c>
      <c r="D91" s="58">
        <v>2770</v>
      </c>
      <c r="E91" s="2">
        <v>43124</v>
      </c>
      <c r="F91" s="40">
        <v>0.3840277777777778</v>
      </c>
      <c r="G91" s="31">
        <f>0.7%*1/4</f>
        <v>1.7499999999999998E-3</v>
      </c>
      <c r="H91" s="1">
        <v>2771</v>
      </c>
      <c r="I91" s="2">
        <v>43124</v>
      </c>
      <c r="J91" s="40">
        <v>0.38472222222222219</v>
      </c>
      <c r="K91" s="30">
        <f>IF(H91="","",C91*(H91-D91)*N91)</f>
        <v>-20</v>
      </c>
      <c r="N91" s="11">
        <f>[1]!WSD($B91,"contractmultiplier",$A$2,$A$2,"TradingCalendar=SSE","rptType=1","ShowCodes=N","ShowDates=N","ShowParams=Y","cols=1;rows=1")</f>
        <v>10</v>
      </c>
      <c r="O91" s="53">
        <v>9708008</v>
      </c>
      <c r="P91" s="24">
        <f t="shared" si="23"/>
        <v>4.0888120336943441</v>
      </c>
    </row>
    <row r="92" spans="1:16" ht="14.25">
      <c r="B92" s="1" t="s">
        <v>102</v>
      </c>
      <c r="C92" s="1">
        <v>20</v>
      </c>
      <c r="D92" s="1">
        <v>99360</v>
      </c>
      <c r="E92" s="2">
        <v>43124</v>
      </c>
      <c r="F92" s="40">
        <v>0.38472222222222219</v>
      </c>
      <c r="G92" s="31">
        <v>3.5999999999999997E-2</v>
      </c>
      <c r="H92" s="1">
        <v>99150</v>
      </c>
      <c r="I92" s="2">
        <v>43124</v>
      </c>
      <c r="J92" s="40">
        <v>0.44444444444444442</v>
      </c>
      <c r="K92" s="30">
        <f t="shared" si="15"/>
        <v>-4200</v>
      </c>
      <c r="N92" s="11">
        <f>[1]!WSD($B92,"contractmultiplier",$A$2,$A$2,"TradingCalendar=SSE","rptType=1","ShowCodes=N","ShowDates=N","ShowParams=Y","cols=1;rows=1")</f>
        <v>1</v>
      </c>
      <c r="O92" s="53">
        <v>9708009</v>
      </c>
      <c r="P92" s="24">
        <f t="shared" si="23"/>
        <v>23.449297101449272</v>
      </c>
    </row>
    <row r="93" spans="1:16" ht="14.25">
      <c r="B93" s="1" t="s">
        <v>102</v>
      </c>
      <c r="C93" s="1">
        <v>20</v>
      </c>
      <c r="D93" s="1">
        <v>99241</v>
      </c>
      <c r="E93" s="2">
        <v>43124</v>
      </c>
      <c r="F93" s="40">
        <v>0.46319444444444446</v>
      </c>
      <c r="G93" s="31">
        <v>3.5999999999999997E-2</v>
      </c>
      <c r="H93" s="1">
        <v>98590</v>
      </c>
      <c r="I93" s="2">
        <v>43124</v>
      </c>
      <c r="J93" s="40">
        <v>0.62013888888888891</v>
      </c>
      <c r="K93" s="30">
        <f t="shared" si="15"/>
        <v>-13020</v>
      </c>
      <c r="N93" s="11">
        <f>[1]!WSD($B93,"contractmultiplier",$A$2,$A$2,"TradingCalendar=SSE","rptType=1","ShowCodes=N","ShowDates=N","ShowParams=Y","cols=1;rows=1")</f>
        <v>1</v>
      </c>
      <c r="O93" s="53">
        <v>9758010</v>
      </c>
      <c r="P93" s="24">
        <f t="shared" ref="P93" si="24">O93*G93/(D93*N93*0.15)</f>
        <v>23.598335365423566</v>
      </c>
    </row>
    <row r="94" spans="1:16" ht="14.25">
      <c r="B94" s="1" t="s">
        <v>103</v>
      </c>
      <c r="C94" s="1">
        <v>28</v>
      </c>
      <c r="D94" s="1">
        <v>9524</v>
      </c>
      <c r="E94" s="2">
        <v>43124</v>
      </c>
      <c r="F94" s="40">
        <v>0.56805555555555554</v>
      </c>
      <c r="G94" s="31">
        <v>2.1000000000000001E-2</v>
      </c>
      <c r="H94" s="1">
        <v>9495</v>
      </c>
      <c r="I94" s="2">
        <v>43124</v>
      </c>
      <c r="J94" s="40">
        <v>0.62013888888888891</v>
      </c>
      <c r="K94" s="30">
        <f t="shared" si="15"/>
        <v>-4060</v>
      </c>
      <c r="N94" s="11">
        <f>[1]!WSD($B94,"contractmultiplier",$A$2,$A$2,"TradingCalendar=SSE","rptType=1","ShowCodes=N","ShowDates=N","ShowParams=Y","cols=1;rows=1")</f>
        <v>5</v>
      </c>
      <c r="O94" s="53">
        <v>9758011</v>
      </c>
      <c r="P94" s="24">
        <f t="shared" ref="P94" si="25">O94*G94/(D94*N94*0.15)</f>
        <v>28.687978580428393</v>
      </c>
    </row>
    <row r="95" spans="1:16" ht="14.25">
      <c r="B95" s="1" t="s">
        <v>104</v>
      </c>
      <c r="C95" s="1">
        <v>30</v>
      </c>
      <c r="D95" s="1">
        <v>1294.5</v>
      </c>
      <c r="E95" s="2">
        <v>43124</v>
      </c>
      <c r="F95" s="40">
        <v>0.58819444444444446</v>
      </c>
      <c r="G95" s="31">
        <v>3.5000000000000003E-2</v>
      </c>
      <c r="H95" s="1">
        <v>1288</v>
      </c>
      <c r="I95" s="2">
        <v>43124</v>
      </c>
      <c r="J95" s="40">
        <v>0.62013888888888891</v>
      </c>
      <c r="K95" s="30">
        <f t="shared" si="15"/>
        <v>-11700</v>
      </c>
      <c r="N95" s="11">
        <f>[1]!WSD($B95,"contractmultiplier",$A$2,$A$2,"TradingCalendar=SSE","rptType=1","ShowCodes=N","ShowDates=N","ShowParams=Y","cols=1;rows=1")</f>
        <v>60</v>
      </c>
      <c r="O95" s="53">
        <v>9758012</v>
      </c>
      <c r="P95" s="24">
        <f t="shared" ref="P95" si="26">O95*G95/(D95*N95*0.15)</f>
        <v>29.31465774001116</v>
      </c>
    </row>
    <row r="96" spans="1:16" ht="14.25">
      <c r="B96" s="1" t="s">
        <v>105</v>
      </c>
      <c r="C96" s="1">
        <v>13</v>
      </c>
      <c r="D96" s="1">
        <v>2822.3</v>
      </c>
      <c r="E96" s="2">
        <v>43124</v>
      </c>
      <c r="F96" s="40">
        <v>0.62013888888888891</v>
      </c>
      <c r="G96" s="31">
        <v>6.0000000000000001E-3</v>
      </c>
      <c r="H96" s="1">
        <v>2847</v>
      </c>
      <c r="I96" s="2">
        <v>43125</v>
      </c>
      <c r="J96" s="40">
        <v>0.37986111111111115</v>
      </c>
      <c r="K96" s="30">
        <f t="shared" si="15"/>
        <v>3210.9999999999764</v>
      </c>
      <c r="N96" s="11">
        <f>[1]!WSD($B96,"contractmultiplier",$A$2,$A$2,"TradingCalendar=SSE","rptType=1","ShowCodes=N","ShowDates=N","ShowParams=Y","cols=1;rows=1")</f>
        <v>10</v>
      </c>
      <c r="O96" s="53">
        <v>9758013</v>
      </c>
      <c r="P96" s="24">
        <f t="shared" ref="P96" si="27">O96*G96/(D96*N96*0.15)</f>
        <v>13.829873507423025</v>
      </c>
    </row>
    <row r="97" spans="1:16" ht="14.25">
      <c r="A97" s="3"/>
      <c r="B97" s="3" t="s">
        <v>106</v>
      </c>
      <c r="C97" s="3">
        <v>-23</v>
      </c>
      <c r="D97" s="3">
        <v>5226</v>
      </c>
      <c r="E97" s="33">
        <v>43124</v>
      </c>
      <c r="F97" s="45">
        <v>0.62013888888888891</v>
      </c>
      <c r="G97" s="32">
        <v>1.9E-2</v>
      </c>
      <c r="H97" s="3">
        <v>5238</v>
      </c>
      <c r="I97" s="33">
        <v>43125</v>
      </c>
      <c r="J97" s="45">
        <v>0.87708333333333333</v>
      </c>
      <c r="K97" s="28">
        <f t="shared" si="15"/>
        <v>-2760</v>
      </c>
      <c r="L97" s="3"/>
      <c r="M97" s="4"/>
      <c r="N97" s="11">
        <f>[1]!WSD($B97,"contractmultiplier",$A$2,$A$2,"TradingCalendar=SSE","rptType=1","ShowCodes=N","ShowDates=N","ShowParams=Y","cols=1;rows=1")</f>
        <v>10</v>
      </c>
      <c r="O97" s="53">
        <v>9758014</v>
      </c>
      <c r="P97" s="24">
        <f t="shared" ref="P97" si="28">O97*G97/(D97*N97*0.15)</f>
        <v>23.651264957264956</v>
      </c>
    </row>
    <row r="98" spans="1:16" ht="14.25">
      <c r="A98" s="2">
        <v>43125</v>
      </c>
      <c r="B98" s="1" t="s">
        <v>37</v>
      </c>
      <c r="C98" s="1">
        <v>16</v>
      </c>
      <c r="D98" s="1">
        <v>2287</v>
      </c>
      <c r="E98" s="2">
        <v>43125</v>
      </c>
      <c r="F98" s="40">
        <v>0.87916666666666676</v>
      </c>
      <c r="G98" s="31">
        <f>1.7%*1/3</f>
        <v>5.6666666666666671E-3</v>
      </c>
      <c r="H98" s="1">
        <v>2295</v>
      </c>
      <c r="I98" s="2">
        <v>43126</v>
      </c>
      <c r="J98" s="40">
        <v>0.37986111111111115</v>
      </c>
      <c r="K98" s="30">
        <f t="shared" si="15"/>
        <v>1280</v>
      </c>
      <c r="N98" s="11">
        <f>[1]!WSD($B98,"contractmultiplier",$A$2,$A$2,"TradingCalendar=SSE","rptType=1","ShowCodes=N","ShowDates=N","ShowParams=Y","cols=1;rows=1")</f>
        <v>10</v>
      </c>
      <c r="O98" s="53">
        <v>9758015</v>
      </c>
      <c r="P98" s="24">
        <f t="shared" ref="P98" si="29">O98*G98/(D98*N98*0.15)</f>
        <v>16.118763542729436</v>
      </c>
    </row>
    <row r="99" spans="1:16" ht="14.25">
      <c r="B99" s="1" t="s">
        <v>32</v>
      </c>
      <c r="C99" s="1">
        <v>12</v>
      </c>
      <c r="D99" s="1">
        <v>99710</v>
      </c>
      <c r="E99" s="2">
        <v>43125</v>
      </c>
      <c r="F99" s="40">
        <v>0.87916666666666676</v>
      </c>
      <c r="G99" s="31">
        <f>3.7%*1/2</f>
        <v>1.8500000000000003E-2</v>
      </c>
      <c r="H99" s="1">
        <v>103760</v>
      </c>
      <c r="I99" s="2">
        <v>43126</v>
      </c>
      <c r="J99" s="40">
        <v>0.37986111111111115</v>
      </c>
      <c r="K99" s="30">
        <f t="shared" si="15"/>
        <v>48600</v>
      </c>
      <c r="N99" s="11">
        <f>[1]!WSD($B99,"contractmultiplier",$A$2,$A$2,"TradingCalendar=SSE","rptType=1","ShowCodes=N","ShowDates=N","ShowParams=Y","cols=1;rows=1")</f>
        <v>1</v>
      </c>
      <c r="O99" s="53">
        <v>9758016</v>
      </c>
      <c r="P99" s="24">
        <f t="shared" ref="P99" si="30">O99*G99/(D99*N99*0.15)</f>
        <v>12.069889078327151</v>
      </c>
    </row>
    <row r="100" spans="1:16" ht="14.25">
      <c r="B100" s="3" t="s">
        <v>60</v>
      </c>
      <c r="C100" s="3">
        <v>15</v>
      </c>
      <c r="D100" s="3">
        <v>1290</v>
      </c>
      <c r="E100" s="33">
        <v>43125</v>
      </c>
      <c r="F100" s="45">
        <v>0.87916666666666676</v>
      </c>
      <c r="G100" s="32">
        <f>3.5%*1/2</f>
        <v>1.7500000000000002E-2</v>
      </c>
      <c r="H100" s="3">
        <v>1306</v>
      </c>
      <c r="I100" s="33">
        <v>43126</v>
      </c>
      <c r="J100" s="45">
        <v>0.37986111111111115</v>
      </c>
      <c r="K100" s="28">
        <f t="shared" si="15"/>
        <v>14400</v>
      </c>
      <c r="L100" s="3"/>
      <c r="M100" s="4"/>
      <c r="N100" s="11">
        <f>[1]!WSD($B100,"contractmultiplier",$A$2,$A$2,"TradingCalendar=SSE","rptType=1","ShowCodes=N","ShowDates=N","ShowParams=Y","cols=1;rows=1")</f>
        <v>60</v>
      </c>
      <c r="O100" s="53">
        <v>9758017</v>
      </c>
      <c r="P100" s="24">
        <f t="shared" ref="P100" si="31">O100*G100/(D100*N100*0.15)</f>
        <v>14.708466623600346</v>
      </c>
    </row>
    <row r="101" spans="1:16" ht="14.25">
      <c r="B101" s="1" t="s">
        <v>108</v>
      </c>
      <c r="C101" s="1">
        <v>16</v>
      </c>
      <c r="D101" s="1">
        <v>5778</v>
      </c>
      <c r="E101" s="2">
        <v>43125</v>
      </c>
      <c r="F101" s="40">
        <v>0.37986111111111115</v>
      </c>
      <c r="G101" s="31">
        <f>2.2%*1/3</f>
        <v>7.3333333333333341E-3</v>
      </c>
      <c r="H101" s="1">
        <v>5704</v>
      </c>
      <c r="I101" s="2">
        <v>43130</v>
      </c>
      <c r="J101" s="40">
        <v>0.38194444444444442</v>
      </c>
      <c r="K101" s="30">
        <f t="shared" si="15"/>
        <v>-5920</v>
      </c>
      <c r="N101" s="11">
        <f>[1]!WSD($B101,"contractmultiplier",$A$2,$A$2,"TradingCalendar=SSE","rptType=1","ShowCodes=N","ShowDates=N","ShowParams=Y","cols=1;rows=1")</f>
        <v>5</v>
      </c>
      <c r="O101" s="53">
        <v>9758018</v>
      </c>
      <c r="P101" s="24">
        <f t="shared" ref="P101" si="32">O101*G101/(D101*N101*0.15)</f>
        <v>16.512933810238067</v>
      </c>
    </row>
    <row r="102" spans="1:16" ht="14.25">
      <c r="B102" s="1" t="s">
        <v>109</v>
      </c>
      <c r="C102" s="1">
        <v>9</v>
      </c>
      <c r="D102" s="1">
        <v>26220</v>
      </c>
      <c r="E102" s="2">
        <v>43125</v>
      </c>
      <c r="F102" s="40">
        <v>0.37986111111111115</v>
      </c>
      <c r="G102" s="31">
        <f>3.4%*0.5</f>
        <v>1.7000000000000001E-2</v>
      </c>
      <c r="H102" s="1">
        <v>26140</v>
      </c>
      <c r="I102" s="2">
        <v>43126</v>
      </c>
      <c r="J102" s="40">
        <v>0.37986111111111115</v>
      </c>
      <c r="K102" s="30">
        <f t="shared" si="15"/>
        <v>-3600</v>
      </c>
      <c r="N102" s="11">
        <f>[1]!WSD($B102,"contractmultiplier",$A$2,$A$2,"TradingCalendar=SSE","rptType=1","ShowCodes=N","ShowDates=N","ShowParams=Y","cols=1;rows=1")</f>
        <v>5</v>
      </c>
      <c r="O102" s="53">
        <v>9758019</v>
      </c>
      <c r="P102" s="24">
        <f t="shared" ref="P102" si="33">O102*G102/(D102*N102*0.15)</f>
        <v>8.4356126620900085</v>
      </c>
    </row>
    <row r="103" spans="1:16" ht="14.25">
      <c r="B103" s="1" t="s">
        <v>110</v>
      </c>
      <c r="C103" s="1">
        <v>13</v>
      </c>
      <c r="D103" s="1">
        <v>9955</v>
      </c>
      <c r="E103" s="2">
        <v>43125</v>
      </c>
      <c r="F103" s="40">
        <v>0.37986111111111115</v>
      </c>
      <c r="G103" s="31">
        <f>2%*0.5</f>
        <v>0.01</v>
      </c>
      <c r="H103" s="1">
        <v>9925</v>
      </c>
      <c r="I103" s="2">
        <v>43126</v>
      </c>
      <c r="J103" s="40">
        <v>0.40277777777777773</v>
      </c>
      <c r="K103" s="30">
        <f t="shared" si="15"/>
        <v>-1950</v>
      </c>
      <c r="N103" s="11">
        <f>[1]!WSD($B103,"contractmultiplier",$A$2,$A$2,"TradingCalendar=SSE","rptType=1","ShowCodes=N","ShowDates=N","ShowParams=Y","cols=1;rows=1")</f>
        <v>5</v>
      </c>
      <c r="O103" s="53">
        <v>9758020</v>
      </c>
      <c r="P103" s="24">
        <f t="shared" ref="P103" si="34">O103*G103/(D103*N103*0.15)</f>
        <v>13.069506110832076</v>
      </c>
    </row>
    <row r="104" spans="1:16" ht="14.25">
      <c r="B104" s="1" t="s">
        <v>111</v>
      </c>
      <c r="C104" s="1">
        <v>14</v>
      </c>
      <c r="D104" s="1">
        <v>1485</v>
      </c>
      <c r="E104" s="2">
        <v>43125</v>
      </c>
      <c r="F104" s="40">
        <v>0.37986111111111115</v>
      </c>
      <c r="G104" s="31">
        <f>1.9%*1/3</f>
        <v>6.3333333333333332E-3</v>
      </c>
      <c r="H104" s="1">
        <v>1483</v>
      </c>
      <c r="I104" s="2">
        <v>43126</v>
      </c>
      <c r="J104" s="40">
        <v>0.3756944444444445</v>
      </c>
      <c r="K104" s="30">
        <f t="shared" si="15"/>
        <v>-560</v>
      </c>
      <c r="N104" s="11">
        <f>[1]!WSD($B104,"contractmultiplier",$A$2,$A$2,"TradingCalendar=SSE","rptType=1","ShowCodes=N","ShowDates=N","ShowParams=Y","cols=1;rows=1")</f>
        <v>20</v>
      </c>
      <c r="O104" s="53">
        <v>9758021</v>
      </c>
      <c r="P104" s="24">
        <f t="shared" ref="P104" si="35">O104*G104/(D104*N104*0.15)</f>
        <v>13.872233370744482</v>
      </c>
    </row>
    <row r="105" spans="1:16" ht="14.25">
      <c r="B105" s="1" t="s">
        <v>112</v>
      </c>
      <c r="C105" s="1">
        <v>12</v>
      </c>
      <c r="D105" s="1">
        <v>9554</v>
      </c>
      <c r="E105" s="2">
        <v>43125</v>
      </c>
      <c r="F105" s="40">
        <v>0.37986111111111115</v>
      </c>
      <c r="G105" s="31">
        <v>8.9999999999999993E-3</v>
      </c>
      <c r="H105" s="1">
        <v>9512</v>
      </c>
      <c r="I105" s="2">
        <v>43126</v>
      </c>
      <c r="J105" s="40">
        <v>0.42222222222222222</v>
      </c>
      <c r="K105" s="30">
        <f t="shared" si="15"/>
        <v>-2520</v>
      </c>
      <c r="N105" s="11">
        <f>[1]!WSD($B105,"contractmultiplier",$A$2,$A$2,"TradingCalendar=SSE","rptType=1","ShowCodes=N","ShowDates=N","ShowParams=Y","cols=1;rows=1")</f>
        <v>5</v>
      </c>
      <c r="O105" s="53">
        <v>9758022</v>
      </c>
      <c r="P105" s="24">
        <f t="shared" ref="P105" si="36">O105*G105/(D105*N105*0.15)</f>
        <v>12.256255390412392</v>
      </c>
    </row>
    <row r="106" spans="1:16" ht="14.25">
      <c r="B106" s="1" t="s">
        <v>114</v>
      </c>
      <c r="C106" s="1">
        <v>-6</v>
      </c>
      <c r="D106" s="1">
        <v>5234</v>
      </c>
      <c r="E106" s="2">
        <v>43125</v>
      </c>
      <c r="F106" s="40">
        <v>0.37986111111111115</v>
      </c>
      <c r="G106" s="31">
        <f>1.3%*1/3</f>
        <v>4.333333333333334E-3</v>
      </c>
      <c r="H106" s="1">
        <v>5230</v>
      </c>
      <c r="I106" s="2">
        <v>43125</v>
      </c>
      <c r="J106" s="40">
        <v>0.56597222222222221</v>
      </c>
      <c r="K106" s="30">
        <f t="shared" si="15"/>
        <v>240</v>
      </c>
      <c r="N106" s="11">
        <f>[1]!WSD($B106,"contractmultiplier",$A$2,$A$2,"TradingCalendar=SSE","rptType=1","ShowCodes=N","ShowDates=N","ShowParams=Y","cols=1;rows=1")</f>
        <v>10</v>
      </c>
      <c r="O106" s="53">
        <v>9758023</v>
      </c>
      <c r="P106" s="24">
        <f t="shared" ref="P106" si="37">O106*G106/(D106*N106*0.15)</f>
        <v>5.3859083343947702</v>
      </c>
    </row>
    <row r="107" spans="1:16" ht="14.25">
      <c r="B107" s="1" t="s">
        <v>116</v>
      </c>
      <c r="C107" s="1">
        <v>-11</v>
      </c>
      <c r="D107" s="1">
        <v>2089</v>
      </c>
      <c r="E107" s="2">
        <v>43125</v>
      </c>
      <c r="F107" s="40">
        <v>0.40763888888888888</v>
      </c>
      <c r="G107" s="31">
        <f>1.1%*1/3</f>
        <v>3.666666666666667E-3</v>
      </c>
      <c r="H107" s="1">
        <v>2088</v>
      </c>
      <c r="I107" s="2">
        <v>43126</v>
      </c>
      <c r="J107" s="40">
        <v>0.58819444444444446</v>
      </c>
      <c r="K107" s="30">
        <f t="shared" si="15"/>
        <v>110</v>
      </c>
      <c r="N107" s="11">
        <f>[1]!WSD($B107,"contractmultiplier",$A$2,$A$2,"TradingCalendar=SSE","rptType=1","ShowCodes=N","ShowDates=N","ShowParams=Y","cols=1;rows=1")</f>
        <v>10</v>
      </c>
      <c r="O107" s="53">
        <v>9800000</v>
      </c>
      <c r="P107" s="24">
        <f t="shared" ref="P107" si="38">O107*G107/(D107*N107*0.15)</f>
        <v>11.467475134301369</v>
      </c>
    </row>
    <row r="108" spans="1:16" ht="14.25">
      <c r="B108" s="1" t="s">
        <v>117</v>
      </c>
      <c r="C108" s="1">
        <v>-1</v>
      </c>
      <c r="D108" s="1">
        <v>91.71</v>
      </c>
      <c r="E108" s="2">
        <v>43125</v>
      </c>
      <c r="F108" s="40">
        <v>0.40763888888888888</v>
      </c>
      <c r="G108" s="31">
        <v>1.7999999999999999E-2</v>
      </c>
      <c r="H108" s="1">
        <v>91.875</v>
      </c>
      <c r="I108" s="2">
        <v>43126</v>
      </c>
      <c r="J108" s="40">
        <v>0.42222222222222222</v>
      </c>
      <c r="K108" s="30">
        <f t="shared" si="15"/>
        <v>-1650.0000000000625</v>
      </c>
      <c r="N108" s="11">
        <f>[1]!WSD($B108,"contractmultiplier",$A$2,$A$2,"TradingCalendar=SSE","rptType=1","ShowCodes=N","ShowDates=N","ShowParams=Y","cols=1;rows=1")</f>
        <v>10000</v>
      </c>
      <c r="O108" s="53">
        <v>9800001</v>
      </c>
      <c r="P108" s="24">
        <f t="shared" ref="P108" si="39">O108*G108/(D108*N108*0.15)</f>
        <v>1.2823030421982338</v>
      </c>
    </row>
    <row r="109" spans="1:16" ht="14.25">
      <c r="A109" s="3"/>
      <c r="B109" s="3" t="s">
        <v>120</v>
      </c>
      <c r="C109" s="3">
        <v>-1</v>
      </c>
      <c r="D109" s="3">
        <v>95.83</v>
      </c>
      <c r="E109" s="33">
        <v>43125</v>
      </c>
      <c r="F109" s="45">
        <v>0.47152777777777777</v>
      </c>
      <c r="G109" s="32">
        <v>0.02</v>
      </c>
      <c r="H109" s="3">
        <v>95.965000000000003</v>
      </c>
      <c r="I109" s="33">
        <v>43126</v>
      </c>
      <c r="J109" s="45">
        <v>0.40277777777777773</v>
      </c>
      <c r="K109" s="28">
        <f t="shared" si="15"/>
        <v>-1350.0000000000512</v>
      </c>
      <c r="L109" s="3"/>
      <c r="M109" s="4"/>
      <c r="N109" s="11">
        <f>[1]!WSD($B109,"contractmultiplier",$A$2,$A$2,"TradingCalendar=SSE","rptType=1","ShowCodes=N","ShowDates=N","ShowParams=Y","cols=1;rows=1")</f>
        <v>10000</v>
      </c>
      <c r="O109" s="53">
        <v>9800002</v>
      </c>
      <c r="P109" s="24">
        <f t="shared" ref="P109" si="40">O109*G109/(D109*N109*0.15)</f>
        <v>1.3635259661205608</v>
      </c>
    </row>
    <row r="110" spans="1:16" ht="14.25">
      <c r="A110" s="2">
        <v>43126</v>
      </c>
      <c r="B110" s="41" t="s">
        <v>16</v>
      </c>
      <c r="C110" s="41">
        <v>6</v>
      </c>
      <c r="D110" s="41">
        <v>2055.5</v>
      </c>
      <c r="E110" s="57">
        <v>43125</v>
      </c>
      <c r="F110" s="42">
        <v>0.88263888888888886</v>
      </c>
      <c r="G110" s="43">
        <f>4.3%*1/2</f>
        <v>2.1499999999999998E-2</v>
      </c>
      <c r="H110" s="41">
        <v>2044.5</v>
      </c>
      <c r="I110" s="57">
        <v>43126</v>
      </c>
      <c r="J110" s="42">
        <v>0.37986111111111115</v>
      </c>
      <c r="K110" s="46">
        <f t="shared" si="15"/>
        <v>-6600</v>
      </c>
      <c r="L110" s="41"/>
      <c r="M110" s="44"/>
      <c r="N110" s="11">
        <f>[1]!WSD($B110,"contractmultiplier",$A$2,$A$2,"TradingCalendar=SSE","rptType=1","ShowCodes=N","ShowDates=N","ShowParams=Y","cols=1;rows=1")</f>
        <v>100</v>
      </c>
      <c r="O110" s="53">
        <v>9777000</v>
      </c>
      <c r="P110" s="24">
        <f t="shared" ref="P110" si="41">O110*G110/(D110*N110*0.15)</f>
        <v>6.8176599367550468</v>
      </c>
    </row>
    <row r="111" spans="1:16" ht="14.25">
      <c r="B111" s="1" t="s">
        <v>129</v>
      </c>
      <c r="C111" s="1">
        <v>-13</v>
      </c>
      <c r="D111" s="1">
        <v>3685</v>
      </c>
      <c r="E111" s="2">
        <v>43126</v>
      </c>
      <c r="F111" s="40">
        <v>0.37986111111111115</v>
      </c>
      <c r="G111" s="31">
        <f>2.4%*1/3</f>
        <v>8.0000000000000002E-3</v>
      </c>
      <c r="H111" s="1">
        <v>3628</v>
      </c>
      <c r="I111" s="2">
        <v>43130</v>
      </c>
      <c r="J111" s="40">
        <v>0.58888888888888891</v>
      </c>
      <c r="K111" s="30">
        <f t="shared" si="15"/>
        <v>7410</v>
      </c>
      <c r="N111" s="11">
        <f>[1]!WSD($B111,"contractmultiplier",$A$2,$A$2,"TradingCalendar=SSE","rptType=1","ShowCodes=N","ShowDates=N","ShowParams=Y","cols=1;rows=1")</f>
        <v>10</v>
      </c>
      <c r="O111" s="53">
        <v>9777001</v>
      </c>
      <c r="P111" s="24">
        <f t="shared" ref="P111" si="42">O111*G111/(D111*N111*0.15)</f>
        <v>14.15034066033469</v>
      </c>
    </row>
    <row r="112" spans="1:16" ht="14.25">
      <c r="B112" s="1" t="s">
        <v>130</v>
      </c>
      <c r="C112" s="1">
        <v>-1</v>
      </c>
      <c r="D112" s="1">
        <v>2835</v>
      </c>
      <c r="E112" s="2">
        <v>43126</v>
      </c>
      <c r="F112" s="40">
        <v>0.37986111111111115</v>
      </c>
      <c r="G112" s="31">
        <f>0.2%*1/3</f>
        <v>6.6666666666666664E-4</v>
      </c>
      <c r="H112" s="1">
        <v>2843</v>
      </c>
      <c r="I112" s="2">
        <v>43126</v>
      </c>
      <c r="J112" s="40">
        <v>0.89027777777777783</v>
      </c>
      <c r="K112" s="30">
        <f t="shared" si="15"/>
        <v>-80</v>
      </c>
      <c r="N112" s="11">
        <f>[1]!WSD($B112,"contractmultiplier",$A$2,$A$2,"TradingCalendar=SSE","rptType=1","ShowCodes=N","ShowDates=N","ShowParams=Y","cols=1;rows=1")</f>
        <v>10</v>
      </c>
      <c r="O112" s="53">
        <v>9777002</v>
      </c>
      <c r="P112" s="24">
        <f t="shared" ref="P112" si="43">O112*G112/(D112*N112*0.15)</f>
        <v>1.5327457573976091</v>
      </c>
    </row>
    <row r="113" spans="1:16" ht="14.25">
      <c r="B113" s="1" t="s">
        <v>131</v>
      </c>
      <c r="C113" s="1">
        <v>-11</v>
      </c>
      <c r="D113" s="1">
        <v>2759</v>
      </c>
      <c r="E113" s="2">
        <v>43126</v>
      </c>
      <c r="F113" s="40">
        <v>0.37986111111111115</v>
      </c>
      <c r="G113" s="31">
        <f>1.4%*1/3</f>
        <v>4.6666666666666662E-3</v>
      </c>
      <c r="H113" s="1">
        <v>2773</v>
      </c>
      <c r="I113" s="2">
        <v>43129</v>
      </c>
      <c r="J113" s="40">
        <v>0.40833333333333338</v>
      </c>
      <c r="K113" s="30">
        <f t="shared" si="15"/>
        <v>-1540</v>
      </c>
      <c r="N113" s="11">
        <f>[1]!WSD($B113,"contractmultiplier",$A$2,$A$2,"TradingCalendar=SSE","rptType=1","ShowCodes=N","ShowDates=N","ShowParams=Y","cols=1;rows=1")</f>
        <v>10</v>
      </c>
      <c r="O113" s="53">
        <v>9777003</v>
      </c>
      <c r="P113" s="24">
        <f t="shared" ref="P113" si="44">O113*G113/(D113*N113*0.15)</f>
        <v>11.024770810680197</v>
      </c>
    </row>
    <row r="114" spans="1:16" ht="14.25">
      <c r="B114" s="1" t="s">
        <v>133</v>
      </c>
      <c r="C114" s="1">
        <v>24</v>
      </c>
      <c r="D114" s="1">
        <v>668.6</v>
      </c>
      <c r="E114" s="2">
        <v>43126</v>
      </c>
      <c r="F114" s="40">
        <v>0.42222222222222222</v>
      </c>
      <c r="G114" s="31">
        <f>5%*0.5</f>
        <v>2.5000000000000001E-2</v>
      </c>
      <c r="H114" s="1">
        <v>668.6</v>
      </c>
      <c r="I114" s="2">
        <v>43129</v>
      </c>
      <c r="J114" s="40">
        <v>0.92361111111111116</v>
      </c>
      <c r="K114" s="30">
        <f t="shared" si="15"/>
        <v>0</v>
      </c>
      <c r="N114" s="11">
        <f>[1]!WSD($B114,"contractmultiplier",$A$2,$A$2,"TradingCalendar=SSE","rptType=1","ShowCodes=N","ShowDates=N","ShowParams=Y","cols=1;rows=1")</f>
        <v>100</v>
      </c>
      <c r="O114" s="53">
        <v>9777004</v>
      </c>
      <c r="P114" s="24">
        <f t="shared" ref="P114" si="45">O114*G114/(D114*N114*0.15)</f>
        <v>24.371831688104496</v>
      </c>
    </row>
    <row r="115" spans="1:16" ht="14.25">
      <c r="B115" s="1" t="s">
        <v>137</v>
      </c>
      <c r="C115" s="1">
        <v>1</v>
      </c>
      <c r="D115" s="1">
        <v>4406.8</v>
      </c>
      <c r="E115" s="2">
        <v>43126</v>
      </c>
      <c r="F115" s="40">
        <v>0.46249999999999997</v>
      </c>
      <c r="G115" s="31">
        <v>2.1999999999999999E-2</v>
      </c>
      <c r="H115" s="1">
        <v>4347.2</v>
      </c>
      <c r="I115" s="2">
        <v>43129</v>
      </c>
      <c r="J115" s="40">
        <v>0.46458333333333335</v>
      </c>
      <c r="K115" s="30">
        <f t="shared" si="15"/>
        <v>-17880.000000000109</v>
      </c>
      <c r="N115" s="11">
        <f>[1]!WSD($B115,"contractmultiplier",$A$2,$A$2,"TradingCalendar=SSE","rptType=1","ShowCodes=N","ShowDates=N","ShowParams=Y","cols=1;rows=1")</f>
        <v>300</v>
      </c>
      <c r="O115" s="53"/>
      <c r="P115" s="24"/>
    </row>
    <row r="116" spans="1:16" ht="14.25">
      <c r="B116" s="1" t="s">
        <v>138</v>
      </c>
      <c r="C116" s="1">
        <v>1</v>
      </c>
      <c r="D116" s="1">
        <v>3197.4</v>
      </c>
      <c r="E116" s="2">
        <v>43126</v>
      </c>
      <c r="F116" s="40">
        <v>0.46249999999999997</v>
      </c>
      <c r="G116" s="31">
        <v>1.4E-2</v>
      </c>
      <c r="H116" s="1">
        <v>3195</v>
      </c>
      <c r="I116" s="2">
        <v>43129</v>
      </c>
      <c r="J116" s="40">
        <v>0.46458333333333335</v>
      </c>
      <c r="K116" s="30">
        <f t="shared" si="15"/>
        <v>-720.00000000002728</v>
      </c>
      <c r="N116" s="11">
        <f>[1]!WSD($B116,"contractmultiplier",$A$2,$A$2,"TradingCalendar=SSE","rptType=1","ShowCodes=N","ShowDates=N","ShowParams=Y","cols=1;rows=1")</f>
        <v>300</v>
      </c>
      <c r="O116" s="53"/>
      <c r="P116" s="24"/>
    </row>
    <row r="117" spans="1:16" ht="14.25">
      <c r="B117" s="1" t="s">
        <v>134</v>
      </c>
      <c r="C117" s="1">
        <v>-10</v>
      </c>
      <c r="D117" s="1">
        <v>14800</v>
      </c>
      <c r="E117" s="2">
        <v>43126</v>
      </c>
      <c r="F117" s="40">
        <v>0.56597222222222221</v>
      </c>
      <c r="G117" s="31">
        <f>2.3%*0.5</f>
        <v>1.15E-2</v>
      </c>
      <c r="H117" s="1">
        <v>14930</v>
      </c>
      <c r="I117" s="2">
        <v>43129</v>
      </c>
      <c r="J117" s="40">
        <v>0.40833333333333338</v>
      </c>
      <c r="K117" s="30">
        <f t="shared" si="15"/>
        <v>-6500</v>
      </c>
      <c r="N117" s="11">
        <f>[1]!WSD($B117,"contractmultiplier",$A$2,$A$2,"TradingCalendar=SSE","rptType=1","ShowCodes=N","ShowDates=N","ShowParams=Y","cols=1;rows=1")</f>
        <v>5</v>
      </c>
      <c r="O117" s="53">
        <v>9777005</v>
      </c>
      <c r="P117" s="24">
        <f t="shared" ref="P117" si="46">O117*G117/(D117*N117*0.15)</f>
        <v>10.129329504504504</v>
      </c>
    </row>
    <row r="118" spans="1:16" ht="14.25">
      <c r="B118" s="1" t="s">
        <v>135</v>
      </c>
      <c r="C118" s="1">
        <v>7</v>
      </c>
      <c r="D118" s="1">
        <v>2053</v>
      </c>
      <c r="E118" s="2">
        <v>43126</v>
      </c>
      <c r="F118" s="40">
        <v>0.58819444444444446</v>
      </c>
      <c r="G118" s="31">
        <f>4.3%*0.5</f>
        <v>2.1499999999999998E-2</v>
      </c>
      <c r="H118" s="1">
        <v>2043.5</v>
      </c>
      <c r="I118" s="2">
        <v>43126</v>
      </c>
      <c r="J118" s="40">
        <v>0.62013888888888891</v>
      </c>
      <c r="K118" s="30">
        <f t="shared" si="15"/>
        <v>-6650</v>
      </c>
      <c r="N118" s="11">
        <f>[1]!WSD($B118,"contractmultiplier",$A$2,$A$2,"TradingCalendar=SSE","rptType=1","ShowCodes=N","ShowDates=N","ShowParams=Y","cols=1;rows=1")</f>
        <v>100</v>
      </c>
      <c r="O118" s="53">
        <v>9777006</v>
      </c>
      <c r="P118" s="24">
        <f t="shared" ref="P118" si="47">O118*G118/(D118*N118*0.15)</f>
        <v>6.8259661958110076</v>
      </c>
    </row>
    <row r="119" spans="1:16" ht="15" thickBot="1">
      <c r="A119" s="48"/>
      <c r="B119" s="48" t="s">
        <v>136</v>
      </c>
      <c r="C119" s="48">
        <v>9</v>
      </c>
      <c r="D119" s="48">
        <v>10020</v>
      </c>
      <c r="E119" s="52">
        <v>43126</v>
      </c>
      <c r="F119" s="49">
        <v>0.58819444444444446</v>
      </c>
      <c r="G119" s="50">
        <f>2%*1/3</f>
        <v>6.6666666666666671E-3</v>
      </c>
      <c r="H119" s="48">
        <v>9980</v>
      </c>
      <c r="I119" s="52">
        <v>43129</v>
      </c>
      <c r="J119" s="49">
        <v>0.58958333333333335</v>
      </c>
      <c r="K119" s="54">
        <f t="shared" si="15"/>
        <v>-1800</v>
      </c>
      <c r="L119" s="48"/>
      <c r="M119" s="51"/>
      <c r="N119" s="11">
        <f>[1]!WSD($B119,"contractmultiplier",$A$2,$A$2,"TradingCalendar=SSE","rptType=1","ShowCodes=N","ShowDates=N","ShowParams=Y","cols=1;rows=1")</f>
        <v>5</v>
      </c>
      <c r="O119" s="53">
        <v>9777007</v>
      </c>
      <c r="P119" s="24">
        <f t="shared" ref="P119" si="48">O119*G119/(D119*N119*0.15)</f>
        <v>8.6733262364160577</v>
      </c>
    </row>
    <row r="120" spans="1:16" ht="14.25">
      <c r="A120" s="2">
        <v>43129</v>
      </c>
      <c r="B120" s="1" t="s">
        <v>32</v>
      </c>
      <c r="C120" s="1">
        <v>13</v>
      </c>
      <c r="D120" s="1">
        <v>104300</v>
      </c>
      <c r="E120" s="2">
        <v>43126</v>
      </c>
      <c r="F120" s="40">
        <v>0.88888888888888884</v>
      </c>
      <c r="G120" s="31">
        <f>4.1%*0.5</f>
        <v>2.0499999999999997E-2</v>
      </c>
      <c r="H120" s="1">
        <v>105200</v>
      </c>
      <c r="I120" s="2">
        <v>43130</v>
      </c>
      <c r="J120" s="40">
        <v>0.38194444444444442</v>
      </c>
      <c r="K120" s="30">
        <f>IF(H120="","",C120*(H120-D120)*N120)</f>
        <v>11700</v>
      </c>
      <c r="N120" s="11">
        <f>[1]!WSD($B120,"contractmultiplier",$A$2,$A$2,"TradingCalendar=SSE","rptType=1","ShowCodes=N","ShowDates=N","ShowParams=Y","cols=1;rows=1")</f>
        <v>1</v>
      </c>
      <c r="O120" s="53">
        <v>9777008</v>
      </c>
      <c r="P120" s="24">
        <f t="shared" ref="P120:P123" si="49">O120*G120/(D120*N120*0.15)</f>
        <v>12.811036369447105</v>
      </c>
    </row>
    <row r="121" spans="1:16" ht="14.25">
      <c r="B121" s="1" t="s">
        <v>139</v>
      </c>
      <c r="C121" s="1">
        <v>9</v>
      </c>
      <c r="D121" s="1">
        <v>26205</v>
      </c>
      <c r="E121" s="2">
        <v>43126</v>
      </c>
      <c r="F121" s="40">
        <v>0.88958333333333339</v>
      </c>
      <c r="G121" s="31">
        <f>3.6%*0.5</f>
        <v>1.8000000000000002E-2</v>
      </c>
      <c r="H121" s="1">
        <v>26815</v>
      </c>
      <c r="I121" s="2">
        <v>43130</v>
      </c>
      <c r="J121" s="40">
        <v>0.38194444444444442</v>
      </c>
      <c r="K121" s="30">
        <f t="shared" si="15"/>
        <v>27450</v>
      </c>
      <c r="N121" s="11">
        <f>[1]!WSD($B121,"contractmultiplier",$A$2,$A$2,"TradingCalendar=SSE","rptType=1","ShowCodes=N","ShowDates=N","ShowParams=Y","cols=1;rows=1")</f>
        <v>5</v>
      </c>
      <c r="O121" s="53">
        <v>9777009</v>
      </c>
      <c r="P121" s="24">
        <f t="shared" si="49"/>
        <v>8.9543299370349168</v>
      </c>
    </row>
    <row r="122" spans="1:16" ht="14.25">
      <c r="B122" s="1" t="s">
        <v>140</v>
      </c>
      <c r="C122" s="1">
        <v>9</v>
      </c>
      <c r="D122" s="1">
        <v>2918</v>
      </c>
      <c r="E122" s="2">
        <v>43126</v>
      </c>
      <c r="F122" s="40">
        <v>0.88958333333333339</v>
      </c>
      <c r="G122" s="31">
        <f>1.1%*1/3</f>
        <v>3.666666666666667E-3</v>
      </c>
      <c r="H122" s="1">
        <v>2914</v>
      </c>
      <c r="I122" s="2">
        <v>43129</v>
      </c>
      <c r="J122" s="40">
        <v>0.88194444444444453</v>
      </c>
      <c r="K122" s="30">
        <f t="shared" si="15"/>
        <v>-360</v>
      </c>
      <c r="N122" s="11">
        <f>[1]!WSD($B122,"contractmultiplier",$A$2,$A$2,"TradingCalendar=SSE","rptType=1","ShowCodes=N","ShowDates=N","ShowParams=Y","cols=1;rows=1")</f>
        <v>10</v>
      </c>
      <c r="O122" s="53">
        <v>9777010</v>
      </c>
      <c r="P122" s="24">
        <f t="shared" si="49"/>
        <v>8.1903213768943726</v>
      </c>
    </row>
    <row r="123" spans="1:16" ht="14.25">
      <c r="B123" s="1" t="s">
        <v>60</v>
      </c>
      <c r="C123" s="1">
        <v>14</v>
      </c>
      <c r="D123" s="1">
        <v>1295</v>
      </c>
      <c r="E123" s="2">
        <v>43126</v>
      </c>
      <c r="F123" s="40">
        <v>0.88958333333333339</v>
      </c>
      <c r="G123" s="31">
        <f>3.3%*0.5</f>
        <v>1.6500000000000001E-2</v>
      </c>
      <c r="H123" s="1">
        <v>1292.5</v>
      </c>
      <c r="I123" s="2">
        <v>43126</v>
      </c>
      <c r="J123" s="40">
        <v>0.9243055555555556</v>
      </c>
      <c r="K123" s="30">
        <f t="shared" si="15"/>
        <v>-2100</v>
      </c>
      <c r="N123" s="11">
        <f>[1]!WSD($B123,"contractmultiplier",$A$2,$A$2,"TradingCalendar=SSE","rptType=1","ShowCodes=N","ShowDates=N","ShowParams=Y","cols=1;rows=1")</f>
        <v>60</v>
      </c>
      <c r="O123" s="53">
        <v>9777011</v>
      </c>
      <c r="P123" s="24">
        <f t="shared" si="49"/>
        <v>13.841328314028315</v>
      </c>
    </row>
    <row r="124" spans="1:16" ht="14.25">
      <c r="B124" s="3" t="s">
        <v>40</v>
      </c>
      <c r="C124" s="3">
        <v>-3</v>
      </c>
      <c r="D124" s="3">
        <v>53220</v>
      </c>
      <c r="E124" s="33">
        <v>43126</v>
      </c>
      <c r="F124" s="45">
        <v>0.9243055555555556</v>
      </c>
      <c r="G124" s="32">
        <f>1.9%*1/2</f>
        <v>9.4999999999999998E-3</v>
      </c>
      <c r="H124" s="3">
        <v>53640</v>
      </c>
      <c r="I124" s="33">
        <v>43129</v>
      </c>
      <c r="J124" s="45">
        <v>0.4069444444444445</v>
      </c>
      <c r="K124" s="28">
        <f t="shared" si="15"/>
        <v>-6300</v>
      </c>
      <c r="L124" s="3"/>
      <c r="M124" s="4"/>
      <c r="N124" s="11">
        <f>[1]!WSD($B124,"contractmultiplier",$A$2,$A$2,"TradingCalendar=SSE","rptType=1","ShowCodes=N","ShowDates=N","ShowParams=Y","cols=1;rows=1")</f>
        <v>5</v>
      </c>
      <c r="O124" s="53">
        <v>9777012</v>
      </c>
      <c r="P124" s="24">
        <f t="shared" ref="P124" si="50">O124*G124/(D124*N124*0.15)</f>
        <v>2.3269851935362644</v>
      </c>
    </row>
    <row r="125" spans="1:16" ht="14.25">
      <c r="B125" s="1" t="s">
        <v>141</v>
      </c>
      <c r="C125" s="1">
        <v>22</v>
      </c>
      <c r="D125" s="1">
        <v>2305</v>
      </c>
      <c r="E125" s="2">
        <v>43129</v>
      </c>
      <c r="F125" s="40">
        <v>0.40833333333333338</v>
      </c>
      <c r="G125" s="31">
        <f>2.3%*1/3</f>
        <v>7.6666666666666662E-3</v>
      </c>
      <c r="H125" s="1">
        <v>2329</v>
      </c>
      <c r="I125" s="2">
        <v>43130</v>
      </c>
      <c r="J125" s="40">
        <v>0.38194444444444442</v>
      </c>
      <c r="K125" s="30">
        <f t="shared" si="15"/>
        <v>5280</v>
      </c>
      <c r="N125" s="11">
        <f>[1]!WSD($B125,"contractmultiplier",$A$2,$A$2,"TradingCalendar=SSE","rptType=1","ShowCodes=N","ShowDates=N","ShowParams=Y","cols=1;rows=1")</f>
        <v>10</v>
      </c>
      <c r="O125" s="53">
        <v>9777013</v>
      </c>
      <c r="P125" s="24">
        <f t="shared" ref="P125" si="51">O125*G125/(D125*N125*0.15)</f>
        <v>21.679566064111832</v>
      </c>
    </row>
    <row r="126" spans="1:16" ht="14.25">
      <c r="B126" s="1" t="s">
        <v>142</v>
      </c>
      <c r="C126" s="1">
        <v>7</v>
      </c>
      <c r="D126" s="1">
        <v>2034.5</v>
      </c>
      <c r="E126" s="2">
        <v>43129</v>
      </c>
      <c r="F126" s="40">
        <v>0.40833333333333338</v>
      </c>
      <c r="G126" s="31">
        <f>4.3%*0.5</f>
        <v>2.1499999999999998E-2</v>
      </c>
      <c r="H126" s="1">
        <v>2038</v>
      </c>
      <c r="I126" s="2">
        <v>43129</v>
      </c>
      <c r="J126" s="40">
        <v>0.92361111111111116</v>
      </c>
      <c r="K126" s="30">
        <f t="shared" si="15"/>
        <v>2450</v>
      </c>
      <c r="N126" s="11">
        <f>[1]!WSD($B126,"contractmultiplier",$A$2,$A$2,"TradingCalendar=SSE","rptType=1","ShowCodes=N","ShowDates=N","ShowParams=Y","cols=1;rows=1")</f>
        <v>100</v>
      </c>
      <c r="O126" s="53">
        <v>9777014</v>
      </c>
      <c r="P126" s="24">
        <f t="shared" ref="P126" si="52">O126*G126/(D126*N126*0.15)</f>
        <v>6.8880413205537803</v>
      </c>
    </row>
    <row r="127" spans="1:16" ht="14.25">
      <c r="B127" s="1" t="s">
        <v>143</v>
      </c>
      <c r="C127" s="1">
        <v>22</v>
      </c>
      <c r="D127" s="1">
        <v>3951</v>
      </c>
      <c r="E127" s="2">
        <v>43129</v>
      </c>
      <c r="F127" s="40">
        <v>0.4375</v>
      </c>
      <c r="G127" s="31">
        <f>2.6%*0.5</f>
        <v>1.3000000000000001E-2</v>
      </c>
      <c r="H127" s="1">
        <v>3936</v>
      </c>
      <c r="I127" s="2">
        <v>43129</v>
      </c>
      <c r="J127" s="40">
        <v>0.88194444444444453</v>
      </c>
      <c r="K127" s="30">
        <f t="shared" si="15"/>
        <v>-3300</v>
      </c>
      <c r="N127" s="11">
        <f>[1]!WSD($B127,"contractmultiplier",$A$2,$A$2,"TradingCalendar=SSE","rptType=1","ShowCodes=N","ShowDates=N","ShowParams=Y","cols=1;rows=1")</f>
        <v>10</v>
      </c>
      <c r="O127" s="53">
        <v>9777015</v>
      </c>
      <c r="P127" s="24">
        <f t="shared" ref="P127" si="53">O127*G127/(D127*N127*0.15)</f>
        <v>21.446249050873199</v>
      </c>
    </row>
    <row r="128" spans="1:16" ht="14.25">
      <c r="B128" s="1" t="s">
        <v>144</v>
      </c>
      <c r="C128" s="1">
        <v>22</v>
      </c>
      <c r="D128" s="1">
        <v>3966</v>
      </c>
      <c r="E128" s="2">
        <v>43129</v>
      </c>
      <c r="F128" s="40">
        <v>0.46458333333333335</v>
      </c>
      <c r="G128" s="31">
        <f>4%*1/3</f>
        <v>1.3333333333333334E-2</v>
      </c>
      <c r="H128" s="1">
        <v>3951</v>
      </c>
      <c r="I128" s="2">
        <v>43130</v>
      </c>
      <c r="J128" s="40">
        <v>0.38194444444444442</v>
      </c>
      <c r="K128" s="30">
        <f t="shared" si="15"/>
        <v>-3300</v>
      </c>
      <c r="N128" s="11">
        <f>[1]!WSD($B128,"contractmultiplier",$A$2,$A$2,"TradingCalendar=SSE","rptType=1","ShowCodes=N","ShowDates=N","ShowParams=Y","cols=1;rows=1")</f>
        <v>10</v>
      </c>
      <c r="O128" s="53">
        <v>9777015</v>
      </c>
      <c r="P128" s="24">
        <f t="shared" ref="P128" si="54">O128*G128/(D128*N128*0.15)</f>
        <v>21.912960161371661</v>
      </c>
    </row>
    <row r="129" spans="1:16" ht="14.25">
      <c r="B129" s="1" t="s">
        <v>145</v>
      </c>
      <c r="C129" s="1">
        <v>17</v>
      </c>
      <c r="D129" s="1">
        <v>2804</v>
      </c>
      <c r="E129" s="2">
        <v>43129</v>
      </c>
      <c r="F129" s="40">
        <v>0.46458333333333335</v>
      </c>
      <c r="G129" s="31">
        <f>2.2%*1/3</f>
        <v>7.3333333333333341E-3</v>
      </c>
      <c r="H129" s="1">
        <v>2795</v>
      </c>
      <c r="I129" s="2">
        <v>43130</v>
      </c>
      <c r="J129" s="40">
        <v>0.38194444444444442</v>
      </c>
      <c r="K129" s="30">
        <f t="shared" si="15"/>
        <v>-1530</v>
      </c>
      <c r="N129" s="11">
        <f>[1]!WSD($B129,"contractmultiplier",$A$2,$A$2,"TradingCalendar=SSE","rptType=1","ShowCodes=N","ShowDates=N","ShowParams=Y","cols=1;rows=1")</f>
        <v>10</v>
      </c>
      <c r="O129" s="53">
        <v>9777015</v>
      </c>
      <c r="P129" s="24">
        <f t="shared" ref="P129" si="55">O129*G129/(D129*N129*0.15)</f>
        <v>17.046626248216832</v>
      </c>
    </row>
    <row r="130" spans="1:16" ht="14.25">
      <c r="B130" s="1" t="s">
        <v>146</v>
      </c>
      <c r="C130" s="1">
        <v>-1</v>
      </c>
      <c r="D130" s="1">
        <v>91.825000000000003</v>
      </c>
      <c r="E130" s="2">
        <v>43129</v>
      </c>
      <c r="F130" s="40">
        <v>0.46458333333333335</v>
      </c>
      <c r="G130" s="31">
        <v>1.7999999999999999E-2</v>
      </c>
      <c r="H130" s="1">
        <v>91.954999999999998</v>
      </c>
      <c r="I130" s="2">
        <v>43129</v>
      </c>
      <c r="J130" s="40">
        <v>0.56736111111111109</v>
      </c>
      <c r="K130" s="30">
        <f t="shared" si="15"/>
        <v>-1299.9999999999545</v>
      </c>
      <c r="N130" s="11">
        <f>[1]!WSD($B130,"contractmultiplier",$A$2,$A$2,"TradingCalendar=SSE","rptType=1","ShowCodes=N","ShowDates=N","ShowParams=Y","cols=1;rows=1")</f>
        <v>10000</v>
      </c>
      <c r="O130" s="53">
        <v>9777016</v>
      </c>
      <c r="P130" s="24">
        <f t="shared" ref="P130" si="56">O130*G130/(D130*N130*0.15)</f>
        <v>1.2776933514838007</v>
      </c>
    </row>
    <row r="131" spans="1:16" ht="14.25">
      <c r="B131" s="1" t="s">
        <v>147</v>
      </c>
      <c r="C131" s="1">
        <v>12</v>
      </c>
      <c r="D131" s="1">
        <v>6660</v>
      </c>
      <c r="E131" s="2">
        <v>43129</v>
      </c>
      <c r="F131" s="40">
        <v>0.56736111111111109</v>
      </c>
      <c r="G131" s="31">
        <f>1.8%*1/3</f>
        <v>6.000000000000001E-3</v>
      </c>
      <c r="H131" s="1">
        <v>6648</v>
      </c>
      <c r="I131" s="2">
        <v>43129</v>
      </c>
      <c r="J131" s="40">
        <v>0.58958333333333335</v>
      </c>
      <c r="K131" s="30">
        <f t="shared" si="15"/>
        <v>-720</v>
      </c>
      <c r="N131" s="11">
        <f>[1]!WSD($B131,"contractmultiplier",$A$2,$A$2,"TradingCalendar=SSE","rptType=1","ShowCodes=N","ShowDates=N","ShowParams=Y","cols=1;rows=1")</f>
        <v>5</v>
      </c>
      <c r="O131" s="53">
        <v>9777016</v>
      </c>
      <c r="P131" s="24">
        <f t="shared" ref="P131" si="57">O131*G131/(D131*N131*0.15)</f>
        <v>11.744163363363366</v>
      </c>
    </row>
    <row r="132" spans="1:16" ht="14.25">
      <c r="A132" s="3"/>
      <c r="B132" s="3" t="s">
        <v>147</v>
      </c>
      <c r="C132" s="3">
        <v>12</v>
      </c>
      <c r="D132" s="3">
        <v>6648</v>
      </c>
      <c r="E132" s="33">
        <v>43129</v>
      </c>
      <c r="F132" s="45">
        <v>0.62152777777777779</v>
      </c>
      <c r="G132" s="32">
        <f>1.8%*1/3</f>
        <v>6.000000000000001E-3</v>
      </c>
      <c r="H132" s="3">
        <v>6650</v>
      </c>
      <c r="I132" s="33">
        <v>43130</v>
      </c>
      <c r="J132" s="45">
        <v>0.37638888888888888</v>
      </c>
      <c r="K132" s="28">
        <f t="shared" si="15"/>
        <v>120</v>
      </c>
      <c r="L132" s="3"/>
      <c r="M132" s="4"/>
      <c r="N132" s="11">
        <f>[1]!WSD($B132,"contractmultiplier",$A$2,$A$2,"TradingCalendar=SSE","rptType=1","ShowCodes=N","ShowDates=N","ShowParams=Y","cols=1;rows=1")</f>
        <v>5</v>
      </c>
      <c r="O132" s="53">
        <v>9777016</v>
      </c>
      <c r="P132" s="24">
        <f t="shared" ref="P132" si="58">O132*G132/(D132*N132*0.15)</f>
        <v>11.765362214199762</v>
      </c>
    </row>
    <row r="133" spans="1:16" ht="14.25">
      <c r="A133" s="2">
        <v>43130</v>
      </c>
      <c r="B133" s="1" t="s">
        <v>40</v>
      </c>
      <c r="C133" s="1">
        <v>-2</v>
      </c>
      <c r="D133" s="1">
        <v>53510</v>
      </c>
      <c r="E133" s="2">
        <v>43129</v>
      </c>
      <c r="F133" s="40">
        <v>0.88194444444444453</v>
      </c>
      <c r="G133" s="31">
        <f>1.5%*0.5</f>
        <v>7.4999999999999997E-3</v>
      </c>
      <c r="H133" s="1">
        <v>53420</v>
      </c>
      <c r="I133" s="2">
        <v>43129</v>
      </c>
      <c r="J133" s="40">
        <v>0.92361111111111116</v>
      </c>
      <c r="K133" s="30">
        <f t="shared" si="15"/>
        <v>900</v>
      </c>
      <c r="N133" s="11">
        <f>[1]!WSD($B133,"contractmultiplier",$A$2,$A$2,"TradingCalendar=SSE","rptType=1","ShowCodes=N","ShowDates=N","ShowParams=Y","cols=1;rows=1")</f>
        <v>5</v>
      </c>
      <c r="O133" s="53">
        <v>9777017</v>
      </c>
      <c r="P133" s="24">
        <f t="shared" ref="P133" si="59">O133*G133/(D133*N133*0.15)</f>
        <v>1.8271382919080545</v>
      </c>
    </row>
    <row r="134" spans="1:16" ht="14.25">
      <c r="B134" s="1" t="s">
        <v>134</v>
      </c>
      <c r="C134" s="1">
        <v>-10</v>
      </c>
      <c r="D134" s="1">
        <v>14845</v>
      </c>
      <c r="E134" s="2">
        <v>43129</v>
      </c>
      <c r="F134" s="40">
        <v>0.92361111111111116</v>
      </c>
      <c r="G134" s="31">
        <f>2.3%*0.5</f>
        <v>1.15E-2</v>
      </c>
      <c r="K134" s="30" t="str">
        <f t="shared" si="15"/>
        <v/>
      </c>
      <c r="N134" s="11">
        <f>[1]!WSD($B134,"contractmultiplier",$A$2,$A$2,"TradingCalendar=SSE","rptType=1","ShowCodes=N","ShowDates=N","ShowParams=Y","cols=1;rows=1")</f>
        <v>5</v>
      </c>
      <c r="O134" s="53">
        <v>9777018</v>
      </c>
      <c r="P134" s="24">
        <f t="shared" ref="P134" si="60">O134*G134/(D134*N134*0.15)</f>
        <v>10.098637655776356</v>
      </c>
    </row>
    <row r="135" spans="1:16" ht="14.25">
      <c r="B135" s="3" t="s">
        <v>148</v>
      </c>
      <c r="C135" s="3">
        <v>-2</v>
      </c>
      <c r="D135" s="3">
        <v>2823</v>
      </c>
      <c r="E135" s="33">
        <v>43129</v>
      </c>
      <c r="F135" s="45">
        <v>0.92361111111111116</v>
      </c>
      <c r="G135" s="32">
        <f>0.2%*1/3</f>
        <v>6.6666666666666664E-4</v>
      </c>
      <c r="H135" s="3"/>
      <c r="I135" s="3"/>
      <c r="J135" s="3"/>
      <c r="K135" s="28" t="str">
        <f t="shared" si="15"/>
        <v/>
      </c>
      <c r="L135" s="3"/>
      <c r="M135" s="4"/>
      <c r="N135" s="11">
        <f>[1]!WSD($B135,"contractmultiplier",$A$2,$A$2,"TradingCalendar=SSE","rptType=1","ShowCodes=N","ShowDates=N","ShowParams=Y","cols=1;rows=1")</f>
        <v>10</v>
      </c>
      <c r="O135" s="53">
        <v>9777019</v>
      </c>
      <c r="P135" s="24">
        <f t="shared" ref="P135" si="61">O135*G135/(D135*N135*0.15)</f>
        <v>1.5392638249301374</v>
      </c>
    </row>
    <row r="136" spans="1:16" ht="14.25">
      <c r="B136" s="1" t="s">
        <v>149</v>
      </c>
      <c r="C136" s="1">
        <v>13</v>
      </c>
      <c r="D136" s="1">
        <v>1292</v>
      </c>
      <c r="E136" s="2">
        <v>43130</v>
      </c>
      <c r="F136" s="40">
        <v>0.38194444444444442</v>
      </c>
      <c r="G136" s="31">
        <f>3.1%*1/2</f>
        <v>1.55E-2</v>
      </c>
      <c r="H136" s="1">
        <v>1292</v>
      </c>
      <c r="I136" s="2">
        <v>43130</v>
      </c>
      <c r="J136" s="40">
        <v>0.62083333333333335</v>
      </c>
      <c r="K136" s="30">
        <f t="shared" si="15"/>
        <v>0</v>
      </c>
      <c r="N136" s="11">
        <f>[1]!WSD($B136,"contractmultiplier",$A$2,$A$2,"TradingCalendar=SSE","rptType=1","ShowCodes=N","ShowDates=N","ShowParams=Y","cols=1;rows=1")</f>
        <v>60</v>
      </c>
      <c r="O136" s="53">
        <v>9777020</v>
      </c>
      <c r="P136" s="24">
        <f t="shared" ref="P136" si="62">O136*G136/(D136*N136*0.15)</f>
        <v>13.03266339869281</v>
      </c>
    </row>
    <row r="137" spans="1:16" ht="14.25">
      <c r="B137" s="1" t="s">
        <v>150</v>
      </c>
      <c r="C137" s="1">
        <v>-2</v>
      </c>
      <c r="D137" s="1">
        <v>53420</v>
      </c>
      <c r="E137" s="2">
        <v>43130</v>
      </c>
      <c r="F137" s="40">
        <v>0.38194444444444442</v>
      </c>
      <c r="G137" s="31">
        <f>1.5%*1/2</f>
        <v>7.4999999999999997E-3</v>
      </c>
      <c r="H137" s="1">
        <v>53490</v>
      </c>
      <c r="I137" s="2">
        <v>43130</v>
      </c>
      <c r="J137" s="40">
        <v>0.40277777777777773</v>
      </c>
      <c r="K137" s="30">
        <f t="shared" si="15"/>
        <v>-700</v>
      </c>
      <c r="N137" s="11">
        <f>[1]!WSD($B137,"contractmultiplier",$A$2,$A$2,"TradingCalendar=SSE","rptType=1","ShowCodes=N","ShowDates=N","ShowParams=Y","cols=1;rows=1")</f>
        <v>5</v>
      </c>
      <c r="O137" s="53">
        <v>9777021</v>
      </c>
      <c r="P137" s="24">
        <f t="shared" ref="P137" si="63">O137*G137/(D137*N137*0.15)</f>
        <v>1.830217334331711</v>
      </c>
    </row>
    <row r="138" spans="1:16" ht="14.25">
      <c r="B138" s="1" t="s">
        <v>150</v>
      </c>
      <c r="C138" s="1">
        <v>-2</v>
      </c>
      <c r="D138" s="1">
        <v>53490</v>
      </c>
      <c r="E138" s="2">
        <v>43130</v>
      </c>
      <c r="F138" s="40">
        <v>0.42152777777777778</v>
      </c>
      <c r="G138" s="31">
        <f>1.5%*1/2</f>
        <v>7.4999999999999997E-3</v>
      </c>
      <c r="I138" s="2"/>
      <c r="J138" s="40"/>
      <c r="K138" s="30"/>
      <c r="N138" s="11">
        <f>[1]!WSD($B138,"contractmultiplier",$A$2,$A$2,"TradingCalendar=SSE","rptType=1","ShowCodes=N","ShowDates=N","ShowParams=Y","cols=1;rows=1")</f>
        <v>5</v>
      </c>
      <c r="O138" s="53">
        <v>9777021</v>
      </c>
      <c r="P138" s="24">
        <f t="shared" ref="P138" si="64">O138*G138/(D138*N138*0.15)</f>
        <v>1.8278222097588335</v>
      </c>
    </row>
    <row r="139" spans="1:16" ht="14.25">
      <c r="B139" s="1" t="s">
        <v>151</v>
      </c>
      <c r="C139" s="1">
        <v>-6</v>
      </c>
      <c r="D139" s="1">
        <v>5186</v>
      </c>
      <c r="E139" s="2">
        <v>43130</v>
      </c>
      <c r="F139" s="40">
        <v>0.46875</v>
      </c>
      <c r="G139" s="31">
        <f>1.4%*1/3</f>
        <v>4.6666666666666662E-3</v>
      </c>
      <c r="K139" s="30" t="str">
        <f t="shared" si="15"/>
        <v/>
      </c>
      <c r="N139" s="11">
        <f>[1]!WSD($B139,"contractmultiplier",$A$2,$A$2,"TradingCalendar=SSE","rptType=1","ShowCodes=N","ShowDates=N","ShowParams=Y","cols=1;rows=1")</f>
        <v>10</v>
      </c>
      <c r="O139" s="53">
        <v>9777022</v>
      </c>
      <c r="P139" s="24">
        <f t="shared" ref="P139" si="65">O139*G139/(D139*N139*0.15)</f>
        <v>5.8652915113339326</v>
      </c>
    </row>
    <row r="140" spans="1:16" ht="14.25">
      <c r="B140" s="1" t="s">
        <v>152</v>
      </c>
      <c r="C140" s="1">
        <v>-10</v>
      </c>
      <c r="D140" s="1">
        <v>2088</v>
      </c>
      <c r="E140" s="2">
        <v>43130</v>
      </c>
      <c r="F140" s="40">
        <v>0.58750000000000002</v>
      </c>
      <c r="G140" s="31">
        <f>1%*1/3</f>
        <v>3.3333333333333335E-3</v>
      </c>
      <c r="K140" s="30" t="str">
        <f t="shared" si="15"/>
        <v/>
      </c>
      <c r="N140" s="11">
        <f>[1]!WSD($B140,"contractmultiplier",$A$2,$A$2,"TradingCalendar=SSE","rptType=1","ShowCodes=N","ShowDates=N","ShowParams=Y","cols=1;rows=1")</f>
        <v>10</v>
      </c>
      <c r="O140" s="53">
        <v>9777023</v>
      </c>
      <c r="P140" s="24">
        <f t="shared" ref="P140:P141" si="66">O140*G140/(D140*N140*0.15)</f>
        <v>10.405516177096636</v>
      </c>
    </row>
    <row r="141" spans="1:16" ht="14.25">
      <c r="A141" s="3"/>
      <c r="B141" s="3" t="s">
        <v>153</v>
      </c>
      <c r="C141" s="3">
        <v>-1</v>
      </c>
      <c r="D141" s="3">
        <v>91.8</v>
      </c>
      <c r="E141" s="33">
        <v>43130</v>
      </c>
      <c r="F141" s="45">
        <v>0.58750000000000002</v>
      </c>
      <c r="G141" s="32">
        <v>1.7999999999999999E-2</v>
      </c>
      <c r="H141" s="3"/>
      <c r="I141" s="3"/>
      <c r="J141" s="3"/>
      <c r="K141" s="28" t="str">
        <f t="shared" si="15"/>
        <v/>
      </c>
      <c r="L141" s="3"/>
      <c r="M141" s="4"/>
      <c r="N141" s="11">
        <f>[1]!WSD($B141,"contractmultiplier",$A$2,$A$2,"TradingCalendar=SSE","rptType=1","ShowCodes=N","ShowDates=N","ShowParams=Y","cols=1;rows=1")</f>
        <v>10000</v>
      </c>
      <c r="O141" s="53">
        <v>9777024</v>
      </c>
      <c r="P141" s="24">
        <f t="shared" si="66"/>
        <v>1.2780423529411764</v>
      </c>
    </row>
    <row r="142" spans="1:16">
      <c r="A142" s="2">
        <v>43131</v>
      </c>
      <c r="K142" s="30" t="str">
        <f t="shared" si="15"/>
        <v/>
      </c>
    </row>
    <row r="143" spans="1:16">
      <c r="K143" s="30" t="str">
        <f t="shared" si="15"/>
        <v/>
      </c>
    </row>
    <row r="144" spans="1:16">
      <c r="K144" s="30" t="str">
        <f t="shared" si="15"/>
        <v/>
      </c>
    </row>
    <row r="145" spans="11:11">
      <c r="K145" s="30" t="str">
        <f t="shared" si="15"/>
        <v/>
      </c>
    </row>
    <row r="146" spans="11:11">
      <c r="K146" s="30" t="str">
        <f t="shared" si="15"/>
        <v/>
      </c>
    </row>
    <row r="147" spans="11:11">
      <c r="K147" s="30" t="str">
        <f t="shared" si="15"/>
        <v/>
      </c>
    </row>
    <row r="148" spans="11:11">
      <c r="K148" s="30" t="str">
        <f t="shared" si="15"/>
        <v/>
      </c>
    </row>
    <row r="149" spans="11:11">
      <c r="K149" s="30" t="str">
        <f t="shared" ref="K149:K212" si="67">IF(H149="","",C149*(H149-D149)*N149)</f>
        <v/>
      </c>
    </row>
    <row r="150" spans="11:11">
      <c r="K150" s="30" t="str">
        <f t="shared" si="67"/>
        <v/>
      </c>
    </row>
    <row r="151" spans="11:11">
      <c r="K151" s="30" t="str">
        <f t="shared" si="67"/>
        <v/>
      </c>
    </row>
    <row r="152" spans="11:11">
      <c r="K152" s="30" t="str">
        <f t="shared" si="67"/>
        <v/>
      </c>
    </row>
    <row r="153" spans="11:11">
      <c r="K153" s="30" t="str">
        <f t="shared" si="67"/>
        <v/>
      </c>
    </row>
    <row r="154" spans="11:11">
      <c r="K154" s="30" t="str">
        <f t="shared" si="67"/>
        <v/>
      </c>
    </row>
    <row r="155" spans="11:11">
      <c r="K155" s="30" t="str">
        <f t="shared" si="67"/>
        <v/>
      </c>
    </row>
    <row r="156" spans="11:11">
      <c r="K156" s="30" t="str">
        <f t="shared" si="67"/>
        <v/>
      </c>
    </row>
    <row r="157" spans="11:11">
      <c r="K157" s="30" t="str">
        <f t="shared" si="67"/>
        <v/>
      </c>
    </row>
    <row r="158" spans="11:11">
      <c r="K158" s="30" t="str">
        <f t="shared" si="67"/>
        <v/>
      </c>
    </row>
    <row r="159" spans="11:11">
      <c r="K159" s="30" t="str">
        <f t="shared" si="67"/>
        <v/>
      </c>
    </row>
    <row r="160" spans="11:11">
      <c r="K160" s="30" t="str">
        <f t="shared" si="67"/>
        <v/>
      </c>
    </row>
    <row r="161" spans="11:11">
      <c r="K161" s="30" t="str">
        <f t="shared" si="67"/>
        <v/>
      </c>
    </row>
    <row r="162" spans="11:11">
      <c r="K162" s="30" t="str">
        <f t="shared" si="67"/>
        <v/>
      </c>
    </row>
    <row r="163" spans="11:11">
      <c r="K163" s="30" t="str">
        <f t="shared" si="67"/>
        <v/>
      </c>
    </row>
    <row r="164" spans="11:11">
      <c r="K164" s="30" t="str">
        <f t="shared" si="67"/>
        <v/>
      </c>
    </row>
    <row r="165" spans="11:11">
      <c r="K165" s="30" t="str">
        <f t="shared" si="67"/>
        <v/>
      </c>
    </row>
    <row r="166" spans="11:11">
      <c r="K166" s="30" t="str">
        <f t="shared" si="67"/>
        <v/>
      </c>
    </row>
    <row r="167" spans="11:11">
      <c r="K167" s="30" t="str">
        <f t="shared" si="67"/>
        <v/>
      </c>
    </row>
    <row r="168" spans="11:11">
      <c r="K168" s="30" t="str">
        <f t="shared" si="67"/>
        <v/>
      </c>
    </row>
    <row r="169" spans="11:11">
      <c r="K169" s="30" t="str">
        <f t="shared" si="67"/>
        <v/>
      </c>
    </row>
    <row r="170" spans="11:11">
      <c r="K170" s="30" t="str">
        <f t="shared" si="67"/>
        <v/>
      </c>
    </row>
    <row r="171" spans="11:11">
      <c r="K171" s="30" t="str">
        <f t="shared" si="67"/>
        <v/>
      </c>
    </row>
    <row r="172" spans="11:11">
      <c r="K172" s="30" t="str">
        <f t="shared" si="67"/>
        <v/>
      </c>
    </row>
    <row r="173" spans="11:11">
      <c r="K173" s="30" t="str">
        <f t="shared" si="67"/>
        <v/>
      </c>
    </row>
    <row r="174" spans="11:11">
      <c r="K174" s="30" t="str">
        <f t="shared" si="67"/>
        <v/>
      </c>
    </row>
    <row r="175" spans="11:11">
      <c r="K175" s="30" t="str">
        <f t="shared" si="67"/>
        <v/>
      </c>
    </row>
    <row r="176" spans="11:11">
      <c r="K176" s="30" t="str">
        <f t="shared" si="67"/>
        <v/>
      </c>
    </row>
    <row r="177" spans="11:11">
      <c r="K177" s="30" t="str">
        <f t="shared" si="67"/>
        <v/>
      </c>
    </row>
    <row r="178" spans="11:11">
      <c r="K178" s="30" t="str">
        <f t="shared" si="67"/>
        <v/>
      </c>
    </row>
    <row r="179" spans="11:11">
      <c r="K179" s="30" t="str">
        <f t="shared" si="67"/>
        <v/>
      </c>
    </row>
    <row r="180" spans="11:11">
      <c r="K180" s="30" t="str">
        <f t="shared" si="67"/>
        <v/>
      </c>
    </row>
    <row r="181" spans="11:11">
      <c r="K181" s="30" t="str">
        <f t="shared" si="67"/>
        <v/>
      </c>
    </row>
    <row r="182" spans="11:11">
      <c r="K182" s="30" t="str">
        <f t="shared" si="67"/>
        <v/>
      </c>
    </row>
    <row r="183" spans="11:11">
      <c r="K183" s="30" t="str">
        <f t="shared" si="67"/>
        <v/>
      </c>
    </row>
    <row r="184" spans="11:11">
      <c r="K184" s="30" t="str">
        <f t="shared" si="67"/>
        <v/>
      </c>
    </row>
    <row r="185" spans="11:11">
      <c r="K185" s="30" t="str">
        <f t="shared" si="67"/>
        <v/>
      </c>
    </row>
    <row r="186" spans="11:11">
      <c r="K186" s="30" t="str">
        <f t="shared" si="67"/>
        <v/>
      </c>
    </row>
    <row r="187" spans="11:11">
      <c r="K187" s="30" t="str">
        <f t="shared" si="67"/>
        <v/>
      </c>
    </row>
    <row r="188" spans="11:11">
      <c r="K188" s="30" t="str">
        <f t="shared" si="67"/>
        <v/>
      </c>
    </row>
    <row r="189" spans="11:11">
      <c r="K189" s="30" t="str">
        <f t="shared" si="67"/>
        <v/>
      </c>
    </row>
    <row r="190" spans="11:11">
      <c r="K190" s="30" t="str">
        <f t="shared" si="67"/>
        <v/>
      </c>
    </row>
    <row r="191" spans="11:11">
      <c r="K191" s="30" t="str">
        <f t="shared" si="67"/>
        <v/>
      </c>
    </row>
    <row r="192" spans="11:11">
      <c r="K192" s="30" t="str">
        <f t="shared" si="67"/>
        <v/>
      </c>
    </row>
    <row r="193" spans="11:11">
      <c r="K193" s="30" t="str">
        <f t="shared" si="67"/>
        <v/>
      </c>
    </row>
    <row r="194" spans="11:11">
      <c r="K194" s="30" t="str">
        <f t="shared" si="67"/>
        <v/>
      </c>
    </row>
    <row r="195" spans="11:11">
      <c r="K195" s="30" t="str">
        <f t="shared" si="67"/>
        <v/>
      </c>
    </row>
    <row r="196" spans="11:11">
      <c r="K196" s="30" t="str">
        <f t="shared" si="67"/>
        <v/>
      </c>
    </row>
    <row r="197" spans="11:11">
      <c r="K197" s="30" t="str">
        <f t="shared" si="67"/>
        <v/>
      </c>
    </row>
    <row r="198" spans="11:11">
      <c r="K198" s="30" t="str">
        <f t="shared" si="67"/>
        <v/>
      </c>
    </row>
    <row r="199" spans="11:11">
      <c r="K199" s="30" t="str">
        <f t="shared" si="67"/>
        <v/>
      </c>
    </row>
    <row r="200" spans="11:11">
      <c r="K200" s="30" t="str">
        <f t="shared" si="67"/>
        <v/>
      </c>
    </row>
    <row r="201" spans="11:11">
      <c r="K201" s="30" t="str">
        <f t="shared" si="67"/>
        <v/>
      </c>
    </row>
    <row r="202" spans="11:11">
      <c r="K202" s="30" t="str">
        <f t="shared" si="67"/>
        <v/>
      </c>
    </row>
    <row r="203" spans="11:11">
      <c r="K203" s="30" t="str">
        <f t="shared" si="67"/>
        <v/>
      </c>
    </row>
    <row r="204" spans="11:11">
      <c r="K204" s="30" t="str">
        <f t="shared" si="67"/>
        <v/>
      </c>
    </row>
    <row r="205" spans="11:11">
      <c r="K205" s="30" t="str">
        <f t="shared" si="67"/>
        <v/>
      </c>
    </row>
    <row r="206" spans="11:11">
      <c r="K206" s="30" t="str">
        <f t="shared" si="67"/>
        <v/>
      </c>
    </row>
    <row r="207" spans="11:11">
      <c r="K207" s="30" t="str">
        <f t="shared" si="67"/>
        <v/>
      </c>
    </row>
    <row r="208" spans="11:11">
      <c r="K208" s="30" t="str">
        <f t="shared" si="67"/>
        <v/>
      </c>
    </row>
    <row r="209" spans="11:11">
      <c r="K209" s="30" t="str">
        <f t="shared" si="67"/>
        <v/>
      </c>
    </row>
    <row r="210" spans="11:11">
      <c r="K210" s="30" t="str">
        <f t="shared" si="67"/>
        <v/>
      </c>
    </row>
    <row r="211" spans="11:11">
      <c r="K211" s="30" t="str">
        <f t="shared" si="67"/>
        <v/>
      </c>
    </row>
    <row r="212" spans="11:11">
      <c r="K212" s="30" t="str">
        <f t="shared" si="67"/>
        <v/>
      </c>
    </row>
    <row r="213" spans="11:11">
      <c r="K213" s="30" t="str">
        <f t="shared" ref="K213:K276" si="68">IF(H213="","",C213*(H213-D213)*N213)</f>
        <v/>
      </c>
    </row>
    <row r="214" spans="11:11">
      <c r="K214" s="30" t="str">
        <f t="shared" si="68"/>
        <v/>
      </c>
    </row>
    <row r="215" spans="11:11">
      <c r="K215" s="30" t="str">
        <f t="shared" si="68"/>
        <v/>
      </c>
    </row>
    <row r="216" spans="11:11">
      <c r="K216" s="30" t="str">
        <f t="shared" si="68"/>
        <v/>
      </c>
    </row>
    <row r="217" spans="11:11">
      <c r="K217" s="30" t="str">
        <f t="shared" si="68"/>
        <v/>
      </c>
    </row>
    <row r="218" spans="11:11">
      <c r="K218" s="30" t="str">
        <f t="shared" si="68"/>
        <v/>
      </c>
    </row>
    <row r="219" spans="11:11">
      <c r="K219" s="30" t="str">
        <f t="shared" si="68"/>
        <v/>
      </c>
    </row>
    <row r="220" spans="11:11">
      <c r="K220" s="30" t="str">
        <f t="shared" si="68"/>
        <v/>
      </c>
    </row>
    <row r="221" spans="11:11">
      <c r="K221" s="30" t="str">
        <f t="shared" si="68"/>
        <v/>
      </c>
    </row>
    <row r="222" spans="11:11">
      <c r="K222" s="30" t="str">
        <f t="shared" si="68"/>
        <v/>
      </c>
    </row>
    <row r="223" spans="11:11">
      <c r="K223" s="30" t="str">
        <f t="shared" si="68"/>
        <v/>
      </c>
    </row>
    <row r="224" spans="11:11">
      <c r="K224" s="30" t="str">
        <f t="shared" si="68"/>
        <v/>
      </c>
    </row>
    <row r="225" spans="11:11">
      <c r="K225" s="30" t="str">
        <f t="shared" si="68"/>
        <v/>
      </c>
    </row>
    <row r="226" spans="11:11">
      <c r="K226" s="30" t="str">
        <f t="shared" si="68"/>
        <v/>
      </c>
    </row>
    <row r="227" spans="11:11">
      <c r="K227" s="30" t="str">
        <f t="shared" si="68"/>
        <v/>
      </c>
    </row>
    <row r="228" spans="11:11">
      <c r="K228" s="30" t="str">
        <f t="shared" si="68"/>
        <v/>
      </c>
    </row>
    <row r="229" spans="11:11">
      <c r="K229" s="30" t="str">
        <f t="shared" si="68"/>
        <v/>
      </c>
    </row>
    <row r="230" spans="11:11">
      <c r="K230" s="30" t="str">
        <f t="shared" si="68"/>
        <v/>
      </c>
    </row>
    <row r="231" spans="11:11">
      <c r="K231" s="30" t="str">
        <f t="shared" si="68"/>
        <v/>
      </c>
    </row>
    <row r="232" spans="11:11">
      <c r="K232" s="30" t="str">
        <f t="shared" si="68"/>
        <v/>
      </c>
    </row>
    <row r="233" spans="11:11">
      <c r="K233" s="30" t="str">
        <f t="shared" si="68"/>
        <v/>
      </c>
    </row>
    <row r="234" spans="11:11">
      <c r="K234" s="30" t="str">
        <f t="shared" si="68"/>
        <v/>
      </c>
    </row>
    <row r="235" spans="11:11">
      <c r="K235" s="30" t="str">
        <f t="shared" si="68"/>
        <v/>
      </c>
    </row>
    <row r="236" spans="11:11">
      <c r="K236" s="30" t="str">
        <f t="shared" si="68"/>
        <v/>
      </c>
    </row>
    <row r="237" spans="11:11">
      <c r="K237" s="30" t="str">
        <f t="shared" si="68"/>
        <v/>
      </c>
    </row>
    <row r="238" spans="11:11">
      <c r="K238" s="30" t="str">
        <f t="shared" si="68"/>
        <v/>
      </c>
    </row>
    <row r="239" spans="11:11">
      <c r="K239" s="30" t="str">
        <f t="shared" si="68"/>
        <v/>
      </c>
    </row>
    <row r="240" spans="11:11">
      <c r="K240" s="30" t="str">
        <f t="shared" si="68"/>
        <v/>
      </c>
    </row>
    <row r="241" spans="11:11">
      <c r="K241" s="30" t="str">
        <f t="shared" si="68"/>
        <v/>
      </c>
    </row>
    <row r="242" spans="11:11">
      <c r="K242" s="30" t="str">
        <f t="shared" si="68"/>
        <v/>
      </c>
    </row>
    <row r="243" spans="11:11">
      <c r="K243" s="30" t="str">
        <f t="shared" si="68"/>
        <v/>
      </c>
    </row>
    <row r="244" spans="11:11">
      <c r="K244" s="30" t="str">
        <f t="shared" si="68"/>
        <v/>
      </c>
    </row>
    <row r="245" spans="11:11">
      <c r="K245" s="30" t="str">
        <f t="shared" si="68"/>
        <v/>
      </c>
    </row>
    <row r="246" spans="11:11">
      <c r="K246" s="30" t="str">
        <f t="shared" si="68"/>
        <v/>
      </c>
    </row>
    <row r="247" spans="11:11">
      <c r="K247" s="30" t="str">
        <f t="shared" si="68"/>
        <v/>
      </c>
    </row>
    <row r="248" spans="11:11">
      <c r="K248" s="30" t="str">
        <f t="shared" si="68"/>
        <v/>
      </c>
    </row>
    <row r="249" spans="11:11">
      <c r="K249" s="30" t="str">
        <f t="shared" si="68"/>
        <v/>
      </c>
    </row>
    <row r="250" spans="11:11">
      <c r="K250" s="30" t="str">
        <f t="shared" si="68"/>
        <v/>
      </c>
    </row>
    <row r="251" spans="11:11">
      <c r="K251" s="30" t="str">
        <f t="shared" si="68"/>
        <v/>
      </c>
    </row>
    <row r="252" spans="11:11">
      <c r="K252" s="30" t="str">
        <f t="shared" si="68"/>
        <v/>
      </c>
    </row>
    <row r="253" spans="11:11">
      <c r="K253" s="30" t="str">
        <f t="shared" si="68"/>
        <v/>
      </c>
    </row>
    <row r="254" spans="11:11">
      <c r="K254" s="30" t="str">
        <f t="shared" si="68"/>
        <v/>
      </c>
    </row>
    <row r="255" spans="11:11">
      <c r="K255" s="30" t="str">
        <f t="shared" si="68"/>
        <v/>
      </c>
    </row>
    <row r="256" spans="11:11">
      <c r="K256" s="30" t="str">
        <f t="shared" si="68"/>
        <v/>
      </c>
    </row>
    <row r="257" spans="11:11">
      <c r="K257" s="30" t="str">
        <f t="shared" si="68"/>
        <v/>
      </c>
    </row>
    <row r="258" spans="11:11">
      <c r="K258" s="30" t="str">
        <f t="shared" si="68"/>
        <v/>
      </c>
    </row>
    <row r="259" spans="11:11">
      <c r="K259" s="30" t="str">
        <f t="shared" si="68"/>
        <v/>
      </c>
    </row>
    <row r="260" spans="11:11">
      <c r="K260" s="30" t="str">
        <f t="shared" si="68"/>
        <v/>
      </c>
    </row>
    <row r="261" spans="11:11">
      <c r="K261" s="30" t="str">
        <f t="shared" si="68"/>
        <v/>
      </c>
    </row>
    <row r="262" spans="11:11">
      <c r="K262" s="30" t="str">
        <f t="shared" si="68"/>
        <v/>
      </c>
    </row>
    <row r="263" spans="11:11">
      <c r="K263" s="30" t="str">
        <f t="shared" si="68"/>
        <v/>
      </c>
    </row>
    <row r="264" spans="11:11">
      <c r="K264" s="30" t="str">
        <f t="shared" si="68"/>
        <v/>
      </c>
    </row>
    <row r="265" spans="11:11">
      <c r="K265" s="30" t="str">
        <f t="shared" si="68"/>
        <v/>
      </c>
    </row>
    <row r="266" spans="11:11">
      <c r="K266" s="30" t="str">
        <f t="shared" si="68"/>
        <v/>
      </c>
    </row>
    <row r="267" spans="11:11">
      <c r="K267" s="30" t="str">
        <f t="shared" si="68"/>
        <v/>
      </c>
    </row>
    <row r="268" spans="11:11">
      <c r="K268" s="30" t="str">
        <f t="shared" si="68"/>
        <v/>
      </c>
    </row>
    <row r="269" spans="11:11">
      <c r="K269" s="30" t="str">
        <f t="shared" si="68"/>
        <v/>
      </c>
    </row>
    <row r="270" spans="11:11">
      <c r="K270" s="30" t="str">
        <f t="shared" si="68"/>
        <v/>
      </c>
    </row>
    <row r="271" spans="11:11">
      <c r="K271" s="30" t="str">
        <f t="shared" si="68"/>
        <v/>
      </c>
    </row>
    <row r="272" spans="11:11">
      <c r="K272" s="30" t="str">
        <f t="shared" si="68"/>
        <v/>
      </c>
    </row>
    <row r="273" spans="11:11">
      <c r="K273" s="30" t="str">
        <f t="shared" si="68"/>
        <v/>
      </c>
    </row>
    <row r="274" spans="11:11">
      <c r="K274" s="30" t="str">
        <f t="shared" si="68"/>
        <v/>
      </c>
    </row>
    <row r="275" spans="11:11">
      <c r="K275" s="30" t="str">
        <f t="shared" si="68"/>
        <v/>
      </c>
    </row>
    <row r="276" spans="11:11">
      <c r="K276" s="30" t="str">
        <f t="shared" si="68"/>
        <v/>
      </c>
    </row>
    <row r="277" spans="11:11">
      <c r="K277" s="30" t="str">
        <f t="shared" ref="K277:K340" si="69">IF(H277="","",C277*(H277-D277)*N277)</f>
        <v/>
      </c>
    </row>
    <row r="278" spans="11:11">
      <c r="K278" s="30" t="str">
        <f t="shared" si="69"/>
        <v/>
      </c>
    </row>
    <row r="279" spans="11:11">
      <c r="K279" s="30" t="str">
        <f t="shared" si="69"/>
        <v/>
      </c>
    </row>
    <row r="280" spans="11:11">
      <c r="K280" s="30" t="str">
        <f t="shared" si="69"/>
        <v/>
      </c>
    </row>
    <row r="281" spans="11:11">
      <c r="K281" s="30" t="str">
        <f t="shared" si="69"/>
        <v/>
      </c>
    </row>
    <row r="282" spans="11:11">
      <c r="K282" s="30" t="str">
        <f t="shared" si="69"/>
        <v/>
      </c>
    </row>
    <row r="283" spans="11:11">
      <c r="K283" s="30" t="str">
        <f t="shared" si="69"/>
        <v/>
      </c>
    </row>
    <row r="284" spans="11:11">
      <c r="K284" s="30" t="str">
        <f t="shared" si="69"/>
        <v/>
      </c>
    </row>
    <row r="285" spans="11:11">
      <c r="K285" s="30" t="str">
        <f t="shared" si="69"/>
        <v/>
      </c>
    </row>
    <row r="286" spans="11:11">
      <c r="K286" s="30" t="str">
        <f t="shared" si="69"/>
        <v/>
      </c>
    </row>
    <row r="287" spans="11:11">
      <c r="K287" s="30" t="str">
        <f t="shared" si="69"/>
        <v/>
      </c>
    </row>
    <row r="288" spans="11:11">
      <c r="K288" s="30" t="str">
        <f t="shared" si="69"/>
        <v/>
      </c>
    </row>
    <row r="289" spans="11:11">
      <c r="K289" s="30" t="str">
        <f t="shared" si="69"/>
        <v/>
      </c>
    </row>
    <row r="290" spans="11:11">
      <c r="K290" s="30" t="str">
        <f t="shared" si="69"/>
        <v/>
      </c>
    </row>
    <row r="291" spans="11:11">
      <c r="K291" s="30" t="str">
        <f t="shared" si="69"/>
        <v/>
      </c>
    </row>
    <row r="292" spans="11:11">
      <c r="K292" s="30" t="str">
        <f t="shared" si="69"/>
        <v/>
      </c>
    </row>
    <row r="293" spans="11:11">
      <c r="K293" s="30" t="str">
        <f t="shared" si="69"/>
        <v/>
      </c>
    </row>
    <row r="294" spans="11:11">
      <c r="K294" s="30" t="str">
        <f t="shared" si="69"/>
        <v/>
      </c>
    </row>
    <row r="295" spans="11:11">
      <c r="K295" s="30" t="str">
        <f t="shared" si="69"/>
        <v/>
      </c>
    </row>
    <row r="296" spans="11:11">
      <c r="K296" s="30" t="str">
        <f t="shared" si="69"/>
        <v/>
      </c>
    </row>
    <row r="297" spans="11:11">
      <c r="K297" s="30" t="str">
        <f t="shared" si="69"/>
        <v/>
      </c>
    </row>
    <row r="298" spans="11:11">
      <c r="K298" s="30" t="str">
        <f t="shared" si="69"/>
        <v/>
      </c>
    </row>
    <row r="299" spans="11:11">
      <c r="K299" s="30" t="str">
        <f t="shared" si="69"/>
        <v/>
      </c>
    </row>
    <row r="300" spans="11:11">
      <c r="K300" s="30" t="str">
        <f t="shared" si="69"/>
        <v/>
      </c>
    </row>
    <row r="301" spans="11:11">
      <c r="K301" s="30" t="str">
        <f t="shared" si="69"/>
        <v/>
      </c>
    </row>
    <row r="302" spans="11:11">
      <c r="K302" s="30" t="str">
        <f t="shared" si="69"/>
        <v/>
      </c>
    </row>
    <row r="303" spans="11:11">
      <c r="K303" s="30" t="str">
        <f t="shared" si="69"/>
        <v/>
      </c>
    </row>
    <row r="304" spans="11:11">
      <c r="K304" s="30" t="str">
        <f t="shared" si="69"/>
        <v/>
      </c>
    </row>
    <row r="305" spans="11:11">
      <c r="K305" s="30" t="str">
        <f t="shared" si="69"/>
        <v/>
      </c>
    </row>
    <row r="306" spans="11:11">
      <c r="K306" s="30" t="str">
        <f t="shared" si="69"/>
        <v/>
      </c>
    </row>
    <row r="307" spans="11:11">
      <c r="K307" s="30" t="str">
        <f t="shared" si="69"/>
        <v/>
      </c>
    </row>
    <row r="308" spans="11:11">
      <c r="K308" s="30" t="str">
        <f t="shared" si="69"/>
        <v/>
      </c>
    </row>
    <row r="309" spans="11:11">
      <c r="K309" s="30" t="str">
        <f t="shared" si="69"/>
        <v/>
      </c>
    </row>
    <row r="310" spans="11:11">
      <c r="K310" s="30" t="str">
        <f t="shared" si="69"/>
        <v/>
      </c>
    </row>
    <row r="311" spans="11:11">
      <c r="K311" s="30" t="str">
        <f t="shared" si="69"/>
        <v/>
      </c>
    </row>
    <row r="312" spans="11:11">
      <c r="K312" s="30" t="str">
        <f t="shared" si="69"/>
        <v/>
      </c>
    </row>
    <row r="313" spans="11:11">
      <c r="K313" s="30" t="str">
        <f t="shared" si="69"/>
        <v/>
      </c>
    </row>
    <row r="314" spans="11:11">
      <c r="K314" s="30" t="str">
        <f t="shared" si="69"/>
        <v/>
      </c>
    </row>
    <row r="315" spans="11:11">
      <c r="K315" s="30" t="str">
        <f t="shared" si="69"/>
        <v/>
      </c>
    </row>
    <row r="316" spans="11:11">
      <c r="K316" s="30" t="str">
        <f t="shared" si="69"/>
        <v/>
      </c>
    </row>
    <row r="317" spans="11:11">
      <c r="K317" s="30" t="str">
        <f t="shared" si="69"/>
        <v/>
      </c>
    </row>
    <row r="318" spans="11:11">
      <c r="K318" s="30" t="str">
        <f t="shared" si="69"/>
        <v/>
      </c>
    </row>
    <row r="319" spans="11:11">
      <c r="K319" s="30" t="str">
        <f t="shared" si="69"/>
        <v/>
      </c>
    </row>
    <row r="320" spans="11:11">
      <c r="K320" s="30" t="str">
        <f t="shared" si="69"/>
        <v/>
      </c>
    </row>
    <row r="321" spans="11:11">
      <c r="K321" s="30" t="str">
        <f t="shared" si="69"/>
        <v/>
      </c>
    </row>
    <row r="322" spans="11:11">
      <c r="K322" s="30" t="str">
        <f t="shared" si="69"/>
        <v/>
      </c>
    </row>
    <row r="323" spans="11:11">
      <c r="K323" s="30" t="str">
        <f t="shared" si="69"/>
        <v/>
      </c>
    </row>
    <row r="324" spans="11:11">
      <c r="K324" s="30" t="str">
        <f t="shared" si="69"/>
        <v/>
      </c>
    </row>
    <row r="325" spans="11:11">
      <c r="K325" s="30" t="str">
        <f t="shared" si="69"/>
        <v/>
      </c>
    </row>
    <row r="326" spans="11:11">
      <c r="K326" s="30" t="str">
        <f t="shared" si="69"/>
        <v/>
      </c>
    </row>
    <row r="327" spans="11:11">
      <c r="K327" s="30" t="str">
        <f t="shared" si="69"/>
        <v/>
      </c>
    </row>
    <row r="328" spans="11:11">
      <c r="K328" s="30" t="str">
        <f t="shared" si="69"/>
        <v/>
      </c>
    </row>
    <row r="329" spans="11:11">
      <c r="K329" s="30" t="str">
        <f t="shared" si="69"/>
        <v/>
      </c>
    </row>
    <row r="330" spans="11:11">
      <c r="K330" s="30" t="str">
        <f t="shared" si="69"/>
        <v/>
      </c>
    </row>
    <row r="331" spans="11:11">
      <c r="K331" s="30" t="str">
        <f t="shared" si="69"/>
        <v/>
      </c>
    </row>
    <row r="332" spans="11:11">
      <c r="K332" s="30" t="str">
        <f t="shared" si="69"/>
        <v/>
      </c>
    </row>
    <row r="333" spans="11:11">
      <c r="K333" s="30" t="str">
        <f t="shared" si="69"/>
        <v/>
      </c>
    </row>
    <row r="334" spans="11:11">
      <c r="K334" s="30" t="str">
        <f t="shared" si="69"/>
        <v/>
      </c>
    </row>
    <row r="335" spans="11:11">
      <c r="K335" s="30" t="str">
        <f t="shared" si="69"/>
        <v/>
      </c>
    </row>
    <row r="336" spans="11:11">
      <c r="K336" s="30" t="str">
        <f t="shared" si="69"/>
        <v/>
      </c>
    </row>
    <row r="337" spans="11:11">
      <c r="K337" s="30" t="str">
        <f t="shared" si="69"/>
        <v/>
      </c>
    </row>
    <row r="338" spans="11:11">
      <c r="K338" s="30" t="str">
        <f t="shared" si="69"/>
        <v/>
      </c>
    </row>
    <row r="339" spans="11:11">
      <c r="K339" s="30" t="str">
        <f t="shared" si="69"/>
        <v/>
      </c>
    </row>
    <row r="340" spans="11:11">
      <c r="K340" s="30" t="str">
        <f t="shared" si="69"/>
        <v/>
      </c>
    </row>
    <row r="341" spans="11:11">
      <c r="K341" s="30" t="str">
        <f t="shared" ref="K341:K371" si="70">IF(H341="","",C341*(H341-D341)*N341)</f>
        <v/>
      </c>
    </row>
    <row r="342" spans="11:11">
      <c r="K342" s="30" t="str">
        <f t="shared" si="70"/>
        <v/>
      </c>
    </row>
    <row r="343" spans="11:11">
      <c r="K343" s="30" t="str">
        <f t="shared" si="70"/>
        <v/>
      </c>
    </row>
    <row r="344" spans="11:11">
      <c r="K344" s="30" t="str">
        <f t="shared" si="70"/>
        <v/>
      </c>
    </row>
    <row r="345" spans="11:11">
      <c r="K345" s="30" t="str">
        <f t="shared" si="70"/>
        <v/>
      </c>
    </row>
    <row r="346" spans="11:11">
      <c r="K346" s="30" t="str">
        <f t="shared" si="70"/>
        <v/>
      </c>
    </row>
    <row r="347" spans="11:11">
      <c r="K347" s="30" t="str">
        <f t="shared" si="70"/>
        <v/>
      </c>
    </row>
    <row r="348" spans="11:11">
      <c r="K348" s="30" t="str">
        <f t="shared" si="70"/>
        <v/>
      </c>
    </row>
    <row r="349" spans="11:11">
      <c r="K349" s="30" t="str">
        <f t="shared" si="70"/>
        <v/>
      </c>
    </row>
    <row r="350" spans="11:11">
      <c r="K350" s="30" t="str">
        <f t="shared" si="70"/>
        <v/>
      </c>
    </row>
    <row r="351" spans="11:11">
      <c r="K351" s="30" t="str">
        <f t="shared" si="70"/>
        <v/>
      </c>
    </row>
    <row r="352" spans="11:11">
      <c r="K352" s="30" t="str">
        <f t="shared" si="70"/>
        <v/>
      </c>
    </row>
    <row r="353" spans="11:11">
      <c r="K353" s="30" t="str">
        <f t="shared" si="70"/>
        <v/>
      </c>
    </row>
    <row r="354" spans="11:11">
      <c r="K354" s="30" t="str">
        <f t="shared" si="70"/>
        <v/>
      </c>
    </row>
    <row r="355" spans="11:11">
      <c r="K355" s="30" t="str">
        <f t="shared" si="70"/>
        <v/>
      </c>
    </row>
    <row r="356" spans="11:11">
      <c r="K356" s="30" t="str">
        <f t="shared" si="70"/>
        <v/>
      </c>
    </row>
    <row r="357" spans="11:11">
      <c r="K357" s="30" t="str">
        <f t="shared" si="70"/>
        <v/>
      </c>
    </row>
    <row r="358" spans="11:11">
      <c r="K358" s="30" t="str">
        <f t="shared" si="70"/>
        <v/>
      </c>
    </row>
    <row r="359" spans="11:11">
      <c r="K359" s="30" t="str">
        <f t="shared" si="70"/>
        <v/>
      </c>
    </row>
    <row r="360" spans="11:11">
      <c r="K360" s="30" t="str">
        <f t="shared" si="70"/>
        <v/>
      </c>
    </row>
    <row r="361" spans="11:11">
      <c r="K361" s="30" t="str">
        <f t="shared" si="70"/>
        <v/>
      </c>
    </row>
    <row r="362" spans="11:11">
      <c r="K362" s="30" t="str">
        <f t="shared" si="70"/>
        <v/>
      </c>
    </row>
    <row r="363" spans="11:11">
      <c r="K363" s="30" t="str">
        <f t="shared" si="70"/>
        <v/>
      </c>
    </row>
    <row r="364" spans="11:11">
      <c r="K364" s="30" t="str">
        <f t="shared" si="70"/>
        <v/>
      </c>
    </row>
    <row r="365" spans="11:11">
      <c r="K365" s="30" t="str">
        <f t="shared" si="70"/>
        <v/>
      </c>
    </row>
    <row r="366" spans="11:11">
      <c r="K366" s="30" t="str">
        <f t="shared" si="70"/>
        <v/>
      </c>
    </row>
    <row r="367" spans="11:11">
      <c r="K367" s="30" t="str">
        <f t="shared" si="70"/>
        <v/>
      </c>
    </row>
    <row r="368" spans="11:11">
      <c r="K368" s="30" t="str">
        <f t="shared" si="70"/>
        <v/>
      </c>
    </row>
    <row r="369" spans="11:11">
      <c r="K369" s="30" t="str">
        <f t="shared" si="70"/>
        <v/>
      </c>
    </row>
    <row r="370" spans="11:11">
      <c r="K370" s="30" t="str">
        <f t="shared" si="70"/>
        <v/>
      </c>
    </row>
    <row r="371" spans="11:11">
      <c r="K371" s="30" t="str">
        <f t="shared" si="70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1" topLeftCell="A2" activePane="bottomLeft" state="frozen"/>
      <selection pane="bottomLeft" activeCell="A9" sqref="A9:J9"/>
    </sheetView>
  </sheetViews>
  <sheetFormatPr defaultRowHeight="13.5"/>
  <cols>
    <col min="4" max="4" width="10.5" bestFit="1" customWidth="1"/>
    <col min="8" max="8" width="10.5" bestFit="1" customWidth="1"/>
  </cols>
  <sheetData>
    <row r="1" spans="1:11">
      <c r="A1" s="3" t="s">
        <v>1</v>
      </c>
      <c r="B1" s="3" t="s">
        <v>2</v>
      </c>
      <c r="C1" s="3" t="s">
        <v>3</v>
      </c>
      <c r="D1" s="3" t="s">
        <v>118</v>
      </c>
      <c r="E1" s="3" t="s">
        <v>50</v>
      </c>
      <c r="F1" s="32" t="s">
        <v>5</v>
      </c>
      <c r="G1" s="3" t="s">
        <v>6</v>
      </c>
      <c r="H1" s="3" t="s">
        <v>21</v>
      </c>
      <c r="I1" s="24" t="s">
        <v>51</v>
      </c>
      <c r="J1" s="24" t="s">
        <v>4</v>
      </c>
      <c r="K1" s="3"/>
    </row>
    <row r="2" spans="1:11">
      <c r="A2" s="1" t="s">
        <v>41</v>
      </c>
      <c r="B2" s="1">
        <v>-18</v>
      </c>
      <c r="C2" s="1">
        <v>3886</v>
      </c>
      <c r="D2" s="2">
        <v>43117</v>
      </c>
      <c r="E2" s="40">
        <v>0.4680555555555555</v>
      </c>
      <c r="F2" s="31">
        <v>1.6E-2</v>
      </c>
      <c r="G2" s="1">
        <v>3835</v>
      </c>
      <c r="H2" s="2">
        <v>43124</v>
      </c>
      <c r="I2" s="40">
        <v>0.62013888888888891</v>
      </c>
      <c r="J2" s="30">
        <v>13770</v>
      </c>
    </row>
    <row r="3" spans="1:11">
      <c r="A3" s="24" t="s">
        <v>33</v>
      </c>
      <c r="B3" s="24">
        <v>5</v>
      </c>
      <c r="C3" s="24">
        <v>2776</v>
      </c>
      <c r="D3" s="35">
        <v>43122</v>
      </c>
      <c r="E3" s="47">
        <v>0.39861111111111108</v>
      </c>
      <c r="F3" s="34">
        <v>2E-3</v>
      </c>
      <c r="G3" s="24">
        <v>2756</v>
      </c>
      <c r="H3" s="35">
        <v>43123</v>
      </c>
      <c r="I3" s="47">
        <v>0.5708333333333333</v>
      </c>
      <c r="J3" s="30">
        <v>-1000</v>
      </c>
    </row>
    <row r="4" spans="1:11">
      <c r="A4" s="1" t="s">
        <v>68</v>
      </c>
      <c r="B4" s="1">
        <v>-6</v>
      </c>
      <c r="C4" s="1">
        <v>2122</v>
      </c>
      <c r="D4" s="2">
        <v>43117</v>
      </c>
      <c r="E4" s="40">
        <v>0.4680555555555555</v>
      </c>
      <c r="F4" s="31">
        <v>2E-3</v>
      </c>
      <c r="G4" s="1">
        <v>2094</v>
      </c>
      <c r="H4" s="2">
        <v>43125</v>
      </c>
      <c r="I4" s="40">
        <v>0.37986111111111115</v>
      </c>
      <c r="J4" s="30">
        <v>1680</v>
      </c>
    </row>
    <row r="5" spans="1:11">
      <c r="A5" s="24" t="s">
        <v>40</v>
      </c>
      <c r="B5" s="24">
        <v>-5</v>
      </c>
      <c r="C5" s="24">
        <v>54880</v>
      </c>
      <c r="D5" s="35">
        <v>43116</v>
      </c>
      <c r="E5" s="47">
        <v>0.91805555555555562</v>
      </c>
      <c r="F5" s="34">
        <v>2.3E-2</v>
      </c>
      <c r="G5" s="24">
        <v>52700</v>
      </c>
      <c r="H5" s="35">
        <v>43124</v>
      </c>
      <c r="I5" s="47">
        <v>0.62013888888888891</v>
      </c>
      <c r="J5" s="30">
        <v>54500</v>
      </c>
    </row>
    <row r="6" spans="1:11">
      <c r="A6" s="1" t="s">
        <v>64</v>
      </c>
      <c r="B6" s="1">
        <v>38</v>
      </c>
      <c r="C6" s="1">
        <v>1494</v>
      </c>
      <c r="D6" s="2">
        <v>43118</v>
      </c>
      <c r="E6" s="40">
        <v>0.58750000000000002</v>
      </c>
      <c r="F6" s="31">
        <v>1.7999999999999999E-2</v>
      </c>
      <c r="G6" s="1">
        <v>1467</v>
      </c>
      <c r="H6" s="2">
        <v>43122</v>
      </c>
      <c r="I6" s="40">
        <v>0.92083333333333339</v>
      </c>
      <c r="J6" s="30">
        <v>-20520</v>
      </c>
    </row>
    <row r="7" spans="1:11">
      <c r="A7" s="1" t="s">
        <v>80</v>
      </c>
      <c r="B7" s="1">
        <v>-8</v>
      </c>
      <c r="C7" s="1">
        <v>3847</v>
      </c>
      <c r="D7" s="2">
        <v>43119</v>
      </c>
      <c r="E7" s="40">
        <v>0.375</v>
      </c>
      <c r="F7" s="59">
        <v>5.0000000000000001E-3</v>
      </c>
      <c r="G7" s="1">
        <v>3906</v>
      </c>
      <c r="H7" s="2">
        <v>43122</v>
      </c>
      <c r="I7" s="40">
        <v>0.37916666666666665</v>
      </c>
      <c r="J7" s="1">
        <v>-4720</v>
      </c>
    </row>
    <row r="8" spans="1:11">
      <c r="A8" s="1" t="s">
        <v>119</v>
      </c>
      <c r="B8" s="1">
        <v>16</v>
      </c>
      <c r="C8" s="1">
        <v>539</v>
      </c>
      <c r="D8" s="2">
        <v>43119</v>
      </c>
      <c r="E8" s="40">
        <v>0.59583333333333333</v>
      </c>
      <c r="F8" s="59">
        <v>1.4E-2</v>
      </c>
      <c r="G8" s="1">
        <v>540.5</v>
      </c>
      <c r="H8" s="2">
        <v>43122</v>
      </c>
      <c r="I8" s="40">
        <v>0.57013888888888886</v>
      </c>
      <c r="J8" s="1">
        <v>2400</v>
      </c>
    </row>
    <row r="9" spans="1:11">
      <c r="A9" s="1" t="s">
        <v>121</v>
      </c>
      <c r="B9" s="1">
        <v>1</v>
      </c>
      <c r="C9" s="1">
        <v>2929</v>
      </c>
      <c r="D9" s="1"/>
      <c r="E9" s="1"/>
      <c r="F9" s="31"/>
      <c r="G9" s="1">
        <v>3168.4</v>
      </c>
      <c r="H9" s="2">
        <v>43125</v>
      </c>
      <c r="I9" s="40">
        <v>0.4694444444444445</v>
      </c>
      <c r="J9" s="30">
        <v>71820.000000000029</v>
      </c>
    </row>
    <row r="10" spans="1:11">
      <c r="A10" s="24" t="s">
        <v>104</v>
      </c>
      <c r="B10" s="24">
        <v>30</v>
      </c>
      <c r="C10" s="24">
        <v>1294.5</v>
      </c>
      <c r="D10" s="35">
        <v>43124</v>
      </c>
      <c r="E10" s="47">
        <v>0.58819444444444446</v>
      </c>
      <c r="F10" s="34">
        <v>3.5000000000000003E-2</v>
      </c>
      <c r="G10" s="24">
        <v>1288</v>
      </c>
      <c r="H10" s="35">
        <v>43124</v>
      </c>
      <c r="I10" s="47">
        <v>0.62013888888888891</v>
      </c>
      <c r="J10" s="30">
        <v>-11700</v>
      </c>
    </row>
    <row r="11" spans="1:11">
      <c r="A11" s="24" t="s">
        <v>101</v>
      </c>
      <c r="B11" s="24">
        <v>-6</v>
      </c>
      <c r="C11" s="24">
        <v>2770</v>
      </c>
      <c r="D11" s="35">
        <v>43124</v>
      </c>
      <c r="E11" s="47">
        <v>0.3840277777777778</v>
      </c>
      <c r="F11" s="34">
        <f>0.7%*3/4</f>
        <v>5.2499999999999995E-3</v>
      </c>
      <c r="G11" s="24">
        <v>2781</v>
      </c>
      <c r="H11" s="35">
        <v>43125</v>
      </c>
      <c r="I11" s="47">
        <v>0.37986111111111115</v>
      </c>
      <c r="J11" s="30">
        <v>-660</v>
      </c>
    </row>
    <row r="12" spans="1:11">
      <c r="A12" s="24" t="s">
        <v>99</v>
      </c>
      <c r="B12" s="24">
        <v>53</v>
      </c>
      <c r="C12" s="24">
        <v>2787</v>
      </c>
      <c r="D12" s="35">
        <v>43124</v>
      </c>
      <c r="E12" s="47">
        <v>0.89930555555555547</v>
      </c>
      <c r="F12" s="34">
        <v>2.3E-2</v>
      </c>
      <c r="G12" s="24">
        <v>2770</v>
      </c>
      <c r="H12" s="35">
        <v>43124</v>
      </c>
      <c r="I12" s="47">
        <v>0.3840277777777778</v>
      </c>
      <c r="J12" s="30">
        <v>-9010</v>
      </c>
    </row>
    <row r="13" spans="1:11">
      <c r="A13" s="24" t="s">
        <v>105</v>
      </c>
      <c r="B13" s="24">
        <v>13</v>
      </c>
      <c r="C13" s="24">
        <v>2822.3</v>
      </c>
      <c r="D13" s="35">
        <v>43124</v>
      </c>
      <c r="E13" s="47">
        <v>0.62013888888888891</v>
      </c>
      <c r="F13" s="34">
        <v>6.0000000000000001E-3</v>
      </c>
      <c r="G13" s="24">
        <v>2847</v>
      </c>
      <c r="H13" s="35">
        <v>43125</v>
      </c>
      <c r="I13" s="47">
        <v>0.37986111111111115</v>
      </c>
      <c r="J13" s="30">
        <v>3210.9999999999764</v>
      </c>
    </row>
    <row r="14" spans="1:11">
      <c r="A14" s="1" t="s">
        <v>77</v>
      </c>
      <c r="B14" s="1">
        <v>-16</v>
      </c>
      <c r="C14" s="1">
        <v>2825.125</v>
      </c>
      <c r="D14" s="2">
        <v>43117</v>
      </c>
      <c r="E14" s="40">
        <v>0.88124999999999998</v>
      </c>
      <c r="F14" s="31">
        <v>7.0000000000000001E-3</v>
      </c>
      <c r="G14" s="1">
        <v>2857</v>
      </c>
      <c r="H14" s="2">
        <v>43123</v>
      </c>
      <c r="I14" s="40">
        <v>0.4680555555555555</v>
      </c>
      <c r="J14" s="30">
        <v>-5100</v>
      </c>
    </row>
    <row r="15" spans="1:11">
      <c r="A15" s="24" t="s">
        <v>102</v>
      </c>
      <c r="B15" s="24">
        <v>20</v>
      </c>
      <c r="C15" s="24">
        <v>99360</v>
      </c>
      <c r="D15" s="35">
        <v>43124</v>
      </c>
      <c r="E15" s="47">
        <v>0.38472222222222219</v>
      </c>
      <c r="F15" s="34">
        <v>3.5999999999999997E-2</v>
      </c>
      <c r="G15" s="24">
        <v>99150</v>
      </c>
      <c r="H15" s="35">
        <v>43124</v>
      </c>
      <c r="I15" s="47">
        <v>0.44444444444444442</v>
      </c>
      <c r="J15" s="30">
        <v>-4200</v>
      </c>
    </row>
    <row r="16" spans="1:11">
      <c r="A16" s="1" t="s">
        <v>69</v>
      </c>
      <c r="B16" s="1">
        <v>-12</v>
      </c>
      <c r="C16" s="1">
        <v>97244.17</v>
      </c>
      <c r="D16" s="2">
        <v>43118</v>
      </c>
      <c r="E16" s="40">
        <v>0.88888888888888884</v>
      </c>
      <c r="F16" s="31">
        <v>1.7999999999999999E-2</v>
      </c>
      <c r="G16" s="1">
        <v>98170</v>
      </c>
      <c r="H16" s="2">
        <v>43122</v>
      </c>
      <c r="I16" s="40">
        <v>0.97013888888888899</v>
      </c>
      <c r="J16" s="30">
        <v>-11109.960000000021</v>
      </c>
    </row>
    <row r="17" spans="1:12">
      <c r="A17" s="24" t="s">
        <v>102</v>
      </c>
      <c r="B17" s="24">
        <v>20</v>
      </c>
      <c r="C17" s="24">
        <v>99241</v>
      </c>
      <c r="D17" s="35">
        <v>43124</v>
      </c>
      <c r="E17" s="47">
        <v>0.46319444444444446</v>
      </c>
      <c r="F17" s="34">
        <v>3.5999999999999997E-2</v>
      </c>
      <c r="G17" s="24">
        <v>98590</v>
      </c>
      <c r="H17" s="35">
        <v>43124</v>
      </c>
      <c r="I17" s="47">
        <v>0.62013888888888891</v>
      </c>
      <c r="J17" s="30">
        <v>-13020</v>
      </c>
    </row>
    <row r="18" spans="1:12">
      <c r="A18" s="24" t="s">
        <v>97</v>
      </c>
      <c r="B18" s="24">
        <v>-12</v>
      </c>
      <c r="C18" s="24">
        <v>98110</v>
      </c>
      <c r="D18" s="35">
        <v>43123</v>
      </c>
      <c r="E18" s="47">
        <v>0.40833333333333338</v>
      </c>
      <c r="F18" s="34">
        <v>1.9E-2</v>
      </c>
      <c r="G18" s="24">
        <v>99540</v>
      </c>
      <c r="H18" s="35">
        <v>43123</v>
      </c>
      <c r="I18" s="47">
        <v>0.62222222222222223</v>
      </c>
      <c r="J18" s="30">
        <v>-17160</v>
      </c>
    </row>
    <row r="19" spans="1:12">
      <c r="A19" s="1" t="s">
        <v>100</v>
      </c>
      <c r="B19" s="1">
        <v>-16</v>
      </c>
      <c r="C19" s="1">
        <v>5336</v>
      </c>
      <c r="D19" s="2">
        <v>43110</v>
      </c>
      <c r="E19" s="40">
        <v>0.56388888888888888</v>
      </c>
      <c r="F19" s="31">
        <v>1.4999999999999999E-2</v>
      </c>
      <c r="G19" s="1">
        <v>5228</v>
      </c>
      <c r="H19" s="2">
        <v>43124</v>
      </c>
      <c r="I19" s="40">
        <v>0.89930555555555547</v>
      </c>
      <c r="J19" s="30">
        <v>17280</v>
      </c>
    </row>
    <row r="20" spans="1:12">
      <c r="A20" s="1" t="s">
        <v>113</v>
      </c>
      <c r="B20" s="1">
        <v>-6</v>
      </c>
      <c r="C20" s="1">
        <v>5234</v>
      </c>
      <c r="D20" s="2">
        <v>43125</v>
      </c>
      <c r="E20" s="40">
        <v>0.37986111111111115</v>
      </c>
      <c r="F20" s="31">
        <v>4.333333333333334E-3</v>
      </c>
      <c r="G20" s="1">
        <v>5230</v>
      </c>
      <c r="H20" s="2">
        <v>43125</v>
      </c>
      <c r="I20" s="40">
        <v>0.56597222222222221</v>
      </c>
      <c r="J20" s="30">
        <v>240</v>
      </c>
      <c r="L20" s="1"/>
    </row>
    <row r="21" spans="1:12">
      <c r="A21" s="24" t="s">
        <v>106</v>
      </c>
      <c r="B21" s="24">
        <v>-23</v>
      </c>
      <c r="C21" s="24">
        <v>5226</v>
      </c>
      <c r="D21" s="35">
        <v>43124</v>
      </c>
      <c r="E21" s="47">
        <v>0.62013888888888891</v>
      </c>
      <c r="F21" s="34">
        <v>1.9E-2</v>
      </c>
      <c r="G21" s="24">
        <v>5238</v>
      </c>
      <c r="H21" s="35">
        <v>43125</v>
      </c>
      <c r="I21" s="47">
        <v>0.87708333333333333</v>
      </c>
      <c r="J21" s="30">
        <v>-2760</v>
      </c>
    </row>
    <row r="22" spans="1:12">
      <c r="A22" s="24" t="s">
        <v>103</v>
      </c>
      <c r="B22" s="24">
        <v>28</v>
      </c>
      <c r="C22" s="24">
        <v>9524</v>
      </c>
      <c r="D22" s="35">
        <v>43124</v>
      </c>
      <c r="E22" s="47">
        <v>0.56805555555555554</v>
      </c>
      <c r="F22" s="34">
        <v>2.1000000000000001E-2</v>
      </c>
      <c r="G22" s="24">
        <v>9495</v>
      </c>
      <c r="H22" s="35">
        <v>43124</v>
      </c>
      <c r="I22" s="47">
        <v>0.62013888888888891</v>
      </c>
      <c r="J22" s="30">
        <v>-4060</v>
      </c>
    </row>
    <row r="23" spans="1:12">
      <c r="A23" s="24" t="s">
        <v>96</v>
      </c>
      <c r="B23" s="24">
        <v>28</v>
      </c>
      <c r="C23" s="24">
        <v>9538</v>
      </c>
      <c r="D23" s="35">
        <v>43123</v>
      </c>
      <c r="E23" s="47">
        <v>0.4694444444444445</v>
      </c>
      <c r="F23" s="34">
        <v>2.1000000000000001E-2</v>
      </c>
      <c r="G23" s="24">
        <v>9486</v>
      </c>
      <c r="H23" s="35">
        <v>43124</v>
      </c>
      <c r="I23" s="47">
        <v>0.44444444444444442</v>
      </c>
      <c r="J23" s="30">
        <v>-7280</v>
      </c>
    </row>
    <row r="24" spans="1:12">
      <c r="A24" s="24" t="s">
        <v>96</v>
      </c>
      <c r="B24" s="24">
        <v>21</v>
      </c>
      <c r="C24" s="24">
        <v>9480</v>
      </c>
      <c r="D24" s="35">
        <v>43123</v>
      </c>
      <c r="E24" s="47">
        <v>0.37777777777777777</v>
      </c>
      <c r="F24" s="34">
        <v>1.4999999999999999E-2</v>
      </c>
      <c r="G24" s="24">
        <v>9407</v>
      </c>
      <c r="H24" s="35">
        <v>43123</v>
      </c>
      <c r="I24" s="47">
        <v>0.40833333333333338</v>
      </c>
      <c r="J24" s="30">
        <v>-7665</v>
      </c>
    </row>
    <row r="25" spans="1:12">
      <c r="A25" s="1" t="s">
        <v>61</v>
      </c>
      <c r="B25" s="1">
        <v>26</v>
      </c>
      <c r="C25" s="1">
        <v>3874</v>
      </c>
      <c r="D25" s="2">
        <v>43119</v>
      </c>
      <c r="E25" s="40">
        <v>0.8847222222222223</v>
      </c>
      <c r="F25" s="31">
        <v>1.6E-2</v>
      </c>
      <c r="G25" s="1">
        <v>3933</v>
      </c>
      <c r="H25" s="2">
        <v>43122</v>
      </c>
      <c r="I25" s="40">
        <v>0.60416666666666663</v>
      </c>
      <c r="J25" s="30">
        <v>15340</v>
      </c>
    </row>
    <row r="26" spans="1:12">
      <c r="A26" s="1" t="s">
        <v>67</v>
      </c>
      <c r="B26" s="1">
        <v>84</v>
      </c>
      <c r="C26" s="1">
        <v>2293</v>
      </c>
      <c r="D26" s="2">
        <v>43119</v>
      </c>
      <c r="E26" s="40">
        <v>0.375</v>
      </c>
      <c r="F26" s="31">
        <v>0.03</v>
      </c>
      <c r="G26" s="1">
        <v>2285</v>
      </c>
      <c r="H26" s="2">
        <v>43124</v>
      </c>
      <c r="I26" s="40">
        <v>0.57013888888888886</v>
      </c>
      <c r="J26" s="30">
        <v>-6720</v>
      </c>
    </row>
    <row r="27" spans="1:12">
      <c r="A27" s="1" t="s">
        <v>76</v>
      </c>
      <c r="B27" s="1">
        <v>-17</v>
      </c>
      <c r="C27" s="1">
        <v>14055</v>
      </c>
      <c r="D27" s="2">
        <v>43119</v>
      </c>
      <c r="E27" s="40">
        <v>0.44027777777777777</v>
      </c>
      <c r="F27" s="59">
        <v>3.7999999999999999E-2</v>
      </c>
      <c r="G27" s="1">
        <v>13800</v>
      </c>
      <c r="H27" s="2">
        <v>43124</v>
      </c>
      <c r="I27" s="40">
        <v>0.62013888888888891</v>
      </c>
      <c r="J27" s="1">
        <v>43350</v>
      </c>
    </row>
    <row r="28" spans="1:12">
      <c r="A28" s="1" t="s">
        <v>71</v>
      </c>
      <c r="B28" s="1">
        <v>26</v>
      </c>
      <c r="C28" s="1">
        <v>6740</v>
      </c>
      <c r="D28" s="2">
        <v>43123</v>
      </c>
      <c r="E28" s="40">
        <v>0.59166666666666667</v>
      </c>
      <c r="F28" s="59">
        <v>1.4E-2</v>
      </c>
      <c r="G28" s="1">
        <v>6758</v>
      </c>
      <c r="H28" s="2">
        <v>43125</v>
      </c>
      <c r="I28" s="40">
        <v>0.59652777777777777</v>
      </c>
      <c r="J28" s="1">
        <v>2340</v>
      </c>
    </row>
    <row r="29" spans="1:12">
      <c r="A29" s="24" t="s">
        <v>39</v>
      </c>
      <c r="B29" s="24">
        <v>-33</v>
      </c>
      <c r="C29" s="24">
        <v>6650.3</v>
      </c>
      <c r="D29" s="35">
        <v>43123</v>
      </c>
      <c r="E29" s="47">
        <v>0.40833333333333338</v>
      </c>
      <c r="F29" s="34">
        <v>1.7000000000000001E-2</v>
      </c>
      <c r="G29" s="24">
        <v>6686</v>
      </c>
      <c r="H29" s="35">
        <v>43123</v>
      </c>
      <c r="I29" s="47">
        <v>0.5708333333333333</v>
      </c>
      <c r="J29" s="30">
        <v>-5890.49999999997</v>
      </c>
    </row>
    <row r="30" spans="1:12">
      <c r="A30" s="24" t="s">
        <v>36</v>
      </c>
      <c r="B30" s="24">
        <v>43</v>
      </c>
      <c r="C30" s="24">
        <v>5628</v>
      </c>
      <c r="D30" s="35">
        <v>43122</v>
      </c>
      <c r="E30" s="47">
        <v>0.97222222222222221</v>
      </c>
      <c r="F30" s="34">
        <v>1.9E-2</v>
      </c>
      <c r="G30" s="24">
        <v>5744</v>
      </c>
      <c r="H30" s="35">
        <v>43125</v>
      </c>
      <c r="I30" s="47">
        <v>0.87708333333333333</v>
      </c>
      <c r="J30" s="24">
        <v>24940</v>
      </c>
    </row>
    <row r="31" spans="1:12">
      <c r="A31" s="24" t="s">
        <v>92</v>
      </c>
      <c r="B31" s="24">
        <v>7</v>
      </c>
      <c r="C31" s="24">
        <v>26105</v>
      </c>
      <c r="D31" s="35">
        <v>43122</v>
      </c>
      <c r="E31" s="47">
        <v>0.97222222222222221</v>
      </c>
      <c r="F31" s="34">
        <v>1.4999999999999999E-2</v>
      </c>
      <c r="G31" s="24">
        <v>26085</v>
      </c>
      <c r="H31" s="35">
        <v>43122</v>
      </c>
      <c r="I31" s="47">
        <v>0.37916666666666665</v>
      </c>
      <c r="J31" s="30">
        <v>-700</v>
      </c>
    </row>
    <row r="32" spans="1:12">
      <c r="A32" s="24" t="s">
        <v>92</v>
      </c>
      <c r="B32" s="24">
        <v>7</v>
      </c>
      <c r="C32" s="24">
        <v>26130</v>
      </c>
      <c r="D32" s="35">
        <v>43122</v>
      </c>
      <c r="E32" s="47">
        <v>0.88541666666666663</v>
      </c>
      <c r="F32" s="34">
        <v>1.4999999999999999E-2</v>
      </c>
      <c r="G32" s="24">
        <v>26080</v>
      </c>
      <c r="H32" s="35">
        <v>43122</v>
      </c>
      <c r="I32" s="47">
        <v>0.92083333333333339</v>
      </c>
      <c r="J32" s="30">
        <v>-1750</v>
      </c>
    </row>
  </sheetData>
  <sortState ref="A2:J32">
    <sortCondition ref="A2:A32"/>
    <sortCondition descending="1" ref="J2:J32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4"/>
  <sheetViews>
    <sheetView workbookViewId="0">
      <selection activeCell="A3" sqref="A3"/>
    </sheetView>
  </sheetViews>
  <sheetFormatPr defaultRowHeight="13.5"/>
  <cols>
    <col min="1" max="1" width="11.625" bestFit="1" customWidth="1"/>
    <col min="3" max="3" width="10.5" style="21" bestFit="1" customWidth="1"/>
    <col min="4" max="4" width="12.75" style="16" bestFit="1" customWidth="1"/>
    <col min="5" max="5" width="16.125" style="16" bestFit="1" customWidth="1"/>
    <col min="6" max="6" width="13.875" style="16" bestFit="1" customWidth="1"/>
    <col min="7" max="7" width="9" style="17"/>
  </cols>
  <sheetData>
    <row r="1" spans="1:9">
      <c r="A1" s="3" t="s">
        <v>0</v>
      </c>
      <c r="B1" s="3" t="s">
        <v>1</v>
      </c>
      <c r="C1" s="20" t="s">
        <v>24</v>
      </c>
      <c r="D1" s="18" t="s">
        <v>25</v>
      </c>
      <c r="E1" s="18" t="s">
        <v>26</v>
      </c>
      <c r="F1" s="18" t="s">
        <v>27</v>
      </c>
      <c r="G1" s="19" t="s">
        <v>28</v>
      </c>
      <c r="H1" s="3"/>
      <c r="I1" s="3"/>
    </row>
    <row r="2" spans="1:9">
      <c r="A2" s="2">
        <v>43094</v>
      </c>
      <c r="B2" s="1" t="s">
        <v>14</v>
      </c>
      <c r="C2" s="21">
        <v>-26</v>
      </c>
      <c r="D2" s="16">
        <v>3833.23</v>
      </c>
      <c r="E2" s="16">
        <v>995540</v>
      </c>
      <c r="F2" s="16">
        <v>149496</v>
      </c>
      <c r="G2" s="17">
        <v>1.49E-2</v>
      </c>
    </row>
    <row r="3" spans="1:9">
      <c r="B3" s="1" t="s">
        <v>15</v>
      </c>
      <c r="C3" s="21">
        <v>-26</v>
      </c>
      <c r="D3" s="16">
        <v>3793.85</v>
      </c>
      <c r="E3" s="16">
        <v>984620</v>
      </c>
      <c r="F3" s="16">
        <v>147960</v>
      </c>
      <c r="G3" s="17">
        <v>1.4800000000000001E-2</v>
      </c>
    </row>
    <row r="4" spans="1:9">
      <c r="B4" s="1" t="s">
        <v>16</v>
      </c>
      <c r="C4" s="21">
        <v>-5</v>
      </c>
      <c r="D4" s="16">
        <v>2009.3</v>
      </c>
      <c r="E4" s="16">
        <v>1004000</v>
      </c>
      <c r="F4" s="16">
        <v>150698</v>
      </c>
      <c r="G4" s="17">
        <v>1.5100000000000001E-2</v>
      </c>
    </row>
    <row r="5" spans="1:9">
      <c r="A5" s="4"/>
      <c r="B5" s="3" t="s">
        <v>17</v>
      </c>
      <c r="C5" s="20">
        <v>-31</v>
      </c>
      <c r="D5" s="22">
        <v>6540</v>
      </c>
      <c r="E5" s="22">
        <v>1015250</v>
      </c>
      <c r="F5" s="22">
        <v>152055</v>
      </c>
      <c r="G5" s="23">
        <v>1.52E-2</v>
      </c>
      <c r="H5" s="4"/>
      <c r="I5" s="4"/>
    </row>
    <row r="6" spans="1:9">
      <c r="A6" s="2">
        <v>43095</v>
      </c>
      <c r="B6" s="1" t="s">
        <v>14</v>
      </c>
      <c r="C6" s="21">
        <v>-26</v>
      </c>
      <c r="D6" s="16">
        <v>3833.23</v>
      </c>
      <c r="E6" s="16">
        <v>1006200</v>
      </c>
      <c r="F6" s="16">
        <v>152100</v>
      </c>
      <c r="G6" s="17">
        <v>1.5299999999999999E-2</v>
      </c>
    </row>
    <row r="7" spans="1:9">
      <c r="B7" s="1" t="s">
        <v>15</v>
      </c>
      <c r="C7" s="21">
        <v>-26</v>
      </c>
      <c r="D7" s="16">
        <v>3793.85</v>
      </c>
      <c r="E7" s="16">
        <v>993720</v>
      </c>
      <c r="F7" s="16">
        <v>150540</v>
      </c>
      <c r="G7" s="17">
        <v>1.52E-2</v>
      </c>
    </row>
    <row r="8" spans="1:9">
      <c r="B8" s="1" t="s">
        <v>16</v>
      </c>
      <c r="C8" s="21">
        <v>-5</v>
      </c>
      <c r="D8" s="16">
        <v>2009.3</v>
      </c>
      <c r="E8" s="16">
        <v>1013750</v>
      </c>
      <c r="F8" s="16">
        <v>156563</v>
      </c>
      <c r="G8" s="17">
        <v>1.5100000000000001E-2</v>
      </c>
    </row>
    <row r="9" spans="1:9">
      <c r="A9" s="4"/>
      <c r="B9" s="3" t="s">
        <v>29</v>
      </c>
      <c r="C9" s="20">
        <v>8</v>
      </c>
      <c r="D9" s="22">
        <v>14305</v>
      </c>
      <c r="E9" s="22">
        <v>1145200</v>
      </c>
      <c r="F9" s="22">
        <v>171660</v>
      </c>
      <c r="G9" s="23">
        <v>1.7299999999999999E-2</v>
      </c>
      <c r="H9" s="4"/>
      <c r="I9" s="4"/>
    </row>
    <row r="10" spans="1:9">
      <c r="A10" s="2">
        <v>43096</v>
      </c>
      <c r="B10" s="1" t="s">
        <v>15</v>
      </c>
      <c r="C10" s="21">
        <v>-26</v>
      </c>
      <c r="D10" s="16">
        <v>3793.85</v>
      </c>
      <c r="E10" s="16">
        <v>985920</v>
      </c>
      <c r="F10" s="16">
        <v>148473</v>
      </c>
      <c r="G10" s="17">
        <v>1.4999999999999999E-2</v>
      </c>
    </row>
    <row r="11" spans="1:9">
      <c r="B11" s="1" t="s">
        <v>16</v>
      </c>
      <c r="C11" s="21">
        <v>-5</v>
      </c>
      <c r="D11" s="16">
        <v>2009.3</v>
      </c>
      <c r="E11" s="16">
        <v>985000</v>
      </c>
      <c r="F11" s="16">
        <v>151163</v>
      </c>
      <c r="G11" s="17">
        <v>1.52E-2</v>
      </c>
    </row>
    <row r="12" spans="1:9">
      <c r="B12" s="24" t="s">
        <v>29</v>
      </c>
      <c r="C12" s="25">
        <v>8</v>
      </c>
      <c r="D12" s="26">
        <v>14305</v>
      </c>
      <c r="E12" s="26">
        <v>1133600</v>
      </c>
      <c r="F12" s="26">
        <v>170220</v>
      </c>
      <c r="G12" s="27">
        <v>1.72E-2</v>
      </c>
    </row>
    <row r="13" spans="1:9">
      <c r="B13" s="24" t="s">
        <v>17</v>
      </c>
      <c r="C13" s="21">
        <v>-50</v>
      </c>
      <c r="D13" s="16">
        <v>6585</v>
      </c>
      <c r="E13" s="16">
        <v>1648750</v>
      </c>
      <c r="F13" s="16">
        <v>246938</v>
      </c>
      <c r="G13" s="17">
        <v>2.4899999999999999E-2</v>
      </c>
    </row>
    <row r="14" spans="1:9">
      <c r="A14" s="4"/>
      <c r="B14" s="28" t="s">
        <v>30</v>
      </c>
      <c r="C14" s="20">
        <v>-35</v>
      </c>
      <c r="D14" s="22">
        <v>2864</v>
      </c>
      <c r="E14" s="22">
        <v>1001350</v>
      </c>
      <c r="F14" s="22">
        <v>150360</v>
      </c>
      <c r="G14" s="23">
        <v>1.52E-2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52"/>
  <sheetViews>
    <sheetView workbookViewId="0">
      <selection activeCell="A2" sqref="A2:J45"/>
    </sheetView>
  </sheetViews>
  <sheetFormatPr defaultRowHeight="13.5"/>
  <cols>
    <col min="1" max="1" width="10.5" bestFit="1" customWidth="1"/>
    <col min="2" max="2" width="12.75" bestFit="1" customWidth="1"/>
    <col min="6" max="6" width="10.5" bestFit="1" customWidth="1"/>
    <col min="7" max="7" width="0" hidden="1" customWidth="1"/>
  </cols>
  <sheetData>
    <row r="1" spans="1:10">
      <c r="A1" t="s">
        <v>87</v>
      </c>
      <c r="B1" t="s">
        <v>81</v>
      </c>
      <c r="C1" t="s">
        <v>82</v>
      </c>
      <c r="D1" t="s">
        <v>83</v>
      </c>
      <c r="E1" t="s">
        <v>84</v>
      </c>
      <c r="F1" t="s">
        <v>88</v>
      </c>
      <c r="G1" t="s">
        <v>85</v>
      </c>
      <c r="H1" t="s">
        <v>86</v>
      </c>
      <c r="I1" t="s">
        <v>90</v>
      </c>
      <c r="J1" t="s">
        <v>91</v>
      </c>
    </row>
    <row r="2" spans="1:10">
      <c r="A2" s="2">
        <v>43116</v>
      </c>
      <c r="B2" s="1" t="s">
        <v>63</v>
      </c>
      <c r="C2" s="1">
        <v>-5</v>
      </c>
      <c r="D2" s="1">
        <v>54880</v>
      </c>
      <c r="E2" s="1"/>
      <c r="F2" s="24"/>
      <c r="G2" s="1">
        <v>5</v>
      </c>
      <c r="H2" s="1" t="str">
        <f t="shared" ref="H2:H12" si="0">IF(E2="","",(E2-D2)*C2*G2)</f>
        <v/>
      </c>
      <c r="I2">
        <v>53710</v>
      </c>
      <c r="J2">
        <f t="shared" ref="J2:J12" si="1">(I2-D2)*C2*G2</f>
        <v>29250</v>
      </c>
    </row>
    <row r="3" spans="1:10">
      <c r="A3" s="2">
        <v>43119</v>
      </c>
      <c r="B3" s="1" t="s">
        <v>61</v>
      </c>
      <c r="C3" s="1">
        <v>26</v>
      </c>
      <c r="D3" s="1">
        <v>3874</v>
      </c>
      <c r="E3" s="1"/>
      <c r="F3" s="24"/>
      <c r="G3" s="1">
        <v>10</v>
      </c>
      <c r="H3" s="1" t="str">
        <f t="shared" si="0"/>
        <v/>
      </c>
      <c r="I3">
        <v>3926</v>
      </c>
      <c r="J3">
        <f t="shared" si="1"/>
        <v>13520</v>
      </c>
    </row>
    <row r="4" spans="1:10">
      <c r="A4" s="2">
        <v>43117</v>
      </c>
      <c r="B4" s="1" t="s">
        <v>72</v>
      </c>
      <c r="C4" s="1">
        <v>-18</v>
      </c>
      <c r="D4" s="1">
        <v>3886</v>
      </c>
      <c r="E4" s="1"/>
      <c r="F4" s="24"/>
      <c r="G4" s="1">
        <v>15</v>
      </c>
      <c r="H4" s="1" t="str">
        <f t="shared" si="0"/>
        <v/>
      </c>
      <c r="I4">
        <v>3836</v>
      </c>
      <c r="J4">
        <f t="shared" si="1"/>
        <v>13500</v>
      </c>
    </row>
    <row r="5" spans="1:10">
      <c r="A5" s="2">
        <v>43118</v>
      </c>
      <c r="B5" s="1" t="s">
        <v>69</v>
      </c>
      <c r="C5" s="1">
        <v>-12</v>
      </c>
      <c r="D5" s="1">
        <v>97244.17</v>
      </c>
      <c r="E5" s="1"/>
      <c r="F5" s="24"/>
      <c r="G5" s="1">
        <v>1</v>
      </c>
      <c r="H5" s="1" t="str">
        <f t="shared" si="0"/>
        <v/>
      </c>
      <c r="I5">
        <v>96830</v>
      </c>
      <c r="J5">
        <f t="shared" si="1"/>
        <v>4970.039999999979</v>
      </c>
    </row>
    <row r="6" spans="1:10">
      <c r="A6" s="2">
        <v>43117</v>
      </c>
      <c r="B6" s="1" t="s">
        <v>77</v>
      </c>
      <c r="C6" s="1">
        <v>-16</v>
      </c>
      <c r="D6" s="1">
        <v>2825.125</v>
      </c>
      <c r="E6" s="1"/>
      <c r="F6" s="24"/>
      <c r="G6" s="1">
        <v>10</v>
      </c>
      <c r="H6" s="1" t="str">
        <f t="shared" si="0"/>
        <v/>
      </c>
      <c r="I6">
        <v>2800</v>
      </c>
      <c r="J6">
        <f t="shared" si="1"/>
        <v>4020</v>
      </c>
    </row>
    <row r="7" spans="1:10">
      <c r="A7" s="2">
        <v>43117</v>
      </c>
      <c r="B7" s="1" t="s">
        <v>68</v>
      </c>
      <c r="C7" s="1">
        <v>-6</v>
      </c>
      <c r="D7" s="1">
        <v>2122</v>
      </c>
      <c r="E7" s="1"/>
      <c r="F7" s="24"/>
      <c r="G7" s="1">
        <v>10</v>
      </c>
      <c r="H7" s="1" t="str">
        <f t="shared" si="0"/>
        <v/>
      </c>
      <c r="I7">
        <v>2097</v>
      </c>
      <c r="J7">
        <f t="shared" si="1"/>
        <v>1500</v>
      </c>
    </row>
    <row r="8" spans="1:10">
      <c r="A8" s="2">
        <v>43119</v>
      </c>
      <c r="B8" s="1" t="s">
        <v>67</v>
      </c>
      <c r="C8" s="1">
        <v>84</v>
      </c>
      <c r="D8" s="1">
        <v>2293</v>
      </c>
      <c r="E8" s="1"/>
      <c r="F8" s="24"/>
      <c r="G8" s="1">
        <v>10</v>
      </c>
      <c r="H8" s="1" t="str">
        <f t="shared" si="0"/>
        <v/>
      </c>
      <c r="I8">
        <v>2294</v>
      </c>
      <c r="J8">
        <f t="shared" si="1"/>
        <v>840</v>
      </c>
    </row>
    <row r="9" spans="1:10">
      <c r="A9" s="2">
        <v>43119</v>
      </c>
      <c r="B9" s="1" t="s">
        <v>76</v>
      </c>
      <c r="C9" s="1">
        <v>-17</v>
      </c>
      <c r="D9" s="1">
        <v>14055</v>
      </c>
      <c r="E9" s="1"/>
      <c r="F9" s="35"/>
      <c r="G9" s="1">
        <v>10</v>
      </c>
      <c r="H9" s="1" t="str">
        <f t="shared" si="0"/>
        <v/>
      </c>
      <c r="I9">
        <v>14065</v>
      </c>
      <c r="J9">
        <f t="shared" si="1"/>
        <v>-1700</v>
      </c>
    </row>
    <row r="10" spans="1:10">
      <c r="A10" s="2">
        <v>43119</v>
      </c>
      <c r="B10" s="1" t="s">
        <v>80</v>
      </c>
      <c r="C10" s="1">
        <v>-8</v>
      </c>
      <c r="D10" s="1">
        <v>3847</v>
      </c>
      <c r="E10" s="1"/>
      <c r="F10" s="24"/>
      <c r="G10" s="1">
        <v>10</v>
      </c>
      <c r="H10" s="1" t="str">
        <f t="shared" si="0"/>
        <v/>
      </c>
      <c r="I10">
        <v>3923</v>
      </c>
      <c r="J10">
        <f t="shared" si="1"/>
        <v>-6080</v>
      </c>
    </row>
    <row r="11" spans="1:10">
      <c r="A11" s="2">
        <v>43118</v>
      </c>
      <c r="B11" s="1" t="s">
        <v>64</v>
      </c>
      <c r="C11" s="1">
        <v>38</v>
      </c>
      <c r="D11" s="1">
        <v>1494</v>
      </c>
      <c r="E11" s="1"/>
      <c r="F11" s="24"/>
      <c r="G11" s="1">
        <v>20</v>
      </c>
      <c r="H11" s="1" t="str">
        <f t="shared" si="0"/>
        <v/>
      </c>
      <c r="I11">
        <v>1485</v>
      </c>
      <c r="J11">
        <f t="shared" si="1"/>
        <v>-6840</v>
      </c>
    </row>
    <row r="12" spans="1:10">
      <c r="A12" s="2">
        <v>43119</v>
      </c>
      <c r="B12" s="1" t="s">
        <v>89</v>
      </c>
      <c r="C12" s="1">
        <v>16</v>
      </c>
      <c r="D12" s="1">
        <v>539</v>
      </c>
      <c r="E12" s="1"/>
      <c r="F12" s="24"/>
      <c r="G12" s="1">
        <v>100</v>
      </c>
      <c r="H12" s="1" t="str">
        <f t="shared" si="0"/>
        <v/>
      </c>
      <c r="I12">
        <v>543.5</v>
      </c>
      <c r="J12">
        <f t="shared" si="1"/>
        <v>7200</v>
      </c>
    </row>
    <row r="13" spans="1:10">
      <c r="A13" s="2">
        <v>43116</v>
      </c>
      <c r="B13" s="1" t="s">
        <v>67</v>
      </c>
      <c r="C13" s="1">
        <v>72</v>
      </c>
      <c r="D13" s="1">
        <v>2269</v>
      </c>
      <c r="E13" s="1">
        <v>2270</v>
      </c>
      <c r="F13" s="35">
        <v>43119</v>
      </c>
      <c r="G13" s="1">
        <v>10</v>
      </c>
      <c r="H13" s="1">
        <f t="shared" ref="H13:H45" si="2">IF(E13="","",(E13-D13)*C13*G13)</f>
        <v>720</v>
      </c>
    </row>
    <row r="14" spans="1:10">
      <c r="A14" s="2">
        <v>43118</v>
      </c>
      <c r="B14" s="1" t="s">
        <v>76</v>
      </c>
      <c r="C14" s="1">
        <v>1</v>
      </c>
      <c r="D14" s="1">
        <v>14180</v>
      </c>
      <c r="E14" s="1">
        <v>14170</v>
      </c>
      <c r="F14" s="35">
        <v>43119</v>
      </c>
      <c r="G14" s="1">
        <v>10</v>
      </c>
      <c r="H14" s="1">
        <f t="shared" si="2"/>
        <v>-100</v>
      </c>
    </row>
    <row r="15" spans="1:10">
      <c r="A15" s="2">
        <v>43117</v>
      </c>
      <c r="B15" s="1" t="s">
        <v>74</v>
      </c>
      <c r="C15" s="1">
        <v>3</v>
      </c>
      <c r="D15" s="1">
        <v>2738</v>
      </c>
      <c r="E15" s="1">
        <v>2734</v>
      </c>
      <c r="F15" s="35">
        <v>43117</v>
      </c>
      <c r="G15" s="1">
        <v>10</v>
      </c>
      <c r="H15" s="1">
        <f t="shared" si="2"/>
        <v>-120</v>
      </c>
    </row>
    <row r="16" spans="1:10">
      <c r="A16" s="2">
        <v>43117</v>
      </c>
      <c r="B16" s="1" t="s">
        <v>78</v>
      </c>
      <c r="C16" s="1">
        <v>-33</v>
      </c>
      <c r="D16" s="1">
        <v>2761</v>
      </c>
      <c r="E16" s="1">
        <v>2762</v>
      </c>
      <c r="F16" s="35">
        <v>43117</v>
      </c>
      <c r="G16" s="1">
        <v>10</v>
      </c>
      <c r="H16" s="1">
        <f t="shared" si="2"/>
        <v>-330</v>
      </c>
    </row>
    <row r="17" spans="1:8">
      <c r="A17" s="2">
        <v>43117</v>
      </c>
      <c r="B17" s="1" t="s">
        <v>75</v>
      </c>
      <c r="C17" s="1">
        <v>10</v>
      </c>
      <c r="D17" s="1">
        <v>2768</v>
      </c>
      <c r="E17" s="1">
        <v>2764</v>
      </c>
      <c r="F17" s="35">
        <v>43118</v>
      </c>
      <c r="G17" s="1">
        <v>10</v>
      </c>
      <c r="H17" s="1">
        <f t="shared" si="2"/>
        <v>-400</v>
      </c>
    </row>
    <row r="18" spans="1:8">
      <c r="A18" s="2">
        <v>43117</v>
      </c>
      <c r="B18" s="1" t="s">
        <v>74</v>
      </c>
      <c r="C18" s="1">
        <v>9</v>
      </c>
      <c r="D18" s="1">
        <v>2732</v>
      </c>
      <c r="E18" s="1">
        <v>2726</v>
      </c>
      <c r="F18" s="35">
        <v>43117</v>
      </c>
      <c r="G18" s="1">
        <v>10</v>
      </c>
      <c r="H18" s="1">
        <f t="shared" si="2"/>
        <v>-540</v>
      </c>
    </row>
    <row r="19" spans="1:8">
      <c r="A19" s="2">
        <v>43117</v>
      </c>
      <c r="B19" s="1" t="s">
        <v>79</v>
      </c>
      <c r="C19" s="1">
        <v>36</v>
      </c>
      <c r="D19" s="1">
        <v>9389.9166666666661</v>
      </c>
      <c r="E19" s="1">
        <v>9385</v>
      </c>
      <c r="F19" s="35">
        <v>43117</v>
      </c>
      <c r="G19" s="1">
        <v>5</v>
      </c>
      <c r="H19" s="1">
        <f t="shared" si="2"/>
        <v>-884.99999999989086</v>
      </c>
    </row>
    <row r="20" spans="1:8">
      <c r="A20" s="2">
        <v>43117</v>
      </c>
      <c r="B20" s="1" t="s">
        <v>62</v>
      </c>
      <c r="C20" s="1">
        <v>-34</v>
      </c>
      <c r="D20" s="1">
        <v>6570</v>
      </c>
      <c r="E20" s="1">
        <v>6575.5882352941171</v>
      </c>
      <c r="F20" s="35">
        <v>43117</v>
      </c>
      <c r="G20" s="1">
        <v>5</v>
      </c>
      <c r="H20" s="1">
        <f t="shared" si="2"/>
        <v>-949.99999999990905</v>
      </c>
    </row>
    <row r="21" spans="1:8">
      <c r="A21" s="2">
        <v>43117</v>
      </c>
      <c r="B21" s="1" t="s">
        <v>64</v>
      </c>
      <c r="C21" s="1">
        <v>61</v>
      </c>
      <c r="D21" s="1">
        <v>1478</v>
      </c>
      <c r="E21" s="1">
        <v>1477</v>
      </c>
      <c r="F21" s="35">
        <v>43118</v>
      </c>
      <c r="G21" s="1">
        <v>20</v>
      </c>
      <c r="H21" s="1">
        <f t="shared" si="2"/>
        <v>-1220</v>
      </c>
    </row>
    <row r="22" spans="1:8">
      <c r="A22" s="2">
        <v>43117</v>
      </c>
      <c r="B22" s="1" t="s">
        <v>76</v>
      </c>
      <c r="C22" s="1">
        <v>6</v>
      </c>
      <c r="D22" s="1">
        <v>14244.166666666668</v>
      </c>
      <c r="E22" s="1">
        <v>14215</v>
      </c>
      <c r="F22" s="35">
        <v>43117</v>
      </c>
      <c r="G22" s="1">
        <v>10</v>
      </c>
      <c r="H22" s="1">
        <f t="shared" si="2"/>
        <v>-1750.0000000000728</v>
      </c>
    </row>
    <row r="23" spans="1:8">
      <c r="A23" s="2">
        <v>43117</v>
      </c>
      <c r="B23" s="1" t="s">
        <v>76</v>
      </c>
      <c r="C23" s="1">
        <v>6</v>
      </c>
      <c r="D23" s="1">
        <v>14229.166666666668</v>
      </c>
      <c r="E23" s="1">
        <v>14190</v>
      </c>
      <c r="F23" s="35">
        <v>43117</v>
      </c>
      <c r="G23" s="1">
        <v>10</v>
      </c>
      <c r="H23" s="1">
        <f t="shared" si="2"/>
        <v>-2350.0000000000728</v>
      </c>
    </row>
    <row r="24" spans="1:8">
      <c r="A24" s="2">
        <v>43115</v>
      </c>
      <c r="B24" s="1" t="s">
        <v>63</v>
      </c>
      <c r="C24" s="1">
        <v>6</v>
      </c>
      <c r="D24" s="1">
        <v>55030</v>
      </c>
      <c r="E24" s="1">
        <v>54950</v>
      </c>
      <c r="F24" s="35">
        <v>43116</v>
      </c>
      <c r="G24" s="1">
        <v>5</v>
      </c>
      <c r="H24" s="1">
        <f t="shared" si="2"/>
        <v>-2400</v>
      </c>
    </row>
    <row r="25" spans="1:8">
      <c r="A25" s="2">
        <v>43117</v>
      </c>
      <c r="B25" s="1" t="s">
        <v>62</v>
      </c>
      <c r="C25" s="1">
        <v>-34</v>
      </c>
      <c r="D25" s="1">
        <v>6570</v>
      </c>
      <c r="E25" s="1">
        <v>6585</v>
      </c>
      <c r="F25" s="35">
        <v>43117</v>
      </c>
      <c r="G25" s="1">
        <v>5</v>
      </c>
      <c r="H25" s="1">
        <f t="shared" si="2"/>
        <v>-2550</v>
      </c>
    </row>
    <row r="26" spans="1:8">
      <c r="A26" s="2">
        <v>43117</v>
      </c>
      <c r="B26" s="1" t="s">
        <v>76</v>
      </c>
      <c r="C26" s="1">
        <v>-7</v>
      </c>
      <c r="D26" s="1">
        <v>14200</v>
      </c>
      <c r="E26" s="1">
        <v>14240</v>
      </c>
      <c r="F26" s="35">
        <v>43117</v>
      </c>
      <c r="G26" s="1">
        <v>10</v>
      </c>
      <c r="H26" s="1">
        <f t="shared" si="2"/>
        <v>-2800</v>
      </c>
    </row>
    <row r="27" spans="1:8">
      <c r="A27" s="2">
        <v>43117</v>
      </c>
      <c r="B27" s="1" t="s">
        <v>79</v>
      </c>
      <c r="C27" s="1">
        <v>36</v>
      </c>
      <c r="D27" s="1">
        <v>9438.1388888888887</v>
      </c>
      <c r="E27" s="1">
        <v>9421.9444444444434</v>
      </c>
      <c r="F27" s="35">
        <v>43117</v>
      </c>
      <c r="G27" s="1">
        <v>5</v>
      </c>
      <c r="H27" s="1">
        <f t="shared" si="2"/>
        <v>-2915.0000000001455</v>
      </c>
    </row>
    <row r="28" spans="1:8">
      <c r="A28" s="2">
        <v>43117</v>
      </c>
      <c r="B28" s="1" t="s">
        <v>73</v>
      </c>
      <c r="C28" s="1">
        <v>7</v>
      </c>
      <c r="D28" s="1">
        <v>281.64999999999998</v>
      </c>
      <c r="E28" s="1">
        <v>281.14999999999998</v>
      </c>
      <c r="F28" s="35">
        <v>43117</v>
      </c>
      <c r="G28" s="1">
        <v>1000</v>
      </c>
      <c r="H28" s="1">
        <f t="shared" si="2"/>
        <v>-3500</v>
      </c>
    </row>
    <row r="29" spans="1:8">
      <c r="A29" s="2">
        <v>43117</v>
      </c>
      <c r="B29" s="1" t="s">
        <v>72</v>
      </c>
      <c r="C29" s="1">
        <v>-17</v>
      </c>
      <c r="D29" s="1">
        <v>3880</v>
      </c>
      <c r="E29" s="1">
        <v>3895</v>
      </c>
      <c r="F29" s="35">
        <v>43117</v>
      </c>
      <c r="G29" s="1">
        <v>15</v>
      </c>
      <c r="H29" s="1">
        <f t="shared" si="2"/>
        <v>-3825</v>
      </c>
    </row>
    <row r="30" spans="1:8">
      <c r="A30" s="2">
        <v>43115</v>
      </c>
      <c r="B30" s="1" t="s">
        <v>67</v>
      </c>
      <c r="C30" s="1">
        <v>64</v>
      </c>
      <c r="D30" s="1">
        <v>2271</v>
      </c>
      <c r="E30" s="1">
        <v>2265</v>
      </c>
      <c r="F30" s="35">
        <v>43115</v>
      </c>
      <c r="G30" s="1">
        <v>10</v>
      </c>
      <c r="H30" s="1">
        <f t="shared" si="2"/>
        <v>-3840</v>
      </c>
    </row>
    <row r="31" spans="1:8">
      <c r="A31" s="2">
        <v>43119</v>
      </c>
      <c r="B31" s="1" t="s">
        <v>76</v>
      </c>
      <c r="C31" s="1">
        <v>-17</v>
      </c>
      <c r="D31" s="1">
        <v>14155</v>
      </c>
      <c r="E31" s="1">
        <v>14185</v>
      </c>
      <c r="F31" s="35">
        <v>43119</v>
      </c>
      <c r="G31" s="1">
        <v>10</v>
      </c>
      <c r="H31" s="1">
        <f t="shared" si="2"/>
        <v>-5100</v>
      </c>
    </row>
    <row r="32" spans="1:8">
      <c r="A32" s="2">
        <v>43117</v>
      </c>
      <c r="B32" s="1" t="s">
        <v>61</v>
      </c>
      <c r="C32" s="1">
        <v>-31</v>
      </c>
      <c r="D32" s="1">
        <v>3804.9354838709678</v>
      </c>
      <c r="E32" s="1">
        <v>3826</v>
      </c>
      <c r="F32" s="35">
        <v>43117</v>
      </c>
      <c r="G32" s="1">
        <v>10</v>
      </c>
      <c r="H32" s="1">
        <f t="shared" si="2"/>
        <v>-6529.9999999999818</v>
      </c>
    </row>
    <row r="33" spans="1:8">
      <c r="A33" s="2">
        <v>43115</v>
      </c>
      <c r="B33" s="1" t="s">
        <v>71</v>
      </c>
      <c r="C33" s="1">
        <v>-51</v>
      </c>
      <c r="D33" s="1">
        <v>6444</v>
      </c>
      <c r="E33" s="1">
        <v>6472</v>
      </c>
      <c r="F33" s="35">
        <v>43115</v>
      </c>
      <c r="G33" s="1">
        <v>5</v>
      </c>
      <c r="H33" s="1">
        <f t="shared" si="2"/>
        <v>-7140</v>
      </c>
    </row>
    <row r="34" spans="1:8">
      <c r="A34" s="2">
        <v>43117</v>
      </c>
      <c r="B34" s="1" t="s">
        <v>76</v>
      </c>
      <c r="C34" s="1">
        <v>-16</v>
      </c>
      <c r="D34" s="1">
        <v>14129.6875</v>
      </c>
      <c r="E34" s="1">
        <v>14175</v>
      </c>
      <c r="F34" s="35">
        <v>43118</v>
      </c>
      <c r="G34" s="1">
        <v>10</v>
      </c>
      <c r="H34" s="1">
        <f t="shared" si="2"/>
        <v>-7250</v>
      </c>
    </row>
    <row r="35" spans="1:8">
      <c r="A35" s="2">
        <v>43115</v>
      </c>
      <c r="B35" s="1" t="s">
        <v>68</v>
      </c>
      <c r="C35" s="1">
        <v>89</v>
      </c>
      <c r="D35" s="1">
        <v>2150</v>
      </c>
      <c r="E35" s="1">
        <v>2137</v>
      </c>
      <c r="F35" s="35">
        <v>43115</v>
      </c>
      <c r="G35" s="1">
        <v>10</v>
      </c>
      <c r="H35" s="1">
        <f t="shared" si="2"/>
        <v>-11570</v>
      </c>
    </row>
    <row r="36" spans="1:8">
      <c r="A36" s="2">
        <v>43117</v>
      </c>
      <c r="B36" s="1" t="s">
        <v>68</v>
      </c>
      <c r="C36" s="1">
        <v>133</v>
      </c>
      <c r="D36" s="1">
        <v>2132</v>
      </c>
      <c r="E36" s="1">
        <v>2123</v>
      </c>
      <c r="F36" s="35">
        <v>43117</v>
      </c>
      <c r="G36" s="1">
        <v>10</v>
      </c>
      <c r="H36" s="1">
        <f t="shared" si="2"/>
        <v>-11970</v>
      </c>
    </row>
    <row r="37" spans="1:8">
      <c r="A37" s="2">
        <v>43115</v>
      </c>
      <c r="B37" s="1" t="s">
        <v>65</v>
      </c>
      <c r="C37" s="1">
        <v>30</v>
      </c>
      <c r="D37" s="1">
        <v>633</v>
      </c>
      <c r="E37" s="1">
        <v>629</v>
      </c>
      <c r="F37" s="35">
        <v>43115</v>
      </c>
      <c r="G37" s="1">
        <v>100</v>
      </c>
      <c r="H37" s="1">
        <f t="shared" si="2"/>
        <v>-12000</v>
      </c>
    </row>
    <row r="38" spans="1:8">
      <c r="A38" s="2">
        <v>43115</v>
      </c>
      <c r="B38" s="1" t="s">
        <v>63</v>
      </c>
      <c r="C38" s="1">
        <v>-10</v>
      </c>
      <c r="D38" s="1">
        <v>54520</v>
      </c>
      <c r="E38" s="1">
        <v>54826</v>
      </c>
      <c r="F38" s="35">
        <v>43115</v>
      </c>
      <c r="G38" s="1">
        <v>5</v>
      </c>
      <c r="H38" s="1">
        <f t="shared" si="2"/>
        <v>-15300</v>
      </c>
    </row>
    <row r="39" spans="1:8">
      <c r="A39" s="35">
        <v>43112</v>
      </c>
      <c r="B39" s="1" t="s">
        <v>61</v>
      </c>
      <c r="C39" s="1">
        <v>-30</v>
      </c>
      <c r="D39" s="1">
        <v>3781.333333333333</v>
      </c>
      <c r="E39" s="1">
        <v>3834</v>
      </c>
      <c r="F39" s="35">
        <v>43117</v>
      </c>
      <c r="G39" s="1">
        <v>10</v>
      </c>
      <c r="H39" s="1">
        <f t="shared" si="2"/>
        <v>-15800.000000000091</v>
      </c>
    </row>
    <row r="40" spans="1:8">
      <c r="A40" s="2">
        <v>43115</v>
      </c>
      <c r="B40" s="1" t="s">
        <v>64</v>
      </c>
      <c r="C40" s="1">
        <v>50</v>
      </c>
      <c r="D40" s="1">
        <v>1491</v>
      </c>
      <c r="E40" s="1">
        <v>1472</v>
      </c>
      <c r="F40" s="35">
        <v>43117</v>
      </c>
      <c r="G40" s="1">
        <v>20</v>
      </c>
      <c r="H40" s="1">
        <f t="shared" si="2"/>
        <v>-19000</v>
      </c>
    </row>
    <row r="41" spans="1:8">
      <c r="A41" s="2">
        <v>43115</v>
      </c>
      <c r="B41" s="1" t="s">
        <v>70</v>
      </c>
      <c r="C41" s="1">
        <v>1</v>
      </c>
      <c r="D41" s="1">
        <v>6293.6</v>
      </c>
      <c r="E41" s="1">
        <v>6196</v>
      </c>
      <c r="F41" s="35">
        <v>43115</v>
      </c>
      <c r="G41" s="1">
        <v>200</v>
      </c>
      <c r="H41" s="1">
        <f t="shared" si="2"/>
        <v>-19520.000000000073</v>
      </c>
    </row>
    <row r="42" spans="1:8">
      <c r="A42" s="2">
        <v>43115</v>
      </c>
      <c r="B42" s="1" t="s">
        <v>66</v>
      </c>
      <c r="C42" s="1">
        <v>76</v>
      </c>
      <c r="D42" s="1">
        <v>5680</v>
      </c>
      <c r="E42" s="1">
        <v>5624</v>
      </c>
      <c r="F42" s="35">
        <v>43117</v>
      </c>
      <c r="G42" s="1">
        <v>5</v>
      </c>
      <c r="H42" s="1">
        <f t="shared" si="2"/>
        <v>-21280</v>
      </c>
    </row>
    <row r="43" spans="1:8">
      <c r="A43" s="2">
        <v>43116</v>
      </c>
      <c r="B43" s="1" t="s">
        <v>72</v>
      </c>
      <c r="C43" s="1">
        <v>32</v>
      </c>
      <c r="D43" s="1">
        <v>3927</v>
      </c>
      <c r="E43" s="1">
        <v>3879</v>
      </c>
      <c r="F43" s="35">
        <v>43117</v>
      </c>
      <c r="G43" s="1">
        <v>15</v>
      </c>
      <c r="H43" s="1">
        <f t="shared" si="2"/>
        <v>-23040</v>
      </c>
    </row>
    <row r="44" spans="1:8">
      <c r="A44" s="35">
        <v>43112</v>
      </c>
      <c r="B44" s="1" t="s">
        <v>62</v>
      </c>
      <c r="C44" s="1">
        <v>40</v>
      </c>
      <c r="D44" s="1">
        <v>6795</v>
      </c>
      <c r="E44" s="1">
        <v>6640</v>
      </c>
      <c r="F44" s="35">
        <v>43117</v>
      </c>
      <c r="G44" s="1">
        <v>5</v>
      </c>
      <c r="H44" s="1">
        <f t="shared" si="2"/>
        <v>-31000</v>
      </c>
    </row>
    <row r="45" spans="1:8">
      <c r="A45" s="2">
        <v>43115</v>
      </c>
      <c r="B45" s="1" t="s">
        <v>69</v>
      </c>
      <c r="C45" s="1">
        <v>19</v>
      </c>
      <c r="D45" s="1">
        <v>99620</v>
      </c>
      <c r="E45" s="1">
        <v>97180</v>
      </c>
      <c r="F45" s="35">
        <v>43117</v>
      </c>
      <c r="G45" s="1">
        <v>1</v>
      </c>
      <c r="H45" s="1">
        <f t="shared" si="2"/>
        <v>-46360</v>
      </c>
    </row>
    <row r="47" spans="1:8">
      <c r="B47" s="1"/>
      <c r="C47" s="1"/>
    </row>
    <row r="48" spans="1:8">
      <c r="A48" s="2"/>
      <c r="B48" s="39"/>
      <c r="C48" s="15"/>
    </row>
    <row r="49" spans="1:3">
      <c r="A49" s="2"/>
      <c r="B49" s="39"/>
      <c r="C49" s="15"/>
    </row>
    <row r="50" spans="1:3">
      <c r="A50" s="2"/>
      <c r="B50" s="39"/>
      <c r="C50" s="15"/>
    </row>
    <row r="51" spans="1:3">
      <c r="A51" s="2"/>
      <c r="B51" s="39"/>
      <c r="C51" s="15"/>
    </row>
    <row r="52" spans="1:3">
      <c r="A52" s="2"/>
      <c r="B52" s="39"/>
      <c r="C52" s="15"/>
    </row>
  </sheetData>
  <sortState ref="A2:J11">
    <sortCondition descending="1" ref="J2:J1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权益</vt:lpstr>
      <vt:lpstr>成交记录</vt:lpstr>
      <vt:lpstr>Sheet1</vt:lpstr>
      <vt:lpstr>持仓记录</vt:lpstr>
      <vt:lpstr>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2018-01-31T01:41:43Z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a5281842-cfec-4ec0-87b5-0a26ce53f1d6</vt:lpwstr>
  </property>
</Properties>
</file>