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5" i="1" l="1"/>
  <c r="N196" i="1"/>
  <c r="N197" i="1"/>
  <c r="N198" i="1"/>
  <c r="N194" i="1"/>
  <c r="I192" i="1"/>
  <c r="I193" i="1"/>
  <c r="I194" i="1"/>
  <c r="U194" i="1" s="1"/>
  <c r="I195" i="1"/>
  <c r="U195" i="1" s="1"/>
  <c r="I196" i="1"/>
  <c r="I197" i="1"/>
  <c r="I198" i="1"/>
  <c r="I191" i="1"/>
  <c r="U196" i="1"/>
  <c r="U192" i="1"/>
  <c r="N183" i="1"/>
  <c r="N165" i="1"/>
  <c r="N171" i="1"/>
  <c r="U191" i="1"/>
  <c r="U193" i="1"/>
  <c r="U197" i="1"/>
  <c r="U198" i="1"/>
  <c r="I186" i="1"/>
  <c r="I183" i="1"/>
  <c r="I176" i="1"/>
  <c r="I171" i="1"/>
  <c r="G171" i="1"/>
  <c r="I165" i="1"/>
  <c r="S198" i="1"/>
  <c r="S197" i="1"/>
  <c r="S196" i="1"/>
  <c r="S195" i="1"/>
  <c r="S194" i="1"/>
  <c r="S193" i="1" l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3" i="1"/>
  <c r="S27" i="1"/>
  <c r="S26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G190" i="1" l="1"/>
  <c r="G189" i="1"/>
  <c r="U190" i="1" l="1"/>
  <c r="U189" i="1"/>
  <c r="U188" i="1"/>
  <c r="C31" i="2"/>
  <c r="C30" i="2"/>
  <c r="C29" i="2"/>
  <c r="C28" i="2"/>
  <c r="G187" i="1" l="1"/>
  <c r="G185" i="1"/>
  <c r="G184" i="1"/>
  <c r="G182" i="1"/>
  <c r="G181" i="1"/>
  <c r="G180" i="1"/>
  <c r="G179" i="1"/>
  <c r="G178" i="1"/>
  <c r="G177" i="1"/>
  <c r="G175" i="1"/>
  <c r="G174" i="1"/>
  <c r="G173" i="1"/>
  <c r="G172" i="1"/>
  <c r="G170" i="1"/>
  <c r="G169" i="1"/>
  <c r="U187" i="1" l="1"/>
  <c r="U186" i="1"/>
  <c r="U184" i="1"/>
  <c r="U185" i="1"/>
  <c r="U183" i="1"/>
  <c r="U182" i="1"/>
  <c r="U181" i="1"/>
  <c r="U175" i="1"/>
  <c r="U180" i="1"/>
  <c r="U178" i="1"/>
  <c r="U174" i="1"/>
  <c r="U179" i="1"/>
  <c r="U177" i="1"/>
  <c r="U176" i="1"/>
  <c r="U173" i="1"/>
  <c r="G168" i="1"/>
  <c r="G164" i="1"/>
  <c r="U172" i="1" l="1"/>
  <c r="U170" i="1"/>
  <c r="U169" i="1"/>
  <c r="U171" i="1"/>
  <c r="U165" i="1"/>
  <c r="U166" i="1"/>
  <c r="U168" i="1"/>
  <c r="U167" i="1"/>
  <c r="U164" i="1"/>
  <c r="G163" i="1"/>
  <c r="G162" i="1"/>
  <c r="G161" i="1"/>
  <c r="G160" i="1"/>
  <c r="U163" i="1" l="1"/>
  <c r="U162" i="1"/>
  <c r="U161" i="1"/>
  <c r="U160" i="1"/>
  <c r="G159" i="1"/>
  <c r="G158" i="1"/>
  <c r="S25" i="1"/>
  <c r="S34" i="1"/>
  <c r="S28" i="1"/>
  <c r="S29" i="1"/>
  <c r="S30" i="1"/>
  <c r="S31" i="1"/>
  <c r="S32" i="1"/>
  <c r="G157" i="1" l="1"/>
  <c r="G156" i="1"/>
  <c r="G155" i="1"/>
  <c r="G153" i="1"/>
  <c r="G151" i="1"/>
  <c r="M142" i="1"/>
  <c r="M144" i="1"/>
  <c r="M148" i="1"/>
  <c r="M149" i="1"/>
  <c r="G144" i="1"/>
  <c r="G147" i="1"/>
  <c r="G146" i="1"/>
  <c r="G145" i="1"/>
  <c r="G143" i="1"/>
  <c r="G142" i="1"/>
  <c r="U159" i="1" l="1"/>
  <c r="U158" i="1"/>
  <c r="M146" i="1"/>
  <c r="M150" i="1"/>
  <c r="M143" i="1"/>
  <c r="M147" i="1"/>
  <c r="M145" i="1"/>
  <c r="U157" i="1"/>
  <c r="U156" i="1"/>
  <c r="U155" i="1"/>
  <c r="U154" i="1"/>
  <c r="U153" i="1"/>
  <c r="U152" i="1"/>
  <c r="U150" i="1"/>
  <c r="U151" i="1"/>
  <c r="U145" i="1"/>
  <c r="U146" i="1"/>
  <c r="U142" i="1"/>
  <c r="U147" i="1"/>
  <c r="U143" i="1"/>
  <c r="U144" i="1"/>
  <c r="G149" i="1" l="1"/>
  <c r="G148" i="1"/>
  <c r="G140" i="1" l="1"/>
  <c r="M141" i="1" l="1"/>
  <c r="M138" i="1"/>
  <c r="U149" i="1"/>
  <c r="U148" i="1"/>
  <c r="U140" i="1"/>
  <c r="U141" i="1"/>
  <c r="G139" i="1" l="1"/>
  <c r="U139" i="1" l="1"/>
  <c r="G138" i="1"/>
  <c r="U138" i="1" l="1"/>
  <c r="G137" i="1" l="1"/>
  <c r="G136" i="1"/>
  <c r="U137" i="1" l="1"/>
  <c r="U136" i="1"/>
  <c r="G135" i="1"/>
  <c r="G134" i="1"/>
  <c r="M133" i="1" l="1"/>
  <c r="U135" i="1"/>
  <c r="G133" i="1"/>
  <c r="U134" i="1" l="1"/>
  <c r="U133" i="1"/>
  <c r="C27" i="2"/>
  <c r="C26" i="2"/>
  <c r="G132" i="1"/>
  <c r="G131" i="1"/>
  <c r="G129" i="1"/>
  <c r="G128" i="1"/>
  <c r="G127" i="1"/>
  <c r="G126" i="1"/>
  <c r="G125" i="1"/>
  <c r="U128" i="1" l="1"/>
  <c r="U130" i="1"/>
  <c r="U129" i="1"/>
  <c r="U131" i="1"/>
  <c r="U132" i="1"/>
  <c r="U127" i="1"/>
  <c r="U126" i="1"/>
  <c r="G124" i="1"/>
  <c r="G123" i="1"/>
  <c r="G122" i="1"/>
  <c r="G121" i="1"/>
  <c r="M120" i="1"/>
  <c r="G120" i="1"/>
  <c r="M115" i="1" l="1"/>
  <c r="M116" i="1"/>
  <c r="M83" i="1"/>
  <c r="U125" i="1"/>
  <c r="U124" i="1"/>
  <c r="U121" i="1"/>
  <c r="U123" i="1"/>
  <c r="U122" i="1"/>
  <c r="U120" i="1"/>
  <c r="G119" i="1"/>
  <c r="G118" i="1"/>
  <c r="U119" i="1" l="1"/>
  <c r="U118" i="1"/>
  <c r="G117" i="1"/>
  <c r="G114" i="1"/>
  <c r="G113" i="1"/>
  <c r="G112" i="1"/>
  <c r="G111" i="1"/>
  <c r="U117" i="1" l="1"/>
  <c r="U114" i="1"/>
  <c r="M27" i="1"/>
  <c r="U113" i="1"/>
  <c r="U112" i="1"/>
  <c r="G110" i="1"/>
  <c r="U111" i="1" l="1"/>
  <c r="U110" i="1"/>
  <c r="C25" i="2"/>
  <c r="C24" i="2"/>
  <c r="C23" i="2"/>
  <c r="G107" i="1"/>
  <c r="G106" i="1"/>
  <c r="G104" i="1"/>
  <c r="G103" i="1"/>
  <c r="G102" i="1"/>
  <c r="G101" i="1"/>
  <c r="G100" i="1"/>
  <c r="G99" i="1"/>
  <c r="G98" i="1"/>
  <c r="M88" i="1" l="1"/>
  <c r="M26" i="1"/>
  <c r="U109" i="1"/>
  <c r="U108" i="1"/>
  <c r="U107" i="1"/>
  <c r="M81" i="1"/>
  <c r="U106" i="1"/>
  <c r="U105" i="1"/>
  <c r="U104" i="1"/>
  <c r="U103" i="1"/>
  <c r="U102" i="1"/>
  <c r="U101" i="1"/>
  <c r="U88" i="1"/>
  <c r="M34" i="1"/>
  <c r="U100" i="1" l="1"/>
  <c r="U99" i="1"/>
  <c r="U98" i="1"/>
  <c r="U96" i="1"/>
  <c r="U97" i="1"/>
  <c r="M77" i="1"/>
  <c r="U95" i="1"/>
  <c r="U94" i="1"/>
  <c r="G91" i="1"/>
  <c r="G90" i="1"/>
  <c r="M33" i="1" l="1"/>
  <c r="U93" i="1"/>
  <c r="U90" i="1"/>
  <c r="M91" i="1"/>
  <c r="U91" i="1"/>
  <c r="U92" i="1"/>
  <c r="M85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4" i="1"/>
  <c r="M135" i="1"/>
  <c r="M136" i="1"/>
  <c r="M137" i="1"/>
  <c r="M139" i="1"/>
  <c r="M14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87" i="1" l="1"/>
  <c r="M89" i="1"/>
  <c r="U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M82" i="1" l="1"/>
  <c r="M86" i="1"/>
  <c r="M84" i="1"/>
  <c r="U87" i="1"/>
  <c r="U86" i="1"/>
  <c r="U85" i="1"/>
  <c r="U84" i="1"/>
  <c r="C22" i="2"/>
  <c r="U83" i="1" l="1"/>
  <c r="U82" i="1"/>
  <c r="C21" i="2"/>
  <c r="M78" i="1" l="1"/>
  <c r="M80" i="1"/>
  <c r="M79" i="1"/>
  <c r="U79" i="1"/>
  <c r="U80" i="1"/>
  <c r="U81" i="1"/>
  <c r="C18" i="2"/>
  <c r="C19" i="2"/>
  <c r="C20" i="2"/>
  <c r="U78" i="1" l="1"/>
  <c r="U77" i="1"/>
  <c r="M76" i="1"/>
  <c r="M75" i="1"/>
  <c r="M73" i="1"/>
  <c r="M72" i="1"/>
  <c r="M70" i="1"/>
  <c r="J69" i="1" l="1"/>
  <c r="D35" i="1"/>
  <c r="D67" i="1"/>
  <c r="J66" i="1"/>
  <c r="D66" i="1"/>
  <c r="M64" i="1"/>
  <c r="C63" i="1"/>
  <c r="D62" i="1"/>
  <c r="M62" i="1" s="1"/>
  <c r="D60" i="1"/>
  <c r="D59" i="1"/>
  <c r="D58" i="1"/>
  <c r="D56" i="1"/>
  <c r="M49" i="1"/>
  <c r="M51" i="1"/>
  <c r="C38" i="1"/>
  <c r="J37" i="1"/>
  <c r="M47" i="1" l="1"/>
  <c r="M71" i="1"/>
  <c r="M74" i="1"/>
  <c r="U75" i="1"/>
  <c r="U76" i="1"/>
  <c r="U73" i="1"/>
  <c r="U74" i="1"/>
  <c r="M61" i="1"/>
  <c r="M55" i="1"/>
  <c r="M60" i="1"/>
  <c r="U72" i="1"/>
  <c r="M59" i="1"/>
  <c r="M63" i="1"/>
  <c r="M65" i="1"/>
  <c r="M36" i="1"/>
  <c r="M35" i="1"/>
  <c r="M66" i="1"/>
  <c r="M69" i="1"/>
  <c r="M68" i="1"/>
  <c r="M67" i="1"/>
  <c r="M48" i="1"/>
  <c r="M40" i="1"/>
  <c r="M43" i="1"/>
  <c r="M50" i="1"/>
  <c r="M38" i="1"/>
  <c r="M58" i="1"/>
  <c r="M57" i="1"/>
  <c r="M56" i="1"/>
  <c r="M54" i="1"/>
  <c r="M53" i="1"/>
  <c r="M52" i="1"/>
  <c r="M46" i="1"/>
  <c r="M39" i="1"/>
  <c r="M37" i="1"/>
  <c r="C17" i="2"/>
  <c r="C4" i="2"/>
  <c r="M42" i="1" l="1"/>
  <c r="M44" i="1"/>
  <c r="M45" i="1"/>
  <c r="N42" i="1"/>
  <c r="D24" i="1" l="1"/>
  <c r="D23" i="1"/>
  <c r="C23" i="1"/>
  <c r="C3" i="1"/>
  <c r="C4" i="1"/>
  <c r="G4" i="1"/>
  <c r="G17" i="1"/>
  <c r="M18" i="1"/>
  <c r="N20" i="1"/>
  <c r="N19" i="1"/>
  <c r="M14" i="1"/>
  <c r="M15" i="1"/>
  <c r="M16" i="1"/>
  <c r="U44" i="1" l="1"/>
  <c r="M41" i="1"/>
  <c r="U41" i="1"/>
  <c r="U45" i="1"/>
  <c r="U20" i="1"/>
  <c r="M22" i="1"/>
  <c r="U40" i="1"/>
  <c r="U43" i="1"/>
  <c r="U42" i="1"/>
  <c r="M20" i="1"/>
  <c r="U19" i="1"/>
  <c r="M19" i="1"/>
  <c r="N3" i="1"/>
  <c r="G3" i="1"/>
  <c r="N5" i="1"/>
  <c r="G6" i="1"/>
  <c r="G5" i="1"/>
  <c r="U17" i="1" l="1"/>
  <c r="U12" i="1"/>
  <c r="M17" i="1"/>
  <c r="U16" i="1"/>
  <c r="M6" i="1"/>
  <c r="N13" i="1"/>
  <c r="N12" i="1"/>
  <c r="N10" i="1"/>
  <c r="N11" i="1"/>
  <c r="N8" i="1"/>
  <c r="N7" i="1"/>
  <c r="N2" i="1"/>
  <c r="U13" i="1" l="1"/>
  <c r="U14" i="1"/>
  <c r="M12" i="1"/>
  <c r="U15" i="1"/>
  <c r="C3" i="2"/>
  <c r="M11" i="1" l="1"/>
  <c r="U11" i="1"/>
  <c r="M10" i="1"/>
  <c r="M7" i="1"/>
  <c r="C2" i="2"/>
  <c r="M2" i="1" l="1"/>
  <c r="M3" i="1"/>
  <c r="M5" i="1"/>
  <c r="M8" i="1"/>
  <c r="M9" i="1"/>
  <c r="M13" i="1"/>
  <c r="Y1" i="1" l="1"/>
  <c r="X1" i="1"/>
  <c r="U1" i="1"/>
  <c r="V1" i="1"/>
  <c r="E1" i="2"/>
  <c r="G2" i="2" l="1"/>
  <c r="W1" i="1" l="1"/>
  <c r="G3" i="2" l="1"/>
</calcChain>
</file>

<file path=xl/sharedStrings.xml><?xml version="1.0" encoding="utf-8"?>
<sst xmlns="http://schemas.openxmlformats.org/spreadsheetml/2006/main" count="470" uniqueCount="229">
  <si>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</si>
  <si>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</si>
  <si>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</si>
  <si>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</si>
  <si>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</si>
  <si>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</si>
  <si>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</si>
  <si>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</si>
  <si>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</si>
  <si>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</si>
  <si>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</si>
  <si>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</si>
  <si>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</si>
  <si>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</si>
  <si>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</si>
  <si>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</si>
  <si>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</si>
  <si>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</si>
  <si>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</si>
  <si>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</si>
  <si>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</si>
  <si>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</si>
  <si>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</si>
  <si>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</si>
  <si>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</si>
  <si>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</si>
  <si>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</si>
  <si>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</si>
  <si>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</si>
  <si>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</si>
  <si>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</si>
  <si>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</si>
  <si>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</si>
  <si>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</si>
  <si>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</si>
  <si>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</si>
  <si>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</si>
  <si>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</si>
  <si>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</si>
  <si>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</si>
  <si>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</si>
  <si>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</si>
  <si>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</si>
  <si>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</si>
  <si>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</si>
  <si>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</si>
  <si>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</si>
  <si>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</si>
  <si>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</si>
  <si>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</si>
  <si>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</si>
  <si>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</si>
  <si>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</si>
  <si>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</si>
  <si>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</si>
  <si>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</si>
  <si>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</si>
  <si>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</si>
  <si>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</si>
  <si>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</si>
  <si>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</si>
  <si>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</si>
  <si>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</si>
  <si>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</si>
  <si>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</si>
  <si>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</si>
  <si>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</si>
  <si>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</si>
  <si>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</si>
  <si>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</si>
  <si>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</si>
  <si>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</si>
  <si>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</si>
  <si>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</si>
  <si>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</si>
  <si>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</si>
  <si>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</si>
  <si>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</si>
  <si>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</si>
  <si>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</si>
  <si>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</si>
  <si>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</si>
  <si>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</si>
  <si>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</si>
  <si>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</si>
  <si>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</si>
  <si>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</si>
  <si>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</si>
  <si>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</si>
  <si>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</si>
  <si>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</si>
  <si>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</si>
  <si>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</si>
  <si>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</si>
  <si>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</si>
  <si>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</si>
  <si>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</si>
  <si>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</si>
  <si>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</si>
  <si>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</si>
  <si>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</si>
  <si>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</si>
  <si>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</si>
  <si>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</si>
  <si>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</si>
  <si>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</si>
  <si>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</si>
  <si>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</si>
  <si>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</si>
  <si>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</si>
  <si>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</si>
  <si>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</si>
  <si>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</si>
  <si>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</si>
  <si>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</si>
  <si>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</si>
  <si>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</si>
  <si>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</si>
  <si>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</si>
  <si>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</si>
  <si>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</si>
  <si>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</si>
  <si>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</si>
  <si>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</si>
  <si>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</si>
  <si>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</si>
  <si>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</si>
  <si>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</si>
  <si>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</si>
  <si>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</si>
  <si>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</si>
  <si>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</si>
  <si>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</si>
  <si>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</si>
  <si>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</si>
  <si>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</si>
  <si>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</si>
  <si>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</si>
  <si>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</si>
  <si>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</si>
  <si>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</si>
  <si>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</si>
  <si>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</si>
  <si>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</si>
  <si>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</si>
  <si>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</si>
  <si>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</si>
  <si>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</si>
  <si>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</si>
  <si>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</si>
  <si>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</si>
  <si>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</si>
  <si>
    <t>J1805</t>
    <phoneticPr fontId="1" type="noConversion"/>
  </si>
  <si>
    <t>JD1805</t>
    <phoneticPr fontId="1" type="noConversion"/>
  </si>
  <si>
    <t>RM805</t>
    <phoneticPr fontId="1" type="noConversion"/>
  </si>
  <si>
    <t>RB1805</t>
    <phoneticPr fontId="1" type="noConversion"/>
  </si>
  <si>
    <t>M1805</t>
    <phoneticPr fontId="1" type="noConversion"/>
  </si>
  <si>
    <t>HC1805</t>
    <phoneticPr fontId="1" type="noConversion"/>
  </si>
  <si>
    <t>ZC805</t>
    <phoneticPr fontId="1" type="noConversion"/>
  </si>
  <si>
    <t>JM1805</t>
    <phoneticPr fontId="1" type="noConversion"/>
  </si>
  <si>
    <t>IF1803</t>
    <phoneticPr fontId="1" type="noConversion"/>
  </si>
  <si>
    <t>AL1805</t>
    <phoneticPr fontId="1" type="noConversion"/>
  </si>
  <si>
    <t>IC1803</t>
    <phoneticPr fontId="1" type="noConversion"/>
  </si>
  <si>
    <t>CU1803</t>
    <phoneticPr fontId="1" type="noConversion"/>
  </si>
  <si>
    <t>BU1806</t>
    <phoneticPr fontId="1" type="noConversion"/>
  </si>
  <si>
    <t>ZN1805</t>
    <phoneticPr fontId="1" type="noConversion"/>
  </si>
  <si>
    <t>P1805</t>
    <phoneticPr fontId="1" type="noConversion"/>
  </si>
  <si>
    <t>SF805</t>
    <phoneticPr fontId="1" type="noConversion"/>
  </si>
  <si>
    <t>J1805</t>
    <phoneticPr fontId="1" type="noConversion"/>
  </si>
  <si>
    <t>JM1805</t>
    <phoneticPr fontId="1" type="noConversion"/>
  </si>
  <si>
    <t>CU1803</t>
    <phoneticPr fontId="1" type="noConversion"/>
  </si>
  <si>
    <t>MA805</t>
    <phoneticPr fontId="1" type="noConversion"/>
  </si>
  <si>
    <t>IC1803</t>
    <phoneticPr fontId="1" type="noConversion"/>
  </si>
  <si>
    <t>IH1803</t>
    <phoneticPr fontId="1" type="noConversion"/>
  </si>
  <si>
    <t>J1805</t>
    <phoneticPr fontId="1" type="noConversion"/>
  </si>
  <si>
    <t>NI1805</t>
    <phoneticPr fontId="1" type="noConversion"/>
  </si>
  <si>
    <t>RM805</t>
    <phoneticPr fontId="1" type="noConversion"/>
  </si>
  <si>
    <t>JM1805</t>
  </si>
  <si>
    <t>JM1805</t>
    <phoneticPr fontId="1" type="noConversion"/>
  </si>
  <si>
    <t>AU1806</t>
    <phoneticPr fontId="1" type="noConversion"/>
  </si>
  <si>
    <t>BU1806</t>
    <phoneticPr fontId="1" type="noConversion"/>
  </si>
  <si>
    <t>HC1805</t>
    <phoneticPr fontId="1" type="noConversion"/>
  </si>
  <si>
    <t>ZN1805</t>
  </si>
  <si>
    <t>ZN1805</t>
    <phoneticPr fontId="1" type="noConversion"/>
  </si>
  <si>
    <t>TA805</t>
    <phoneticPr fontId="1" type="noConversion"/>
  </si>
  <si>
    <t>SF805</t>
    <phoneticPr fontId="1" type="noConversion"/>
  </si>
  <si>
    <t>ZC805</t>
    <phoneticPr fontId="1" type="noConversion"/>
  </si>
  <si>
    <t>JD1805</t>
  </si>
  <si>
    <t>JD1805</t>
    <phoneticPr fontId="1" type="noConversion"/>
  </si>
  <si>
    <t>J1805</t>
  </si>
  <si>
    <t>IF1803</t>
  </si>
  <si>
    <t>AL1805</t>
  </si>
  <si>
    <t>L1805</t>
  </si>
  <si>
    <t>T1803</t>
  </si>
  <si>
    <t>TF1803</t>
  </si>
  <si>
    <t>分类</t>
    <phoneticPr fontId="1" type="noConversion"/>
  </si>
  <si>
    <t>有色</t>
    <phoneticPr fontId="1" type="noConversion"/>
  </si>
  <si>
    <t>贵金属</t>
    <phoneticPr fontId="1" type="noConversion"/>
  </si>
  <si>
    <t>化工</t>
    <phoneticPr fontId="1" type="noConversion"/>
  </si>
  <si>
    <t>农产品</t>
    <phoneticPr fontId="1" type="noConversion"/>
  </si>
  <si>
    <t>黑色</t>
    <phoneticPr fontId="1" type="noConversion"/>
  </si>
  <si>
    <t>指数</t>
    <phoneticPr fontId="1" type="noConversion"/>
  </si>
  <si>
    <t>国债</t>
    <phoneticPr fontId="1" type="noConversion"/>
  </si>
  <si>
    <t>J1805</t>
    <phoneticPr fontId="1" type="noConversion"/>
  </si>
  <si>
    <t>RB1805</t>
    <phoneticPr fontId="1" type="noConversion"/>
  </si>
  <si>
    <t>P1805</t>
    <phoneticPr fontId="1" type="noConversion"/>
  </si>
  <si>
    <t>IF1803</t>
    <phoneticPr fontId="1" type="noConversion"/>
  </si>
  <si>
    <t>I1805</t>
    <phoneticPr fontId="1" type="noConversion"/>
  </si>
  <si>
    <t>MA805</t>
    <phoneticPr fontId="1" type="noConversion"/>
  </si>
  <si>
    <t>AU1806</t>
    <phoneticPr fontId="1" type="noConversion"/>
  </si>
  <si>
    <t>CS1805</t>
    <phoneticPr fontId="1" type="noConversion"/>
  </si>
  <si>
    <t>AL1805</t>
    <phoneticPr fontId="1" type="noConversion"/>
  </si>
  <si>
    <t>SF805</t>
    <phoneticPr fontId="1" type="noConversion"/>
  </si>
  <si>
    <t>I1805</t>
    <phoneticPr fontId="1" type="noConversion"/>
  </si>
  <si>
    <t>IH1803</t>
    <phoneticPr fontId="1" type="noConversion"/>
  </si>
  <si>
    <t>HC1805</t>
    <phoneticPr fontId="1" type="noConversion"/>
  </si>
  <si>
    <t>RB1805</t>
    <phoneticPr fontId="1" type="noConversion"/>
  </si>
  <si>
    <t>实际仓位</t>
    <phoneticPr fontId="1" type="noConversion"/>
  </si>
  <si>
    <t>初始仓位</t>
    <phoneticPr fontId="1" type="noConversion"/>
  </si>
  <si>
    <t>补仓数</t>
    <phoneticPr fontId="1" type="noConversion"/>
  </si>
  <si>
    <t>补仓日</t>
    <phoneticPr fontId="1" type="noConversion"/>
  </si>
  <si>
    <t>补仓时间</t>
    <phoneticPr fontId="1" type="noConversion"/>
  </si>
  <si>
    <t>补仓价格</t>
    <phoneticPr fontId="1" type="noConversion"/>
  </si>
  <si>
    <t>15:00:00（平错)</t>
    <phoneticPr fontId="1" type="noConversion"/>
  </si>
  <si>
    <t>平错了，记最终时间</t>
    <phoneticPr fontId="1" type="noConversion"/>
  </si>
  <si>
    <t>平错，记最终时间</t>
    <phoneticPr fontId="1" type="noConversion"/>
  </si>
  <si>
    <t>缩减系数</t>
    <phoneticPr fontId="1" type="noConversion"/>
  </si>
  <si>
    <t>全平</t>
    <phoneticPr fontId="1" type="noConversion"/>
  </si>
  <si>
    <t>补仓未平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</si>
</sst>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  <numFmt numFmtId="181" formatCode="h:mm;@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179" fontId="0" fillId="0" borderId="1" xfId="1" applyNumberFormat="1" applyFont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3" xfId="1" applyNumberFormat="1" applyFont="1" applyBorder="1" applyAlignment="1">
      <alignment horizontal="center"/>
    </xf>
    <xf numFmtId="179" fontId="0" fillId="0" borderId="0" xfId="1" applyNumberFormat="1" applyFont="1" applyBorder="1" applyAlignment="1">
      <alignment horizontal="center"/>
    </xf>
    <xf numFmtId="179" fontId="0" fillId="0" borderId="2" xfId="1" applyNumberFormat="1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0.97484548400000004</c:v>
                </c:pt>
                <c:pt idx="25">
                  <c:v>0.97710112799999993</c:v>
                </c:pt>
                <c:pt idx="26">
                  <c:v>0.97533999199999999</c:v>
                </c:pt>
                <c:pt idx="27">
                  <c:v>0.97128279100000003</c:v>
                </c:pt>
                <c:pt idx="28">
                  <c:v>0.97321309099999997</c:v>
                </c:pt>
                <c:pt idx="29">
                  <c:v>0.97120030000000002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21040"/>
        <c:axId val="560821600"/>
      </c:lineChart>
      <c:dateAx>
        <c:axId val="560821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21600"/>
        <c:crosses val="autoZero"/>
        <c:auto val="1"/>
        <c:lblOffset val="100"/>
        <c:baseTimeUnit val="days"/>
      </c:dateAx>
      <c:valAx>
        <c:axId val="5608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权益!$A$22:$A$31</c:f>
              <c:numCache>
                <c:formatCode>m/d/yyyy</c:formatCode>
                <c:ptCount val="10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  <c:pt idx="4">
                  <c:v>43126</c:v>
                </c:pt>
                <c:pt idx="5">
                  <c:v>43129</c:v>
                </c:pt>
                <c:pt idx="6">
                  <c:v>43130</c:v>
                </c:pt>
                <c:pt idx="7">
                  <c:v>43131</c:v>
                </c:pt>
                <c:pt idx="8">
                  <c:v>43132</c:v>
                </c:pt>
                <c:pt idx="9">
                  <c:v>43133</c:v>
                </c:pt>
              </c:numCache>
            </c:numRef>
          </c:cat>
          <c:val>
            <c:numRef>
              <c:f>权益!$B$22:$B$31</c:f>
              <c:numCache>
                <c:formatCode>_ * #,##0_ ;_ * \-#,##0_ ;_ * "-"??_ ;_ @_ </c:formatCode>
                <c:ptCount val="10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  <c:pt idx="4">
                  <c:v>9748454.8399999999</c:v>
                </c:pt>
                <c:pt idx="5">
                  <c:v>9771011.2799999993</c:v>
                </c:pt>
                <c:pt idx="6">
                  <c:v>9753399.9199999999</c:v>
                </c:pt>
                <c:pt idx="7">
                  <c:v>9712827.9100000001</c:v>
                </c:pt>
                <c:pt idx="8">
                  <c:v>9732130.9100000001</c:v>
                </c:pt>
                <c:pt idx="9">
                  <c:v>9712003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23840"/>
        <c:axId val="560824400"/>
      </c:lineChart>
      <c:dateAx>
        <c:axId val="56082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24400"/>
        <c:crosses val="autoZero"/>
        <c:auto val="1"/>
        <c:lblOffset val="100"/>
        <c:baseTimeUnit val="days"/>
      </c:dateAx>
      <c:valAx>
        <c:axId val="5608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14" activePane="bottomLeft" state="frozen"/>
      <selection pane="bottomLeft" activeCell="F25" sqref="F25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18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11</v>
      </c>
      <c r="G2" s="9">
        <f>成交记录!V1/成交记录!U1</f>
        <v>0.25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12</v>
      </c>
      <c r="G3" s="29">
        <f>成交记录!X1/成交记录!Y1</f>
        <v>0.79494511889182973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5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9748454.8399999999</v>
      </c>
      <c r="C26" s="56">
        <f t="shared" ref="C26:C31" si="1">B26/$B$2</f>
        <v>0.97484548400000004</v>
      </c>
    </row>
    <row r="27" spans="1:3">
      <c r="A27" s="2">
        <v>43129</v>
      </c>
      <c r="B27" s="39">
        <v>9771011.2799999993</v>
      </c>
      <c r="C27" s="15">
        <f t="shared" si="1"/>
        <v>0.97710112799999993</v>
      </c>
    </row>
    <row r="28" spans="1:3">
      <c r="A28" s="2">
        <v>43130</v>
      </c>
      <c r="B28" s="39">
        <v>9753399.9199999999</v>
      </c>
      <c r="C28" s="15">
        <f t="shared" si="1"/>
        <v>0.97533999199999999</v>
      </c>
    </row>
    <row r="29" spans="1:3">
      <c r="A29" s="2">
        <v>43131</v>
      </c>
      <c r="B29" s="39">
        <v>9712827.9100000001</v>
      </c>
      <c r="C29" s="15">
        <f t="shared" si="1"/>
        <v>0.97128279100000003</v>
      </c>
    </row>
    <row r="30" spans="1:3">
      <c r="A30" s="2">
        <v>43132</v>
      </c>
      <c r="B30" s="39">
        <v>9732130.9100000001</v>
      </c>
      <c r="C30" s="15">
        <f t="shared" si="1"/>
        <v>0.97321309099999997</v>
      </c>
    </row>
    <row r="31" spans="1:3">
      <c r="A31" s="2">
        <v>43133</v>
      </c>
      <c r="B31" s="39">
        <v>9712003</v>
      </c>
      <c r="C31" s="15">
        <f t="shared" si="1"/>
        <v>0.97120030000000002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70"/>
  <sheetViews>
    <sheetView tabSelected="1" workbookViewId="0">
      <pane ySplit="1" topLeftCell="A180" activePane="bottomLeft" state="frozen"/>
      <selection pane="bottomLeft" activeCell="A200" sqref="A200"/>
    </sheetView>
  </sheetViews>
  <sheetFormatPr defaultRowHeight="13.5"/>
  <cols>
    <col min="1" max="1" width="9.875" style="1" customWidth="1"/>
    <col min="2" max="2" width="10.25" style="1" customWidth="1"/>
    <col min="3" max="3" width="7" style="1" customWidth="1"/>
    <col min="4" max="4" width="10.875" style="1" customWidth="1"/>
    <col min="5" max="5" width="11.375" style="1" customWidth="1"/>
    <col min="6" max="6" width="8.875" style="1" customWidth="1"/>
    <col min="7" max="7" width="9.875" style="31" customWidth="1"/>
    <col min="8" max="8" width="9.875" style="67" customWidth="1"/>
    <col min="9" max="9" width="6.875" style="31" customWidth="1"/>
    <col min="10" max="10" width="8.875" style="1" customWidth="1"/>
    <col min="11" max="11" width="11.625" style="1" bestFit="1" customWidth="1"/>
    <col min="12" max="12" width="15.125" style="1" customWidth="1"/>
    <col min="13" max="13" width="10.25" style="1" customWidth="1"/>
    <col min="14" max="14" width="5" style="1" customWidth="1"/>
    <col min="15" max="15" width="9" style="1"/>
    <col min="16" max="16" width="8.75" customWidth="1"/>
    <col min="17" max="17" width="7.625" customWidth="1"/>
    <col min="18" max="18" width="7.5" customWidth="1"/>
    <col min="19" max="19" width="6.125" style="12" customWidth="1"/>
    <col min="20" max="20" width="8.625" customWidth="1"/>
    <col min="21" max="21" width="9" style="1"/>
  </cols>
  <sheetData>
    <row r="1" spans="1:26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114</v>
      </c>
      <c r="F1" s="3" t="s">
        <v>49</v>
      </c>
      <c r="G1" s="32" t="s">
        <v>218</v>
      </c>
      <c r="H1" s="66" t="s">
        <v>226</v>
      </c>
      <c r="I1" s="32" t="s">
        <v>217</v>
      </c>
      <c r="J1" s="3" t="s">
        <v>6</v>
      </c>
      <c r="K1" s="3" t="s">
        <v>20</v>
      </c>
      <c r="L1" s="24" t="s">
        <v>50</v>
      </c>
      <c r="M1" s="24" t="s">
        <v>4</v>
      </c>
      <c r="N1" s="3" t="s">
        <v>219</v>
      </c>
      <c r="O1" s="3" t="s">
        <v>222</v>
      </c>
      <c r="P1" s="4" t="s">
        <v>220</v>
      </c>
      <c r="Q1" s="4" t="s">
        <v>221</v>
      </c>
      <c r="S1" s="10" t="s">
        <v>7</v>
      </c>
      <c r="T1" s="13"/>
      <c r="U1" s="10">
        <f>COUNT(M2:M9987)</f>
        <v>172</v>
      </c>
      <c r="V1" s="13">
        <f>COUNTIF(M2:M9987,"&gt;0")</f>
        <v>43</v>
      </c>
      <c r="W1" s="13">
        <f>COUNTIF(M2:M9987,"&lt;0")</f>
        <v>127</v>
      </c>
      <c r="X1" s="13">
        <f>SUMIF(M2:M9987,"&gt;0")</f>
        <v>601841.54999999993</v>
      </c>
      <c r="Y1" s="13">
        <f>ABS(SUMIF(M2:M9987,"&lt;0"))</f>
        <v>757085.66000000073</v>
      </c>
      <c r="Z1" s="13"/>
    </row>
    <row r="2" spans="1:26" ht="14.25">
      <c r="A2" s="2">
        <v>43094</v>
      </c>
      <c r="B2" s="1" t="s">
        <v>13</v>
      </c>
      <c r="C2" s="1">
        <v>-26</v>
      </c>
      <c r="D2" s="1">
        <v>3833.23</v>
      </c>
      <c r="G2" s="31">
        <v>1.49E-2</v>
      </c>
      <c r="J2" s="1">
        <v>3887</v>
      </c>
      <c r="K2" s="2">
        <v>43096</v>
      </c>
      <c r="L2" s="2"/>
      <c r="M2" s="30">
        <f>IF(J2="","",C2*(J2-D2)*S2)</f>
        <v>-13980.199999999995</v>
      </c>
      <c r="N2" s="1">
        <f>K2-$A$2</f>
        <v>2</v>
      </c>
      <c r="S2" s="11">
        <f>[1]!WSD($B2,"contractmultiplier",$A$2,$A$2,"TradingCalendar=SSE","rptType=1","ShowCodes=N","ShowDates=N","ShowParams=Y","cols=1;rows=1")</f>
        <v>10</v>
      </c>
      <c r="U2" s="12" t="s">
        <v>121</v>
      </c>
      <c r="V2" s="14" t="s">
        <v>122</v>
      </c>
      <c r="W2" s="14" t="s">
        <v>123</v>
      </c>
      <c r="X2" s="14" t="s">
        <v>124</v>
      </c>
      <c r="Y2" s="14" t="s">
        <v>125</v>
      </c>
      <c r="Z2" s="14" t="s">
        <v>126</v>
      </c>
    </row>
    <row r="3" spans="1:26" ht="14.25">
      <c r="B3" s="1" t="s">
        <v>14</v>
      </c>
      <c r="C3" s="1">
        <f>-26*0.5</f>
        <v>-13</v>
      </c>
      <c r="D3" s="1">
        <v>3793.85</v>
      </c>
      <c r="G3" s="31">
        <f>1.48%*0.5</f>
        <v>7.4000000000000003E-3</v>
      </c>
      <c r="J3" s="1">
        <v>3761</v>
      </c>
      <c r="K3" s="2">
        <v>43096</v>
      </c>
      <c r="L3" s="2"/>
      <c r="M3" s="30">
        <f>IF(J3="","",C3*(J3-D3)*S3)</f>
        <v>4270.4999999999882</v>
      </c>
      <c r="N3" s="1">
        <f>K3-$A$2</f>
        <v>2</v>
      </c>
      <c r="S3" s="11">
        <f>[1]!WSD($B3,"contractmultiplier",$A$2,$A$2,"TradingCalendar=SSE","rptType=1","ShowCodes=N","ShowDates=N","ShowParams=Y","cols=1;rows=1")</f>
        <v>10</v>
      </c>
      <c r="U3" s="12"/>
      <c r="V3" s="14"/>
      <c r="W3" s="14"/>
      <c r="X3" s="14"/>
      <c r="Y3" s="14"/>
      <c r="Z3" s="14"/>
    </row>
    <row r="4" spans="1:26" ht="14.25">
      <c r="B4" s="1" t="s">
        <v>14</v>
      </c>
      <c r="C4" s="1">
        <f>-26*0.5</f>
        <v>-13</v>
      </c>
      <c r="D4" s="1">
        <v>3793.85</v>
      </c>
      <c r="G4" s="31">
        <f>1.48%*0.5</f>
        <v>7.4000000000000003E-3</v>
      </c>
      <c r="M4" s="30"/>
      <c r="S4" s="11">
        <f>[1]!WSD($B4,"contractmultiplier",$A$2,$A$2,"TradingCalendar=SSE","rptType=1","ShowCodes=N","ShowDates=N","ShowParams=Y","cols=1;rows=1")</f>
        <v>10</v>
      </c>
      <c r="U4" s="12"/>
      <c r="V4" s="14"/>
      <c r="W4" s="14"/>
      <c r="X4" s="14"/>
      <c r="Y4" s="14"/>
      <c r="Z4" s="14"/>
    </row>
    <row r="5" spans="1:26" ht="14.25">
      <c r="A5" s="2"/>
      <c r="B5" s="1" t="s">
        <v>15</v>
      </c>
      <c r="C5" s="1">
        <v>-2</v>
      </c>
      <c r="D5" s="1">
        <v>2009.3</v>
      </c>
      <c r="G5" s="31">
        <f>1.51%*2/5</f>
        <v>6.0400000000000002E-3</v>
      </c>
      <c r="J5" s="1">
        <v>1979</v>
      </c>
      <c r="K5" s="2">
        <v>43096</v>
      </c>
      <c r="L5" s="2"/>
      <c r="M5" s="30">
        <f t="shared" ref="M5:M20" si="0">IF(J5="","",C5*(J5-D5)*S5)</f>
        <v>6059.9999999999909</v>
      </c>
      <c r="N5" s="1">
        <f>K5-$A$2</f>
        <v>2</v>
      </c>
      <c r="S5" s="11">
        <f>[1]!WSD($B5,"contractmultiplier",$A$2,$A$2,"TradingCalendar=SSE","rptType=1","ShowCodes=N","ShowDates=N","ShowParams=Y","cols=1;rows=1")</f>
        <v>100</v>
      </c>
      <c r="U5" s="12"/>
      <c r="V5" s="14"/>
      <c r="W5" s="14"/>
      <c r="X5" s="14"/>
      <c r="Y5" s="14"/>
      <c r="Z5" s="14"/>
    </row>
    <row r="6" spans="1:26" ht="14.25">
      <c r="A6" s="2"/>
      <c r="B6" s="1" t="s">
        <v>15</v>
      </c>
      <c r="C6" s="1">
        <v>-3</v>
      </c>
      <c r="D6" s="1">
        <v>2009.3</v>
      </c>
      <c r="G6" s="31">
        <f>1.51%*3/5</f>
        <v>9.0600000000000003E-3</v>
      </c>
      <c r="J6" s="1">
        <v>1966.5</v>
      </c>
      <c r="K6" s="2">
        <v>43096</v>
      </c>
      <c r="L6" s="2"/>
      <c r="M6" s="30">
        <f t="shared" si="0"/>
        <v>12839.999999999985</v>
      </c>
      <c r="S6" s="11">
        <f>[1]!WSD($B6,"contractmultiplier",$A$2,$A$2,"TradingCalendar=SSE","rptType=1","ShowCodes=N","ShowDates=N","ShowParams=Y","cols=1;rows=1")</f>
        <v>100</v>
      </c>
      <c r="U6" s="12"/>
      <c r="V6" s="14"/>
      <c r="W6" s="14"/>
      <c r="X6" s="14"/>
      <c r="Y6" s="14"/>
      <c r="Z6" s="14"/>
    </row>
    <row r="7" spans="1:26" ht="14.25">
      <c r="A7" s="1" t="s">
        <v>30</v>
      </c>
      <c r="B7" s="1" t="s">
        <v>16</v>
      </c>
      <c r="C7" s="1">
        <v>-31</v>
      </c>
      <c r="D7" s="1">
        <v>6540</v>
      </c>
      <c r="G7" s="31">
        <v>1.52E-2</v>
      </c>
      <c r="J7" s="1">
        <v>6700</v>
      </c>
      <c r="K7" s="2">
        <v>43095</v>
      </c>
      <c r="L7" s="2"/>
      <c r="M7" s="30">
        <f t="shared" si="0"/>
        <v>-24800</v>
      </c>
      <c r="N7" s="1">
        <f t="shared" ref="N7" si="1">K7-$A$2</f>
        <v>1</v>
      </c>
      <c r="S7" s="11">
        <f>[1]!WSD($B7,"contractmultiplier",$A$2,$A$2,"TradingCalendar=SSE","rptType=1","ShowCodes=N","ShowDates=N","ShowParams=Y","cols=1;rows=1")</f>
        <v>5</v>
      </c>
      <c r="U7" s="12"/>
      <c r="V7" s="14"/>
      <c r="W7" s="14"/>
      <c r="X7" s="14"/>
      <c r="Y7" s="14"/>
      <c r="Z7" s="14"/>
    </row>
    <row r="8" spans="1:26" ht="14.25">
      <c r="A8" s="2">
        <v>43095</v>
      </c>
      <c r="B8" s="1" t="s">
        <v>17</v>
      </c>
      <c r="C8" s="1">
        <v>-25</v>
      </c>
      <c r="D8" s="1">
        <v>9570</v>
      </c>
      <c r="G8" s="31">
        <v>1.7000000000000001E-2</v>
      </c>
      <c r="J8" s="1">
        <v>9815</v>
      </c>
      <c r="K8" s="2">
        <v>43095</v>
      </c>
      <c r="L8" s="2"/>
      <c r="M8" s="30">
        <f t="shared" si="0"/>
        <v>-30625</v>
      </c>
      <c r="N8" s="1">
        <f>K8-$A$8</f>
        <v>0</v>
      </c>
      <c r="S8" s="11">
        <f>[1]!WSD($B8,"contractmultiplier",$A$2,$A$2,"TradingCalendar=SSE","rptType=1","ShowCodes=N","ShowDates=N","ShowParams=Y","cols=1;rows=1")</f>
        <v>5</v>
      </c>
      <c r="U8" s="12"/>
      <c r="V8" s="14"/>
      <c r="W8" s="14"/>
      <c r="X8" s="14"/>
      <c r="Y8" s="14"/>
      <c r="Z8" s="14"/>
    </row>
    <row r="9" spans="1:26" ht="14.25">
      <c r="B9" s="1" t="s">
        <v>18</v>
      </c>
      <c r="C9" s="1">
        <v>8</v>
      </c>
      <c r="D9" s="6">
        <v>14305</v>
      </c>
      <c r="E9" s="6"/>
      <c r="F9" s="6"/>
      <c r="G9" s="31">
        <v>1.7000000000000001E-2</v>
      </c>
      <c r="J9" s="1">
        <v>14160</v>
      </c>
      <c r="K9" s="2">
        <v>43096</v>
      </c>
      <c r="L9" s="2"/>
      <c r="M9" s="30">
        <f t="shared" si="0"/>
        <v>-11600</v>
      </c>
      <c r="S9" s="11">
        <f>[1]!WSD($B9,"contractmultiplier",$A$2,$A$2,"TradingCalendar=SSE","rptType=1","ShowCodes=N","ShowDates=N","ShowParams=Y","cols=1;rows=1")</f>
        <v>10</v>
      </c>
      <c r="U9" s="12"/>
      <c r="V9" s="14"/>
      <c r="W9" s="14"/>
      <c r="X9" s="14"/>
      <c r="Y9" s="14"/>
      <c r="Z9" s="14"/>
    </row>
    <row r="10" spans="1:26" ht="14.25">
      <c r="B10" s="1" t="s">
        <v>19</v>
      </c>
      <c r="C10" s="1">
        <v>37</v>
      </c>
      <c r="D10" s="6">
        <v>2900</v>
      </c>
      <c r="E10" s="6"/>
      <c r="F10" s="6"/>
      <c r="G10" s="31">
        <v>1.6E-2</v>
      </c>
      <c r="J10" s="1">
        <v>2891</v>
      </c>
      <c r="K10" s="2">
        <v>43095</v>
      </c>
      <c r="L10" s="2"/>
      <c r="M10" s="30">
        <f t="shared" si="0"/>
        <v>-3330</v>
      </c>
      <c r="N10" s="1">
        <f t="shared" ref="N10:N11" si="2">K10-$A$8</f>
        <v>0</v>
      </c>
      <c r="S10" s="11">
        <f>[1]!WSD($B10,"contractmultiplier",$A$2,$A$2,"TradingCalendar=SSE","rptType=1","ShowCodes=N","ShowDates=N","ShowParams=Y","cols=1;rows=1")</f>
        <v>10</v>
      </c>
    </row>
    <row r="11" spans="1:26" ht="14.25">
      <c r="A11" s="2"/>
      <c r="B11" s="1" t="s">
        <v>19</v>
      </c>
      <c r="C11" s="1">
        <v>-36</v>
      </c>
      <c r="D11" s="1">
        <v>2870</v>
      </c>
      <c r="G11" s="31">
        <v>1.4999999999999999E-2</v>
      </c>
      <c r="J11" s="1">
        <v>2884</v>
      </c>
      <c r="K11" s="2">
        <v>43095</v>
      </c>
      <c r="L11" s="2"/>
      <c r="M11" s="30">
        <f t="shared" si="0"/>
        <v>-5040</v>
      </c>
      <c r="N11" s="1">
        <f t="shared" si="2"/>
        <v>0</v>
      </c>
      <c r="S11" s="11">
        <f>[1]!WSD($B11,"contractmultiplier",$A$2,$A$2,"TradingCalendar=SSE","rptType=1","ShowCodes=N","ShowDates=N","ShowParams=Y","cols=1;rows=1")</f>
        <v>10</v>
      </c>
      <c r="T11">
        <v>9920000</v>
      </c>
      <c r="U11" s="1">
        <f>T11*G11/(D11*S11*0.15)</f>
        <v>34.564459930313589</v>
      </c>
    </row>
    <row r="12" spans="1:26" ht="14.25">
      <c r="A12" s="2">
        <v>43096</v>
      </c>
      <c r="B12" s="1" t="s">
        <v>21</v>
      </c>
      <c r="C12" s="1">
        <v>45</v>
      </c>
      <c r="D12" s="1">
        <v>2121</v>
      </c>
      <c r="G12" s="31">
        <v>1.4999999999999999E-2</v>
      </c>
      <c r="J12" s="1">
        <v>2116</v>
      </c>
      <c r="K12" s="2">
        <v>43096</v>
      </c>
      <c r="L12" s="2"/>
      <c r="M12" s="30">
        <f t="shared" si="0"/>
        <v>-2250</v>
      </c>
      <c r="N12" s="1">
        <f>K12-$A$12</f>
        <v>0</v>
      </c>
      <c r="S12" s="11">
        <f>[1]!WSD($B12,"contractmultiplier",$A$2,$A$2,"TradingCalendar=SSE","rptType=1","ShowCodes=N","ShowDates=N","ShowParams=Y","cols=1;rows=1")</f>
        <v>10</v>
      </c>
      <c r="T12">
        <v>9913478</v>
      </c>
      <c r="U12" s="1">
        <f>T12*G12/(D12*S12*0.15)</f>
        <v>46.739641678453552</v>
      </c>
    </row>
    <row r="13" spans="1:26" ht="14.25">
      <c r="B13" s="1" t="s">
        <v>21</v>
      </c>
      <c r="C13" s="1">
        <v>46</v>
      </c>
      <c r="D13" s="1">
        <v>2124</v>
      </c>
      <c r="G13" s="31">
        <v>1.4999999999999999E-2</v>
      </c>
      <c r="J13" s="1">
        <v>2115</v>
      </c>
      <c r="K13" s="2">
        <v>43096</v>
      </c>
      <c r="L13" s="2"/>
      <c r="M13" s="30">
        <f t="shared" si="0"/>
        <v>-4140</v>
      </c>
      <c r="N13" s="1">
        <f t="shared" ref="N13" si="3">K13-$A$12</f>
        <v>0</v>
      </c>
      <c r="S13" s="11">
        <f>[1]!WSD($B13,"contractmultiplier",$A$2,$A$2,"TradingCalendar=SSE","rptType=1","ShowCodes=N","ShowDates=N","ShowParams=Y","cols=1;rows=1")</f>
        <v>10</v>
      </c>
      <c r="U13" s="1">
        <f t="shared" ref="U13:U16" si="4">T13*G13/(D13*S13*0.15)</f>
        <v>0</v>
      </c>
    </row>
    <row r="14" spans="1:26" ht="14.25">
      <c r="A14" s="2"/>
      <c r="B14" s="1" t="s">
        <v>19</v>
      </c>
      <c r="C14" s="1">
        <v>-35</v>
      </c>
      <c r="D14" s="1">
        <v>2864</v>
      </c>
      <c r="G14" s="31">
        <v>1.4999999999999999E-2</v>
      </c>
      <c r="M14" s="30" t="str">
        <f t="shared" si="0"/>
        <v/>
      </c>
      <c r="S14" s="11">
        <f>[1]!WSD($B14,"contractmultiplier",$A$2,$A$2,"TradingCalendar=SSE","rptType=1","ShowCodes=N","ShowDates=N","ShowParams=Y","cols=1;rows=1")</f>
        <v>10</v>
      </c>
      <c r="U14" s="1">
        <f t="shared" si="4"/>
        <v>0</v>
      </c>
    </row>
    <row r="15" spans="1:26" ht="14.25">
      <c r="A15" s="2"/>
      <c r="B15" s="1" t="s">
        <v>22</v>
      </c>
      <c r="C15" s="1">
        <v>-50</v>
      </c>
      <c r="D15" s="1">
        <v>6585</v>
      </c>
      <c r="G15" s="31">
        <v>2.5000000000000001E-2</v>
      </c>
      <c r="M15" s="30" t="str">
        <f t="shared" si="0"/>
        <v/>
      </c>
      <c r="S15" s="11">
        <f>[1]!WSD($B15,"contractmultiplier",$A$2,$A$2,"TradingCalendar=SSE","rptType=1","ShowCodes=N","ShowDates=N","ShowParams=Y","cols=1;rows=1")</f>
        <v>5</v>
      </c>
      <c r="T15">
        <v>9918000</v>
      </c>
      <c r="U15" s="1">
        <f t="shared" si="4"/>
        <v>50.205011389521637</v>
      </c>
    </row>
    <row r="16" spans="1:26" ht="14.25">
      <c r="B16" s="1" t="s">
        <v>15</v>
      </c>
      <c r="C16" s="1">
        <v>-3</v>
      </c>
      <c r="D16" s="1">
        <v>1977.5</v>
      </c>
      <c r="G16" s="31">
        <v>8.9999999999999993E-3</v>
      </c>
      <c r="M16" s="30" t="str">
        <f t="shared" si="0"/>
        <v/>
      </c>
      <c r="S16" s="11">
        <f>[1]!WSD($B16,"contractmultiplier",$A$2,$A$2,"TradingCalendar=SSE","rptType=1","ShowCodes=N","ShowDates=N","ShowParams=Y","cols=1;rows=1")</f>
        <v>100</v>
      </c>
      <c r="U16" s="1">
        <f t="shared" si="4"/>
        <v>0</v>
      </c>
    </row>
    <row r="17" spans="1:21" ht="14.25">
      <c r="B17" s="1" t="s">
        <v>31</v>
      </c>
      <c r="C17" s="1">
        <v>6</v>
      </c>
      <c r="D17" s="1">
        <v>95370</v>
      </c>
      <c r="G17" s="31">
        <f>2.9%*6/20</f>
        <v>8.6999999999999994E-3</v>
      </c>
      <c r="J17" s="1">
        <v>97250</v>
      </c>
      <c r="K17" s="2">
        <v>43097</v>
      </c>
      <c r="L17" s="2"/>
      <c r="M17" s="30">
        <f t="shared" si="0"/>
        <v>11280</v>
      </c>
      <c r="S17" s="11">
        <f>[1]!WSD($B17,"contractmultiplier",$A$2,$A$2,"TradingCalendar=SSE","rptType=1","ShowCodes=N","ShowDates=N","ShowParams=Y","cols=1;rows=1")</f>
        <v>1</v>
      </c>
      <c r="T17">
        <v>9908000</v>
      </c>
      <c r="U17" s="1">
        <f>T17*G17/(D17*S17*0.15)</f>
        <v>6.0256265072874067</v>
      </c>
    </row>
    <row r="18" spans="1:21" ht="14.25">
      <c r="B18" s="1" t="s">
        <v>31</v>
      </c>
      <c r="C18" s="1">
        <v>14</v>
      </c>
      <c r="D18" s="1">
        <v>95370</v>
      </c>
      <c r="G18" s="31">
        <v>2.9000000000000001E-2</v>
      </c>
      <c r="K18" s="2"/>
      <c r="L18" s="2"/>
      <c r="M18" s="30" t="str">
        <f t="shared" si="0"/>
        <v/>
      </c>
      <c r="S18" s="11">
        <f>[1]!WSD($B18,"contractmultiplier",$A$2,$A$2,"TradingCalendar=SSE","rptType=1","ShowCodes=N","ShowDates=N","ShowParams=Y","cols=1;rows=1")</f>
        <v>1</v>
      </c>
    </row>
    <row r="19" spans="1:21" ht="14.25">
      <c r="A19" s="2">
        <v>43097</v>
      </c>
      <c r="B19" s="1" t="s">
        <v>33</v>
      </c>
      <c r="C19" s="1">
        <v>7</v>
      </c>
      <c r="D19" s="1">
        <v>14215</v>
      </c>
      <c r="G19" s="31">
        <v>1.4E-2</v>
      </c>
      <c r="J19" s="1">
        <v>14140</v>
      </c>
      <c r="K19" s="2">
        <v>43097</v>
      </c>
      <c r="L19" s="2"/>
      <c r="M19" s="30">
        <f t="shared" si="0"/>
        <v>-5250</v>
      </c>
      <c r="N19" s="1">
        <f>K19-$A$19</f>
        <v>0</v>
      </c>
      <c r="S19" s="11">
        <f>[1]!WSD($B19,"contractmultiplier",$A$2,$A$2,"TradingCalendar=SSE","rptType=1","ShowCodes=N","ShowDates=N","ShowParams=Y","cols=1;rows=1")</f>
        <v>10</v>
      </c>
      <c r="U19" s="1">
        <f>T20*G20/(D20*S20*0.15)</f>
        <v>98.879693486590043</v>
      </c>
    </row>
    <row r="20" spans="1:21" ht="14.25">
      <c r="B20" s="1" t="s">
        <v>32</v>
      </c>
      <c r="C20" s="1">
        <v>-98</v>
      </c>
      <c r="D20" s="1">
        <v>2610</v>
      </c>
      <c r="G20" s="31">
        <v>3.9E-2</v>
      </c>
      <c r="J20" s="1">
        <v>2626</v>
      </c>
      <c r="K20" s="2">
        <v>43097</v>
      </c>
      <c r="L20" s="2"/>
      <c r="M20" s="30">
        <f t="shared" si="0"/>
        <v>-15680</v>
      </c>
      <c r="N20" s="1">
        <f>K20-$A$19</f>
        <v>0</v>
      </c>
      <c r="S20" s="11">
        <f>[1]!WSD($B20,"contractmultiplier",$A$2,$A$2,"TradingCalendar=SSE","rptType=1","ShowCodes=N","ShowDates=N","ShowParams=Y","cols=1;rows=1")</f>
        <v>10</v>
      </c>
      <c r="T20">
        <v>9926000</v>
      </c>
      <c r="U20" s="1">
        <f>T21*G21/(D21*S21*0.15)</f>
        <v>59.353241694221374</v>
      </c>
    </row>
    <row r="21" spans="1:21" ht="14.25">
      <c r="B21" s="1" t="s">
        <v>34</v>
      </c>
      <c r="C21" s="1">
        <v>59</v>
      </c>
      <c r="D21" s="1">
        <v>2117</v>
      </c>
      <c r="G21" s="31">
        <v>1.9E-2</v>
      </c>
      <c r="M21" s="30"/>
      <c r="S21" s="11">
        <f>[1]!WSD($B21,"contractmultiplier",$A$2,$A$2,"TradingCalendar=SSE","rptType=1","ShowCodes=N","ShowDates=N","ShowParams=Y","cols=1;rows=1")</f>
        <v>10</v>
      </c>
      <c r="T21">
        <v>9919801</v>
      </c>
    </row>
    <row r="22" spans="1:21" ht="14.25">
      <c r="A22" s="2">
        <v>43098</v>
      </c>
      <c r="B22" s="1" t="s">
        <v>32</v>
      </c>
      <c r="C22" s="1">
        <v>-20</v>
      </c>
      <c r="D22" s="1">
        <v>2618</v>
      </c>
      <c r="J22" s="1">
        <v>2626</v>
      </c>
      <c r="K22" s="2">
        <v>43098</v>
      </c>
      <c r="L22" s="2"/>
      <c r="M22" s="30">
        <f>IF(J22="","",C22*(J22-D22)*S22)</f>
        <v>-1600</v>
      </c>
      <c r="S22" s="11">
        <f>[1]!WSD($B22,"contractmultiplier",$A$2,$A$2,"TradingCalendar=SSE","rptType=1","ShowCodes=N","ShowDates=N","ShowParams=Y","cols=1;rows=1")</f>
        <v>10</v>
      </c>
    </row>
    <row r="23" spans="1:21" ht="14.25">
      <c r="A23" s="2"/>
      <c r="B23" s="1" t="s">
        <v>35</v>
      </c>
      <c r="C23" s="1">
        <f>2+2+2+4+10+10+8+2+2+6+2+6+4+10</f>
        <v>70</v>
      </c>
      <c r="D23" s="1">
        <f>5502*1/7+5504*5/7+5506*1/7</f>
        <v>5504</v>
      </c>
      <c r="M23" s="30"/>
      <c r="S23" s="11">
        <f>[1]!WSD($B23,"contractmultiplier",$A$2,$A$2,"TradingCalendar=SSE","rptType=1","ShowCodes=N","ShowDates=N","ShowParams=Y","cols=1;rows=1")</f>
        <v>5</v>
      </c>
    </row>
    <row r="24" spans="1:21" ht="15" thickBot="1">
      <c r="A24" s="52"/>
      <c r="B24" s="48" t="s">
        <v>59</v>
      </c>
      <c r="C24" s="48">
        <v>22</v>
      </c>
      <c r="D24" s="48">
        <f>1332*5/22+1331.5*5/22</f>
        <v>605.34090909090912</v>
      </c>
      <c r="E24" s="48"/>
      <c r="F24" s="48"/>
      <c r="G24" s="50"/>
      <c r="H24" s="68"/>
      <c r="I24" s="50"/>
      <c r="J24" s="48"/>
      <c r="K24" s="48"/>
      <c r="L24" s="48"/>
      <c r="M24" s="54"/>
      <c r="N24" s="48"/>
      <c r="O24" s="48"/>
      <c r="P24" s="51"/>
      <c r="Q24" s="36"/>
      <c r="R24" s="36"/>
      <c r="S24" s="11">
        <f>[1]!WSD($B24,"contractmultiplier",$A$2,$A$2,"TradingCalendar=SSE","rptType=1","ShowCodes=N","ShowDates=N","ShowParams=Y","cols=1;rows=1")</f>
        <v>60</v>
      </c>
    </row>
    <row r="25" spans="1:21" ht="14.25">
      <c r="A25" s="2">
        <v>43101</v>
      </c>
      <c r="S25" s="11" t="str">
        <f>[1]!WSD($B25,"contractmultiplier",$A$2,$A$2,"TradingCalendar=SSE","rptType=1","ShowCodes=N","ShowDates=N","ShowParams=Y","cols=1;rows=1")</f>
        <v>#NA</v>
      </c>
    </row>
    <row r="26" spans="1:21" ht="14.25">
      <c r="A26" s="2">
        <v>43102</v>
      </c>
      <c r="B26" s="1" t="s">
        <v>120</v>
      </c>
      <c r="C26" s="1">
        <v>1</v>
      </c>
      <c r="D26" s="1">
        <v>2929</v>
      </c>
      <c r="E26" s="2">
        <v>43102</v>
      </c>
      <c r="J26" s="1">
        <v>3168.4</v>
      </c>
      <c r="K26" s="2">
        <v>43125</v>
      </c>
      <c r="L26" s="40">
        <v>0.4694444444444445</v>
      </c>
      <c r="M26" s="30">
        <f>IF(J26="","",C26*(J26-D26)*S26)</f>
        <v>71820.000000000029</v>
      </c>
      <c r="S26" s="11">
        <f>[1]!WSD($B26,"contractmultiplier",$A$2,$A$2,"TradingCalendar=SSE","rptType=1","ShowCodes=N","ShowDates=N","ShowParams=Y","cols=1;rows=1")</f>
        <v>300</v>
      </c>
    </row>
    <row r="27" spans="1:21" ht="14.25">
      <c r="A27" s="2"/>
      <c r="B27" s="1" t="s">
        <v>130</v>
      </c>
      <c r="C27" s="1">
        <v>1</v>
      </c>
      <c r="D27" s="1">
        <v>4106.8</v>
      </c>
      <c r="E27" s="2">
        <v>43102</v>
      </c>
      <c r="J27" s="1">
        <v>4385.8</v>
      </c>
      <c r="K27" s="2">
        <v>43126</v>
      </c>
      <c r="L27" s="40">
        <v>0.40277777777777773</v>
      </c>
      <c r="M27" s="30">
        <f>IF(J27="","",C27*(J27-D27)*S27)</f>
        <v>83700</v>
      </c>
      <c r="S27" s="11">
        <f>[1]!WSD($B27,"contractmultiplier",$A$2,$A$2,"TradingCalendar=SSE","rptType=1","ShowCodes=N","ShowDates=N","ShowParams=Y","cols=1;rows=1")</f>
        <v>300</v>
      </c>
    </row>
    <row r="28" spans="1:21" ht="14.25">
      <c r="A28" s="2">
        <v>43103</v>
      </c>
      <c r="S28" s="11" t="str">
        <f>[1]!WSD($B28,"contractmultiplier",$A$2,$A$2,"TradingCalendar=SSE","rptType=1","ShowCodes=N","ShowDates=N","ShowParams=Y","cols=1;rows=1")</f>
        <v>#NA</v>
      </c>
    </row>
    <row r="29" spans="1:21" ht="14.25">
      <c r="A29" s="2">
        <v>43104</v>
      </c>
      <c r="S29" s="11" t="str">
        <f>[1]!WSD($B29,"contractmultiplier",$A$2,$A$2,"TradingCalendar=SSE","rptType=1","ShowCodes=N","ShowDates=N","ShowParams=Y","cols=1;rows=1")</f>
        <v>#NA</v>
      </c>
    </row>
    <row r="30" spans="1:21" ht="14.25">
      <c r="A30" s="2">
        <v>43105</v>
      </c>
      <c r="S30" s="11" t="str">
        <f>[1]!WSD($B30,"contractmultiplier",$A$2,$A$2,"TradingCalendar=SSE","rptType=1","ShowCodes=N","ShowDates=N","ShowParams=Y","cols=1;rows=1")</f>
        <v>#NA</v>
      </c>
    </row>
    <row r="31" spans="1:21" ht="14.25">
      <c r="A31" s="2">
        <v>43108</v>
      </c>
      <c r="S31" s="11" t="str">
        <f>[1]!WSD($B31,"contractmultiplier",$A$2,$A$2,"TradingCalendar=SSE","rptType=1","ShowCodes=N","ShowDates=N","ShowParams=Y","cols=1;rows=1")</f>
        <v>#NA</v>
      </c>
    </row>
    <row r="32" spans="1:21" ht="14.25">
      <c r="A32" s="2">
        <v>43109</v>
      </c>
      <c r="S32" s="11" t="str">
        <f>[1]!WSD($B32,"contractmultiplier",$A$2,$A$2,"TradingCalendar=SSE","rptType=1","ShowCodes=N","ShowDates=N","ShowParams=Y","cols=1;rows=1")</f>
        <v>#NA</v>
      </c>
    </row>
    <row r="33" spans="1:21" ht="14.25">
      <c r="A33" s="2">
        <v>43110</v>
      </c>
      <c r="B33" s="1" t="s">
        <v>99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J33" s="1">
        <v>5228</v>
      </c>
      <c r="K33" s="2">
        <v>43124</v>
      </c>
      <c r="L33" s="40">
        <v>0.89930555555555547</v>
      </c>
      <c r="M33" s="30">
        <f>IF(J33="","",C33*(J33-D33)*S33)</f>
        <v>17280</v>
      </c>
      <c r="S33" s="11">
        <f>[1]!WSD($B33,"contractmultiplier",$A$2,$A$2,"TradingCalendar=SSE","rptType=1","ShowCodes=N","ShowDates=N","ShowParams=Y","cols=1;rows=1")</f>
        <v>10</v>
      </c>
    </row>
    <row r="34" spans="1:21" ht="14.25">
      <c r="A34" s="33">
        <v>43111</v>
      </c>
      <c r="B34" s="3"/>
      <c r="C34" s="3"/>
      <c r="D34" s="3"/>
      <c r="E34" s="3"/>
      <c r="F34" s="3"/>
      <c r="G34" s="32"/>
      <c r="H34" s="66"/>
      <c r="I34" s="32"/>
      <c r="J34" s="3"/>
      <c r="K34" s="3"/>
      <c r="L34" s="3"/>
      <c r="M34" s="28" t="str">
        <f t="shared" ref="M34:M58" si="5">IF(J34="","",C34*(J34-D34)*S34)</f>
        <v/>
      </c>
      <c r="N34" s="3"/>
      <c r="O34" s="3"/>
      <c r="P34" s="4"/>
      <c r="Q34" s="36"/>
      <c r="R34" s="36"/>
      <c r="S34" s="11" t="str">
        <f>[1]!WSD($B34,"contractmultiplier",$A$2,$A$2,"TradingCalendar=SSE","rptType=1","ShowCodes=N","ShowDates=N","ShowParams=Y","cols=1;rows=1")</f>
        <v>#NA</v>
      </c>
      <c r="T34" s="36"/>
      <c r="U34" s="24"/>
    </row>
    <row r="35" spans="1:21" ht="14.25">
      <c r="A35" s="35">
        <v>43112</v>
      </c>
      <c r="B35" s="24" t="s">
        <v>46</v>
      </c>
      <c r="C35" s="24">
        <v>-30</v>
      </c>
      <c r="D35" s="24">
        <f>10/30*3782+20/30*3781</f>
        <v>3781.333333333333</v>
      </c>
      <c r="E35" s="24"/>
      <c r="F35" s="24"/>
      <c r="G35" s="34"/>
      <c r="H35" s="69"/>
      <c r="I35" s="34"/>
      <c r="J35" s="24">
        <v>3834</v>
      </c>
      <c r="K35" s="35">
        <v>43117</v>
      </c>
      <c r="L35" s="24"/>
      <c r="M35" s="30">
        <f t="shared" si="5"/>
        <v>-15800.000000000091</v>
      </c>
      <c r="N35" s="24"/>
      <c r="O35" s="24"/>
      <c r="P35" s="36"/>
      <c r="Q35" s="36"/>
      <c r="R35" s="36"/>
      <c r="S35" s="11">
        <f>[1]!WSD($B35,"contractmultiplier",$A$2,$A$2,"TradingCalendar=SSE","rptType=1","ShowCodes=N","ShowDates=N","ShowParams=Y","cols=1;rows=1")</f>
        <v>10</v>
      </c>
      <c r="T35" s="36"/>
      <c r="U35" s="24"/>
    </row>
    <row r="36" spans="1:21" ht="15" thickBot="1">
      <c r="A36" s="52"/>
      <c r="B36" s="48" t="s">
        <v>54</v>
      </c>
      <c r="C36" s="48">
        <v>40</v>
      </c>
      <c r="D36" s="48">
        <v>6795</v>
      </c>
      <c r="E36" s="48"/>
      <c r="F36" s="48"/>
      <c r="G36" s="50"/>
      <c r="H36" s="68"/>
      <c r="I36" s="50"/>
      <c r="J36" s="48">
        <v>6640</v>
      </c>
      <c r="K36" s="52">
        <v>43117</v>
      </c>
      <c r="L36" s="48"/>
      <c r="M36" s="54">
        <f t="shared" si="5"/>
        <v>-31000</v>
      </c>
      <c r="N36" s="48"/>
      <c r="O36" s="48"/>
      <c r="P36" s="51"/>
      <c r="Q36" s="36"/>
      <c r="R36" s="36"/>
      <c r="S36" s="11">
        <f>[1]!WSD($B36,"contractmultiplier",$A$2,$A$2,"TradingCalendar=SSE","rptType=1","ShowCodes=N","ShowDates=N","ShowParams=Y","cols=1;rows=1")</f>
        <v>5</v>
      </c>
      <c r="T36" s="36"/>
      <c r="U36" s="24"/>
    </row>
    <row r="37" spans="1:21" ht="14.25">
      <c r="A37" s="2">
        <v>43115</v>
      </c>
      <c r="B37" s="37" t="s">
        <v>39</v>
      </c>
      <c r="C37" s="1">
        <v>-10</v>
      </c>
      <c r="D37" s="1">
        <v>54520</v>
      </c>
      <c r="J37" s="1">
        <f>54520*0.4+55030*0.6</f>
        <v>54826</v>
      </c>
      <c r="K37" s="2">
        <v>43115</v>
      </c>
      <c r="L37" s="2"/>
      <c r="M37" s="30">
        <f t="shared" si="5"/>
        <v>-15300</v>
      </c>
      <c r="S37" s="11">
        <f>[1]!WSD($B37,"contractmultiplier",$A$2,$A$2,"TradingCalendar=SSE","rptType=1","ShowCodes=N","ShowDates=N","ShowParams=Y","cols=1;rows=1")</f>
        <v>5</v>
      </c>
      <c r="T37" s="36"/>
      <c r="U37" s="24"/>
    </row>
    <row r="38" spans="1:21" ht="14.25">
      <c r="B38" s="37" t="s">
        <v>41</v>
      </c>
      <c r="C38" s="1">
        <f>2+18+4+4+4+4+4+2+2+2+2+2</f>
        <v>50</v>
      </c>
      <c r="D38" s="1">
        <v>1491</v>
      </c>
      <c r="J38" s="1">
        <v>1472</v>
      </c>
      <c r="K38" s="2">
        <v>43117</v>
      </c>
      <c r="L38" s="2"/>
      <c r="M38" s="30">
        <f t="shared" si="5"/>
        <v>-19000</v>
      </c>
      <c r="S38" s="11">
        <f>[1]!WSD($B38,"contractmultiplier",$A$2,$A$2,"TradingCalendar=SSE","rptType=1","ShowCodes=N","ShowDates=N","ShowParams=Y","cols=1;rows=1")</f>
        <v>20</v>
      </c>
      <c r="T38" s="36"/>
      <c r="U38" s="24"/>
    </row>
    <row r="39" spans="1:21" ht="14.25">
      <c r="B39" s="28" t="s">
        <v>42</v>
      </c>
      <c r="C39" s="3">
        <v>30</v>
      </c>
      <c r="D39" s="3">
        <v>633</v>
      </c>
      <c r="E39" s="3"/>
      <c r="F39" s="3"/>
      <c r="G39" s="32"/>
      <c r="H39" s="66"/>
      <c r="I39" s="32"/>
      <c r="J39" s="3">
        <v>629</v>
      </c>
      <c r="K39" s="33">
        <v>43115</v>
      </c>
      <c r="L39" s="33"/>
      <c r="M39" s="28">
        <f t="shared" si="5"/>
        <v>-12000</v>
      </c>
      <c r="N39" s="3"/>
      <c r="O39" s="3"/>
      <c r="P39" s="4"/>
      <c r="Q39" s="36"/>
      <c r="R39" s="36"/>
      <c r="S39" s="11">
        <f>[1]!WSD($B39,"contractmultiplier",$A$2,$A$2,"TradingCalendar=SSE","rptType=1","ShowCodes=N","ShowDates=N","ShowParams=Y","cols=1;rows=1")</f>
        <v>100</v>
      </c>
      <c r="T39" s="36"/>
      <c r="U39" s="24"/>
    </row>
    <row r="40" spans="1:21" ht="14.25">
      <c r="B40" s="37" t="s">
        <v>35</v>
      </c>
      <c r="C40" s="1">
        <v>76</v>
      </c>
      <c r="D40" s="1">
        <v>5680</v>
      </c>
      <c r="G40" s="31">
        <v>3.3000000000000002E-2</v>
      </c>
      <c r="J40" s="1">
        <v>5624</v>
      </c>
      <c r="K40" s="2">
        <v>43117</v>
      </c>
      <c r="L40" s="2"/>
      <c r="M40" s="30">
        <f t="shared" si="5"/>
        <v>-21280</v>
      </c>
      <c r="S40" s="11">
        <f>[1]!WSD($B40,"contractmultiplier",$A$2,$A$2,"TradingCalendar=SSE","rptType=1","ShowCodes=N","ShowDates=N","ShowParams=Y","cols=1;rows=1")</f>
        <v>5</v>
      </c>
      <c r="T40" s="36">
        <v>9900000</v>
      </c>
      <c r="U40" s="24">
        <f t="shared" ref="U40:U45" si="6">T40*G40/(D40*S40*0.15)</f>
        <v>76.690140845070417</v>
      </c>
    </row>
    <row r="41" spans="1:21" ht="14.25">
      <c r="B41" s="37" t="s">
        <v>36</v>
      </c>
      <c r="C41" s="1">
        <v>64</v>
      </c>
      <c r="D41" s="1">
        <v>2271</v>
      </c>
      <c r="G41" s="31">
        <v>2.1999999999999999E-2</v>
      </c>
      <c r="J41" s="1">
        <v>2265</v>
      </c>
      <c r="K41" s="2">
        <v>43115</v>
      </c>
      <c r="L41" s="2"/>
      <c r="M41" s="30">
        <f t="shared" si="5"/>
        <v>-3840</v>
      </c>
      <c r="S41" s="11">
        <f>[1]!WSD($B41,"contractmultiplier",$A$2,$A$2,"TradingCalendar=SSE","rptType=1","ShowCodes=N","ShowDates=N","ShowParams=Y","cols=1;rows=1")</f>
        <v>10</v>
      </c>
      <c r="T41" s="36">
        <v>9900000</v>
      </c>
      <c r="U41" s="24">
        <f t="shared" si="6"/>
        <v>63.936591809775429</v>
      </c>
    </row>
    <row r="42" spans="1:21" ht="14.25">
      <c r="B42" s="37" t="s">
        <v>34</v>
      </c>
      <c r="C42" s="1">
        <v>89</v>
      </c>
      <c r="D42" s="1">
        <v>2150</v>
      </c>
      <c r="G42" s="31">
        <v>2.9000000000000001E-2</v>
      </c>
      <c r="J42" s="1">
        <v>2137</v>
      </c>
      <c r="K42" s="2">
        <v>43115</v>
      </c>
      <c r="L42" s="2"/>
      <c r="M42" s="30">
        <f t="shared" si="5"/>
        <v>-11570</v>
      </c>
      <c r="N42" s="1">
        <f>K42-$A$37</f>
        <v>0</v>
      </c>
      <c r="S42" s="11">
        <f>[1]!WSD($B42,"contractmultiplier",$A$2,$A$2,"TradingCalendar=SSE","rptType=1","ShowCodes=N","ShowDates=N","ShowParams=Y","cols=1;rows=1")</f>
        <v>10</v>
      </c>
      <c r="T42" s="36">
        <v>9890000</v>
      </c>
      <c r="U42" s="24">
        <f t="shared" si="6"/>
        <v>88.933333333333337</v>
      </c>
    </row>
    <row r="43" spans="1:21" ht="14.25">
      <c r="B43" s="37" t="s">
        <v>31</v>
      </c>
      <c r="C43" s="1">
        <v>19</v>
      </c>
      <c r="D43" s="1">
        <v>99620</v>
      </c>
      <c r="G43" s="31">
        <v>2.9000000000000001E-2</v>
      </c>
      <c r="J43" s="1">
        <v>97180</v>
      </c>
      <c r="K43" s="2">
        <v>43117</v>
      </c>
      <c r="L43" s="2"/>
      <c r="M43" s="30">
        <f t="shared" si="5"/>
        <v>-46360</v>
      </c>
      <c r="S43" s="11">
        <f>[1]!WSD($B43,"contractmultiplier",$A$2,$A$2,"TradingCalendar=SSE","rptType=1","ShowCodes=N","ShowDates=N","ShowParams=Y","cols=1;rows=1")</f>
        <v>1</v>
      </c>
      <c r="T43" s="36">
        <v>9900000</v>
      </c>
      <c r="U43" s="24">
        <f t="shared" si="6"/>
        <v>19.213009435856254</v>
      </c>
    </row>
    <row r="44" spans="1:21" ht="14.25">
      <c r="B44" s="37" t="s">
        <v>37</v>
      </c>
      <c r="C44" s="1">
        <v>1</v>
      </c>
      <c r="D44" s="1">
        <v>6293.6</v>
      </c>
      <c r="G44" s="31">
        <v>2.8000000000000001E-2</v>
      </c>
      <c r="J44" s="1">
        <v>6196</v>
      </c>
      <c r="K44" s="2">
        <v>43115</v>
      </c>
      <c r="L44" s="2"/>
      <c r="M44" s="30">
        <f t="shared" si="5"/>
        <v>-19520.000000000073</v>
      </c>
      <c r="S44" s="11">
        <f>[1]!WSD($B44,"contractmultiplier",$A$2,$A$2,"TradingCalendar=SSE","rptType=1","ShowCodes=N","ShowDates=N","ShowParams=Y","cols=1;rows=1")</f>
        <v>200</v>
      </c>
      <c r="T44" s="36">
        <v>9900000</v>
      </c>
      <c r="U44" s="24">
        <f t="shared" si="6"/>
        <v>1.4681581288928436</v>
      </c>
    </row>
    <row r="45" spans="1:21" ht="14.25">
      <c r="A45" s="24"/>
      <c r="B45" s="30" t="s">
        <v>38</v>
      </c>
      <c r="C45" s="24">
        <v>-51</v>
      </c>
      <c r="D45" s="24">
        <v>6444</v>
      </c>
      <c r="E45" s="24"/>
      <c r="F45" s="24"/>
      <c r="G45" s="34">
        <v>2.5000000000000001E-2</v>
      </c>
      <c r="H45" s="69"/>
      <c r="I45" s="34"/>
      <c r="J45" s="24">
        <v>6472</v>
      </c>
      <c r="K45" s="35">
        <v>43115</v>
      </c>
      <c r="L45" s="35"/>
      <c r="M45" s="30">
        <f t="shared" si="5"/>
        <v>-7140</v>
      </c>
      <c r="N45" s="24"/>
      <c r="O45" s="24"/>
      <c r="P45" s="36"/>
      <c r="Q45" s="36"/>
      <c r="R45" s="36"/>
      <c r="S45" s="11">
        <f>[1]!WSD($B45,"contractmultiplier",$A$2,$A$2,"TradingCalendar=SSE","rptType=1","ShowCodes=N","ShowDates=N","ShowParams=Y","cols=1;rows=1")</f>
        <v>5</v>
      </c>
      <c r="T45" s="36">
        <v>9900000</v>
      </c>
      <c r="U45" s="24">
        <f t="shared" si="6"/>
        <v>51.21042830540037</v>
      </c>
    </row>
    <row r="46" spans="1:21" ht="14.25">
      <c r="A46" s="3"/>
      <c r="B46" s="3" t="s">
        <v>39</v>
      </c>
      <c r="C46" s="3">
        <v>6</v>
      </c>
      <c r="D46" s="3">
        <v>55030</v>
      </c>
      <c r="E46" s="3"/>
      <c r="F46" s="3"/>
      <c r="G46" s="32">
        <v>2.5000000000000001E-2</v>
      </c>
      <c r="H46" s="66"/>
      <c r="I46" s="32"/>
      <c r="J46" s="3">
        <v>54950</v>
      </c>
      <c r="K46" s="33">
        <v>43116</v>
      </c>
      <c r="L46" s="33"/>
      <c r="M46" s="28">
        <f t="shared" si="5"/>
        <v>-2400</v>
      </c>
      <c r="N46" s="3"/>
      <c r="O46" s="3"/>
      <c r="P46" s="4"/>
      <c r="Q46" s="36"/>
      <c r="R46" s="36"/>
      <c r="S46" s="11">
        <f>[1]!WSD($B46,"contractmultiplier",$A$2,$A$2,"TradingCalendar=SSE","rptType=1","ShowCodes=N","ShowDates=N","ShowParams=Y","cols=1;rows=1")</f>
        <v>5</v>
      </c>
      <c r="T46" s="36"/>
      <c r="U46" s="24"/>
    </row>
    <row r="47" spans="1:21" ht="14.25">
      <c r="A47" s="2">
        <v>43116</v>
      </c>
      <c r="B47" s="1" t="s">
        <v>36</v>
      </c>
      <c r="C47" s="1">
        <v>72</v>
      </c>
      <c r="D47" s="1">
        <v>2269</v>
      </c>
      <c r="G47" s="31">
        <v>2.5000000000000001E-2</v>
      </c>
      <c r="J47" s="1">
        <v>2270</v>
      </c>
      <c r="K47" s="2">
        <v>43119</v>
      </c>
      <c r="L47" s="40">
        <v>0.8847222222222223</v>
      </c>
      <c r="M47" s="30">
        <f t="shared" si="5"/>
        <v>720</v>
      </c>
      <c r="S47" s="11">
        <f>[1]!WSD($B47,"contractmultiplier",$A$2,$A$2,"TradingCalendar=SSE","rptType=1","ShowCodes=N","ShowDates=N","ShowParams=Y","cols=1;rows=1")</f>
        <v>10</v>
      </c>
      <c r="T47" s="36"/>
      <c r="U47" s="24"/>
    </row>
    <row r="48" spans="1:21" ht="14.25">
      <c r="B48" s="1" t="s">
        <v>40</v>
      </c>
      <c r="C48" s="1">
        <v>32</v>
      </c>
      <c r="D48" s="1">
        <v>3927</v>
      </c>
      <c r="G48" s="31">
        <v>2.9000000000000001E-2</v>
      </c>
      <c r="J48" s="1">
        <v>3879</v>
      </c>
      <c r="K48" s="2">
        <v>43117</v>
      </c>
      <c r="L48" s="2"/>
      <c r="M48" s="30">
        <f t="shared" si="5"/>
        <v>-23040</v>
      </c>
      <c r="S48" s="11">
        <f>[1]!WSD($B48,"contractmultiplier",$A$2,$A$2,"TradingCalendar=SSE","rptType=1","ShowCodes=N","ShowDates=N","ShowParams=Y","cols=1;rows=1")</f>
        <v>15</v>
      </c>
      <c r="T48" s="36"/>
      <c r="U48" s="24"/>
    </row>
    <row r="49" spans="1:21" ht="14.25">
      <c r="A49" s="3"/>
      <c r="B49" s="3" t="s">
        <v>39</v>
      </c>
      <c r="C49" s="3">
        <v>-5</v>
      </c>
      <c r="D49" s="3">
        <v>54880</v>
      </c>
      <c r="E49" s="3"/>
      <c r="F49" s="3"/>
      <c r="G49" s="32">
        <v>2.3E-2</v>
      </c>
      <c r="H49" s="66"/>
      <c r="I49" s="32"/>
      <c r="J49" s="3">
        <v>52700</v>
      </c>
      <c r="K49" s="33">
        <v>43124</v>
      </c>
      <c r="L49" s="45">
        <v>0.62013888888888891</v>
      </c>
      <c r="M49" s="28">
        <f t="shared" si="5"/>
        <v>54500</v>
      </c>
      <c r="N49" s="3"/>
      <c r="O49" s="3"/>
      <c r="P49" s="4"/>
      <c r="Q49" s="36"/>
      <c r="R49" s="36"/>
      <c r="S49" s="11">
        <f>[1]!WSD($B49,"contractmultiplier",$A$2,$A$2,"TradingCalendar=SSE","rptType=1","ShowCodes=N","ShowDates=N","ShowParams=Y","cols=1;rows=1")</f>
        <v>5</v>
      </c>
      <c r="T49" s="36"/>
      <c r="U49" s="24"/>
    </row>
    <row r="50" spans="1:21" ht="14.25">
      <c r="A50" s="2">
        <v>43117</v>
      </c>
      <c r="B50" s="1" t="s">
        <v>40</v>
      </c>
      <c r="C50" s="1">
        <v>-17</v>
      </c>
      <c r="D50" s="1">
        <v>3880</v>
      </c>
      <c r="J50" s="1">
        <v>3895</v>
      </c>
      <c r="K50" s="2">
        <v>43117</v>
      </c>
      <c r="L50" s="2"/>
      <c r="M50" s="30">
        <f t="shared" si="5"/>
        <v>-3825</v>
      </c>
      <c r="S50" s="11">
        <f>[1]!WSD($B50,"contractmultiplier",$A$2,$A$2,"TradingCalendar=SSE","rptType=1","ShowCodes=N","ShowDates=N","ShowParams=Y","cols=1;rows=1")</f>
        <v>15</v>
      </c>
      <c r="T50" s="36"/>
      <c r="U50" s="24"/>
    </row>
    <row r="51" spans="1:21" ht="14.25">
      <c r="B51" s="1" t="s">
        <v>40</v>
      </c>
      <c r="C51" s="1">
        <v>-18</v>
      </c>
      <c r="D51" s="1">
        <v>3886</v>
      </c>
      <c r="J51" s="1">
        <v>3835</v>
      </c>
      <c r="K51" s="2">
        <v>43124</v>
      </c>
      <c r="L51" s="40">
        <v>0.62013888888888891</v>
      </c>
      <c r="M51" s="30">
        <f t="shared" si="5"/>
        <v>13770</v>
      </c>
      <c r="S51" s="11">
        <f>[1]!WSD($B51,"contractmultiplier",$A$2,$A$2,"TradingCalendar=SSE","rptType=1","ShowCodes=N","ShowDates=N","ShowParams=Y","cols=1;rows=1")</f>
        <v>15</v>
      </c>
      <c r="T51" s="36"/>
      <c r="U51" s="24"/>
    </row>
    <row r="52" spans="1:21" ht="14.25">
      <c r="B52" s="1" t="s">
        <v>43</v>
      </c>
      <c r="C52" s="1">
        <v>7</v>
      </c>
      <c r="D52" s="1">
        <v>281.64999999999998</v>
      </c>
      <c r="J52" s="1">
        <v>281.14999999999998</v>
      </c>
      <c r="K52" s="2">
        <v>43117</v>
      </c>
      <c r="M52" s="30">
        <f t="shared" si="5"/>
        <v>-3500</v>
      </c>
      <c r="S52" s="11">
        <f>[1]!WSD($B52,"contractmultiplier",$A$2,$A$2,"TradingCalendar=SSE","rptType=1","ShowCodes=N","ShowDates=N","ShowParams=Y","cols=1;rows=1")</f>
        <v>1000</v>
      </c>
      <c r="T52" s="36"/>
      <c r="U52" s="24"/>
    </row>
    <row r="53" spans="1:21" ht="14.25">
      <c r="B53" s="1" t="s">
        <v>44</v>
      </c>
      <c r="C53" s="1">
        <v>9</v>
      </c>
      <c r="D53" s="1">
        <v>2732</v>
      </c>
      <c r="J53" s="1">
        <v>2726</v>
      </c>
      <c r="K53" s="2">
        <v>43117</v>
      </c>
      <c r="M53" s="30">
        <f t="shared" si="5"/>
        <v>-540</v>
      </c>
      <c r="S53" s="11">
        <f>[1]!WSD($B53,"contractmultiplier",$A$2,$A$2,"TradingCalendar=SSE","rptType=1","ShowCodes=N","ShowDates=N","ShowParams=Y","cols=1;rows=1")</f>
        <v>10</v>
      </c>
    </row>
    <row r="54" spans="1:21" ht="14.25">
      <c r="B54" s="1" t="s">
        <v>44</v>
      </c>
      <c r="C54" s="1">
        <v>3</v>
      </c>
      <c r="D54" s="1">
        <v>2738</v>
      </c>
      <c r="J54" s="1">
        <v>2734</v>
      </c>
      <c r="K54" s="2">
        <v>43117</v>
      </c>
      <c r="M54" s="30">
        <f t="shared" si="5"/>
        <v>-120</v>
      </c>
      <c r="S54" s="11">
        <f>[1]!WSD($B54,"contractmultiplier",$A$2,$A$2,"TradingCalendar=SSE","rptType=1","ShowCodes=N","ShowDates=N","ShowParams=Y","cols=1;rows=1")</f>
        <v>10</v>
      </c>
    </row>
    <row r="55" spans="1:21" ht="14.25">
      <c r="B55" s="1" t="s">
        <v>45</v>
      </c>
      <c r="C55" s="1">
        <v>10</v>
      </c>
      <c r="D55" s="1">
        <v>2768</v>
      </c>
      <c r="J55" s="1">
        <v>2764</v>
      </c>
      <c r="K55" s="2">
        <v>43118</v>
      </c>
      <c r="L55" s="40">
        <v>0.8881944444444444</v>
      </c>
      <c r="M55" s="30">
        <f t="shared" si="5"/>
        <v>-400</v>
      </c>
      <c r="S55" s="11">
        <f>[1]!WSD($B55,"contractmultiplier",$A$2,$A$2,"TradingCalendar=SSE","rptType=1","ShowCodes=N","ShowDates=N","ShowParams=Y","cols=1;rows=1")</f>
        <v>10</v>
      </c>
    </row>
    <row r="56" spans="1:21" ht="14.25">
      <c r="B56" s="1" t="s">
        <v>46</v>
      </c>
      <c r="C56" s="1">
        <v>-31</v>
      </c>
      <c r="D56" s="1">
        <f>3803*1/31+3805*30/31</f>
        <v>3804.9354838709678</v>
      </c>
      <c r="J56" s="1">
        <v>3826</v>
      </c>
      <c r="K56" s="2">
        <v>43117</v>
      </c>
      <c r="M56" s="30">
        <f t="shared" si="5"/>
        <v>-6529.9999999999818</v>
      </c>
      <c r="S56" s="11">
        <f>[1]!WSD($B56,"contractmultiplier",$A$2,$A$2,"TradingCalendar=SSE","rptType=1","ShowCodes=N","ShowDates=N","ShowParams=Y","cols=1;rows=1")</f>
        <v>10</v>
      </c>
    </row>
    <row r="57" spans="1:21" ht="14.25">
      <c r="B57" s="1" t="s">
        <v>47</v>
      </c>
      <c r="C57" s="1">
        <v>-7</v>
      </c>
      <c r="D57" s="1">
        <v>14200</v>
      </c>
      <c r="J57" s="1">
        <v>14240</v>
      </c>
      <c r="K57" s="2">
        <v>43117</v>
      </c>
      <c r="M57" s="30">
        <f t="shared" si="5"/>
        <v>-2800</v>
      </c>
      <c r="S57" s="11">
        <f>[1]!WSD($B57,"contractmultiplier",$A$2,$A$2,"TradingCalendar=SSE","rptType=1","ShowCodes=N","ShowDates=N","ShowParams=Y","cols=1;rows=1")</f>
        <v>10</v>
      </c>
    </row>
    <row r="58" spans="1:21" ht="14.25">
      <c r="B58" s="1" t="s">
        <v>47</v>
      </c>
      <c r="C58" s="1">
        <v>6</v>
      </c>
      <c r="D58" s="1">
        <f>14240*1/6+14245*5/6</f>
        <v>14244.166666666668</v>
      </c>
      <c r="J58" s="1">
        <v>14215</v>
      </c>
      <c r="K58" s="2">
        <v>43117</v>
      </c>
      <c r="M58" s="30">
        <f t="shared" si="5"/>
        <v>-1750.0000000000728</v>
      </c>
      <c r="S58" s="11">
        <f>[1]!WSD($B58,"contractmultiplier",$A$2,$A$2,"TradingCalendar=SSE","rptType=1","ShowCodes=N","ShowDates=N","ShowParams=Y","cols=1;rows=1")</f>
        <v>10</v>
      </c>
    </row>
    <row r="59" spans="1:21" ht="14.25">
      <c r="B59" s="1" t="s">
        <v>47</v>
      </c>
      <c r="C59" s="1">
        <v>6</v>
      </c>
      <c r="D59" s="1">
        <f>14225*1/6+14230*5/6</f>
        <v>14229.166666666668</v>
      </c>
      <c r="J59" s="1">
        <v>14190</v>
      </c>
      <c r="K59" s="2">
        <v>43117</v>
      </c>
      <c r="M59" s="30">
        <f t="shared" ref="M59:M78" si="7">IF(J59="","",C59*(J59-D59)*S59)</f>
        <v>-2350.0000000000728</v>
      </c>
      <c r="S59" s="11">
        <f>[1]!WSD($B59,"contractmultiplier",$A$2,$A$2,"TradingCalendar=SSE","rptType=1","ShowCodes=N","ShowDates=N","ShowParams=Y","cols=1;rows=1")</f>
        <v>10</v>
      </c>
    </row>
    <row r="60" spans="1:21" ht="14.25">
      <c r="B60" s="1" t="s">
        <v>47</v>
      </c>
      <c r="C60" s="1">
        <v>-16</v>
      </c>
      <c r="D60" s="1">
        <f>14125*1/16+14130*15/16</f>
        <v>14129.6875</v>
      </c>
      <c r="J60" s="1">
        <v>14175</v>
      </c>
      <c r="K60" s="2">
        <v>43118</v>
      </c>
      <c r="L60" s="40">
        <v>0.37847222222222227</v>
      </c>
      <c r="M60" s="30">
        <f t="shared" si="7"/>
        <v>-7250</v>
      </c>
      <c r="S60" s="11">
        <f>[1]!WSD($B60,"contractmultiplier",$A$2,$A$2,"TradingCalendar=SSE","rptType=1","ShowCodes=N","ShowDates=N","ShowParams=Y","cols=1;rows=1")</f>
        <v>10</v>
      </c>
    </row>
    <row r="61" spans="1:21" ht="14.25">
      <c r="B61" s="1" t="s">
        <v>41</v>
      </c>
      <c r="C61" s="1">
        <v>61</v>
      </c>
      <c r="D61" s="1">
        <v>1478</v>
      </c>
      <c r="J61" s="1">
        <v>1477</v>
      </c>
      <c r="K61" s="2">
        <v>43118</v>
      </c>
      <c r="L61" s="40">
        <v>0.8881944444444444</v>
      </c>
      <c r="M61" s="30">
        <f t="shared" si="7"/>
        <v>-1220</v>
      </c>
      <c r="S61" s="11">
        <f>[1]!WSD($B61,"contractmultiplier",$A$2,$A$2,"TradingCalendar=SSE","rptType=1","ShowCodes=N","ShowDates=N","ShowParams=Y","cols=1;rows=1")</f>
        <v>20</v>
      </c>
    </row>
    <row r="62" spans="1:21" ht="14.25">
      <c r="B62" s="1" t="s">
        <v>48</v>
      </c>
      <c r="C62" s="1">
        <v>-16</v>
      </c>
      <c r="D62" s="1">
        <f>2827*1/16+2825*15/16</f>
        <v>2825.125</v>
      </c>
      <c r="J62" s="1">
        <v>2857</v>
      </c>
      <c r="K62" s="2">
        <v>43123</v>
      </c>
      <c r="L62" s="40">
        <v>0.4680555555555555</v>
      </c>
      <c r="M62" s="30">
        <f t="shared" si="7"/>
        <v>-5100</v>
      </c>
      <c r="S62" s="11">
        <f>[1]!WSD($B62,"contractmultiplier",$A$2,$A$2,"TradingCalendar=SSE","rptType=1","ShowCodes=N","ShowDates=N","ShowParams=Y","cols=1;rows=1")</f>
        <v>10</v>
      </c>
    </row>
    <row r="63" spans="1:21" ht="14.25">
      <c r="B63" s="1" t="s">
        <v>51</v>
      </c>
      <c r="C63" s="1">
        <f>1+6+114+12</f>
        <v>133</v>
      </c>
      <c r="D63" s="1">
        <v>2132</v>
      </c>
      <c r="J63" s="1">
        <v>2123</v>
      </c>
      <c r="K63" s="2">
        <v>43117</v>
      </c>
      <c r="M63" s="30">
        <f t="shared" si="7"/>
        <v>-11970</v>
      </c>
      <c r="S63" s="11">
        <f>[1]!WSD($B63,"contractmultiplier",$A$2,$A$2,"TradingCalendar=SSE","rptType=1","ShowCodes=N","ShowDates=N","ShowParams=Y","cols=1;rows=1")</f>
        <v>10</v>
      </c>
    </row>
    <row r="64" spans="1:21" ht="14.25">
      <c r="B64" s="1" t="s">
        <v>51</v>
      </c>
      <c r="C64" s="1">
        <v>-6</v>
      </c>
      <c r="D64" s="1">
        <v>2122</v>
      </c>
      <c r="J64" s="1">
        <v>2094</v>
      </c>
      <c r="K64" s="2">
        <v>43125</v>
      </c>
      <c r="L64" s="40">
        <v>0.37986111111111115</v>
      </c>
      <c r="M64" s="30">
        <f t="shared" si="7"/>
        <v>1680</v>
      </c>
      <c r="S64" s="11">
        <f>[1]!WSD($B64,"contractmultiplier",$A$2,$A$2,"TradingCalendar=SSE","rptType=1","ShowCodes=N","ShowDates=N","ShowParams=Y","cols=1;rows=1")</f>
        <v>10</v>
      </c>
    </row>
    <row r="65" spans="1:21" ht="14.25">
      <c r="B65" s="1" t="s">
        <v>52</v>
      </c>
      <c r="C65" s="1">
        <v>-33</v>
      </c>
      <c r="D65" s="1">
        <v>2761</v>
      </c>
      <c r="J65" s="1">
        <v>2762</v>
      </c>
      <c r="K65" s="2">
        <v>43117</v>
      </c>
      <c r="M65" s="30">
        <f t="shared" si="7"/>
        <v>-330</v>
      </c>
      <c r="S65" s="11">
        <f>[1]!WSD($B65,"contractmultiplier",$A$2,$A$2,"TradingCalendar=SSE","rptType=1","ShowCodes=N","ShowDates=N","ShowParams=Y","cols=1;rows=1")</f>
        <v>10</v>
      </c>
    </row>
    <row r="66" spans="1:21" ht="14.25">
      <c r="B66" s="1" t="s">
        <v>53</v>
      </c>
      <c r="C66" s="1">
        <v>36</v>
      </c>
      <c r="D66" s="1">
        <f>9443*1/36+9438*35/36</f>
        <v>9438.1388888888887</v>
      </c>
      <c r="J66" s="1">
        <f>9421*2/36+9422*34/36</f>
        <v>9421.9444444444434</v>
      </c>
      <c r="K66" s="2">
        <v>43117</v>
      </c>
      <c r="M66" s="30">
        <f t="shared" si="7"/>
        <v>-2915.0000000001455</v>
      </c>
      <c r="S66" s="11">
        <f>[1]!WSD($B66,"contractmultiplier",$A$2,$A$2,"TradingCalendar=SSE","rptType=1","ShowCodes=N","ShowDates=N","ShowParams=Y","cols=1;rows=1")</f>
        <v>5</v>
      </c>
    </row>
    <row r="67" spans="1:21" ht="14.25">
      <c r="B67" s="1" t="s">
        <v>53</v>
      </c>
      <c r="C67" s="1">
        <v>36</v>
      </c>
      <c r="D67" s="1">
        <f>9387*1/36+9390*35/36</f>
        <v>9389.9166666666661</v>
      </c>
      <c r="J67" s="1">
        <v>9385</v>
      </c>
      <c r="K67" s="2">
        <v>43117</v>
      </c>
      <c r="M67" s="30">
        <f t="shared" si="7"/>
        <v>-884.99999999989086</v>
      </c>
      <c r="S67" s="11">
        <f>[1]!WSD($B67,"contractmultiplier",$A$2,$A$2,"TradingCalendar=SSE","rptType=1","ShowCodes=N","ShowDates=N","ShowParams=Y","cols=1;rows=1")</f>
        <v>5</v>
      </c>
    </row>
    <row r="68" spans="1:21" ht="14.25">
      <c r="B68" s="1" t="s">
        <v>55</v>
      </c>
      <c r="C68" s="1">
        <v>-34</v>
      </c>
      <c r="D68" s="1">
        <v>6570</v>
      </c>
      <c r="J68" s="1">
        <v>6585</v>
      </c>
      <c r="K68" s="2">
        <v>43117</v>
      </c>
      <c r="M68" s="30">
        <f t="shared" si="7"/>
        <v>-2550</v>
      </c>
      <c r="S68" s="11">
        <f>[1]!WSD($B68,"contractmultiplier",$A$2,$A$2,"TradingCalendar=SSE","rptType=1","ShowCodes=N","ShowDates=N","ShowParams=Y","cols=1;rows=1")</f>
        <v>5</v>
      </c>
    </row>
    <row r="69" spans="1:21" ht="14.25">
      <c r="A69" s="3"/>
      <c r="B69" s="3" t="s">
        <v>55</v>
      </c>
      <c r="C69" s="3">
        <v>-34</v>
      </c>
      <c r="D69" s="3">
        <v>6570</v>
      </c>
      <c r="E69" s="3"/>
      <c r="F69" s="3"/>
      <c r="G69" s="32"/>
      <c r="H69" s="66"/>
      <c r="I69" s="32"/>
      <c r="J69" s="3">
        <f>6580*4/34+6575*30/34</f>
        <v>6575.5882352941171</v>
      </c>
      <c r="K69" s="33">
        <v>43117</v>
      </c>
      <c r="L69" s="3"/>
      <c r="M69" s="28">
        <f t="shared" si="7"/>
        <v>-949.99999999990905</v>
      </c>
      <c r="N69" s="3"/>
      <c r="O69" s="3"/>
      <c r="P69" s="4"/>
      <c r="Q69" s="36"/>
      <c r="R69" s="36"/>
      <c r="S69" s="11">
        <f>[1]!WSD($B69,"contractmultiplier",$A$2,$A$2,"TradingCalendar=SSE","rptType=1","ShowCodes=N","ShowDates=N","ShowParams=Y","cols=1;rows=1")</f>
        <v>5</v>
      </c>
    </row>
    <row r="70" spans="1:21" ht="14.25">
      <c r="A70" s="2">
        <v>43118</v>
      </c>
      <c r="B70" s="41" t="s">
        <v>56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70"/>
      <c r="I70" s="43"/>
      <c r="J70" s="41">
        <v>98170</v>
      </c>
      <c r="K70" s="33">
        <v>43122</v>
      </c>
      <c r="L70" s="42">
        <v>0.97013888888888899</v>
      </c>
      <c r="M70" s="46">
        <f t="shared" si="7"/>
        <v>-11109.960000000021</v>
      </c>
      <c r="N70" s="41"/>
      <c r="O70" s="41"/>
      <c r="P70" s="44"/>
      <c r="Q70" s="36"/>
      <c r="R70" s="36"/>
      <c r="S70" s="11">
        <f>[1]!WSD($B70,"contractmultiplier",$A$2,$A$2,"TradingCalendar=SSE","rptType=1","ShowCodes=N","ShowDates=N","ShowParams=Y","cols=1;rows=1")</f>
        <v>1</v>
      </c>
    </row>
    <row r="71" spans="1:21" ht="14.25">
      <c r="B71" s="1" t="s">
        <v>47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J71" s="1">
        <v>14170</v>
      </c>
      <c r="K71" s="2">
        <v>43119</v>
      </c>
      <c r="L71" s="40">
        <v>0.8847222222222223</v>
      </c>
      <c r="M71" s="30">
        <f t="shared" si="7"/>
        <v>-100</v>
      </c>
      <c r="S71" s="11">
        <f>[1]!WSD($B71,"contractmultiplier",$A$2,$A$2,"TradingCalendar=SSE","rptType=1","ShowCodes=N","ShowDates=N","ShowParams=Y","cols=1;rows=1")</f>
        <v>10</v>
      </c>
    </row>
    <row r="72" spans="1:21" ht="14.25">
      <c r="A72" s="3"/>
      <c r="B72" s="3" t="s">
        <v>41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66"/>
      <c r="I72" s="32"/>
      <c r="J72" s="3">
        <v>1467</v>
      </c>
      <c r="K72" s="33">
        <v>43122</v>
      </c>
      <c r="L72" s="45">
        <v>0.92083333333333339</v>
      </c>
      <c r="M72" s="28">
        <f t="shared" si="7"/>
        <v>-20520</v>
      </c>
      <c r="N72" s="3"/>
      <c r="O72" s="3"/>
      <c r="P72" s="4"/>
      <c r="Q72" s="36"/>
      <c r="R72" s="36"/>
      <c r="S72" s="11">
        <f>[1]!WSD($B72,"contractmultiplier",$A$2,$A$2,"TradingCalendar=SSE","rptType=1","ShowCodes=N","ShowDates=N","ShowParams=Y","cols=1;rows=1")</f>
        <v>20</v>
      </c>
      <c r="T72" s="36">
        <v>9689000</v>
      </c>
      <c r="U72" s="24">
        <f t="shared" ref="U72:U73" si="8">T72*G72/(D72*S72*0.15)</f>
        <v>38.911646586345384</v>
      </c>
    </row>
    <row r="73" spans="1:21" ht="14.25">
      <c r="A73" s="2">
        <v>43119</v>
      </c>
      <c r="B73" s="1" t="s">
        <v>14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J73" s="1">
        <v>3933</v>
      </c>
      <c r="K73" s="2">
        <v>43122</v>
      </c>
      <c r="L73" s="40">
        <v>0.60416666666666663</v>
      </c>
      <c r="M73" s="30">
        <f t="shared" si="7"/>
        <v>15340</v>
      </c>
      <c r="S73" s="11">
        <f>[1]!WSD($B73,"contractmultiplier",$A$2,$A$2,"TradingCalendar=SSE","rptType=1","ShowCodes=N","ShowDates=N","ShowParams=Y","cols=1;rows=1")</f>
        <v>10</v>
      </c>
      <c r="T73" s="36">
        <v>9689000</v>
      </c>
      <c r="U73" s="24">
        <f t="shared" si="8"/>
        <v>26.677680261572878</v>
      </c>
    </row>
    <row r="74" spans="1:21" ht="14.25">
      <c r="B74" s="3" t="s">
        <v>18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66"/>
      <c r="I74" s="32"/>
      <c r="J74" s="3">
        <v>14185</v>
      </c>
      <c r="K74" s="33">
        <v>43119</v>
      </c>
      <c r="L74" s="45">
        <v>0.375</v>
      </c>
      <c r="M74" s="28">
        <f t="shared" si="7"/>
        <v>-5100</v>
      </c>
      <c r="N74" s="3"/>
      <c r="O74" s="3"/>
      <c r="P74" s="4"/>
      <c r="Q74" s="36"/>
      <c r="R74" s="36"/>
      <c r="S74" s="11">
        <f>[1]!WSD($B74,"contractmultiplier",$A$2,$A$2,"TradingCalendar=SSE","rptType=1","ShowCodes=N","ShowDates=N","ShowParams=Y","cols=1;rows=1")</f>
        <v>10</v>
      </c>
      <c r="T74" s="36">
        <v>9689001</v>
      </c>
      <c r="U74" s="24">
        <f t="shared" ref="U74:U75" si="9">T74*G74/(D74*S74*0.15)</f>
        <v>17.340493959731543</v>
      </c>
    </row>
    <row r="75" spans="1:21" ht="14.25">
      <c r="B75" s="1" t="s">
        <v>57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J75" s="1">
        <v>2285</v>
      </c>
      <c r="K75" s="2">
        <v>43124</v>
      </c>
      <c r="L75" s="40">
        <v>0.57013888888888886</v>
      </c>
      <c r="M75" s="30">
        <f t="shared" si="7"/>
        <v>-6720</v>
      </c>
      <c r="S75" s="11">
        <f>[1]!WSD($B75,"contractmultiplier",$A$2,$A$2,"TradingCalendar=SSE","rptType=1","ShowCodes=N","ShowDates=N","ShowParams=Y","cols=1;rows=1")</f>
        <v>10</v>
      </c>
      <c r="T75" s="36">
        <v>9695001</v>
      </c>
      <c r="U75" s="24">
        <f t="shared" si="9"/>
        <v>84.561718273004786</v>
      </c>
    </row>
    <row r="76" spans="1:21" ht="14.25">
      <c r="B76" s="1" t="s">
        <v>58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J76" s="1">
        <v>3906</v>
      </c>
      <c r="K76" s="2">
        <v>43122</v>
      </c>
      <c r="L76" s="40">
        <v>0.37916666666666665</v>
      </c>
      <c r="M76" s="30">
        <f t="shared" si="7"/>
        <v>-4720</v>
      </c>
      <c r="S76" s="11">
        <f>[1]!WSD($B76,"contractmultiplier",$A$2,$A$2,"TradingCalendar=SSE","rptType=1","ShowCodes=N","ShowDates=N","ShowParams=Y","cols=1;rows=1")</f>
        <v>10</v>
      </c>
      <c r="T76" s="36">
        <v>9695002</v>
      </c>
      <c r="U76" s="24">
        <f t="shared" ref="U76:U77" si="10">T76*G76/(D76*S76*0.15)</f>
        <v>8.40048695953557</v>
      </c>
    </row>
    <row r="77" spans="1:21" ht="14.25">
      <c r="B77" s="24" t="s">
        <v>18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69"/>
      <c r="I77" s="34"/>
      <c r="J77" s="24">
        <v>13800</v>
      </c>
      <c r="K77" s="35">
        <v>43124</v>
      </c>
      <c r="L77" s="47">
        <v>0.62013888888888891</v>
      </c>
      <c r="M77" s="30">
        <f t="shared" si="7"/>
        <v>43350</v>
      </c>
      <c r="N77" s="24"/>
      <c r="O77" s="24"/>
      <c r="P77" s="36"/>
      <c r="Q77" s="36"/>
      <c r="R77" s="36"/>
      <c r="S77" s="11">
        <f>[1]!WSD($B77,"contractmultiplier",$A$2,$A$2,"TradingCalendar=SSE","rptType=1","ShowCodes=N","ShowDates=N","ShowParams=Y","cols=1;rows=1")</f>
        <v>10</v>
      </c>
      <c r="T77" s="36">
        <v>9689001</v>
      </c>
      <c r="U77" s="24">
        <f t="shared" si="10"/>
        <v>17.463869939523303</v>
      </c>
    </row>
    <row r="78" spans="1:21" ht="15" thickBot="1">
      <c r="A78" s="48"/>
      <c r="B78" s="48" t="s">
        <v>88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68"/>
      <c r="I78" s="50"/>
      <c r="J78" s="48">
        <v>540.5</v>
      </c>
      <c r="K78" s="52">
        <v>43122</v>
      </c>
      <c r="L78" s="49">
        <v>0.57013888888888886</v>
      </c>
      <c r="M78" s="54">
        <f t="shared" si="7"/>
        <v>2400</v>
      </c>
      <c r="N78" s="48"/>
      <c r="O78" s="48"/>
      <c r="P78" s="51"/>
      <c r="Q78" s="36"/>
      <c r="R78" s="36"/>
      <c r="S78" s="11">
        <f>[1]!WSD($B78,"contractmultiplier",$A$2,$A$2,"TradingCalendar=SSE","rptType=1","ShowCodes=N","ShowDates=N","ShowParams=Y","cols=1;rows=1")</f>
        <v>100</v>
      </c>
      <c r="T78" s="36">
        <v>9689002</v>
      </c>
      <c r="U78" s="24">
        <f t="shared" ref="U78" si="11">T78*G78/(D78*S78*0.15)</f>
        <v>16.777492640692639</v>
      </c>
    </row>
    <row r="79" spans="1:21" ht="14.25">
      <c r="A79" s="2">
        <v>43122</v>
      </c>
      <c r="B79" s="1" t="s">
        <v>91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J79" s="1">
        <v>26080</v>
      </c>
      <c r="K79" s="2">
        <v>43122</v>
      </c>
      <c r="L79" s="40">
        <v>0.92083333333333339</v>
      </c>
      <c r="M79" s="30">
        <f t="shared" ref="M79:M81" si="12">IF(J79="","",C79*(J79-D79)*S79)</f>
        <v>-1750</v>
      </c>
      <c r="S79" s="11">
        <f>[1]!WSD($B79,"contractmultiplier",$A$2,$A$2,"TradingCalendar=SSE","rptType=1","ShowCodes=N","ShowDates=N","ShowParams=Y","cols=1;rows=1")</f>
        <v>5</v>
      </c>
      <c r="T79" s="36">
        <v>9689002</v>
      </c>
      <c r="U79" s="24">
        <f t="shared" ref="U79" si="13">T79*G79/(D79*S79*0.15)</f>
        <v>7.4159984691924992</v>
      </c>
    </row>
    <row r="80" spans="1:21" ht="14.25">
      <c r="B80" s="1" t="s">
        <v>91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J80" s="1">
        <v>26085</v>
      </c>
      <c r="K80" s="2">
        <v>43122</v>
      </c>
      <c r="L80" s="40">
        <v>0.37916666666666665</v>
      </c>
      <c r="M80" s="30">
        <f t="shared" si="12"/>
        <v>-700</v>
      </c>
      <c r="S80" s="11">
        <f>[1]!WSD($B80,"contractmultiplier",$A$2,$A$2,"TradingCalendar=SSE","rptType=1","ShowCodes=N","ShowDates=N","ShowParams=Y","cols=1;rows=1")</f>
        <v>5</v>
      </c>
      <c r="T80" s="36">
        <v>9689003</v>
      </c>
      <c r="U80" s="24">
        <f t="shared" ref="U80:U82" si="14">T80*G80/(D80*S80*0.15)</f>
        <v>7.4231013215859019</v>
      </c>
    </row>
    <row r="81" spans="1:21" ht="14.25">
      <c r="B81" s="24" t="s">
        <v>92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69"/>
      <c r="I81" s="34"/>
      <c r="J81" s="24">
        <v>5744</v>
      </c>
      <c r="K81" s="35">
        <v>43125</v>
      </c>
      <c r="L81" s="47">
        <v>0.87708333333333333</v>
      </c>
      <c r="M81" s="24">
        <f t="shared" si="12"/>
        <v>24940</v>
      </c>
      <c r="N81" s="24"/>
      <c r="O81" s="24"/>
      <c r="P81" s="36"/>
      <c r="Q81" s="36"/>
      <c r="R81" s="36"/>
      <c r="S81" s="11">
        <f>[1]!WSD($B81,"contractmultiplier",$A$2,$A$2,"TradingCalendar=SSE","rptType=1","ShowCodes=N","ShowDates=N","ShowParams=Y","cols=1;rows=1")</f>
        <v>5</v>
      </c>
      <c r="T81" s="36">
        <v>9689004</v>
      </c>
      <c r="U81" s="24">
        <f t="shared" si="14"/>
        <v>43.613142857142854</v>
      </c>
    </row>
    <row r="82" spans="1:21" ht="14.25">
      <c r="B82" s="24" t="s">
        <v>93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J82" s="1">
        <v>2756</v>
      </c>
      <c r="K82" s="2">
        <v>43123</v>
      </c>
      <c r="L82" s="40">
        <v>0.5708333333333333</v>
      </c>
      <c r="M82" s="30">
        <f t="shared" ref="M82:M147" si="15">IF(J82="","",C82*(J82-D82)*S82)</f>
        <v>-1000</v>
      </c>
      <c r="S82" s="11">
        <f>[1]!WSD($B82,"contractmultiplier",$A$2,$A$2,"TradingCalendar=SSE","rptType=1","ShowCodes=N","ShowDates=N","ShowParams=Y","cols=1;rows=1")</f>
        <v>10</v>
      </c>
      <c r="T82" s="53">
        <v>9708000</v>
      </c>
      <c r="U82" s="24">
        <f t="shared" si="14"/>
        <v>4.662824207492795</v>
      </c>
    </row>
    <row r="83" spans="1:21" ht="14.25">
      <c r="A83" s="3"/>
      <c r="B83" s="3" t="s">
        <v>94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66"/>
      <c r="I83" s="32"/>
      <c r="J83" s="3">
        <v>6367.2</v>
      </c>
      <c r="K83" s="33">
        <v>43129</v>
      </c>
      <c r="L83" s="45">
        <v>0.4375</v>
      </c>
      <c r="M83" s="3">
        <f t="shared" si="15"/>
        <v>10200</v>
      </c>
      <c r="N83" s="3"/>
      <c r="O83" s="3"/>
      <c r="P83" s="4"/>
      <c r="Q83" s="36"/>
      <c r="R83" s="36"/>
      <c r="S83" s="11">
        <f>[1]!WSD($B83,"contractmultiplier",$A$2,$A$2,"TradingCalendar=SSE","rptType=1","ShowCodes=N","ShowDates=N","ShowParams=Y","cols=1;rows=1")</f>
        <v>200</v>
      </c>
      <c r="T83" s="53">
        <v>9708001</v>
      </c>
      <c r="U83" s="24">
        <f t="shared" ref="U83" si="16">T83*G83/(D83*S83*0.15)</f>
        <v>0.97343349376734956</v>
      </c>
    </row>
    <row r="84" spans="1:21" ht="14.25">
      <c r="A84" s="2">
        <v>43123</v>
      </c>
      <c r="B84" s="1" t="s">
        <v>95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J84" s="1">
        <v>9407</v>
      </c>
      <c r="K84" s="2">
        <v>43123</v>
      </c>
      <c r="L84" s="40">
        <v>0.40833333333333338</v>
      </c>
      <c r="M84" s="30">
        <f t="shared" si="15"/>
        <v>-7665</v>
      </c>
      <c r="S84" s="11">
        <f>[1]!WSD($B84,"contractmultiplier",$A$2,$A$2,"TradingCalendar=SSE","rptType=1","ShowCodes=N","ShowDates=N","ShowParams=Y","cols=1;rows=1")</f>
        <v>5</v>
      </c>
      <c r="T84" s="53">
        <v>9708002</v>
      </c>
      <c r="U84" s="24">
        <f t="shared" ref="U84" si="17">T84*G84/(D84*S84*0.15)</f>
        <v>20.481016877637131</v>
      </c>
    </row>
    <row r="85" spans="1:21" ht="14.25">
      <c r="B85" s="1" t="s">
        <v>96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J85" s="1">
        <v>99540</v>
      </c>
      <c r="K85" s="2">
        <v>43123</v>
      </c>
      <c r="L85" s="40">
        <v>0.62222222222222223</v>
      </c>
      <c r="M85" s="30">
        <f t="shared" si="15"/>
        <v>-17160</v>
      </c>
      <c r="S85" s="11">
        <f>[1]!WSD($B85,"contractmultiplier",$A$2,$A$2,"TradingCalendar=SSE","rptType=1","ShowCodes=N","ShowDates=N","ShowParams=Y","cols=1;rows=1")</f>
        <v>1</v>
      </c>
      <c r="T85" s="53">
        <v>9708003</v>
      </c>
      <c r="U85" s="24">
        <f t="shared" ref="U85" si="18">T85*G85/(D85*S85*0.15)</f>
        <v>12.533690551421873</v>
      </c>
    </row>
    <row r="86" spans="1:21" ht="14.25">
      <c r="B86" s="1" t="s">
        <v>97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J86" s="1">
        <v>6686</v>
      </c>
      <c r="K86" s="2">
        <v>43123</v>
      </c>
      <c r="L86" s="40">
        <v>0.5708333333333333</v>
      </c>
      <c r="M86" s="30">
        <f t="shared" si="15"/>
        <v>-5890.49999999997</v>
      </c>
      <c r="S86" s="11">
        <f>[1]!WSD($B86,"contractmultiplier",$A$2,$A$2,"TradingCalendar=SSE","rptType=1","ShowCodes=N","ShowDates=N","ShowParams=Y","cols=1;rows=1")</f>
        <v>5</v>
      </c>
      <c r="T86" s="53">
        <v>9708004</v>
      </c>
      <c r="U86" s="24">
        <f t="shared" ref="U86" si="19">T86*G86/(D86*S86*0.15)</f>
        <v>33.088445734277656</v>
      </c>
    </row>
    <row r="87" spans="1:21" ht="14.25">
      <c r="A87" s="24"/>
      <c r="B87" s="24" t="s">
        <v>95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69"/>
      <c r="I87" s="34"/>
      <c r="J87" s="24">
        <v>9486</v>
      </c>
      <c r="K87" s="35">
        <v>43124</v>
      </c>
      <c r="L87" s="47">
        <v>0.44444444444444442</v>
      </c>
      <c r="M87" s="30">
        <f t="shared" si="15"/>
        <v>-7280</v>
      </c>
      <c r="N87" s="24"/>
      <c r="O87" s="24"/>
      <c r="P87" s="36"/>
      <c r="Q87" s="36"/>
      <c r="R87" s="36"/>
      <c r="S87" s="11">
        <f>[1]!WSD($B87,"contractmultiplier",$A$2,$A$2,"TradingCalendar=SSE","rptType=1","ShowCodes=N","ShowDates=N","ShowParams=Y","cols=1;rows=1")</f>
        <v>5</v>
      </c>
      <c r="T87" s="53">
        <v>9708005</v>
      </c>
      <c r="U87" s="24">
        <f t="shared" ref="U87" si="20">T87*G87/(D87*S87*0.15)</f>
        <v>28.499071084084715</v>
      </c>
    </row>
    <row r="88" spans="1:21" ht="14.25">
      <c r="A88" s="3"/>
      <c r="B88" s="3" t="s">
        <v>106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66"/>
      <c r="I88" s="32"/>
      <c r="J88" s="3">
        <v>6758</v>
      </c>
      <c r="K88" s="33">
        <v>43125</v>
      </c>
      <c r="L88" s="45">
        <v>0.59652777777777777</v>
      </c>
      <c r="M88" s="28">
        <f t="shared" si="15"/>
        <v>2340</v>
      </c>
      <c r="N88" s="3"/>
      <c r="O88" s="3"/>
      <c r="P88" s="4"/>
      <c r="Q88" s="36"/>
      <c r="R88" s="36"/>
      <c r="S88" s="11">
        <f>[1]!WSD($B88,"contractmultiplier",$A$2,$A$2,"TradingCalendar=SSE","rptType=1","ShowCodes=N","ShowDates=N","ShowParams=Y","cols=1;rows=1")</f>
        <v>5</v>
      </c>
      <c r="T88" s="53">
        <v>9708006</v>
      </c>
      <c r="U88" s="24">
        <f t="shared" ref="U88" si="21">T88*G88/(D88*S88*0.15)</f>
        <v>26.886663501483682</v>
      </c>
    </row>
    <row r="89" spans="1:21" ht="14.25">
      <c r="A89" s="2">
        <v>43124</v>
      </c>
      <c r="B89" s="41" t="s">
        <v>98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70"/>
      <c r="I89" s="43"/>
      <c r="J89" s="41">
        <v>2770</v>
      </c>
      <c r="K89" s="57">
        <v>43124</v>
      </c>
      <c r="L89" s="42">
        <v>0.3840277777777778</v>
      </c>
      <c r="M89" s="46">
        <f t="shared" si="15"/>
        <v>-9010</v>
      </c>
      <c r="N89" s="41"/>
      <c r="O89" s="41"/>
      <c r="P89" s="44"/>
      <c r="Q89" s="36"/>
      <c r="R89" s="36"/>
      <c r="S89" s="11">
        <f>[1]!WSD($B89,"contractmultiplier",$A$2,$A$2,"TradingCalendar=SSE","rptType=1","ShowCodes=N","ShowDates=N","ShowParams=Y","cols=1;rows=1")</f>
        <v>10</v>
      </c>
      <c r="T89" s="53">
        <v>9708006</v>
      </c>
      <c r="U89" s="24">
        <f t="shared" ref="U89" si="22">T89*G89/(D89*S89*0.15)</f>
        <v>53.410869034804449</v>
      </c>
    </row>
    <row r="90" spans="1:21" ht="14.25">
      <c r="B90" s="1" t="s">
        <v>100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J90" s="1">
        <v>2781</v>
      </c>
      <c r="K90" s="2">
        <v>43125</v>
      </c>
      <c r="L90" s="40">
        <v>0.37986111111111115</v>
      </c>
      <c r="M90" s="30">
        <f t="shared" si="15"/>
        <v>-660</v>
      </c>
      <c r="S90" s="11">
        <f>[1]!WSD($B90,"contractmultiplier",$A$2,$A$2,"TradingCalendar=SSE","rptType=1","ShowCodes=N","ShowDates=N","ShowParams=Y","cols=1;rows=1")</f>
        <v>10</v>
      </c>
      <c r="T90" s="53">
        <v>9708007</v>
      </c>
      <c r="U90" s="24">
        <f t="shared" ref="U90:U92" si="23">T90*G90/(D90*S90*0.15)</f>
        <v>12.266434837545125</v>
      </c>
    </row>
    <row r="91" spans="1:21" ht="14.25">
      <c r="B91" s="1" t="s">
        <v>100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J91" s="1">
        <v>2771</v>
      </c>
      <c r="K91" s="2">
        <v>43124</v>
      </c>
      <c r="L91" s="40">
        <v>0.38472222222222219</v>
      </c>
      <c r="M91" s="30">
        <f>IF(J91="","",C91*(J91-D91)*S91)</f>
        <v>-20</v>
      </c>
      <c r="S91" s="11">
        <f>[1]!WSD($B91,"contractmultiplier",$A$2,$A$2,"TradingCalendar=SSE","rptType=1","ShowCodes=N","ShowDates=N","ShowParams=Y","cols=1;rows=1")</f>
        <v>10</v>
      </c>
      <c r="T91" s="53">
        <v>9708008</v>
      </c>
      <c r="U91" s="24">
        <f t="shared" si="23"/>
        <v>4.0888120336943441</v>
      </c>
    </row>
    <row r="92" spans="1:21" ht="14.25">
      <c r="B92" s="1" t="s">
        <v>101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J92" s="1">
        <v>99150</v>
      </c>
      <c r="K92" s="2">
        <v>43124</v>
      </c>
      <c r="L92" s="40">
        <v>0.44444444444444442</v>
      </c>
      <c r="M92" s="30">
        <f t="shared" si="15"/>
        <v>-4200</v>
      </c>
      <c r="S92" s="11">
        <f>[1]!WSD($B92,"contractmultiplier",$A$2,$A$2,"TradingCalendar=SSE","rptType=1","ShowCodes=N","ShowDates=N","ShowParams=Y","cols=1;rows=1")</f>
        <v>1</v>
      </c>
      <c r="T92" s="53">
        <v>9708009</v>
      </c>
      <c r="U92" s="24">
        <f t="shared" si="23"/>
        <v>23.449297101449272</v>
      </c>
    </row>
    <row r="93" spans="1:21" ht="14.25">
      <c r="B93" s="1" t="s">
        <v>101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J93" s="1">
        <v>98590</v>
      </c>
      <c r="K93" s="2">
        <v>43124</v>
      </c>
      <c r="L93" s="40">
        <v>0.62013888888888891</v>
      </c>
      <c r="M93" s="30">
        <f t="shared" si="15"/>
        <v>-13020</v>
      </c>
      <c r="S93" s="11">
        <f>[1]!WSD($B93,"contractmultiplier",$A$2,$A$2,"TradingCalendar=SSE","rptType=1","ShowCodes=N","ShowDates=N","ShowParams=Y","cols=1;rows=1")</f>
        <v>1</v>
      </c>
      <c r="T93" s="53">
        <v>9758010</v>
      </c>
      <c r="U93" s="24">
        <f t="shared" ref="U93" si="24">T93*G93/(D93*S93*0.15)</f>
        <v>23.598335365423566</v>
      </c>
    </row>
    <row r="94" spans="1:21" ht="14.25">
      <c r="B94" s="1" t="s">
        <v>102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J94" s="1">
        <v>9495</v>
      </c>
      <c r="K94" s="2">
        <v>43124</v>
      </c>
      <c r="L94" s="40">
        <v>0.62013888888888891</v>
      </c>
      <c r="M94" s="30">
        <f t="shared" si="15"/>
        <v>-4060</v>
      </c>
      <c r="S94" s="11">
        <f>[1]!WSD($B94,"contractmultiplier",$A$2,$A$2,"TradingCalendar=SSE","rptType=1","ShowCodes=N","ShowDates=N","ShowParams=Y","cols=1;rows=1")</f>
        <v>5</v>
      </c>
      <c r="T94" s="53">
        <v>9758011</v>
      </c>
      <c r="U94" s="24">
        <f t="shared" ref="U94" si="25">T94*G94/(D94*S94*0.15)</f>
        <v>28.687978580428393</v>
      </c>
    </row>
    <row r="95" spans="1:21" ht="14.25">
      <c r="B95" s="1" t="s">
        <v>103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J95" s="1">
        <v>1288</v>
      </c>
      <c r="K95" s="2">
        <v>43124</v>
      </c>
      <c r="L95" s="40">
        <v>0.62013888888888891</v>
      </c>
      <c r="M95" s="30">
        <f t="shared" si="15"/>
        <v>-11700</v>
      </c>
      <c r="S95" s="11">
        <f>[1]!WSD($B95,"contractmultiplier",$A$2,$A$2,"TradingCalendar=SSE","rptType=1","ShowCodes=N","ShowDates=N","ShowParams=Y","cols=1;rows=1")</f>
        <v>60</v>
      </c>
      <c r="T95" s="53">
        <v>9758012</v>
      </c>
      <c r="U95" s="24">
        <f t="shared" ref="U95" si="26">T95*G95/(D95*S95*0.15)</f>
        <v>29.31465774001116</v>
      </c>
    </row>
    <row r="96" spans="1:21" ht="14.25">
      <c r="B96" s="1" t="s">
        <v>104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J96" s="1">
        <v>2847</v>
      </c>
      <c r="K96" s="2">
        <v>43125</v>
      </c>
      <c r="L96" s="40">
        <v>0.37986111111111115</v>
      </c>
      <c r="M96" s="30">
        <f t="shared" si="15"/>
        <v>3210.9999999999764</v>
      </c>
      <c r="S96" s="11">
        <f>[1]!WSD($B96,"contractmultiplier",$A$2,$A$2,"TradingCalendar=SSE","rptType=1","ShowCodes=N","ShowDates=N","ShowParams=Y","cols=1;rows=1")</f>
        <v>10</v>
      </c>
      <c r="T96" s="53">
        <v>9758013</v>
      </c>
      <c r="U96" s="24">
        <f t="shared" ref="U96" si="27">T96*G96/(D96*S96*0.15)</f>
        <v>13.829873507423025</v>
      </c>
    </row>
    <row r="97" spans="1:21" ht="14.25">
      <c r="A97" s="3"/>
      <c r="B97" s="3" t="s">
        <v>105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66"/>
      <c r="I97" s="32"/>
      <c r="J97" s="3">
        <v>5238</v>
      </c>
      <c r="K97" s="33">
        <v>43125</v>
      </c>
      <c r="L97" s="45">
        <v>0.87708333333333333</v>
      </c>
      <c r="M97" s="28">
        <f t="shared" si="15"/>
        <v>-2760</v>
      </c>
      <c r="N97" s="3"/>
      <c r="O97" s="3"/>
      <c r="P97" s="4"/>
      <c r="Q97" s="36"/>
      <c r="R97" s="36"/>
      <c r="S97" s="11">
        <f>[1]!WSD($B97,"contractmultiplier",$A$2,$A$2,"TradingCalendar=SSE","rptType=1","ShowCodes=N","ShowDates=N","ShowParams=Y","cols=1;rows=1")</f>
        <v>10</v>
      </c>
      <c r="T97" s="53">
        <v>9758014</v>
      </c>
      <c r="U97" s="24">
        <f t="shared" ref="U97" si="28">T97*G97/(D97*S97*0.15)</f>
        <v>23.651264957264956</v>
      </c>
    </row>
    <row r="98" spans="1:21" ht="14.25">
      <c r="A98" s="2">
        <v>43125</v>
      </c>
      <c r="B98" s="1" t="s">
        <v>36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J98" s="1">
        <v>2295</v>
      </c>
      <c r="K98" s="2">
        <v>43126</v>
      </c>
      <c r="L98" s="40">
        <v>0.37986111111111115</v>
      </c>
      <c r="M98" s="30">
        <f t="shared" si="15"/>
        <v>1280</v>
      </c>
      <c r="S98" s="11">
        <f>[1]!WSD($B98,"contractmultiplier",$A$2,$A$2,"TradingCalendar=SSE","rptType=1","ShowCodes=N","ShowDates=N","ShowParams=Y","cols=1;rows=1")</f>
        <v>10</v>
      </c>
      <c r="T98" s="53">
        <v>9758015</v>
      </c>
      <c r="U98" s="24">
        <f t="shared" ref="U98" si="29">T98*G98/(D98*S98*0.15)</f>
        <v>16.118763542729436</v>
      </c>
    </row>
    <row r="99" spans="1:21" ht="14.25">
      <c r="B99" s="1" t="s">
        <v>31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J99" s="1">
        <v>103760</v>
      </c>
      <c r="K99" s="2">
        <v>43126</v>
      </c>
      <c r="L99" s="40">
        <v>0.37986111111111115</v>
      </c>
      <c r="M99" s="30">
        <f t="shared" si="15"/>
        <v>48600</v>
      </c>
      <c r="S99" s="11">
        <f>[1]!WSD($B99,"contractmultiplier",$A$2,$A$2,"TradingCalendar=SSE","rptType=1","ShowCodes=N","ShowDates=N","ShowParams=Y","cols=1;rows=1")</f>
        <v>1</v>
      </c>
      <c r="T99" s="53">
        <v>9758016</v>
      </c>
      <c r="U99" s="24">
        <f t="shared" ref="U99" si="30">T99*G99/(D99*S99*0.15)</f>
        <v>12.069889078327151</v>
      </c>
    </row>
    <row r="100" spans="1:21" ht="14.25">
      <c r="B100" s="3" t="s">
        <v>59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66"/>
      <c r="I100" s="32"/>
      <c r="J100" s="3">
        <v>1306</v>
      </c>
      <c r="K100" s="33">
        <v>43126</v>
      </c>
      <c r="L100" s="45">
        <v>0.37986111111111115</v>
      </c>
      <c r="M100" s="28">
        <f t="shared" si="15"/>
        <v>14400</v>
      </c>
      <c r="N100" s="3"/>
      <c r="O100" s="3"/>
      <c r="P100" s="4"/>
      <c r="Q100" s="36"/>
      <c r="R100" s="36"/>
      <c r="S100" s="11">
        <f>[1]!WSD($B100,"contractmultiplier",$A$2,$A$2,"TradingCalendar=SSE","rptType=1","ShowCodes=N","ShowDates=N","ShowParams=Y","cols=1;rows=1")</f>
        <v>60</v>
      </c>
      <c r="T100" s="53">
        <v>9758017</v>
      </c>
      <c r="U100" s="24">
        <f t="shared" ref="U100" si="31">T100*G100/(D100*S100*0.15)</f>
        <v>14.708466623600346</v>
      </c>
    </row>
    <row r="101" spans="1:21" ht="14.25">
      <c r="B101" s="1" t="s">
        <v>107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J101" s="1">
        <v>5704</v>
      </c>
      <c r="K101" s="2">
        <v>43130</v>
      </c>
      <c r="L101" s="40">
        <v>0.38194444444444442</v>
      </c>
      <c r="M101" s="30">
        <f t="shared" si="15"/>
        <v>-5920</v>
      </c>
      <c r="S101" s="11">
        <f>[1]!WSD($B101,"contractmultiplier",$A$2,$A$2,"TradingCalendar=SSE","rptType=1","ShowCodes=N","ShowDates=N","ShowParams=Y","cols=1;rows=1")</f>
        <v>5</v>
      </c>
      <c r="T101" s="53">
        <v>9758018</v>
      </c>
      <c r="U101" s="24">
        <f t="shared" ref="U101" si="32">T101*G101/(D101*S101*0.15)</f>
        <v>16.512933810238067</v>
      </c>
    </row>
    <row r="102" spans="1:21" ht="14.25">
      <c r="B102" s="1" t="s">
        <v>108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J102" s="1">
        <v>26140</v>
      </c>
      <c r="K102" s="2">
        <v>43126</v>
      </c>
      <c r="L102" s="40">
        <v>0.37986111111111115</v>
      </c>
      <c r="M102" s="30">
        <f t="shared" si="15"/>
        <v>-3600</v>
      </c>
      <c r="S102" s="11">
        <f>[1]!WSD($B102,"contractmultiplier",$A$2,$A$2,"TradingCalendar=SSE","rptType=1","ShowCodes=N","ShowDates=N","ShowParams=Y","cols=1;rows=1")</f>
        <v>5</v>
      </c>
      <c r="T102" s="53">
        <v>9758019</v>
      </c>
      <c r="U102" s="24">
        <f t="shared" ref="U102" si="33">T102*G102/(D102*S102*0.15)</f>
        <v>8.4356126620900085</v>
      </c>
    </row>
    <row r="103" spans="1:21" ht="14.25">
      <c r="B103" s="1" t="s">
        <v>109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J103" s="1">
        <v>9925</v>
      </c>
      <c r="K103" s="2">
        <v>43126</v>
      </c>
      <c r="L103" s="40">
        <v>0.40277777777777773</v>
      </c>
      <c r="M103" s="30">
        <f t="shared" si="15"/>
        <v>-1950</v>
      </c>
      <c r="S103" s="11">
        <f>[1]!WSD($B103,"contractmultiplier",$A$2,$A$2,"TradingCalendar=SSE","rptType=1","ShowCodes=N","ShowDates=N","ShowParams=Y","cols=1;rows=1")</f>
        <v>5</v>
      </c>
      <c r="T103" s="53">
        <v>9758020</v>
      </c>
      <c r="U103" s="24">
        <f t="shared" ref="U103" si="34">T103*G103/(D103*S103*0.15)</f>
        <v>13.069506110832076</v>
      </c>
    </row>
    <row r="104" spans="1:21" ht="14.25">
      <c r="B104" s="1" t="s">
        <v>110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J104" s="1">
        <v>1483</v>
      </c>
      <c r="K104" s="2">
        <v>43126</v>
      </c>
      <c r="L104" s="40">
        <v>0.3756944444444445</v>
      </c>
      <c r="M104" s="30">
        <f t="shared" si="15"/>
        <v>-560</v>
      </c>
      <c r="S104" s="11">
        <f>[1]!WSD($B104,"contractmultiplier",$A$2,$A$2,"TradingCalendar=SSE","rptType=1","ShowCodes=N","ShowDates=N","ShowParams=Y","cols=1;rows=1")</f>
        <v>20</v>
      </c>
      <c r="T104" s="53">
        <v>9758021</v>
      </c>
      <c r="U104" s="24">
        <f t="shared" ref="U104" si="35">T104*G104/(D104*S104*0.15)</f>
        <v>13.872233370744482</v>
      </c>
    </row>
    <row r="105" spans="1:21" ht="14.25">
      <c r="B105" s="1" t="s">
        <v>111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J105" s="1">
        <v>9512</v>
      </c>
      <c r="K105" s="2">
        <v>43126</v>
      </c>
      <c r="L105" s="40">
        <v>0.42222222222222222</v>
      </c>
      <c r="M105" s="30">
        <f t="shared" si="15"/>
        <v>-2520</v>
      </c>
      <c r="S105" s="11">
        <f>[1]!WSD($B105,"contractmultiplier",$A$2,$A$2,"TradingCalendar=SSE","rptType=1","ShowCodes=N","ShowDates=N","ShowParams=Y","cols=1;rows=1")</f>
        <v>5</v>
      </c>
      <c r="T105" s="53">
        <v>9758022</v>
      </c>
      <c r="U105" s="24">
        <f t="shared" ref="U105" si="36">T105*G105/(D105*S105*0.15)</f>
        <v>12.256255390412392</v>
      </c>
    </row>
    <row r="106" spans="1:21" ht="14.25">
      <c r="B106" s="1" t="s">
        <v>113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J106" s="1">
        <v>5230</v>
      </c>
      <c r="K106" s="2">
        <v>43125</v>
      </c>
      <c r="L106" s="40">
        <v>0.56597222222222221</v>
      </c>
      <c r="M106" s="30">
        <f t="shared" si="15"/>
        <v>240</v>
      </c>
      <c r="S106" s="11">
        <f>[1]!WSD($B106,"contractmultiplier",$A$2,$A$2,"TradingCalendar=SSE","rptType=1","ShowCodes=N","ShowDates=N","ShowParams=Y","cols=1;rows=1")</f>
        <v>10</v>
      </c>
      <c r="T106" s="53">
        <v>9758023</v>
      </c>
      <c r="U106" s="24">
        <f t="shared" ref="U106" si="37">T106*G106/(D106*S106*0.15)</f>
        <v>5.3859083343947702</v>
      </c>
    </row>
    <row r="107" spans="1:21" ht="14.25">
      <c r="B107" s="1" t="s">
        <v>115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J107" s="1">
        <v>2088</v>
      </c>
      <c r="K107" s="2">
        <v>43126</v>
      </c>
      <c r="L107" s="40">
        <v>0.58819444444444446</v>
      </c>
      <c r="M107" s="30">
        <f t="shared" si="15"/>
        <v>110</v>
      </c>
      <c r="S107" s="11">
        <f>[1]!WSD($B107,"contractmultiplier",$A$2,$A$2,"TradingCalendar=SSE","rptType=1","ShowCodes=N","ShowDates=N","ShowParams=Y","cols=1;rows=1")</f>
        <v>10</v>
      </c>
      <c r="T107" s="53">
        <v>9800000</v>
      </c>
      <c r="U107" s="24">
        <f t="shared" ref="U107" si="38">T107*G107/(D107*S107*0.15)</f>
        <v>11.467475134301369</v>
      </c>
    </row>
    <row r="108" spans="1:21" ht="14.25">
      <c r="B108" s="1" t="s">
        <v>116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J108" s="1">
        <v>91.875</v>
      </c>
      <c r="K108" s="2">
        <v>43126</v>
      </c>
      <c r="L108" s="40">
        <v>0.42222222222222222</v>
      </c>
      <c r="M108" s="30">
        <f t="shared" si="15"/>
        <v>-1650.0000000000625</v>
      </c>
      <c r="S108" s="11">
        <f>[1]!WSD($B108,"contractmultiplier",$A$2,$A$2,"TradingCalendar=SSE","rptType=1","ShowCodes=N","ShowDates=N","ShowParams=Y","cols=1;rows=1")</f>
        <v>10000</v>
      </c>
      <c r="T108" s="53">
        <v>9800001</v>
      </c>
      <c r="U108" s="24">
        <f t="shared" ref="U108" si="39">T108*G108/(D108*S108*0.15)</f>
        <v>1.2823030421982338</v>
      </c>
    </row>
    <row r="109" spans="1:21" ht="14.25">
      <c r="A109" s="3"/>
      <c r="B109" s="3" t="s">
        <v>118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66"/>
      <c r="I109" s="32"/>
      <c r="J109" s="3">
        <v>95.965000000000003</v>
      </c>
      <c r="K109" s="33">
        <v>43126</v>
      </c>
      <c r="L109" s="45">
        <v>0.40277777777777773</v>
      </c>
      <c r="M109" s="28">
        <f t="shared" si="15"/>
        <v>-1350.0000000000512</v>
      </c>
      <c r="N109" s="3"/>
      <c r="O109" s="3"/>
      <c r="P109" s="4"/>
      <c r="Q109" s="36"/>
      <c r="R109" s="36"/>
      <c r="S109" s="11">
        <f>[1]!WSD($B109,"contractmultiplier",$A$2,$A$2,"TradingCalendar=SSE","rptType=1","ShowCodes=N","ShowDates=N","ShowParams=Y","cols=1;rows=1")</f>
        <v>10000</v>
      </c>
      <c r="T109" s="53">
        <v>9800002</v>
      </c>
      <c r="U109" s="24">
        <f t="shared" ref="U109" si="40">T109*G109/(D109*S109*0.15)</f>
        <v>1.3635259661205608</v>
      </c>
    </row>
    <row r="110" spans="1:21" ht="14.25">
      <c r="A110" s="2">
        <v>43126</v>
      </c>
      <c r="B110" s="41" t="s">
        <v>15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70"/>
      <c r="I110" s="43"/>
      <c r="J110" s="41">
        <v>2044.5</v>
      </c>
      <c r="K110" s="57">
        <v>43126</v>
      </c>
      <c r="L110" s="42">
        <v>0.37986111111111115</v>
      </c>
      <c r="M110" s="46">
        <f t="shared" si="15"/>
        <v>-6600</v>
      </c>
      <c r="N110" s="41"/>
      <c r="O110" s="41"/>
      <c r="P110" s="44"/>
      <c r="Q110" s="36"/>
      <c r="R110" s="36"/>
      <c r="S110" s="11">
        <f>[1]!WSD($B110,"contractmultiplier",$A$2,$A$2,"TradingCalendar=SSE","rptType=1","ShowCodes=N","ShowDates=N","ShowParams=Y","cols=1;rows=1")</f>
        <v>100</v>
      </c>
      <c r="T110" s="53">
        <v>9777000</v>
      </c>
      <c r="U110" s="24">
        <f t="shared" ref="U110" si="41">T110*G110/(D110*S110*0.15)</f>
        <v>6.8176599367550468</v>
      </c>
    </row>
    <row r="111" spans="1:21" ht="14.25">
      <c r="B111" s="1" t="s">
        <v>127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J111" s="1">
        <v>3628</v>
      </c>
      <c r="K111" s="2">
        <v>43130</v>
      </c>
      <c r="L111" s="40">
        <v>0.58888888888888891</v>
      </c>
      <c r="M111" s="30">
        <f t="shared" si="15"/>
        <v>7410</v>
      </c>
      <c r="S111" s="11">
        <f>[1]!WSD($B111,"contractmultiplier",$A$2,$A$2,"TradingCalendar=SSE","rptType=1","ShowCodes=N","ShowDates=N","ShowParams=Y","cols=1;rows=1")</f>
        <v>10</v>
      </c>
      <c r="T111" s="53">
        <v>9777001</v>
      </c>
      <c r="U111" s="24">
        <f t="shared" ref="U111" si="42">T111*G111/(D111*S111*0.15)</f>
        <v>14.15034066033469</v>
      </c>
    </row>
    <row r="112" spans="1:21" ht="14.25">
      <c r="B112" s="1" t="s">
        <v>128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J112" s="1">
        <v>2843</v>
      </c>
      <c r="K112" s="2">
        <v>43126</v>
      </c>
      <c r="L112" s="40">
        <v>0.89027777777777783</v>
      </c>
      <c r="M112" s="30">
        <f t="shared" si="15"/>
        <v>-80</v>
      </c>
      <c r="S112" s="11">
        <f>[1]!WSD($B112,"contractmultiplier",$A$2,$A$2,"TradingCalendar=SSE","rptType=1","ShowCodes=N","ShowDates=N","ShowParams=Y","cols=1;rows=1")</f>
        <v>10</v>
      </c>
      <c r="T112" s="53">
        <v>9777002</v>
      </c>
      <c r="U112" s="24">
        <f t="shared" ref="U112" si="43">T112*G112/(D112*S112*0.15)</f>
        <v>1.5327457573976091</v>
      </c>
    </row>
    <row r="113" spans="1:21" ht="14.25">
      <c r="B113" s="1" t="s">
        <v>129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J113" s="1">
        <v>2773</v>
      </c>
      <c r="K113" s="2">
        <v>43129</v>
      </c>
      <c r="L113" s="40">
        <v>0.40833333333333338</v>
      </c>
      <c r="M113" s="30">
        <f t="shared" si="15"/>
        <v>-1540</v>
      </c>
      <c r="S113" s="11">
        <f>[1]!WSD($B113,"contractmultiplier",$A$2,$A$2,"TradingCalendar=SSE","rptType=1","ShowCodes=N","ShowDates=N","ShowParams=Y","cols=1;rows=1")</f>
        <v>10</v>
      </c>
      <c r="T113" s="53">
        <v>9777003</v>
      </c>
      <c r="U113" s="24">
        <f t="shared" ref="U113" si="44">T113*G113/(D113*S113*0.15)</f>
        <v>11.024770810680197</v>
      </c>
    </row>
    <row r="114" spans="1:21" ht="14.25">
      <c r="B114" s="1" t="s">
        <v>131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J114" s="1">
        <v>668.6</v>
      </c>
      <c r="K114" s="2">
        <v>43129</v>
      </c>
      <c r="L114" s="40">
        <v>0.92361111111111116</v>
      </c>
      <c r="M114" s="30">
        <f t="shared" si="15"/>
        <v>0</v>
      </c>
      <c r="S114" s="11">
        <f>[1]!WSD($B114,"contractmultiplier",$A$2,$A$2,"TradingCalendar=SSE","rptType=1","ShowCodes=N","ShowDates=N","ShowParams=Y","cols=1;rows=1")</f>
        <v>100</v>
      </c>
      <c r="T114" s="53">
        <v>9777004</v>
      </c>
      <c r="U114" s="24">
        <f t="shared" ref="U114" si="45">T114*G114/(D114*S114*0.15)</f>
        <v>24.371831688104496</v>
      </c>
    </row>
    <row r="115" spans="1:21" ht="14.25">
      <c r="B115" s="1" t="s">
        <v>135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J115" s="1">
        <v>4347.2</v>
      </c>
      <c r="K115" s="2">
        <v>43129</v>
      </c>
      <c r="L115" s="40">
        <v>0.46458333333333335</v>
      </c>
      <c r="M115" s="30">
        <f t="shared" si="15"/>
        <v>-17880.000000000109</v>
      </c>
      <c r="S115" s="11">
        <f>[1]!WSD($B115,"contractmultiplier",$A$2,$A$2,"TradingCalendar=SSE","rptType=1","ShowCodes=N","ShowDates=N","ShowParams=Y","cols=1;rows=1")</f>
        <v>300</v>
      </c>
      <c r="T115" s="53"/>
      <c r="U115" s="24"/>
    </row>
    <row r="116" spans="1:21" ht="14.25">
      <c r="B116" s="1" t="s">
        <v>136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J116" s="1">
        <v>3195</v>
      </c>
      <c r="K116" s="2">
        <v>43129</v>
      </c>
      <c r="L116" s="40">
        <v>0.46458333333333335</v>
      </c>
      <c r="M116" s="30">
        <f t="shared" si="15"/>
        <v>-720.00000000002728</v>
      </c>
      <c r="S116" s="11">
        <f>[1]!WSD($B116,"contractmultiplier",$A$2,$A$2,"TradingCalendar=SSE","rptType=1","ShowCodes=N","ShowDates=N","ShowParams=Y","cols=1;rows=1")</f>
        <v>300</v>
      </c>
      <c r="T116" s="53"/>
      <c r="U116" s="24"/>
    </row>
    <row r="117" spans="1:21" ht="14.25">
      <c r="B117" s="1" t="s">
        <v>132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J117" s="1">
        <v>14930</v>
      </c>
      <c r="K117" s="2">
        <v>43129</v>
      </c>
      <c r="L117" s="40">
        <v>0.40833333333333338</v>
      </c>
      <c r="M117" s="30">
        <f t="shared" si="15"/>
        <v>-6500</v>
      </c>
      <c r="S117" s="11">
        <f>[1]!WSD($B117,"contractmultiplier",$A$2,$A$2,"TradingCalendar=SSE","rptType=1","ShowCodes=N","ShowDates=N","ShowParams=Y","cols=1;rows=1")</f>
        <v>5</v>
      </c>
      <c r="T117" s="53">
        <v>9777005</v>
      </c>
      <c r="U117" s="24">
        <f t="shared" ref="U117" si="46">T117*G117/(D117*S117*0.15)</f>
        <v>10.129329504504504</v>
      </c>
    </row>
    <row r="118" spans="1:21" ht="14.25">
      <c r="B118" s="1" t="s">
        <v>133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J118" s="1">
        <v>2043.5</v>
      </c>
      <c r="K118" s="2">
        <v>43126</v>
      </c>
      <c r="L118" s="40">
        <v>0.62013888888888891</v>
      </c>
      <c r="M118" s="30">
        <f t="shared" si="15"/>
        <v>-6650</v>
      </c>
      <c r="S118" s="11">
        <f>[1]!WSD($B118,"contractmultiplier",$A$2,$A$2,"TradingCalendar=SSE","rptType=1","ShowCodes=N","ShowDates=N","ShowParams=Y","cols=1;rows=1")</f>
        <v>100</v>
      </c>
      <c r="T118" s="53">
        <v>9777006</v>
      </c>
      <c r="U118" s="24">
        <f t="shared" ref="U118" si="47">T118*G118/(D118*S118*0.15)</f>
        <v>6.8259661958110076</v>
      </c>
    </row>
    <row r="119" spans="1:21" ht="15" thickBot="1">
      <c r="A119" s="48"/>
      <c r="B119" s="48" t="s">
        <v>134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68"/>
      <c r="I119" s="50"/>
      <c r="J119" s="48">
        <v>9980</v>
      </c>
      <c r="K119" s="52">
        <v>43129</v>
      </c>
      <c r="L119" s="49">
        <v>0.58958333333333335</v>
      </c>
      <c r="M119" s="54">
        <f t="shared" si="15"/>
        <v>-1800</v>
      </c>
      <c r="N119" s="48"/>
      <c r="O119" s="48"/>
      <c r="P119" s="51"/>
      <c r="Q119" s="36"/>
      <c r="R119" s="36"/>
      <c r="S119" s="11">
        <f>[1]!WSD($B119,"contractmultiplier",$A$2,$A$2,"TradingCalendar=SSE","rptType=1","ShowCodes=N","ShowDates=N","ShowParams=Y","cols=1;rows=1")</f>
        <v>5</v>
      </c>
      <c r="T119" s="53">
        <v>9777007</v>
      </c>
      <c r="U119" s="24">
        <f t="shared" ref="U119" si="48">T119*G119/(D119*S119*0.15)</f>
        <v>8.6733262364160577</v>
      </c>
    </row>
    <row r="120" spans="1:21" ht="14.25">
      <c r="A120" s="2">
        <v>43129</v>
      </c>
      <c r="B120" s="1" t="s">
        <v>31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J120" s="1">
        <v>105200</v>
      </c>
      <c r="K120" s="2">
        <v>43130</v>
      </c>
      <c r="L120" s="40">
        <v>0.38194444444444442</v>
      </c>
      <c r="M120" s="30">
        <f>IF(J120="","",C120*(J120-D120)*S120)</f>
        <v>11700</v>
      </c>
      <c r="S120" s="11">
        <f>[1]!WSD($B120,"contractmultiplier",$A$2,$A$2,"TradingCalendar=SSE","rptType=1","ShowCodes=N","ShowDates=N","ShowParams=Y","cols=1;rows=1")</f>
        <v>1</v>
      </c>
      <c r="T120" s="53">
        <v>9777008</v>
      </c>
      <c r="U120" s="24">
        <f t="shared" ref="U120:U123" si="49">T120*G120/(D120*S120*0.15)</f>
        <v>12.811036369447105</v>
      </c>
    </row>
    <row r="121" spans="1:21" ht="14.25">
      <c r="B121" s="1" t="s">
        <v>137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J121" s="1">
        <v>26815</v>
      </c>
      <c r="K121" s="2">
        <v>43130</v>
      </c>
      <c r="L121" s="40">
        <v>0.38194444444444442</v>
      </c>
      <c r="M121" s="30">
        <f t="shared" si="15"/>
        <v>27450</v>
      </c>
      <c r="S121" s="11">
        <f>[1]!WSD($B121,"contractmultiplier",$A$2,$A$2,"TradingCalendar=SSE","rptType=1","ShowCodes=N","ShowDates=N","ShowParams=Y","cols=1;rows=1")</f>
        <v>5</v>
      </c>
      <c r="T121" s="53">
        <v>9777009</v>
      </c>
      <c r="U121" s="24">
        <f t="shared" si="49"/>
        <v>8.9543299370349168</v>
      </c>
    </row>
    <row r="122" spans="1:21" ht="14.25">
      <c r="B122" s="1" t="s">
        <v>138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J122" s="1">
        <v>2914</v>
      </c>
      <c r="K122" s="2">
        <v>43129</v>
      </c>
      <c r="L122" s="40">
        <v>0.88194444444444453</v>
      </c>
      <c r="M122" s="30">
        <f t="shared" si="15"/>
        <v>-360</v>
      </c>
      <c r="S122" s="11">
        <f>[1]!WSD($B122,"contractmultiplier",$A$2,$A$2,"TradingCalendar=SSE","rptType=1","ShowCodes=N","ShowDates=N","ShowParams=Y","cols=1;rows=1")</f>
        <v>10</v>
      </c>
      <c r="T122" s="53">
        <v>9777010</v>
      </c>
      <c r="U122" s="24">
        <f t="shared" si="49"/>
        <v>8.1903213768943726</v>
      </c>
    </row>
    <row r="123" spans="1:21" ht="14.25">
      <c r="B123" s="1" t="s">
        <v>59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J123" s="1">
        <v>1292.5</v>
      </c>
      <c r="K123" s="2">
        <v>43126</v>
      </c>
      <c r="L123" s="40">
        <v>0.9243055555555556</v>
      </c>
      <c r="M123" s="30">
        <f t="shared" si="15"/>
        <v>-2100</v>
      </c>
      <c r="S123" s="11">
        <f>[1]!WSD($B123,"contractmultiplier",$A$2,$A$2,"TradingCalendar=SSE","rptType=1","ShowCodes=N","ShowDates=N","ShowParams=Y","cols=1;rows=1")</f>
        <v>60</v>
      </c>
      <c r="T123" s="53">
        <v>9777011</v>
      </c>
      <c r="U123" s="24">
        <f t="shared" si="49"/>
        <v>13.841328314028315</v>
      </c>
    </row>
    <row r="124" spans="1:21" ht="14.25">
      <c r="B124" s="3" t="s">
        <v>39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66"/>
      <c r="I124" s="32"/>
      <c r="J124" s="3">
        <v>53640</v>
      </c>
      <c r="K124" s="33">
        <v>43129</v>
      </c>
      <c r="L124" s="45">
        <v>0.4069444444444445</v>
      </c>
      <c r="M124" s="28">
        <f t="shared" si="15"/>
        <v>-6300</v>
      </c>
      <c r="N124" s="3"/>
      <c r="O124" s="3"/>
      <c r="P124" s="4"/>
      <c r="Q124" s="36"/>
      <c r="R124" s="36"/>
      <c r="S124" s="11">
        <f>[1]!WSD($B124,"contractmultiplier",$A$2,$A$2,"TradingCalendar=SSE","rptType=1","ShowCodes=N","ShowDates=N","ShowParams=Y","cols=1;rows=1")</f>
        <v>5</v>
      </c>
      <c r="T124" s="53">
        <v>9777012</v>
      </c>
      <c r="U124" s="24">
        <f t="shared" ref="U124" si="50">T124*G124/(D124*S124*0.15)</f>
        <v>2.3269851935362644</v>
      </c>
    </row>
    <row r="125" spans="1:21" ht="14.25">
      <c r="B125" s="1" t="s">
        <v>139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J125" s="1">
        <v>2329</v>
      </c>
      <c r="K125" s="2">
        <v>43130</v>
      </c>
      <c r="L125" s="40">
        <v>0.38194444444444442</v>
      </c>
      <c r="M125" s="30">
        <f t="shared" si="15"/>
        <v>5280</v>
      </c>
      <c r="S125" s="11">
        <f>[1]!WSD($B125,"contractmultiplier",$A$2,$A$2,"TradingCalendar=SSE","rptType=1","ShowCodes=N","ShowDates=N","ShowParams=Y","cols=1;rows=1")</f>
        <v>10</v>
      </c>
      <c r="T125" s="53">
        <v>9777013</v>
      </c>
      <c r="U125" s="24">
        <f t="shared" ref="U125" si="51">T125*G125/(D125*S125*0.15)</f>
        <v>21.679566064111832</v>
      </c>
    </row>
    <row r="126" spans="1:21" ht="14.25">
      <c r="B126" s="1" t="s">
        <v>140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J126" s="1">
        <v>2038</v>
      </c>
      <c r="K126" s="2">
        <v>43129</v>
      </c>
      <c r="L126" s="40">
        <v>0.92361111111111116</v>
      </c>
      <c r="M126" s="30">
        <f t="shared" si="15"/>
        <v>2450</v>
      </c>
      <c r="S126" s="11">
        <f>[1]!WSD($B126,"contractmultiplier",$A$2,$A$2,"TradingCalendar=SSE","rptType=1","ShowCodes=N","ShowDates=N","ShowParams=Y","cols=1;rows=1")</f>
        <v>100</v>
      </c>
      <c r="T126" s="53">
        <v>9777014</v>
      </c>
      <c r="U126" s="24">
        <f t="shared" ref="U126" si="52">T126*G126/(D126*S126*0.15)</f>
        <v>6.8880413205537803</v>
      </c>
    </row>
    <row r="127" spans="1:21" ht="14.25">
      <c r="B127" s="1" t="s">
        <v>141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J127" s="1">
        <v>3936</v>
      </c>
      <c r="K127" s="2">
        <v>43129</v>
      </c>
      <c r="L127" s="40">
        <v>0.88194444444444453</v>
      </c>
      <c r="M127" s="30">
        <f t="shared" si="15"/>
        <v>-3300</v>
      </c>
      <c r="S127" s="11">
        <f>[1]!WSD($B127,"contractmultiplier",$A$2,$A$2,"TradingCalendar=SSE","rptType=1","ShowCodes=N","ShowDates=N","ShowParams=Y","cols=1;rows=1")</f>
        <v>10</v>
      </c>
      <c r="T127" s="53">
        <v>9777015</v>
      </c>
      <c r="U127" s="24">
        <f t="shared" ref="U127" si="53">T127*G127/(D127*S127*0.15)</f>
        <v>21.446249050873199</v>
      </c>
    </row>
    <row r="128" spans="1:21" ht="14.25">
      <c r="B128" s="1" t="s">
        <v>142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J128" s="1">
        <v>3951</v>
      </c>
      <c r="K128" s="2">
        <v>43130</v>
      </c>
      <c r="L128" s="40">
        <v>0.38194444444444442</v>
      </c>
      <c r="M128" s="30">
        <f t="shared" si="15"/>
        <v>-3300</v>
      </c>
      <c r="S128" s="11">
        <f>[1]!WSD($B128,"contractmultiplier",$A$2,$A$2,"TradingCalendar=SSE","rptType=1","ShowCodes=N","ShowDates=N","ShowParams=Y","cols=1;rows=1")</f>
        <v>10</v>
      </c>
      <c r="T128" s="53">
        <v>9777015</v>
      </c>
      <c r="U128" s="24">
        <f t="shared" ref="U128" si="54">T128*G128/(D128*S128*0.15)</f>
        <v>21.912960161371661</v>
      </c>
    </row>
    <row r="129" spans="1:21" ht="14.25">
      <c r="B129" s="1" t="s">
        <v>143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J129" s="1">
        <v>2795</v>
      </c>
      <c r="K129" s="2">
        <v>43130</v>
      </c>
      <c r="L129" s="40">
        <v>0.38194444444444442</v>
      </c>
      <c r="M129" s="30">
        <f t="shared" si="15"/>
        <v>-1530</v>
      </c>
      <c r="S129" s="11">
        <f>[1]!WSD($B129,"contractmultiplier",$A$2,$A$2,"TradingCalendar=SSE","rptType=1","ShowCodes=N","ShowDates=N","ShowParams=Y","cols=1;rows=1")</f>
        <v>10</v>
      </c>
      <c r="T129" s="53">
        <v>9777015</v>
      </c>
      <c r="U129" s="24">
        <f t="shared" ref="U129" si="55">T129*G129/(D129*S129*0.15)</f>
        <v>17.046626248216832</v>
      </c>
    </row>
    <row r="130" spans="1:21" ht="14.25">
      <c r="B130" s="1" t="s">
        <v>144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J130" s="1">
        <v>91.954999999999998</v>
      </c>
      <c r="K130" s="2">
        <v>43129</v>
      </c>
      <c r="L130" s="40">
        <v>0.56736111111111109</v>
      </c>
      <c r="M130" s="30">
        <f t="shared" si="15"/>
        <v>-1299.9999999999545</v>
      </c>
      <c r="S130" s="11">
        <f>[1]!WSD($B130,"contractmultiplier",$A$2,$A$2,"TradingCalendar=SSE","rptType=1","ShowCodes=N","ShowDates=N","ShowParams=Y","cols=1;rows=1")</f>
        <v>10000</v>
      </c>
      <c r="T130" s="53">
        <v>9777016</v>
      </c>
      <c r="U130" s="24">
        <f t="shared" ref="U130" si="56">T130*G130/(D130*S130*0.15)</f>
        <v>1.2776933514838007</v>
      </c>
    </row>
    <row r="131" spans="1:21" ht="14.25">
      <c r="B131" s="1" t="s">
        <v>145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J131" s="1">
        <v>6648</v>
      </c>
      <c r="K131" s="2">
        <v>43129</v>
      </c>
      <c r="L131" s="40">
        <v>0.58958333333333335</v>
      </c>
      <c r="M131" s="30">
        <f t="shared" si="15"/>
        <v>-720</v>
      </c>
      <c r="S131" s="11">
        <f>[1]!WSD($B131,"contractmultiplier",$A$2,$A$2,"TradingCalendar=SSE","rptType=1","ShowCodes=N","ShowDates=N","ShowParams=Y","cols=1;rows=1")</f>
        <v>5</v>
      </c>
      <c r="T131" s="53">
        <v>9777016</v>
      </c>
      <c r="U131" s="24">
        <f t="shared" ref="U131" si="57">T131*G131/(D131*S131*0.15)</f>
        <v>11.744163363363366</v>
      </c>
    </row>
    <row r="132" spans="1:21" ht="14.25">
      <c r="A132" s="3"/>
      <c r="B132" s="3" t="s">
        <v>145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66"/>
      <c r="I132" s="32"/>
      <c r="J132" s="3">
        <v>6650</v>
      </c>
      <c r="K132" s="33">
        <v>43130</v>
      </c>
      <c r="L132" s="45">
        <v>0.37638888888888888</v>
      </c>
      <c r="M132" s="28">
        <f t="shared" si="15"/>
        <v>120</v>
      </c>
      <c r="N132" s="3"/>
      <c r="O132" s="3"/>
      <c r="P132" s="4"/>
      <c r="Q132" s="36"/>
      <c r="R132" s="36"/>
      <c r="S132" s="11">
        <f>[1]!WSD($B132,"contractmultiplier",$A$2,$A$2,"TradingCalendar=SSE","rptType=1","ShowCodes=N","ShowDates=N","ShowParams=Y","cols=1;rows=1")</f>
        <v>5</v>
      </c>
      <c r="T132" s="53">
        <v>9777016</v>
      </c>
      <c r="U132" s="24">
        <f t="shared" ref="U132" si="58">T132*G132/(D132*S132*0.15)</f>
        <v>11.765362214199762</v>
      </c>
    </row>
    <row r="133" spans="1:21" ht="14.25">
      <c r="A133" s="2">
        <v>43130</v>
      </c>
      <c r="B133" s="1" t="s">
        <v>39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J133" s="1">
        <v>53420</v>
      </c>
      <c r="K133" s="2">
        <v>43129</v>
      </c>
      <c r="L133" s="40">
        <v>0.92361111111111116</v>
      </c>
      <c r="M133" s="30">
        <f t="shared" si="15"/>
        <v>900</v>
      </c>
      <c r="S133" s="11">
        <f>[1]!WSD($B133,"contractmultiplier",$A$2,$A$2,"TradingCalendar=SSE","rptType=1","ShowCodes=N","ShowDates=N","ShowParams=Y","cols=1;rows=1")</f>
        <v>5</v>
      </c>
      <c r="T133" s="53">
        <v>9777017</v>
      </c>
      <c r="U133" s="24">
        <f t="shared" ref="U133" si="59">T133*G133/(D133*S133*0.15)</f>
        <v>1.8271382919080545</v>
      </c>
    </row>
    <row r="134" spans="1:21" ht="14.25">
      <c r="B134" s="1" t="s">
        <v>132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J134" s="1">
        <v>14645</v>
      </c>
      <c r="K134" s="2">
        <v>43131</v>
      </c>
      <c r="L134" s="40">
        <v>0.40972222222222227</v>
      </c>
      <c r="M134" s="30">
        <f t="shared" si="15"/>
        <v>10000</v>
      </c>
      <c r="S134" s="11">
        <f>[1]!WSD($B134,"contractmultiplier",$A$2,$A$2,"TradingCalendar=SSE","rptType=1","ShowCodes=N","ShowDates=N","ShowParams=Y","cols=1;rows=1")</f>
        <v>5</v>
      </c>
      <c r="T134" s="53">
        <v>9777018</v>
      </c>
      <c r="U134" s="24">
        <f t="shared" ref="U134" si="60">T134*G134/(D134*S134*0.15)</f>
        <v>10.098637655776356</v>
      </c>
    </row>
    <row r="135" spans="1:21" ht="14.25">
      <c r="B135" s="3" t="s">
        <v>146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66"/>
      <c r="I135" s="32"/>
      <c r="J135" s="3">
        <v>2782</v>
      </c>
      <c r="K135" s="33">
        <v>43131</v>
      </c>
      <c r="L135" s="45">
        <v>0.88194444444444453</v>
      </c>
      <c r="M135" s="28">
        <f t="shared" si="15"/>
        <v>820</v>
      </c>
      <c r="N135" s="3"/>
      <c r="O135" s="3"/>
      <c r="P135" s="4"/>
      <c r="Q135" s="36"/>
      <c r="R135" s="36"/>
      <c r="S135" s="11">
        <f>[1]!WSD($B135,"contractmultiplier",$A$2,$A$2,"TradingCalendar=SSE","rptType=1","ShowCodes=N","ShowDates=N","ShowParams=Y","cols=1;rows=1")</f>
        <v>10</v>
      </c>
      <c r="T135" s="53">
        <v>9777019</v>
      </c>
      <c r="U135" s="24">
        <f t="shared" ref="U135" si="61">T135*G135/(D135*S135*0.15)</f>
        <v>1.5392638249301374</v>
      </c>
    </row>
    <row r="136" spans="1:21" ht="14.25">
      <c r="B136" s="1" t="s">
        <v>147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J136" s="1">
        <v>1292</v>
      </c>
      <c r="K136" s="2">
        <v>43130</v>
      </c>
      <c r="L136" s="40">
        <v>0.62083333333333335</v>
      </c>
      <c r="M136" s="30">
        <f t="shared" si="15"/>
        <v>0</v>
      </c>
      <c r="S136" s="11">
        <f>[1]!WSD($B136,"contractmultiplier",$A$2,$A$2,"TradingCalendar=SSE","rptType=1","ShowCodes=N","ShowDates=N","ShowParams=Y","cols=1;rows=1")</f>
        <v>60</v>
      </c>
      <c r="T136" s="53">
        <v>9777020</v>
      </c>
      <c r="U136" s="24">
        <f t="shared" ref="U136" si="62">T136*G136/(D136*S136*0.15)</f>
        <v>13.03266339869281</v>
      </c>
    </row>
    <row r="137" spans="1:21" ht="14.25">
      <c r="B137" s="1" t="s">
        <v>148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J137" s="1">
        <v>53490</v>
      </c>
      <c r="K137" s="2">
        <v>43130</v>
      </c>
      <c r="L137" s="40">
        <v>0.40277777777777773</v>
      </c>
      <c r="M137" s="30">
        <f t="shared" si="15"/>
        <v>-700</v>
      </c>
      <c r="S137" s="11">
        <f>[1]!WSD($B137,"contractmultiplier",$A$2,$A$2,"TradingCalendar=SSE","rptType=1","ShowCodes=N","ShowDates=N","ShowParams=Y","cols=1;rows=1")</f>
        <v>5</v>
      </c>
      <c r="T137" s="53">
        <v>9777021</v>
      </c>
      <c r="U137" s="24">
        <f t="shared" ref="U137" si="63">T137*G137/(D137*S137*0.15)</f>
        <v>1.830217334331711</v>
      </c>
    </row>
    <row r="138" spans="1:21" ht="14.25">
      <c r="B138" s="1" t="s">
        <v>148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J138" s="1">
        <v>53140</v>
      </c>
      <c r="K138" s="2">
        <v>43131</v>
      </c>
      <c r="L138" s="40">
        <v>0.46875</v>
      </c>
      <c r="M138" s="30">
        <f t="shared" si="15"/>
        <v>3500</v>
      </c>
      <c r="S138" s="11">
        <f>[1]!WSD($B138,"contractmultiplier",$A$2,$A$2,"TradingCalendar=SSE","rptType=1","ShowCodes=N","ShowDates=N","ShowParams=Y","cols=1;rows=1")</f>
        <v>5</v>
      </c>
      <c r="T138" s="53">
        <v>9777021</v>
      </c>
      <c r="U138" s="24">
        <f t="shared" ref="U138" si="64">T138*G138/(D138*S138*0.15)</f>
        <v>1.8278222097588335</v>
      </c>
    </row>
    <row r="139" spans="1:21" ht="14.25">
      <c r="B139" s="1" t="s">
        <v>149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J139" s="1">
        <v>5194</v>
      </c>
      <c r="K139" s="2">
        <v>43131</v>
      </c>
      <c r="L139" s="40">
        <v>0.40277777777777773</v>
      </c>
      <c r="M139" s="30">
        <f t="shared" si="15"/>
        <v>-480</v>
      </c>
      <c r="S139" s="11">
        <f>[1]!WSD($B139,"contractmultiplier",$A$2,$A$2,"TradingCalendar=SSE","rptType=1","ShowCodes=N","ShowDates=N","ShowParams=Y","cols=1;rows=1")</f>
        <v>10</v>
      </c>
      <c r="T139" s="53">
        <v>9777022</v>
      </c>
      <c r="U139" s="24">
        <f t="shared" ref="U139" si="65">T139*G139/(D139*S139*0.15)</f>
        <v>5.8652915113339326</v>
      </c>
    </row>
    <row r="140" spans="1:21" ht="14.25">
      <c r="B140" s="1" t="s">
        <v>150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J140" s="1">
        <v>2093</v>
      </c>
      <c r="K140" s="2">
        <v>43131</v>
      </c>
      <c r="L140" s="40">
        <v>0.40277777777777773</v>
      </c>
      <c r="M140" s="30">
        <f t="shared" si="15"/>
        <v>-500</v>
      </c>
      <c r="S140" s="11">
        <f>[1]!WSD($B140,"contractmultiplier",$A$2,$A$2,"TradingCalendar=SSE","rptType=1","ShowCodes=N","ShowDates=N","ShowParams=Y","cols=1;rows=1")</f>
        <v>10</v>
      </c>
      <c r="T140" s="53">
        <v>9777023</v>
      </c>
      <c r="U140" s="24">
        <f t="shared" ref="U140:U141" si="66">T140*G140/(D140*S140*0.15)</f>
        <v>10.405516177096636</v>
      </c>
    </row>
    <row r="141" spans="1:21" ht="14.25">
      <c r="A141" s="3"/>
      <c r="B141" s="3" t="s">
        <v>151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66"/>
      <c r="I141" s="32"/>
      <c r="J141" s="3">
        <v>91.965000000000003</v>
      </c>
      <c r="K141" s="33">
        <v>43131</v>
      </c>
      <c r="L141" s="45">
        <v>0.41944444444444445</v>
      </c>
      <c r="M141" s="28">
        <f t="shared" si="15"/>
        <v>-1650.0000000000625</v>
      </c>
      <c r="N141" s="3"/>
      <c r="O141" s="3"/>
      <c r="P141" s="4"/>
      <c r="Q141" s="36"/>
      <c r="R141" s="36"/>
      <c r="S141" s="11">
        <f>[1]!WSD($B141,"contractmultiplier",$A$2,$A$2,"TradingCalendar=SSE","rptType=1","ShowCodes=N","ShowDates=N","ShowParams=Y","cols=1;rows=1")</f>
        <v>10000</v>
      </c>
      <c r="T141" s="53">
        <v>9777024</v>
      </c>
      <c r="U141" s="24">
        <f t="shared" si="66"/>
        <v>1.2780423529411764</v>
      </c>
    </row>
    <row r="142" spans="1:21" ht="14.25">
      <c r="A142" s="2">
        <v>43131</v>
      </c>
      <c r="B142" s="1" t="s">
        <v>154</v>
      </c>
      <c r="C142" s="1">
        <v>20</v>
      </c>
      <c r="D142" s="1">
        <v>2342</v>
      </c>
      <c r="E142" s="2">
        <v>43130</v>
      </c>
      <c r="F142" s="40">
        <v>0.88750000000000007</v>
      </c>
      <c r="G142" s="31">
        <f>2.1%*1/3</f>
        <v>7.0000000000000001E-3</v>
      </c>
      <c r="J142" s="1">
        <v>2336</v>
      </c>
      <c r="K142" s="2">
        <v>43131</v>
      </c>
      <c r="L142" s="40">
        <v>0.88194444444444453</v>
      </c>
      <c r="M142" s="30">
        <f t="shared" si="15"/>
        <v>-1200</v>
      </c>
      <c r="S142" s="11">
        <f>[1]!WSD($B142,"contractmultiplier",$A$2,$A$2,"TradingCalendar=SSE","rptType=1","ShowCodes=N","ShowDates=N","ShowParams=Y","cols=1;rows=1")</f>
        <v>10</v>
      </c>
      <c r="T142" s="53">
        <v>9777025</v>
      </c>
      <c r="U142" s="24">
        <f t="shared" ref="U142:U147" si="67">T142*G142/(D142*S142*0.15)</f>
        <v>19.481689439225732</v>
      </c>
    </row>
    <row r="143" spans="1:21" ht="14.25">
      <c r="B143" s="1" t="s">
        <v>155</v>
      </c>
      <c r="C143" s="1">
        <v>20</v>
      </c>
      <c r="D143" s="1">
        <v>3940</v>
      </c>
      <c r="E143" s="2">
        <v>43130</v>
      </c>
      <c r="F143" s="40">
        <v>0.88750000000000007</v>
      </c>
      <c r="G143" s="31">
        <f>2.7%*0.5</f>
        <v>1.3500000000000002E-2</v>
      </c>
      <c r="J143" s="1">
        <v>3915</v>
      </c>
      <c r="K143" s="2">
        <v>43131</v>
      </c>
      <c r="L143" s="40">
        <v>0.38125000000000003</v>
      </c>
      <c r="M143" s="30">
        <f t="shared" si="15"/>
        <v>-5000</v>
      </c>
      <c r="S143" s="11">
        <f>[1]!WSD($B143,"contractmultiplier",$A$2,$A$2,"TradingCalendar=SSE","rptType=1","ShowCodes=N","ShowDates=N","ShowParams=Y","cols=1;rows=1")</f>
        <v>10</v>
      </c>
      <c r="T143" s="53">
        <v>9777026</v>
      </c>
      <c r="U143" s="24">
        <f t="shared" si="67"/>
        <v>22.333308121827415</v>
      </c>
    </row>
    <row r="144" spans="1:21" ht="14.25">
      <c r="B144" s="1" t="s">
        <v>156</v>
      </c>
      <c r="C144" s="1">
        <v>27</v>
      </c>
      <c r="D144" s="1">
        <v>2807</v>
      </c>
      <c r="E144" s="2">
        <v>43130</v>
      </c>
      <c r="F144" s="40">
        <v>0.88750000000000007</v>
      </c>
      <c r="G144" s="31">
        <f>2.3%*1/2</f>
        <v>1.15E-2</v>
      </c>
      <c r="J144" s="1">
        <v>2804</v>
      </c>
      <c r="K144" s="2">
        <v>43131</v>
      </c>
      <c r="L144" s="40">
        <v>0.88194444444444453</v>
      </c>
      <c r="M144" s="30">
        <f t="shared" si="15"/>
        <v>-810</v>
      </c>
      <c r="S144" s="11">
        <f>[1]!WSD($B144,"contractmultiplier",$A$2,$A$2,"TradingCalendar=SSE","rptType=1","ShowCodes=N","ShowDates=N","ShowParams=Y","cols=1;rows=1")</f>
        <v>10</v>
      </c>
      <c r="T144" s="53">
        <v>9777027</v>
      </c>
      <c r="U144" s="24">
        <f t="shared" si="67"/>
        <v>26.703671891699322</v>
      </c>
    </row>
    <row r="145" spans="1:21" ht="14.25">
      <c r="B145" s="1" t="s">
        <v>157</v>
      </c>
      <c r="C145" s="1">
        <v>16</v>
      </c>
      <c r="D145" s="1">
        <v>3950</v>
      </c>
      <c r="E145" s="2">
        <v>43130</v>
      </c>
      <c r="F145" s="40">
        <v>0.92708333333333337</v>
      </c>
      <c r="G145" s="31">
        <f>2.9%*1/3</f>
        <v>9.6666666666666654E-3</v>
      </c>
      <c r="J145" s="1">
        <v>3929</v>
      </c>
      <c r="K145" s="2">
        <v>43131</v>
      </c>
      <c r="L145" s="40">
        <v>0.46527777777777773</v>
      </c>
      <c r="M145" s="30">
        <f t="shared" si="15"/>
        <v>-3360</v>
      </c>
      <c r="S145" s="11">
        <f>[1]!WSD($B145,"contractmultiplier",$A$2,$A$2,"TradingCalendar=SSE","rptType=1","ShowCodes=N","ShowDates=N","ShowParams=Y","cols=1;rows=1")</f>
        <v>10</v>
      </c>
      <c r="T145" s="53">
        <v>9777028</v>
      </c>
      <c r="U145" s="24">
        <f t="shared" si="67"/>
        <v>15.951269310829813</v>
      </c>
    </row>
    <row r="146" spans="1:21" ht="14.25">
      <c r="B146" s="1" t="s">
        <v>158</v>
      </c>
      <c r="C146" s="1">
        <v>16</v>
      </c>
      <c r="D146" s="1">
        <v>667.6</v>
      </c>
      <c r="E146" s="2">
        <v>43130</v>
      </c>
      <c r="F146" s="40">
        <v>0.92708333333333337</v>
      </c>
      <c r="G146" s="31">
        <f>3.3%*0.5</f>
        <v>1.6500000000000001E-2</v>
      </c>
      <c r="J146" s="1">
        <v>664.8</v>
      </c>
      <c r="K146" s="2">
        <v>43131</v>
      </c>
      <c r="L146" s="40">
        <v>0.41944444444444445</v>
      </c>
      <c r="M146" s="30">
        <f t="shared" si="15"/>
        <v>-4480.0000000001091</v>
      </c>
      <c r="S146" s="11">
        <f>[1]!WSD($B146,"contractmultiplier",$A$2,$A$2,"TradingCalendar=SSE","rptType=1","ShowCodes=N","ShowDates=N","ShowParams=Y","cols=1;rows=1")</f>
        <v>100</v>
      </c>
      <c r="T146" s="53">
        <v>9777029</v>
      </c>
      <c r="U146" s="24">
        <f t="shared" si="67"/>
        <v>16.109544487717194</v>
      </c>
    </row>
    <row r="147" spans="1:21" ht="14.25">
      <c r="B147" s="3" t="s">
        <v>159</v>
      </c>
      <c r="C147" s="3">
        <v>10</v>
      </c>
      <c r="D147" s="3">
        <v>1295.5</v>
      </c>
      <c r="E147" s="33">
        <v>43130</v>
      </c>
      <c r="F147" s="45">
        <v>0.92708333333333337</v>
      </c>
      <c r="G147" s="32">
        <f>2.5%*0.5</f>
        <v>1.2500000000000001E-2</v>
      </c>
      <c r="H147" s="66"/>
      <c r="I147" s="32"/>
      <c r="J147" s="3">
        <v>1285</v>
      </c>
      <c r="K147" s="33">
        <v>43131</v>
      </c>
      <c r="L147" s="45">
        <v>0.38125000000000003</v>
      </c>
      <c r="M147" s="28">
        <f t="shared" si="15"/>
        <v>-6300</v>
      </c>
      <c r="N147" s="3"/>
      <c r="O147" s="3"/>
      <c r="P147" s="4"/>
      <c r="Q147" s="36"/>
      <c r="R147" s="36"/>
      <c r="S147" s="11">
        <f>[1]!WSD($B147,"contractmultiplier",$A$2,$A$2,"TradingCalendar=SSE","rptType=1","ShowCodes=N","ShowDates=N","ShowParams=Y","cols=1;rows=1")</f>
        <v>60</v>
      </c>
      <c r="T147" s="53">
        <v>9777030</v>
      </c>
      <c r="U147" s="24">
        <f t="shared" si="67"/>
        <v>10.481828122989837</v>
      </c>
    </row>
    <row r="148" spans="1:21" ht="14.25">
      <c r="B148" s="1" t="s">
        <v>152</v>
      </c>
      <c r="C148" s="1">
        <v>-5</v>
      </c>
      <c r="D148" s="1">
        <v>1986.5</v>
      </c>
      <c r="E148" s="2">
        <v>43131</v>
      </c>
      <c r="F148" s="40">
        <v>0.40972222222222227</v>
      </c>
      <c r="G148" s="31">
        <f>2.9%*0.5</f>
        <v>1.4499999999999999E-2</v>
      </c>
      <c r="J148" s="1">
        <v>2001.5</v>
      </c>
      <c r="K148" s="2">
        <v>43131</v>
      </c>
      <c r="L148" s="40">
        <v>0.88194444444444453</v>
      </c>
      <c r="M148" s="30">
        <f t="shared" ref="M148:M150" si="68">IF(J148="","",C148*(J148-D148)*S148)</f>
        <v>-7500</v>
      </c>
      <c r="S148" s="11">
        <f>[1]!WSD($B148,"contractmultiplier",$A$2,$A$2,"TradingCalendar=SSE","rptType=1","ShowCodes=N","ShowDates=N","ShowParams=Y","cols=1;rows=1")</f>
        <v>100</v>
      </c>
      <c r="T148" s="53">
        <v>9777025</v>
      </c>
      <c r="U148" s="24">
        <f t="shared" ref="U148:U149" si="69">T148*G148/(D148*S148*0.15)</f>
        <v>4.7576763990267636</v>
      </c>
    </row>
    <row r="149" spans="1:21" ht="14.25">
      <c r="B149" s="1" t="s">
        <v>153</v>
      </c>
      <c r="C149" s="1">
        <v>-13</v>
      </c>
      <c r="D149" s="1">
        <v>3595</v>
      </c>
      <c r="E149" s="2">
        <v>43131</v>
      </c>
      <c r="F149" s="40">
        <v>0.40972222222222227</v>
      </c>
      <c r="G149" s="31">
        <f>2.2%*1/3</f>
        <v>7.3333333333333341E-3</v>
      </c>
      <c r="J149" s="1">
        <v>3627</v>
      </c>
      <c r="K149" s="2">
        <v>43132</v>
      </c>
      <c r="L149" s="40">
        <v>0.38194444444444442</v>
      </c>
      <c r="M149" s="30">
        <f t="shared" si="68"/>
        <v>-4160</v>
      </c>
      <c r="S149" s="11">
        <f>[1]!WSD($B149,"contractmultiplier",$A$2,$A$2,"TradingCalendar=SSE","rptType=1","ShowCodes=N","ShowDates=N","ShowParams=Y","cols=1;rows=1")</f>
        <v>10</v>
      </c>
      <c r="T149" s="53">
        <v>9777026</v>
      </c>
      <c r="U149" s="24">
        <f t="shared" si="69"/>
        <v>13.295909256683668</v>
      </c>
    </row>
    <row r="150" spans="1:21" ht="14.25">
      <c r="B150" s="1" t="s">
        <v>160</v>
      </c>
      <c r="C150" s="1">
        <v>1</v>
      </c>
      <c r="D150" s="1">
        <v>4292</v>
      </c>
      <c r="E150" s="2">
        <v>43131</v>
      </c>
      <c r="F150" s="40">
        <v>0.47013888888888888</v>
      </c>
      <c r="G150" s="31">
        <v>1.4999999999999999E-2</v>
      </c>
      <c r="J150" s="1">
        <v>4280.3999999999996</v>
      </c>
      <c r="K150" s="2">
        <v>43131</v>
      </c>
      <c r="L150" s="40">
        <v>0.56805555555555554</v>
      </c>
      <c r="M150" s="30">
        <f t="shared" si="68"/>
        <v>-3480.0000000001091</v>
      </c>
      <c r="S150" s="11">
        <f>[1]!WSD($B150,"contractmultiplier",$A$2,$A$2,"TradingCalendar=SSE","rptType=1","ShowCodes=N","ShowDates=N","ShowParams=Y","cols=1;rows=1")</f>
        <v>300</v>
      </c>
      <c r="T150" s="53">
        <v>9777027</v>
      </c>
      <c r="U150" s="24">
        <f t="shared" ref="U150:U151" si="70">T150*G150/(D150*S150*0.15)</f>
        <v>0.75932176141658903</v>
      </c>
    </row>
    <row r="151" spans="1:21" ht="14.25">
      <c r="B151" s="1" t="s">
        <v>161</v>
      </c>
      <c r="C151" s="1">
        <v>-14</v>
      </c>
      <c r="D151" s="1">
        <v>14615</v>
      </c>
      <c r="E151" s="2">
        <v>43131</v>
      </c>
      <c r="F151" s="40">
        <v>0.47013888888888888</v>
      </c>
      <c r="G151" s="31">
        <f>3.2%*0.5</f>
        <v>1.6E-2</v>
      </c>
      <c r="J151" s="1">
        <v>14585</v>
      </c>
      <c r="K151" s="2">
        <v>43132</v>
      </c>
      <c r="L151" s="59">
        <v>0.88541666666666663</v>
      </c>
      <c r="M151" s="30">
        <f t="shared" ref="M151:M211" si="71">IF(J151="","",C151*(J151-D151)*S151)</f>
        <v>2100</v>
      </c>
      <c r="S151" s="11">
        <f>[1]!WSD($B151,"contractmultiplier",$A$2,$A$2,"TradingCalendar=SSE","rptType=1","ShowCodes=N","ShowDates=N","ShowParams=Y","cols=1;rows=1")</f>
        <v>5</v>
      </c>
      <c r="T151" s="53">
        <v>9777028</v>
      </c>
      <c r="U151" s="24">
        <f t="shared" si="70"/>
        <v>14.271405907172996</v>
      </c>
    </row>
    <row r="152" spans="1:21" ht="14.25">
      <c r="B152" s="1" t="s">
        <v>162</v>
      </c>
      <c r="C152" s="1">
        <v>-1</v>
      </c>
      <c r="D152" s="1">
        <v>6169.4</v>
      </c>
      <c r="E152" s="2">
        <v>43131</v>
      </c>
      <c r="F152" s="40">
        <v>0.5756944444444444</v>
      </c>
      <c r="G152" s="31">
        <v>1.7999999999999999E-2</v>
      </c>
      <c r="J152" s="1">
        <v>6160.2</v>
      </c>
      <c r="K152" s="2">
        <v>43131</v>
      </c>
      <c r="L152" s="40">
        <v>0.62083333333333335</v>
      </c>
      <c r="M152" s="30">
        <f t="shared" si="71"/>
        <v>1839.9999999999636</v>
      </c>
      <c r="S152" s="11">
        <f>[1]!WSD($B152,"contractmultiplier",$A$2,$A$2,"TradingCalendar=SSE","rptType=1","ShowCodes=N","ShowDates=N","ShowParams=Y","cols=1;rows=1")</f>
        <v>200</v>
      </c>
      <c r="T152" s="53">
        <v>9777029</v>
      </c>
      <c r="U152" s="24">
        <f t="shared" ref="U152" si="72">T152*G152/(D152*S152*0.15)</f>
        <v>0.950857036340649</v>
      </c>
    </row>
    <row r="153" spans="1:21" ht="14.25">
      <c r="B153" s="1" t="s">
        <v>163</v>
      </c>
      <c r="C153" s="1">
        <v>-4</v>
      </c>
      <c r="D153" s="1">
        <v>53050</v>
      </c>
      <c r="E153" s="2">
        <v>43131</v>
      </c>
      <c r="F153" s="40">
        <v>0.57638888888888895</v>
      </c>
      <c r="G153" s="31">
        <f>3.1%*0.5</f>
        <v>1.55E-2</v>
      </c>
      <c r="J153" s="1">
        <v>53200</v>
      </c>
      <c r="K153" s="2">
        <v>43131</v>
      </c>
      <c r="L153" s="40">
        <v>0.88194444444444453</v>
      </c>
      <c r="M153" s="30">
        <f t="shared" si="71"/>
        <v>-3000</v>
      </c>
      <c r="S153" s="11">
        <f>[1]!WSD($B153,"contractmultiplier",$A$2,$A$2,"TradingCalendar=SSE","rptType=1","ShowCodes=N","ShowDates=N","ShowParams=Y","cols=1;rows=1")</f>
        <v>5</v>
      </c>
      <c r="T153" s="53">
        <v>9777030</v>
      </c>
      <c r="U153" s="24">
        <f t="shared" ref="U153" si="73">T153*G153/(D153*S153*0.15)</f>
        <v>3.8088335532516493</v>
      </c>
    </row>
    <row r="154" spans="1:21" ht="14.25">
      <c r="B154" s="1" t="s">
        <v>160</v>
      </c>
      <c r="C154" s="1">
        <v>1</v>
      </c>
      <c r="D154" s="1">
        <v>4287</v>
      </c>
      <c r="E154" s="2">
        <v>43131</v>
      </c>
      <c r="F154" s="40">
        <v>0.62083333333333335</v>
      </c>
      <c r="G154" s="31">
        <v>1.4999999999999999E-2</v>
      </c>
      <c r="J154" s="1">
        <v>4281.2</v>
      </c>
      <c r="K154" s="2">
        <v>43132</v>
      </c>
      <c r="L154" s="40">
        <v>0.44444444444444442</v>
      </c>
      <c r="M154" s="30">
        <f t="shared" si="71"/>
        <v>-1740.0000000000546</v>
      </c>
      <c r="S154" s="11">
        <f>[1]!WSD($B154,"contractmultiplier",$A$2,$A$2,"TradingCalendar=SSE","rptType=1","ShowCodes=N","ShowDates=N","ShowParams=Y","cols=1;rows=1")</f>
        <v>300</v>
      </c>
      <c r="T154" s="53">
        <v>9777031</v>
      </c>
      <c r="U154" s="24">
        <f t="shared" ref="U154:U155" si="74">T154*G154/(D154*S154*0.15)</f>
        <v>0.7602076821398025</v>
      </c>
    </row>
    <row r="155" spans="1:21" ht="14.25">
      <c r="B155" s="1" t="s">
        <v>164</v>
      </c>
      <c r="C155" s="1">
        <v>4</v>
      </c>
      <c r="D155" s="1">
        <v>2896</v>
      </c>
      <c r="E155" s="2">
        <v>43131</v>
      </c>
      <c r="F155" s="40">
        <v>0.62083333333333335</v>
      </c>
      <c r="G155" s="31">
        <f>0.5%*1/3</f>
        <v>1.6666666666666668E-3</v>
      </c>
      <c r="J155" s="1">
        <v>2872</v>
      </c>
      <c r="K155" s="2">
        <v>43132</v>
      </c>
      <c r="L155" s="40">
        <v>0.46180555555555558</v>
      </c>
      <c r="M155" s="30">
        <f t="shared" si="71"/>
        <v>-960</v>
      </c>
      <c r="S155" s="11">
        <f>[1]!WSD($B155,"contractmultiplier",$A$2,$A$2,"TradingCalendar=SSE","rptType=1","ShowCodes=N","ShowDates=N","ShowParams=Y","cols=1;rows=1")</f>
        <v>10</v>
      </c>
      <c r="T155" s="53">
        <v>9777032</v>
      </c>
      <c r="U155" s="24">
        <f t="shared" si="74"/>
        <v>3.7511632903621859</v>
      </c>
    </row>
    <row r="156" spans="1:21" ht="14.25">
      <c r="B156" s="1" t="s">
        <v>165</v>
      </c>
      <c r="C156" s="1">
        <v>8</v>
      </c>
      <c r="D156" s="1">
        <v>26733.75</v>
      </c>
      <c r="E156" s="2">
        <v>43131</v>
      </c>
      <c r="F156" s="40">
        <v>0.62083333333333335</v>
      </c>
      <c r="G156" s="31">
        <f>3.4%*0.5</f>
        <v>1.7000000000000001E-2</v>
      </c>
      <c r="J156" s="1">
        <v>26685</v>
      </c>
      <c r="K156" s="2">
        <v>43132</v>
      </c>
      <c r="L156" s="40">
        <v>0.38194444444444442</v>
      </c>
      <c r="M156" s="30">
        <f t="shared" si="71"/>
        <v>-1950</v>
      </c>
      <c r="S156" s="11">
        <f>[1]!WSD($B156,"contractmultiplier",$A$2,$A$2,"TradingCalendar=SSE","rptType=1","ShowCodes=N","ShowDates=N","ShowParams=Y","cols=1;rows=1")</f>
        <v>5</v>
      </c>
      <c r="T156" s="53">
        <v>9777033</v>
      </c>
      <c r="U156" s="24">
        <f t="shared" ref="U156" si="75">T156*G156/(D156*S156*0.15)</f>
        <v>8.289624463459111</v>
      </c>
    </row>
    <row r="157" spans="1:21" ht="14.25">
      <c r="A157" s="3"/>
      <c r="B157" s="3" t="s">
        <v>166</v>
      </c>
      <c r="C157" s="3">
        <v>-9</v>
      </c>
      <c r="D157" s="3">
        <v>5192</v>
      </c>
      <c r="E157" s="33">
        <v>43131</v>
      </c>
      <c r="F157" s="45">
        <v>0.62083333333333335</v>
      </c>
      <c r="G157" s="32">
        <f>2.1%*1/3</f>
        <v>7.0000000000000001E-3</v>
      </c>
      <c r="H157" s="66"/>
      <c r="I157" s="32"/>
      <c r="J157" s="3">
        <v>5148</v>
      </c>
      <c r="K157" s="33">
        <v>43132</v>
      </c>
      <c r="L157" s="60">
        <v>0.88541666666666663</v>
      </c>
      <c r="M157" s="28">
        <f t="shared" si="71"/>
        <v>3960</v>
      </c>
      <c r="N157" s="3"/>
      <c r="O157" s="3"/>
      <c r="P157" s="4"/>
      <c r="Q157" s="36"/>
      <c r="R157" s="36"/>
      <c r="S157" s="11">
        <f>[1]!WSD($B157,"contractmultiplier",$A$2,$A$2,"TradingCalendar=SSE","rptType=1","ShowCodes=N","ShowDates=N","ShowParams=Y","cols=1;rows=1")</f>
        <v>10</v>
      </c>
      <c r="T157" s="53">
        <v>9777034</v>
      </c>
      <c r="U157" s="24">
        <f t="shared" ref="U157" si="76">T157*G157/(D157*S157*0.15)</f>
        <v>8.7877809450436573</v>
      </c>
    </row>
    <row r="158" spans="1:21" ht="14.25">
      <c r="A158" s="2">
        <v>43132</v>
      </c>
      <c r="B158" s="1" t="s">
        <v>13</v>
      </c>
      <c r="C158" s="1">
        <v>16</v>
      </c>
      <c r="D158" s="1">
        <v>3964</v>
      </c>
      <c r="E158" s="2">
        <v>43131</v>
      </c>
      <c r="F158" s="40">
        <v>0.92152777777777783</v>
      </c>
      <c r="G158" s="31">
        <f>2.9%*1/3</f>
        <v>9.6666666666666654E-3</v>
      </c>
      <c r="J158" s="1">
        <v>3970</v>
      </c>
      <c r="K158" s="2">
        <v>43132</v>
      </c>
      <c r="L158" s="59">
        <v>0.88541666666666663</v>
      </c>
      <c r="M158" s="30">
        <f t="shared" si="71"/>
        <v>960</v>
      </c>
      <c r="S158" s="11">
        <f>[1]!WSD($B158,"contractmultiplier",$A$2,$A$2,"TradingCalendar=SSE","rptType=1","ShowCodes=N","ShowDates=N","ShowParams=Y","cols=1;rows=1")</f>
        <v>10</v>
      </c>
      <c r="T158" s="53">
        <v>9777035</v>
      </c>
      <c r="U158" s="24">
        <f t="shared" ref="U158:U159" si="77">T158*G158/(D158*S158*0.15)</f>
        <v>15.894944220204057</v>
      </c>
    </row>
    <row r="159" spans="1:21" ht="14.25">
      <c r="B159" s="3" t="s">
        <v>14</v>
      </c>
      <c r="C159" s="3">
        <v>17</v>
      </c>
      <c r="D159" s="3">
        <v>3937</v>
      </c>
      <c r="E159" s="33">
        <v>43131</v>
      </c>
      <c r="F159" s="45">
        <v>0.92152777777777783</v>
      </c>
      <c r="G159" s="32">
        <f>2.1%*0.5</f>
        <v>1.0500000000000001E-2</v>
      </c>
      <c r="H159" s="66"/>
      <c r="I159" s="32"/>
      <c r="J159" s="3">
        <v>3932</v>
      </c>
      <c r="K159" s="33">
        <v>43132</v>
      </c>
      <c r="L159" s="60">
        <v>0.88541666666666663</v>
      </c>
      <c r="M159" s="28">
        <f t="shared" si="71"/>
        <v>-850</v>
      </c>
      <c r="N159" s="3"/>
      <c r="O159" s="3"/>
      <c r="P159" s="4"/>
      <c r="Q159" s="36"/>
      <c r="R159" s="36"/>
      <c r="S159" s="11">
        <f>[1]!WSD($B159,"contractmultiplier",$A$2,$A$2,"TradingCalendar=SSE","rptType=1","ShowCodes=N","ShowDates=N","ShowParams=Y","cols=1;rows=1")</f>
        <v>10</v>
      </c>
      <c r="T159" s="53">
        <v>9777036</v>
      </c>
      <c r="U159" s="24">
        <f t="shared" si="77"/>
        <v>17.383604775209552</v>
      </c>
    </row>
    <row r="160" spans="1:21" ht="14.25">
      <c r="B160" s="1" t="s">
        <v>167</v>
      </c>
      <c r="C160" s="1">
        <v>14</v>
      </c>
      <c r="D160" s="1">
        <v>6638</v>
      </c>
      <c r="E160" s="2">
        <v>43132</v>
      </c>
      <c r="F160" s="40">
        <v>0.38194444444444442</v>
      </c>
      <c r="G160" s="31">
        <f>1.4%*1/2</f>
        <v>6.9999999999999993E-3</v>
      </c>
      <c r="J160" s="1">
        <v>6650</v>
      </c>
      <c r="K160" s="2">
        <v>43132</v>
      </c>
      <c r="L160" s="40">
        <v>0.44444444444444442</v>
      </c>
      <c r="M160" s="30">
        <f t="shared" si="71"/>
        <v>840</v>
      </c>
      <c r="S160" s="11">
        <f>[1]!WSD($B160,"contractmultiplier",$A$2,$A$2,"TradingCalendar=SSE","rptType=1","ShowCodes=N","ShowDates=N","ShowParams=Y","cols=1;rows=1")</f>
        <v>5</v>
      </c>
      <c r="T160" s="53">
        <v>9777037</v>
      </c>
      <c r="U160" s="24">
        <f t="shared" ref="U160:U162" si="78">T160*G160/(D160*S160*0.15)</f>
        <v>13.746963744099627</v>
      </c>
    </row>
    <row r="161" spans="1:21" ht="14.25">
      <c r="B161" s="1" t="s">
        <v>168</v>
      </c>
      <c r="C161" s="1">
        <v>3</v>
      </c>
      <c r="D161" s="1">
        <v>2025.5</v>
      </c>
      <c r="E161" s="2">
        <v>43132</v>
      </c>
      <c r="F161" s="40">
        <v>0.38194444444444442</v>
      </c>
      <c r="G161" s="31">
        <f>2.1%*1/2</f>
        <v>1.0500000000000001E-2</v>
      </c>
      <c r="J161" s="1">
        <v>2018.5</v>
      </c>
      <c r="K161" s="2">
        <v>43132</v>
      </c>
      <c r="L161" s="40">
        <v>0.44444444444444442</v>
      </c>
      <c r="M161" s="30">
        <f t="shared" si="71"/>
        <v>-2100</v>
      </c>
      <c r="S161" s="11">
        <f>[1]!WSD($B161,"contractmultiplier",$A$2,$A$2,"TradingCalendar=SSE","rptType=1","ShowCodes=N","ShowDates=N","ShowParams=Y","cols=1;rows=1")</f>
        <v>100</v>
      </c>
      <c r="T161" s="53">
        <v>9777038</v>
      </c>
      <c r="U161" s="24">
        <f t="shared" si="78"/>
        <v>3.3788825475191313</v>
      </c>
    </row>
    <row r="162" spans="1:21" ht="14.25">
      <c r="B162" s="1" t="s">
        <v>169</v>
      </c>
      <c r="C162" s="1">
        <v>10</v>
      </c>
      <c r="D162" s="1">
        <v>1300</v>
      </c>
      <c r="E162" s="2">
        <v>43132</v>
      </c>
      <c r="F162" s="40">
        <v>0.38194444444444442</v>
      </c>
      <c r="G162" s="31">
        <f>2.5%*1/2</f>
        <v>1.2500000000000001E-2</v>
      </c>
      <c r="J162" s="1">
        <v>1296</v>
      </c>
      <c r="K162" s="2">
        <v>43132</v>
      </c>
      <c r="L162" s="40">
        <v>0.44444444444444442</v>
      </c>
      <c r="M162" s="30">
        <f t="shared" si="71"/>
        <v>-2400</v>
      </c>
      <c r="S162" s="11">
        <f>[1]!WSD($B162,"contractmultiplier",$A$2,$A$2,"TradingCalendar=SSE","rptType=1","ShowCodes=N","ShowDates=N","ShowParams=Y","cols=1;rows=1")</f>
        <v>60</v>
      </c>
      <c r="T162" s="53">
        <v>9777039</v>
      </c>
      <c r="U162" s="24">
        <f t="shared" si="78"/>
        <v>10.445554487179487</v>
      </c>
    </row>
    <row r="163" spans="1:21" ht="14.25">
      <c r="B163" s="1" t="s">
        <v>170</v>
      </c>
      <c r="C163" s="1">
        <v>-3</v>
      </c>
      <c r="D163" s="1">
        <v>53226.67</v>
      </c>
      <c r="E163" s="2">
        <v>43132</v>
      </c>
      <c r="F163" s="40">
        <v>0.38194444444444442</v>
      </c>
      <c r="G163" s="31">
        <f>2.1%*1/2</f>
        <v>1.0500000000000001E-2</v>
      </c>
      <c r="J163" s="1">
        <v>53090</v>
      </c>
      <c r="K163" s="2">
        <v>43133</v>
      </c>
      <c r="L163" s="40">
        <v>0.38541666666666669</v>
      </c>
      <c r="M163" s="30">
        <f t="shared" si="71"/>
        <v>2050.0499999999738</v>
      </c>
      <c r="S163" s="11">
        <f>[1]!WSD($B163,"contractmultiplier",$A$2,$A$2,"TradingCalendar=SSE","rptType=1","ShowCodes=N","ShowDates=N","ShowParams=Y","cols=1;rows=1")</f>
        <v>5</v>
      </c>
      <c r="T163" s="53">
        <v>9777040</v>
      </c>
      <c r="U163" s="24">
        <f t="shared" ref="U163" si="79">T163*G163/(D163*S163*0.15)</f>
        <v>2.5716160714168299</v>
      </c>
    </row>
    <row r="164" spans="1:21" ht="14.25">
      <c r="B164" s="1" t="s">
        <v>171</v>
      </c>
      <c r="C164" s="1">
        <v>-9</v>
      </c>
      <c r="D164" s="1">
        <v>2783</v>
      </c>
      <c r="E164" s="2">
        <v>43132</v>
      </c>
      <c r="F164" s="40">
        <v>0.4375</v>
      </c>
      <c r="G164" s="31">
        <f>1.2%*1/3</f>
        <v>4.0000000000000001E-3</v>
      </c>
      <c r="J164" s="1">
        <v>2788</v>
      </c>
      <c r="K164" s="2">
        <v>43133</v>
      </c>
      <c r="L164" s="40">
        <v>0.3833333333333333</v>
      </c>
      <c r="M164" s="30">
        <f t="shared" si="71"/>
        <v>-450</v>
      </c>
      <c r="S164" s="11">
        <f>[1]!WSD($B164,"contractmultiplier",$A$2,$A$2,"TradingCalendar=SSE","rptType=1","ShowCodes=N","ShowDates=N","ShowParams=Y","cols=1;rows=1")</f>
        <v>10</v>
      </c>
      <c r="T164" s="53">
        <v>9777041</v>
      </c>
      <c r="U164" s="24">
        <f t="shared" ref="U164" si="80">T164*G164/(D164*S164*0.15)</f>
        <v>9.3683468678883717</v>
      </c>
    </row>
    <row r="165" spans="1:21" ht="14.25">
      <c r="B165" s="1" t="s">
        <v>172</v>
      </c>
      <c r="C165" s="1">
        <v>-1</v>
      </c>
      <c r="D165" s="1">
        <v>6119.2</v>
      </c>
      <c r="E165" s="2">
        <v>43132</v>
      </c>
      <c r="F165" s="40">
        <v>0.44444444444444442</v>
      </c>
      <c r="G165" s="31">
        <v>1.7999999999999999E-2</v>
      </c>
      <c r="I165" s="31">
        <f>G165</f>
        <v>1.7999999999999999E-2</v>
      </c>
      <c r="M165" s="30" t="str">
        <f t="shared" si="71"/>
        <v/>
      </c>
      <c r="N165" s="1">
        <f>C165*0</f>
        <v>0</v>
      </c>
      <c r="P165" s="62">
        <v>43136</v>
      </c>
      <c r="Q165" s="63">
        <v>0.62152777777777779</v>
      </c>
      <c r="R165" s="63"/>
      <c r="S165" s="11">
        <f>[1]!WSD($B165,"contractmultiplier",$A$2,$A$2,"TradingCalendar=SSE","rptType=1","ShowCodes=N","ShowDates=N","ShowParams=Y","cols=1;rows=1")</f>
        <v>200</v>
      </c>
      <c r="T165" s="53">
        <v>9777042</v>
      </c>
      <c r="U165" s="24">
        <f t="shared" ref="U165:U168" si="81">T165*G165/(D165*S165*0.15)</f>
        <v>0.95865884429337167</v>
      </c>
    </row>
    <row r="166" spans="1:21" ht="14.25">
      <c r="B166" s="1" t="s">
        <v>173</v>
      </c>
      <c r="C166" s="1">
        <v>1</v>
      </c>
      <c r="D166" s="1">
        <v>3142</v>
      </c>
      <c r="E166" s="2">
        <v>43132</v>
      </c>
      <c r="F166" s="40">
        <v>0.56597222222222221</v>
      </c>
      <c r="G166" s="31">
        <v>1.4E-2</v>
      </c>
      <c r="J166" s="1">
        <v>3128.2</v>
      </c>
      <c r="K166" s="2">
        <v>43132</v>
      </c>
      <c r="L166" s="40">
        <v>0.58750000000000002</v>
      </c>
      <c r="M166" s="30">
        <f t="shared" si="71"/>
        <v>-4140.0000000000546</v>
      </c>
      <c r="S166" s="11">
        <f>[1]!WSD($B166,"contractmultiplier",$A$2,$A$2,"TradingCalendar=SSE","rptType=1","ShowCodes=N","ShowDates=N","ShowParams=Y","cols=1;rows=1")</f>
        <v>300</v>
      </c>
      <c r="T166" s="53">
        <v>9777043</v>
      </c>
      <c r="U166" s="24">
        <f t="shared" si="81"/>
        <v>0.96809252422377834</v>
      </c>
    </row>
    <row r="167" spans="1:21" ht="14.25">
      <c r="B167" s="1" t="s">
        <v>173</v>
      </c>
      <c r="C167" s="1">
        <v>1</v>
      </c>
      <c r="D167" s="1">
        <v>3152</v>
      </c>
      <c r="E167" s="2">
        <v>43132</v>
      </c>
      <c r="F167" s="40">
        <v>0.62152777777777779</v>
      </c>
      <c r="G167" s="31">
        <v>1.4E-2</v>
      </c>
      <c r="J167" s="1">
        <v>3131</v>
      </c>
      <c r="K167" s="2">
        <v>43133</v>
      </c>
      <c r="L167" s="40">
        <v>0.39861111111111108</v>
      </c>
      <c r="M167" s="30">
        <f t="shared" si="71"/>
        <v>-6300</v>
      </c>
      <c r="S167" s="11">
        <f>[1]!WSD($B167,"contractmultiplier",$A$2,$A$2,"TradingCalendar=SSE","rptType=1","ShowCodes=N","ShowDates=N","ShowParams=Y","cols=1;rows=1")</f>
        <v>300</v>
      </c>
      <c r="T167" s="53">
        <v>9777044</v>
      </c>
      <c r="U167" s="24">
        <f t="shared" si="81"/>
        <v>0.96502126339537508</v>
      </c>
    </row>
    <row r="168" spans="1:21" ht="14.25">
      <c r="A168" s="3"/>
      <c r="B168" s="3" t="s">
        <v>174</v>
      </c>
      <c r="C168" s="3">
        <v>-5</v>
      </c>
      <c r="D168" s="3">
        <v>1998</v>
      </c>
      <c r="E168" s="33">
        <v>43132</v>
      </c>
      <c r="F168" s="45">
        <v>0.61805555555555558</v>
      </c>
      <c r="G168" s="32">
        <f>3.4%*1/2</f>
        <v>1.7000000000000001E-2</v>
      </c>
      <c r="H168" s="66"/>
      <c r="I168" s="32"/>
      <c r="J168" s="3">
        <v>2014.5</v>
      </c>
      <c r="K168" s="33">
        <v>43132</v>
      </c>
      <c r="L168" s="60">
        <v>0.88541666666666663</v>
      </c>
      <c r="M168" s="28">
        <f t="shared" si="71"/>
        <v>-8250</v>
      </c>
      <c r="N168" s="3"/>
      <c r="O168" s="3"/>
      <c r="P168" s="4"/>
      <c r="Q168" s="36"/>
      <c r="R168" s="36"/>
      <c r="S168" s="11">
        <f>[1]!WSD($B168,"contractmultiplier",$A$2,$A$2,"TradingCalendar=SSE","rptType=1","ShowCodes=N","ShowDates=N","ShowParams=Y","cols=1;rows=1")</f>
        <v>100</v>
      </c>
      <c r="T168" s="53">
        <v>9777045</v>
      </c>
      <c r="U168" s="24">
        <f t="shared" si="81"/>
        <v>5.5458713713713719</v>
      </c>
    </row>
    <row r="169" spans="1:21" ht="14.25">
      <c r="A169" s="2">
        <v>43133</v>
      </c>
      <c r="B169" s="1" t="s">
        <v>175</v>
      </c>
      <c r="C169" s="1">
        <v>8</v>
      </c>
      <c r="D169" s="1">
        <v>102860</v>
      </c>
      <c r="E169" s="2">
        <v>43132</v>
      </c>
      <c r="F169" s="59">
        <v>0.88541666666666663</v>
      </c>
      <c r="G169" s="31">
        <f>2.6%*1/2</f>
        <v>1.3000000000000001E-2</v>
      </c>
      <c r="J169" s="1">
        <v>102690</v>
      </c>
      <c r="K169" s="2">
        <v>43132</v>
      </c>
      <c r="L169" s="40">
        <v>0.92291666666666661</v>
      </c>
      <c r="M169" s="30">
        <f t="shared" si="71"/>
        <v>-1360</v>
      </c>
      <c r="S169" s="11">
        <f>[1]!WSD($B169,"contractmultiplier",$A$2,$A$2,"TradingCalendar=SSE","rptType=1","ShowCodes=N","ShowDates=N","ShowParams=Y","cols=1;rows=1")</f>
        <v>1</v>
      </c>
      <c r="T169" s="53">
        <v>9777046</v>
      </c>
      <c r="U169" s="24">
        <f t="shared" ref="U169:U172" si="82">T169*G169/(D169*S169*0.15)</f>
        <v>8.2378377082118099</v>
      </c>
    </row>
    <row r="170" spans="1:21" ht="14.25">
      <c r="B170" s="1" t="s">
        <v>176</v>
      </c>
      <c r="C170" s="1">
        <v>11</v>
      </c>
      <c r="D170" s="1">
        <v>2336</v>
      </c>
      <c r="E170" s="2">
        <v>43132</v>
      </c>
      <c r="F170" s="59">
        <v>0.88541666666666663</v>
      </c>
      <c r="G170" s="31">
        <f>1.2%*1/3</f>
        <v>4.0000000000000001E-3</v>
      </c>
      <c r="J170" s="1">
        <v>2320</v>
      </c>
      <c r="K170" s="2">
        <v>43132</v>
      </c>
      <c r="L170" s="40">
        <v>0.92291666666666661</v>
      </c>
      <c r="M170" s="30">
        <f t="shared" si="71"/>
        <v>-1760</v>
      </c>
      <c r="S170" s="11">
        <f>[1]!WSD($B170,"contractmultiplier",$A$2,$A$2,"TradingCalendar=SSE","rptType=1","ShowCodes=N","ShowDates=N","ShowParams=Y","cols=1;rows=1")</f>
        <v>10</v>
      </c>
      <c r="T170" s="53">
        <v>9777047</v>
      </c>
      <c r="U170" s="24">
        <f t="shared" si="82"/>
        <v>11.161012557077626</v>
      </c>
    </row>
    <row r="171" spans="1:21" ht="14.25">
      <c r="A171" s="1" t="s">
        <v>224</v>
      </c>
      <c r="B171" s="1" t="s">
        <v>178</v>
      </c>
      <c r="C171" s="1">
        <v>11</v>
      </c>
      <c r="D171" s="1">
        <v>1299.5</v>
      </c>
      <c r="E171" s="2">
        <v>43132</v>
      </c>
      <c r="F171" s="59">
        <v>0.88541666666666663</v>
      </c>
      <c r="G171" s="31">
        <f>2.6%</f>
        <v>2.6000000000000002E-2</v>
      </c>
      <c r="I171" s="31">
        <f>G171*0.5</f>
        <v>1.3000000000000001E-2</v>
      </c>
      <c r="J171" s="1">
        <v>1369.5</v>
      </c>
      <c r="K171" s="2">
        <v>43136</v>
      </c>
      <c r="L171" s="40" t="s">
        <v>223</v>
      </c>
      <c r="M171" s="30">
        <f t="shared" si="71"/>
        <v>46200</v>
      </c>
      <c r="N171" s="1">
        <f>C171*1</f>
        <v>11</v>
      </c>
      <c r="O171" s="1">
        <v>1374.5</v>
      </c>
      <c r="P171" s="62">
        <v>43136</v>
      </c>
      <c r="Q171" s="63">
        <v>0.62152777777777779</v>
      </c>
      <c r="R171" s="63" t="s">
        <v>227</v>
      </c>
      <c r="S171" s="11">
        <f>[1]!WSD($B171,"contractmultiplier",$A$2,$A$2,"TradingCalendar=SSE","rptType=1","ShowCodes=N","ShowDates=N","ShowParams=Y","cols=1;rows=1")</f>
        <v>60</v>
      </c>
      <c r="T171" s="53">
        <v>9777048</v>
      </c>
      <c r="U171" s="24">
        <f t="shared" si="82"/>
        <v>21.735132999871748</v>
      </c>
    </row>
    <row r="172" spans="1:21" ht="14.25">
      <c r="B172" s="1" t="s">
        <v>179</v>
      </c>
      <c r="C172" s="1">
        <v>-1</v>
      </c>
      <c r="D172" s="1">
        <v>275.8</v>
      </c>
      <c r="E172" s="2">
        <v>43132</v>
      </c>
      <c r="F172" s="59">
        <v>0.88541666666666663</v>
      </c>
      <c r="G172" s="31">
        <f>1.7%*1/3</f>
        <v>5.6666666666666671E-3</v>
      </c>
      <c r="J172" s="1">
        <v>276.7</v>
      </c>
      <c r="K172" s="2">
        <v>43133</v>
      </c>
      <c r="L172" s="40">
        <v>0.375</v>
      </c>
      <c r="M172" s="30">
        <f t="shared" si="71"/>
        <v>-899.99999999997726</v>
      </c>
      <c r="S172" s="11">
        <f>[1]!WSD($B172,"contractmultiplier",$A$2,$A$2,"TradingCalendar=SSE","rptType=1","ShowCodes=N","ShowDates=N","ShowParams=Y","cols=1;rows=1")</f>
        <v>1000</v>
      </c>
      <c r="T172" s="53">
        <v>9777049</v>
      </c>
      <c r="U172" s="24">
        <f t="shared" si="82"/>
        <v>1.3392138667311257</v>
      </c>
    </row>
    <row r="173" spans="1:21" ht="14.25">
      <c r="B173" s="3" t="s">
        <v>180</v>
      </c>
      <c r="C173" s="3">
        <v>1</v>
      </c>
      <c r="D173" s="3">
        <v>2890</v>
      </c>
      <c r="E173" s="33">
        <v>43132</v>
      </c>
      <c r="F173" s="45">
        <v>0.92291666666666661</v>
      </c>
      <c r="G173" s="32">
        <f>0.5%*1/3</f>
        <v>1.6666666666666668E-3</v>
      </c>
      <c r="H173" s="66"/>
      <c r="I173" s="32"/>
      <c r="J173" s="3">
        <v>2922</v>
      </c>
      <c r="K173" s="33">
        <v>43133</v>
      </c>
      <c r="L173" s="45">
        <v>0.375</v>
      </c>
      <c r="M173" s="28">
        <f t="shared" si="71"/>
        <v>320</v>
      </c>
      <c r="N173" s="3"/>
      <c r="O173" s="3"/>
      <c r="P173" s="4"/>
      <c r="Q173" s="36"/>
      <c r="R173" s="36"/>
      <c r="S173" s="11">
        <f>[1]!WSD($B173,"contractmultiplier",$A$2,$A$2,"TradingCalendar=SSE","rptType=1","ShowCodes=N","ShowDates=N","ShowParams=Y","cols=1;rows=1")</f>
        <v>10</v>
      </c>
      <c r="T173" s="53">
        <v>9777050</v>
      </c>
      <c r="U173" s="24">
        <f t="shared" ref="U173" si="83">T173*G173/(D173*S173*0.15)</f>
        <v>3.7589580930411381</v>
      </c>
    </row>
    <row r="174" spans="1:21" ht="14.25">
      <c r="B174" s="1" t="s">
        <v>175</v>
      </c>
      <c r="C174" s="1">
        <v>8</v>
      </c>
      <c r="D174" s="1">
        <v>105220</v>
      </c>
      <c r="E174" s="2">
        <v>43133</v>
      </c>
      <c r="F174" s="40">
        <v>0.3833333333333333</v>
      </c>
      <c r="G174" s="31">
        <f>2.6%*0.5</f>
        <v>1.3000000000000001E-2</v>
      </c>
      <c r="J174" s="1">
        <v>104320</v>
      </c>
      <c r="K174" s="2">
        <v>43133</v>
      </c>
      <c r="L174" s="40">
        <v>0.89930555555555547</v>
      </c>
      <c r="M174" s="30">
        <f t="shared" si="71"/>
        <v>-7200</v>
      </c>
      <c r="S174" s="11">
        <f>[1]!WSD($B174,"contractmultiplier",$A$2,$A$2,"TradingCalendar=SSE","rptType=1","ShowCodes=N","ShowDates=N","ShowParams=Y","cols=1;rows=1")</f>
        <v>1</v>
      </c>
      <c r="T174" s="53">
        <v>9777051</v>
      </c>
      <c r="U174" s="24">
        <f t="shared" ref="U174:U180" si="84">T174*G174/(D174*S174*0.15)</f>
        <v>8.0530737502375977</v>
      </c>
    </row>
    <row r="175" spans="1:21" ht="14.25">
      <c r="B175" s="1" t="s">
        <v>181</v>
      </c>
      <c r="C175" s="1">
        <v>21</v>
      </c>
      <c r="D175" s="1">
        <v>4015</v>
      </c>
      <c r="E175" s="2">
        <v>43133</v>
      </c>
      <c r="F175" s="40">
        <v>0.3833333333333333</v>
      </c>
      <c r="G175" s="31">
        <f>3.9%*1/3</f>
        <v>1.2999999999999999E-2</v>
      </c>
      <c r="J175" s="1">
        <v>4016</v>
      </c>
      <c r="K175" s="2">
        <v>43136</v>
      </c>
      <c r="L175" s="40">
        <v>0.37847222222222227</v>
      </c>
      <c r="M175" s="30">
        <f t="shared" si="71"/>
        <v>210</v>
      </c>
      <c r="S175" s="11">
        <f>[1]!WSD($B175,"contractmultiplier",$A$2,$A$2,"TradingCalendar=SSE","rptType=1","ShowCodes=N","ShowDates=N","ShowParams=Y","cols=1;rows=1")</f>
        <v>10</v>
      </c>
      <c r="T175" s="53">
        <v>9777052</v>
      </c>
      <c r="U175" s="24">
        <f t="shared" si="84"/>
        <v>21.104470900788709</v>
      </c>
    </row>
    <row r="176" spans="1:21" ht="14.25">
      <c r="B176" s="1" t="s">
        <v>183</v>
      </c>
      <c r="C176" s="1">
        <v>9</v>
      </c>
      <c r="D176" s="1">
        <v>26745</v>
      </c>
      <c r="E176" s="2">
        <v>43133</v>
      </c>
      <c r="F176" s="40">
        <v>0.3833333333333333</v>
      </c>
      <c r="G176" s="31">
        <v>3.6999999999999998E-2</v>
      </c>
      <c r="I176" s="31">
        <f>G176*0.5</f>
        <v>1.8499999999999999E-2</v>
      </c>
      <c r="J176" s="1">
        <v>26665</v>
      </c>
      <c r="K176" s="2">
        <v>43136</v>
      </c>
      <c r="L176" s="40">
        <v>0.38263888888888892</v>
      </c>
      <c r="M176" s="30">
        <f t="shared" si="71"/>
        <v>-3600</v>
      </c>
      <c r="P176" s="62"/>
      <c r="Q176" s="63"/>
      <c r="R176" s="63"/>
      <c r="S176" s="11">
        <f>[1]!WSD($B176,"contractmultiplier",$A$2,$A$2,"TradingCalendar=SSE","rptType=1","ShowCodes=N","ShowDates=N","ShowParams=Y","cols=1;rows=1")</f>
        <v>5</v>
      </c>
      <c r="T176" s="53">
        <v>9777053</v>
      </c>
      <c r="U176" s="24">
        <f t="shared" si="84"/>
        <v>18.034571496229827</v>
      </c>
    </row>
    <row r="177" spans="1:21" ht="14.25">
      <c r="B177" s="1" t="s">
        <v>184</v>
      </c>
      <c r="C177" s="1">
        <v>10</v>
      </c>
      <c r="D177" s="1">
        <v>5694</v>
      </c>
      <c r="E177" s="2">
        <v>43133</v>
      </c>
      <c r="F177" s="40">
        <v>0.3833333333333333</v>
      </c>
      <c r="G177" s="31">
        <f>1.3%*1/3</f>
        <v>4.333333333333334E-3</v>
      </c>
      <c r="J177" s="1">
        <v>5684</v>
      </c>
      <c r="K177" s="2">
        <v>43133</v>
      </c>
      <c r="L177" s="40">
        <v>0.39861111111111108</v>
      </c>
      <c r="M177" s="30">
        <f t="shared" si="71"/>
        <v>-500</v>
      </c>
      <c r="S177" s="11">
        <f>[1]!WSD($B177,"contractmultiplier",$A$2,$A$2,"TradingCalendar=SSE","rptType=1","ShowCodes=N","ShowDates=N","ShowParams=Y","cols=1;rows=1")</f>
        <v>5</v>
      </c>
      <c r="T177" s="53">
        <v>9777054</v>
      </c>
      <c r="U177" s="24">
        <f t="shared" si="84"/>
        <v>9.9209071537290718</v>
      </c>
    </row>
    <row r="178" spans="1:21" ht="14.25">
      <c r="B178" s="1" t="s">
        <v>185</v>
      </c>
      <c r="C178" s="1">
        <v>13</v>
      </c>
      <c r="D178" s="1">
        <v>6664</v>
      </c>
      <c r="E178" s="2">
        <v>43133</v>
      </c>
      <c r="F178" s="40">
        <v>0.3833333333333333</v>
      </c>
      <c r="G178" s="31">
        <f>1.4%*1/2</f>
        <v>6.9999999999999993E-3</v>
      </c>
      <c r="J178" s="1">
        <v>6660</v>
      </c>
      <c r="K178" s="2">
        <v>43133</v>
      </c>
      <c r="L178" s="40">
        <v>0.39861111111111108</v>
      </c>
      <c r="M178" s="30">
        <f t="shared" si="71"/>
        <v>-260</v>
      </c>
      <c r="S178" s="11">
        <f>[1]!WSD($B178,"contractmultiplier",$A$2,$A$2,"TradingCalendar=SSE","rptType=1","ShowCodes=N","ShowDates=N","ShowParams=Y","cols=1;rows=1")</f>
        <v>5</v>
      </c>
      <c r="T178" s="53">
        <v>9777055</v>
      </c>
      <c r="U178" s="24">
        <f t="shared" si="84"/>
        <v>13.693354341736693</v>
      </c>
    </row>
    <row r="179" spans="1:21" ht="14.25">
      <c r="B179" s="1" t="s">
        <v>186</v>
      </c>
      <c r="C179" s="1">
        <v>16</v>
      </c>
      <c r="D179" s="1">
        <v>672.2</v>
      </c>
      <c r="E179" s="2">
        <v>43133</v>
      </c>
      <c r="F179" s="40">
        <v>0.3833333333333333</v>
      </c>
      <c r="G179" s="31">
        <f>3.3%*0.5</f>
        <v>1.6500000000000001E-2</v>
      </c>
      <c r="J179" s="1">
        <v>658.2</v>
      </c>
      <c r="K179" s="2">
        <v>43133</v>
      </c>
      <c r="L179" s="40">
        <v>0.62152777777777779</v>
      </c>
      <c r="M179" s="30">
        <f t="shared" si="71"/>
        <v>-22400</v>
      </c>
      <c r="S179" s="11">
        <f>[1]!WSD($B179,"contractmultiplier",$A$2,$A$2,"TradingCalendar=SSE","rptType=1","ShowCodes=N","ShowDates=N","ShowParams=Y","cols=1;rows=1")</f>
        <v>100</v>
      </c>
      <c r="T179" s="53">
        <v>9777056</v>
      </c>
      <c r="U179" s="24">
        <f t="shared" si="84"/>
        <v>15.999347813150848</v>
      </c>
    </row>
    <row r="180" spans="1:21" ht="14.25">
      <c r="B180" s="1" t="s">
        <v>180</v>
      </c>
      <c r="C180" s="1">
        <v>4</v>
      </c>
      <c r="D180" s="1">
        <v>2912</v>
      </c>
      <c r="E180" s="2">
        <v>43133</v>
      </c>
      <c r="F180" s="40">
        <v>0.3833333333333333</v>
      </c>
      <c r="G180" s="31">
        <f>0.5%*1/3</f>
        <v>1.6666666666666668E-3</v>
      </c>
      <c r="J180" s="1">
        <v>2878</v>
      </c>
      <c r="K180" s="2">
        <v>43133</v>
      </c>
      <c r="L180" s="40">
        <v>0.89513888888888893</v>
      </c>
      <c r="M180" s="30">
        <f t="shared" si="71"/>
        <v>-1360</v>
      </c>
      <c r="S180" s="11">
        <f>[1]!WSD($B180,"contractmultiplier",$A$2,$A$2,"TradingCalendar=SSE","rptType=1","ShowCodes=N","ShowDates=N","ShowParams=Y","cols=1;rows=1")</f>
        <v>10</v>
      </c>
      <c r="T180" s="53">
        <v>9777057</v>
      </c>
      <c r="U180" s="24">
        <f t="shared" si="84"/>
        <v>3.7305620421245425</v>
      </c>
    </row>
    <row r="181" spans="1:21" ht="14.25">
      <c r="B181" s="1" t="s">
        <v>188</v>
      </c>
      <c r="C181" s="1">
        <v>-14</v>
      </c>
      <c r="D181" s="1">
        <v>3612</v>
      </c>
      <c r="E181" s="2">
        <v>43133</v>
      </c>
      <c r="F181" s="40">
        <v>0.3833333333333333</v>
      </c>
      <c r="G181" s="31">
        <f>2.4%*1/3</f>
        <v>8.0000000000000002E-3</v>
      </c>
      <c r="J181" s="1">
        <v>3665</v>
      </c>
      <c r="K181" s="2">
        <v>43136</v>
      </c>
      <c r="L181" s="40">
        <v>0.37847222222222227</v>
      </c>
      <c r="M181" s="30">
        <f t="shared" si="71"/>
        <v>-7420</v>
      </c>
      <c r="S181" s="11">
        <f>[1]!WSD($B181,"contractmultiplier",$A$2,$A$2,"TradingCalendar=SSE","rptType=1","ShowCodes=N","ShowDates=N","ShowParams=Y","cols=1;rows=1")</f>
        <v>10</v>
      </c>
      <c r="T181" s="53">
        <v>9777058</v>
      </c>
      <c r="U181" s="24">
        <f t="shared" ref="U181" si="85">T181*G181/(D181*S181*0.15)</f>
        <v>14.43640900701366</v>
      </c>
    </row>
    <row r="182" spans="1:21" ht="14.25">
      <c r="B182" s="1" t="s">
        <v>184</v>
      </c>
      <c r="C182" s="1">
        <v>10</v>
      </c>
      <c r="D182" s="1">
        <v>5696</v>
      </c>
      <c r="E182" s="2">
        <v>43133</v>
      </c>
      <c r="F182" s="40">
        <v>0.44444444444444442</v>
      </c>
      <c r="G182" s="31">
        <f>1.3%*1/3</f>
        <v>4.333333333333334E-3</v>
      </c>
      <c r="J182" s="1">
        <v>5690</v>
      </c>
      <c r="K182" s="2">
        <v>43133</v>
      </c>
      <c r="L182" s="40">
        <v>0.46458333333333335</v>
      </c>
      <c r="M182" s="30">
        <f t="shared" si="71"/>
        <v>-300</v>
      </c>
      <c r="S182" s="11">
        <f>[1]!WSD($B182,"contractmultiplier",$A$2,$A$2,"TradingCalendar=SSE","rptType=1","ShowCodes=N","ShowDates=N","ShowParams=Y","cols=1;rows=1")</f>
        <v>5</v>
      </c>
      <c r="T182" s="53">
        <v>9777059</v>
      </c>
      <c r="U182" s="24">
        <f t="shared" ref="U182:U185" si="86">T182*G182/(D182*S182*0.15)</f>
        <v>9.9174287609238458</v>
      </c>
    </row>
    <row r="183" spans="1:21" ht="14.25">
      <c r="A183" s="1" t="s">
        <v>225</v>
      </c>
      <c r="B183" s="1" t="s">
        <v>203</v>
      </c>
      <c r="C183" s="1">
        <v>4</v>
      </c>
      <c r="D183" s="1">
        <v>2043</v>
      </c>
      <c r="E183" s="2">
        <v>43133</v>
      </c>
      <c r="F183" s="40">
        <v>0.44444444444444442</v>
      </c>
      <c r="G183" s="31">
        <v>2.1000000000000001E-2</v>
      </c>
      <c r="I183" s="31">
        <f>G183*0.5</f>
        <v>1.0500000000000001E-2</v>
      </c>
      <c r="J183" s="1">
        <v>2116.5</v>
      </c>
      <c r="K183" s="2">
        <v>43133</v>
      </c>
      <c r="L183" s="40">
        <v>0.625</v>
      </c>
      <c r="M183" s="30">
        <f t="shared" si="71"/>
        <v>29400</v>
      </c>
      <c r="N183" s="1">
        <f>C183*1</f>
        <v>4</v>
      </c>
      <c r="O183" s="1">
        <v>2115</v>
      </c>
      <c r="P183" s="62">
        <v>43136</v>
      </c>
      <c r="Q183" s="63">
        <v>0.62152777777777779</v>
      </c>
      <c r="R183" s="63" t="s">
        <v>228</v>
      </c>
      <c r="S183" s="11">
        <f>[1]!WSD($B183,"contractmultiplier",$A$2,$A$2,"TradingCalendar=SSE","rptType=1","ShowCodes=N","ShowDates=N","ShowParams=Y","cols=1;rows=1")</f>
        <v>100</v>
      </c>
      <c r="T183" s="53">
        <v>9777060</v>
      </c>
      <c r="U183" s="24">
        <f t="shared" si="86"/>
        <v>6.6998942731277538</v>
      </c>
    </row>
    <row r="184" spans="1:21" ht="14.25">
      <c r="B184" s="1" t="s">
        <v>185</v>
      </c>
      <c r="C184" s="1">
        <v>13</v>
      </c>
      <c r="D184" s="1">
        <v>6670</v>
      </c>
      <c r="E184" s="2">
        <v>43133</v>
      </c>
      <c r="F184" s="40">
        <v>0.44444444444444442</v>
      </c>
      <c r="G184" s="31">
        <f>1.4%*1/2</f>
        <v>6.9999999999999993E-3</v>
      </c>
      <c r="J184" s="1">
        <v>6662</v>
      </c>
      <c r="K184" s="2">
        <v>43133</v>
      </c>
      <c r="L184" s="40">
        <v>0.46458333333333335</v>
      </c>
      <c r="M184" s="30">
        <f t="shared" si="71"/>
        <v>-520</v>
      </c>
      <c r="S184" s="11">
        <f>[1]!WSD($B184,"contractmultiplier",$A$2,$A$2,"TradingCalendar=SSE","rptType=1","ShowCodes=N","ShowDates=N","ShowParams=Y","cols=1;rows=1")</f>
        <v>5</v>
      </c>
      <c r="T184" s="53">
        <v>9777061</v>
      </c>
      <c r="U184" s="24">
        <f t="shared" si="86"/>
        <v>13.681044877561218</v>
      </c>
    </row>
    <row r="185" spans="1:21" ht="14.25">
      <c r="B185" s="1" t="s">
        <v>204</v>
      </c>
      <c r="C185" s="1">
        <v>18</v>
      </c>
      <c r="D185" s="1">
        <v>3965</v>
      </c>
      <c r="E185" s="2">
        <v>43133</v>
      </c>
      <c r="F185" s="40">
        <v>0.44444444444444442</v>
      </c>
      <c r="G185" s="31">
        <f>2.2%*1/2</f>
        <v>1.1000000000000001E-2</v>
      </c>
      <c r="J185" s="1">
        <v>3928</v>
      </c>
      <c r="K185" s="2">
        <v>43133</v>
      </c>
      <c r="L185" s="40">
        <v>0.95763888888888893</v>
      </c>
      <c r="M185" s="30">
        <f t="shared" si="71"/>
        <v>-6660</v>
      </c>
      <c r="S185" s="11">
        <f>[1]!WSD($B185,"contractmultiplier",$A$2,$A$2,"TradingCalendar=SSE","rptType=1","ShowCodes=N","ShowDates=N","ShowParams=Y","cols=1;rows=1")</f>
        <v>10</v>
      </c>
      <c r="T185" s="53">
        <v>9777062</v>
      </c>
      <c r="U185" s="24">
        <f t="shared" si="86"/>
        <v>18.082838503572933</v>
      </c>
    </row>
    <row r="186" spans="1:21" ht="14.25">
      <c r="B186" s="1" t="s">
        <v>205</v>
      </c>
      <c r="C186" s="1">
        <v>-9</v>
      </c>
      <c r="D186" s="1">
        <v>5132</v>
      </c>
      <c r="E186" s="2">
        <v>43133</v>
      </c>
      <c r="F186" s="40">
        <v>0.46458333333333335</v>
      </c>
      <c r="G186" s="31">
        <v>2.1000000000000001E-2</v>
      </c>
      <c r="I186" s="31">
        <f>G186*1/3</f>
        <v>7.0000000000000001E-3</v>
      </c>
      <c r="M186" s="30" t="str">
        <f t="shared" si="71"/>
        <v/>
      </c>
      <c r="P186" s="62"/>
      <c r="Q186" s="63"/>
      <c r="R186" s="63"/>
      <c r="S186" s="11">
        <f>[1]!WSD($B186,"contractmultiplier",$A$2,$A$2,"TradingCalendar=SSE","rptType=1","ShowCodes=N","ShowDates=N","ShowParams=Y","cols=1;rows=1")</f>
        <v>10</v>
      </c>
      <c r="T186" s="53">
        <v>9777063</v>
      </c>
      <c r="U186" s="24">
        <f t="shared" ref="U186" si="87">T186*G186/(D186*S186*0.15)</f>
        <v>26.671644972720188</v>
      </c>
    </row>
    <row r="187" spans="1:21" ht="14.25">
      <c r="B187" s="1" t="s">
        <v>184</v>
      </c>
      <c r="C187" s="1">
        <v>10</v>
      </c>
      <c r="D187" s="1">
        <v>5688</v>
      </c>
      <c r="E187" s="2">
        <v>43133</v>
      </c>
      <c r="F187" s="40">
        <v>0.56597222222222221</v>
      </c>
      <c r="G187" s="31">
        <f>1.4%*1/3</f>
        <v>4.6666666666666662E-3</v>
      </c>
      <c r="J187" s="1">
        <v>5664</v>
      </c>
      <c r="K187" s="2">
        <v>43133</v>
      </c>
      <c r="L187" s="40">
        <v>0.62152777777777779</v>
      </c>
      <c r="M187" s="30">
        <f t="shared" si="71"/>
        <v>-1200</v>
      </c>
      <c r="S187" s="11">
        <f>[1]!WSD($B187,"contractmultiplier",$A$2,$A$2,"TradingCalendar=SSE","rptType=1","ShowCodes=N","ShowDates=N","ShowParams=Y","cols=1;rows=1")</f>
        <v>5</v>
      </c>
      <c r="T187" s="53">
        <v>9777064</v>
      </c>
      <c r="U187" s="24">
        <f t="shared" ref="U187" si="88">T187*G187/(D187*S187*0.15)</f>
        <v>10.695334896077512</v>
      </c>
    </row>
    <row r="188" spans="1:21" ht="14.25">
      <c r="A188" s="3"/>
      <c r="B188" s="3" t="s">
        <v>206</v>
      </c>
      <c r="C188" s="3">
        <v>1</v>
      </c>
      <c r="D188" s="3">
        <v>4282</v>
      </c>
      <c r="E188" s="33">
        <v>43133</v>
      </c>
      <c r="F188" s="45">
        <v>0.61875000000000002</v>
      </c>
      <c r="G188" s="32">
        <v>1.2999999999999999E-2</v>
      </c>
      <c r="H188" s="66"/>
      <c r="I188" s="32"/>
      <c r="J188" s="3">
        <v>4247.2</v>
      </c>
      <c r="K188" s="33">
        <v>43136</v>
      </c>
      <c r="L188" s="45">
        <v>0.39999999999999997</v>
      </c>
      <c r="M188" s="28">
        <f t="shared" si="71"/>
        <v>-10440.000000000055</v>
      </c>
      <c r="N188" s="3"/>
      <c r="O188" s="3"/>
      <c r="P188" s="4"/>
      <c r="Q188" s="4"/>
      <c r="R188" s="4"/>
      <c r="S188" s="11">
        <f>[1]!WSD($B188,"contractmultiplier",$A$2,$A$2,"TradingCalendar=SSE","rptType=1","ShowCodes=N","ShowDates=N","ShowParams=Y","cols=1;rows=1")</f>
        <v>300</v>
      </c>
      <c r="T188" s="53">
        <v>9777065</v>
      </c>
      <c r="U188" s="24">
        <f t="shared" ref="U188:U189" si="89">T188*G188/(D188*S188*0.15)</f>
        <v>0.65961827287352748</v>
      </c>
    </row>
    <row r="189" spans="1:21" ht="14.25">
      <c r="A189" s="2">
        <v>43136</v>
      </c>
      <c r="B189" s="1" t="s">
        <v>207</v>
      </c>
      <c r="C189" s="1">
        <v>20</v>
      </c>
      <c r="D189" s="1">
        <v>518.5</v>
      </c>
      <c r="E189" s="2">
        <v>43133</v>
      </c>
      <c r="F189" s="40">
        <v>0.89513888888888893</v>
      </c>
      <c r="G189" s="31">
        <f>3.2%*1/2</f>
        <v>1.6E-2</v>
      </c>
      <c r="J189" s="1">
        <v>516.5</v>
      </c>
      <c r="K189" s="2">
        <v>43136</v>
      </c>
      <c r="L189" s="40">
        <v>0.39999999999999997</v>
      </c>
      <c r="M189" s="30">
        <f t="shared" si="71"/>
        <v>-4000</v>
      </c>
      <c r="S189" s="11">
        <f>[1]!WSD($B189,"contractmultiplier",$A$2,$A$2,"TradingCalendar=SSE","rptType=1","ShowCodes=N","ShowDates=N","ShowParams=Y","cols=1;rows=1")</f>
        <v>100</v>
      </c>
      <c r="T189" s="53">
        <v>9777066</v>
      </c>
      <c r="U189" s="24">
        <f t="shared" si="89"/>
        <v>20.113539826422375</v>
      </c>
    </row>
    <row r="190" spans="1:21" ht="14.25">
      <c r="B190" s="1" t="s">
        <v>208</v>
      </c>
      <c r="C190" s="1">
        <v>-9</v>
      </c>
      <c r="D190" s="1">
        <v>2783</v>
      </c>
      <c r="E190" s="2">
        <v>43133</v>
      </c>
      <c r="F190" s="40">
        <v>0.89513888888888893</v>
      </c>
      <c r="G190" s="31">
        <f>1.2%*1/3</f>
        <v>4.0000000000000001E-3</v>
      </c>
      <c r="J190" s="1">
        <v>2789</v>
      </c>
      <c r="K190" s="2">
        <v>43136</v>
      </c>
      <c r="L190" s="40">
        <v>0.56527777777777777</v>
      </c>
      <c r="M190" s="30">
        <f t="shared" si="71"/>
        <v>-540</v>
      </c>
      <c r="S190" s="11">
        <f>[1]!WSD($B190,"contractmultiplier",$A$2,$A$2,"TradingCalendar=SSE","rptType=1","ShowCodes=N","ShowDates=N","ShowParams=Y","cols=1;rows=1")</f>
        <v>10</v>
      </c>
      <c r="T190" s="53">
        <v>9777067</v>
      </c>
      <c r="U190" s="24">
        <f>T190*G190/(D190*S190*0.15)</f>
        <v>9.3683717810516232</v>
      </c>
    </row>
    <row r="191" spans="1:21" ht="14.25">
      <c r="B191" s="3" t="s">
        <v>209</v>
      </c>
      <c r="C191" s="3">
        <v>-2</v>
      </c>
      <c r="D191" s="3">
        <v>275.75</v>
      </c>
      <c r="E191" s="33">
        <v>43133</v>
      </c>
      <c r="F191" s="45">
        <v>0.89583333333333337</v>
      </c>
      <c r="G191" s="32">
        <v>1.7999999999999999E-2</v>
      </c>
      <c r="H191" s="66">
        <v>0.5</v>
      </c>
      <c r="I191" s="32">
        <f>G191*H191</f>
        <v>8.9999999999999993E-3</v>
      </c>
      <c r="J191" s="3"/>
      <c r="K191" s="3"/>
      <c r="L191" s="3"/>
      <c r="M191" s="28" t="str">
        <f t="shared" si="71"/>
        <v/>
      </c>
      <c r="N191" s="3"/>
      <c r="O191" s="3"/>
      <c r="P191" s="64"/>
      <c r="Q191" s="65"/>
      <c r="R191" s="65"/>
      <c r="S191" s="11">
        <f>[1]!WSD($B191,"contractmultiplier",$A$2,$A$2,"TradingCalendar=SSE","rptType=1","ShowCodes=N","ShowDates=N","ShowParams=Y","cols=1;rows=1")</f>
        <v>1000</v>
      </c>
      <c r="T191" s="53">
        <v>9777068</v>
      </c>
      <c r="U191" s="24">
        <f>T191*G191/(D191*S191*0.15)</f>
        <v>4.254753073436083</v>
      </c>
    </row>
    <row r="192" spans="1:21" ht="14.25">
      <c r="B192" s="1" t="s">
        <v>210</v>
      </c>
      <c r="C192" s="1">
        <v>27</v>
      </c>
      <c r="D192" s="1">
        <v>2121</v>
      </c>
      <c r="E192" s="2">
        <v>43136</v>
      </c>
      <c r="F192" s="40">
        <v>0.38194444444444442</v>
      </c>
      <c r="G192" s="31">
        <v>2.7E-2</v>
      </c>
      <c r="H192" s="67">
        <v>0.33333333333333331</v>
      </c>
      <c r="I192" s="34">
        <f t="shared" ref="I192:I198" si="90">G192*H192</f>
        <v>8.9999999999999993E-3</v>
      </c>
      <c r="M192" s="30" t="str">
        <f t="shared" si="71"/>
        <v/>
      </c>
      <c r="P192" s="62"/>
      <c r="Q192" s="63"/>
      <c r="R192" s="63"/>
      <c r="S192" s="11">
        <f>[1]!WSD($B192,"contractmultiplier",$A$2,$A$2,"TradingCalendar=SSE","rptType=1","ShowCodes=N","ShowDates=N","ShowParams=Y","cols=1;rows=1")</f>
        <v>10</v>
      </c>
      <c r="T192" s="53">
        <v>9777069</v>
      </c>
      <c r="U192" s="24">
        <f>T192*I192/(D192*S192*0.15)</f>
        <v>27.657903818953322</v>
      </c>
    </row>
    <row r="193" spans="1:21" ht="14.25">
      <c r="B193" s="1" t="s">
        <v>211</v>
      </c>
      <c r="C193" s="1">
        <v>-14</v>
      </c>
      <c r="D193" s="1">
        <v>14570</v>
      </c>
      <c r="E193" s="2">
        <v>43136</v>
      </c>
      <c r="F193" s="40">
        <v>0.38541666666666669</v>
      </c>
      <c r="G193" s="31">
        <v>3.2000000000000001E-2</v>
      </c>
      <c r="H193" s="67">
        <v>0.5</v>
      </c>
      <c r="I193" s="34">
        <f t="shared" si="90"/>
        <v>1.6E-2</v>
      </c>
      <c r="M193" s="30" t="str">
        <f t="shared" si="71"/>
        <v/>
      </c>
      <c r="P193" s="62"/>
      <c r="Q193" s="63"/>
      <c r="R193" s="63"/>
      <c r="S193" s="11">
        <f>[1]!WSD($B193,"contractmultiplier",$A$2,$A$2,"TradingCalendar=SSE","rptType=1","ShowCodes=N","ShowDates=N","ShowParams=Y","cols=1;rows=1")</f>
        <v>5</v>
      </c>
      <c r="T193" s="53">
        <v>9777070</v>
      </c>
      <c r="U193" s="24">
        <f t="shared" ref="U193:U198" si="91">T193*I193/(D193*S193*0.15)</f>
        <v>14.315545184168382</v>
      </c>
    </row>
    <row r="194" spans="1:21" ht="14.25">
      <c r="B194" s="1" t="s">
        <v>212</v>
      </c>
      <c r="C194" s="1">
        <v>20</v>
      </c>
      <c r="D194" s="1">
        <v>6694</v>
      </c>
      <c r="E194" s="2">
        <v>43136</v>
      </c>
      <c r="F194" s="40">
        <v>0.4236111111111111</v>
      </c>
      <c r="G194" s="31">
        <v>2.1000000000000001E-2</v>
      </c>
      <c r="H194" s="67">
        <v>0.5</v>
      </c>
      <c r="I194" s="34">
        <f t="shared" si="90"/>
        <v>1.0500000000000001E-2</v>
      </c>
      <c r="M194" s="30" t="str">
        <f t="shared" si="71"/>
        <v/>
      </c>
      <c r="N194" s="1">
        <f>C194*(1-H194)/H194</f>
        <v>20</v>
      </c>
      <c r="O194" s="1">
        <v>6774</v>
      </c>
      <c r="P194" s="62">
        <v>43136</v>
      </c>
      <c r="Q194" s="63">
        <v>0.62152777777777779</v>
      </c>
      <c r="R194" s="63"/>
      <c r="S194" s="11">
        <f>[1]!WSD($B194,"contractmultiplier",$A$2,$A$2,"TradingCalendar=SSE","rptType=1","ShowCodes=N","ShowDates=N","ShowParams=Y","cols=1;rows=1")</f>
        <v>5</v>
      </c>
      <c r="T194" s="53">
        <v>9777071</v>
      </c>
      <c r="U194" s="24">
        <f t="shared" si="91"/>
        <v>20.448012249775921</v>
      </c>
    </row>
    <row r="195" spans="1:21" ht="14.25">
      <c r="B195" s="1" t="s">
        <v>213</v>
      </c>
      <c r="C195" s="1">
        <v>20</v>
      </c>
      <c r="D195" s="1">
        <v>518.5</v>
      </c>
      <c r="E195" s="2">
        <v>43136</v>
      </c>
      <c r="F195" s="40">
        <v>0.4236111111111111</v>
      </c>
      <c r="G195" s="31">
        <v>3.2000000000000001E-2</v>
      </c>
      <c r="H195" s="67">
        <v>0.5</v>
      </c>
      <c r="I195" s="34">
        <f t="shared" si="90"/>
        <v>1.6E-2</v>
      </c>
      <c r="M195" s="30" t="str">
        <f t="shared" si="71"/>
        <v/>
      </c>
      <c r="N195" s="1">
        <f t="shared" ref="N195:N198" si="92">C195*(1-H195)/H195</f>
        <v>20</v>
      </c>
      <c r="O195" s="1">
        <v>526.5</v>
      </c>
      <c r="P195" s="62">
        <v>43136</v>
      </c>
      <c r="Q195" s="63">
        <v>0.62152777777777779</v>
      </c>
      <c r="R195" s="63"/>
      <c r="S195" s="11">
        <f>[1]!WSD($B195,"contractmultiplier",$A$2,$A$2,"TradingCalendar=SSE","rptType=1","ShowCodes=N","ShowDates=N","ShowParams=Y","cols=1;rows=1")</f>
        <v>100</v>
      </c>
      <c r="T195" s="53">
        <v>9777072</v>
      </c>
      <c r="U195" s="24">
        <f t="shared" si="91"/>
        <v>20.113552169720347</v>
      </c>
    </row>
    <row r="196" spans="1:21" ht="14.25">
      <c r="B196" s="1" t="s">
        <v>214</v>
      </c>
      <c r="C196" s="1">
        <v>1</v>
      </c>
      <c r="D196" s="1">
        <v>3171</v>
      </c>
      <c r="E196" s="2">
        <v>43136</v>
      </c>
      <c r="F196" s="40">
        <v>0.56597222222222221</v>
      </c>
      <c r="G196" s="31">
        <v>1.7999999999999999E-2</v>
      </c>
      <c r="H196" s="67">
        <v>1</v>
      </c>
      <c r="I196" s="34">
        <f t="shared" si="90"/>
        <v>1.7999999999999999E-2</v>
      </c>
      <c r="M196" s="30" t="str">
        <f t="shared" si="71"/>
        <v/>
      </c>
      <c r="N196" s="1">
        <f t="shared" si="92"/>
        <v>0</v>
      </c>
      <c r="P196" s="62"/>
      <c r="Q196" s="63"/>
      <c r="R196" s="63"/>
      <c r="S196" s="11">
        <f>[1]!WSD($B196,"contractmultiplier",$A$2,$A$2,"TradingCalendar=SSE","rptType=1","ShowCodes=N","ShowDates=N","ShowParams=Y","cols=1;rows=1")</f>
        <v>300</v>
      </c>
      <c r="T196" s="53">
        <v>9777073</v>
      </c>
      <c r="U196" s="24">
        <f t="shared" si="91"/>
        <v>1.2333110059918007</v>
      </c>
    </row>
    <row r="197" spans="1:21" ht="14.25">
      <c r="B197" s="1" t="s">
        <v>215</v>
      </c>
      <c r="C197" s="1">
        <v>30</v>
      </c>
      <c r="D197" s="1">
        <v>4035</v>
      </c>
      <c r="E197" s="2">
        <v>43136</v>
      </c>
      <c r="F197" s="40">
        <v>0.56597222222222221</v>
      </c>
      <c r="G197" s="31">
        <v>3.7999999999999999E-2</v>
      </c>
      <c r="H197" s="67">
        <v>0.5</v>
      </c>
      <c r="I197" s="34">
        <f t="shared" si="90"/>
        <v>1.9E-2</v>
      </c>
      <c r="M197" s="30" t="str">
        <f t="shared" si="71"/>
        <v/>
      </c>
      <c r="N197" s="1">
        <f t="shared" si="92"/>
        <v>30</v>
      </c>
      <c r="O197" s="1">
        <v>4027</v>
      </c>
      <c r="P197" s="62">
        <v>43136</v>
      </c>
      <c r="Q197" s="63">
        <v>0.62152777777777779</v>
      </c>
      <c r="R197" s="63"/>
      <c r="S197" s="11">
        <f>[1]!WSD($B197,"contractmultiplier",$A$2,$A$2,"TradingCalendar=SSE","rptType=1","ShowCodes=N","ShowDates=N","ShowParams=Y","cols=1;rows=1")</f>
        <v>10</v>
      </c>
      <c r="T197" s="53">
        <v>9777074</v>
      </c>
      <c r="U197" s="24">
        <f t="shared" si="91"/>
        <v>30.692177777777776</v>
      </c>
    </row>
    <row r="198" spans="1:21" ht="14.25">
      <c r="A198" s="3"/>
      <c r="B198" s="3" t="s">
        <v>216</v>
      </c>
      <c r="C198" s="3">
        <v>27</v>
      </c>
      <c r="D198" s="3">
        <v>3957</v>
      </c>
      <c r="E198" s="33">
        <v>43136</v>
      </c>
      <c r="F198" s="45">
        <v>0.6020833333333333</v>
      </c>
      <c r="G198" s="32">
        <v>3.3000000000000002E-2</v>
      </c>
      <c r="H198" s="66">
        <v>0.5</v>
      </c>
      <c r="I198" s="32">
        <f t="shared" si="90"/>
        <v>1.6500000000000001E-2</v>
      </c>
      <c r="J198" s="3"/>
      <c r="K198" s="3"/>
      <c r="L198" s="3"/>
      <c r="M198" s="28" t="str">
        <f t="shared" si="71"/>
        <v/>
      </c>
      <c r="N198" s="3">
        <f t="shared" si="92"/>
        <v>27</v>
      </c>
      <c r="O198" s="3">
        <v>3964</v>
      </c>
      <c r="P198" s="64">
        <v>43136</v>
      </c>
      <c r="Q198" s="65">
        <v>0.62152777777777779</v>
      </c>
      <c r="R198" s="65"/>
      <c r="S198" s="11">
        <f>[1]!WSD($B198,"contractmultiplier",$A$2,$A$2,"TradingCalendar=SSE","rptType=1","ShowCodes=N","ShowDates=N","ShowParams=Y","cols=1;rows=1")</f>
        <v>10</v>
      </c>
      <c r="T198" s="53">
        <v>9777075</v>
      </c>
      <c r="U198" s="24">
        <f t="shared" si="91"/>
        <v>27.17913191811979</v>
      </c>
    </row>
    <row r="199" spans="1:21" ht="14.25">
      <c r="M199" s="30" t="str">
        <f t="shared" si="71"/>
        <v/>
      </c>
      <c r="S199" s="11"/>
      <c r="T199" s="53"/>
      <c r="U199" s="24"/>
    </row>
    <row r="200" spans="1:21">
      <c r="M200" s="30" t="str">
        <f t="shared" si="71"/>
        <v/>
      </c>
    </row>
    <row r="201" spans="1:21">
      <c r="M201" s="30" t="str">
        <f t="shared" si="71"/>
        <v/>
      </c>
    </row>
    <row r="202" spans="1:21">
      <c r="M202" s="30" t="str">
        <f t="shared" si="71"/>
        <v/>
      </c>
    </row>
    <row r="203" spans="1:21">
      <c r="M203" s="30" t="str">
        <f t="shared" si="71"/>
        <v/>
      </c>
    </row>
    <row r="204" spans="1:21">
      <c r="M204" s="30" t="str">
        <f t="shared" si="71"/>
        <v/>
      </c>
    </row>
    <row r="205" spans="1:21">
      <c r="M205" s="30" t="str">
        <f t="shared" si="71"/>
        <v/>
      </c>
    </row>
    <row r="206" spans="1:21">
      <c r="M206" s="30" t="str">
        <f t="shared" si="71"/>
        <v/>
      </c>
    </row>
    <row r="207" spans="1:21">
      <c r="M207" s="30" t="str">
        <f t="shared" si="71"/>
        <v/>
      </c>
    </row>
    <row r="208" spans="1:21">
      <c r="M208" s="30" t="str">
        <f t="shared" si="71"/>
        <v/>
      </c>
    </row>
    <row r="209" spans="13:13">
      <c r="M209" s="30" t="str">
        <f t="shared" si="71"/>
        <v/>
      </c>
    </row>
    <row r="210" spans="13:13">
      <c r="M210" s="30" t="str">
        <f t="shared" si="71"/>
        <v/>
      </c>
    </row>
    <row r="211" spans="13:13">
      <c r="M211" s="30" t="str">
        <f t="shared" si="71"/>
        <v/>
      </c>
    </row>
    <row r="212" spans="13:13">
      <c r="M212" s="30" t="str">
        <f t="shared" ref="M212:M275" si="93">IF(J212="","",C212*(J212-D212)*S212)</f>
        <v/>
      </c>
    </row>
    <row r="213" spans="13:13">
      <c r="M213" s="30" t="str">
        <f t="shared" si="93"/>
        <v/>
      </c>
    </row>
    <row r="214" spans="13:13">
      <c r="M214" s="30" t="str">
        <f t="shared" si="93"/>
        <v/>
      </c>
    </row>
    <row r="215" spans="13:13">
      <c r="M215" s="30" t="str">
        <f t="shared" si="93"/>
        <v/>
      </c>
    </row>
    <row r="216" spans="13:13">
      <c r="M216" s="30" t="str">
        <f t="shared" si="93"/>
        <v/>
      </c>
    </row>
    <row r="217" spans="13:13">
      <c r="M217" s="30" t="str">
        <f t="shared" si="93"/>
        <v/>
      </c>
    </row>
    <row r="218" spans="13:13">
      <c r="M218" s="30" t="str">
        <f t="shared" si="93"/>
        <v/>
      </c>
    </row>
    <row r="219" spans="13:13">
      <c r="M219" s="30" t="str">
        <f t="shared" si="93"/>
        <v/>
      </c>
    </row>
    <row r="220" spans="13:13">
      <c r="M220" s="30" t="str">
        <f t="shared" si="93"/>
        <v/>
      </c>
    </row>
    <row r="221" spans="13:13">
      <c r="M221" s="30" t="str">
        <f t="shared" si="93"/>
        <v/>
      </c>
    </row>
    <row r="222" spans="13:13">
      <c r="M222" s="30" t="str">
        <f t="shared" si="93"/>
        <v/>
      </c>
    </row>
    <row r="223" spans="13:13">
      <c r="M223" s="30" t="str">
        <f t="shared" si="93"/>
        <v/>
      </c>
    </row>
    <row r="224" spans="13:13">
      <c r="M224" s="30" t="str">
        <f t="shared" si="93"/>
        <v/>
      </c>
    </row>
    <row r="225" spans="13:13">
      <c r="M225" s="30" t="str">
        <f t="shared" si="93"/>
        <v/>
      </c>
    </row>
    <row r="226" spans="13:13">
      <c r="M226" s="30" t="str">
        <f t="shared" si="93"/>
        <v/>
      </c>
    </row>
    <row r="227" spans="13:13">
      <c r="M227" s="30" t="str">
        <f t="shared" si="93"/>
        <v/>
      </c>
    </row>
    <row r="228" spans="13:13">
      <c r="M228" s="30" t="str">
        <f t="shared" si="93"/>
        <v/>
      </c>
    </row>
    <row r="229" spans="13:13">
      <c r="M229" s="30" t="str">
        <f t="shared" si="93"/>
        <v/>
      </c>
    </row>
    <row r="230" spans="13:13">
      <c r="M230" s="30" t="str">
        <f t="shared" si="93"/>
        <v/>
      </c>
    </row>
    <row r="231" spans="13:13">
      <c r="M231" s="30" t="str">
        <f t="shared" si="93"/>
        <v/>
      </c>
    </row>
    <row r="232" spans="13:13">
      <c r="M232" s="30" t="str">
        <f t="shared" si="93"/>
        <v/>
      </c>
    </row>
    <row r="233" spans="13:13">
      <c r="M233" s="30" t="str">
        <f t="shared" si="93"/>
        <v/>
      </c>
    </row>
    <row r="234" spans="13:13">
      <c r="M234" s="30" t="str">
        <f t="shared" si="93"/>
        <v/>
      </c>
    </row>
    <row r="235" spans="13:13">
      <c r="M235" s="30" t="str">
        <f t="shared" si="93"/>
        <v/>
      </c>
    </row>
    <row r="236" spans="13:13">
      <c r="M236" s="30" t="str">
        <f t="shared" si="93"/>
        <v/>
      </c>
    </row>
    <row r="237" spans="13:13">
      <c r="M237" s="30" t="str">
        <f t="shared" si="93"/>
        <v/>
      </c>
    </row>
    <row r="238" spans="13:13">
      <c r="M238" s="30" t="str">
        <f t="shared" si="93"/>
        <v/>
      </c>
    </row>
    <row r="239" spans="13:13">
      <c r="M239" s="30" t="str">
        <f t="shared" si="93"/>
        <v/>
      </c>
    </row>
    <row r="240" spans="13:13">
      <c r="M240" s="30" t="str">
        <f t="shared" si="93"/>
        <v/>
      </c>
    </row>
    <row r="241" spans="13:13">
      <c r="M241" s="30" t="str">
        <f t="shared" si="93"/>
        <v/>
      </c>
    </row>
    <row r="242" spans="13:13">
      <c r="M242" s="30" t="str">
        <f t="shared" si="93"/>
        <v/>
      </c>
    </row>
    <row r="243" spans="13:13">
      <c r="M243" s="30" t="str">
        <f t="shared" si="93"/>
        <v/>
      </c>
    </row>
    <row r="244" spans="13:13">
      <c r="M244" s="30" t="str">
        <f t="shared" si="93"/>
        <v/>
      </c>
    </row>
    <row r="245" spans="13:13">
      <c r="M245" s="30" t="str">
        <f t="shared" si="93"/>
        <v/>
      </c>
    </row>
    <row r="246" spans="13:13">
      <c r="M246" s="30" t="str">
        <f t="shared" si="93"/>
        <v/>
      </c>
    </row>
    <row r="247" spans="13:13">
      <c r="M247" s="30" t="str">
        <f t="shared" si="93"/>
        <v/>
      </c>
    </row>
    <row r="248" spans="13:13">
      <c r="M248" s="30" t="str">
        <f t="shared" si="93"/>
        <v/>
      </c>
    </row>
    <row r="249" spans="13:13">
      <c r="M249" s="30" t="str">
        <f t="shared" si="93"/>
        <v/>
      </c>
    </row>
    <row r="250" spans="13:13">
      <c r="M250" s="30" t="str">
        <f t="shared" si="93"/>
        <v/>
      </c>
    </row>
    <row r="251" spans="13:13">
      <c r="M251" s="30" t="str">
        <f t="shared" si="93"/>
        <v/>
      </c>
    </row>
    <row r="252" spans="13:13">
      <c r="M252" s="30" t="str">
        <f t="shared" si="93"/>
        <v/>
      </c>
    </row>
    <row r="253" spans="13:13">
      <c r="M253" s="30" t="str">
        <f t="shared" si="93"/>
        <v/>
      </c>
    </row>
    <row r="254" spans="13:13">
      <c r="M254" s="30" t="str">
        <f t="shared" si="93"/>
        <v/>
      </c>
    </row>
    <row r="255" spans="13:13">
      <c r="M255" s="30" t="str">
        <f t="shared" si="93"/>
        <v/>
      </c>
    </row>
    <row r="256" spans="13:13">
      <c r="M256" s="30" t="str">
        <f t="shared" si="93"/>
        <v/>
      </c>
    </row>
    <row r="257" spans="13:13">
      <c r="M257" s="30" t="str">
        <f t="shared" si="93"/>
        <v/>
      </c>
    </row>
    <row r="258" spans="13:13">
      <c r="M258" s="30" t="str">
        <f t="shared" si="93"/>
        <v/>
      </c>
    </row>
    <row r="259" spans="13:13">
      <c r="M259" s="30" t="str">
        <f t="shared" si="93"/>
        <v/>
      </c>
    </row>
    <row r="260" spans="13:13">
      <c r="M260" s="30" t="str">
        <f t="shared" si="93"/>
        <v/>
      </c>
    </row>
    <row r="261" spans="13:13">
      <c r="M261" s="30" t="str">
        <f t="shared" si="93"/>
        <v/>
      </c>
    </row>
    <row r="262" spans="13:13">
      <c r="M262" s="30" t="str">
        <f t="shared" si="93"/>
        <v/>
      </c>
    </row>
    <row r="263" spans="13:13">
      <c r="M263" s="30" t="str">
        <f t="shared" si="93"/>
        <v/>
      </c>
    </row>
    <row r="264" spans="13:13">
      <c r="M264" s="30" t="str">
        <f t="shared" si="93"/>
        <v/>
      </c>
    </row>
    <row r="265" spans="13:13">
      <c r="M265" s="30" t="str">
        <f t="shared" si="93"/>
        <v/>
      </c>
    </row>
    <row r="266" spans="13:13">
      <c r="M266" s="30" t="str">
        <f t="shared" si="93"/>
        <v/>
      </c>
    </row>
    <row r="267" spans="13:13">
      <c r="M267" s="30" t="str">
        <f t="shared" si="93"/>
        <v/>
      </c>
    </row>
    <row r="268" spans="13:13">
      <c r="M268" s="30" t="str">
        <f t="shared" si="93"/>
        <v/>
      </c>
    </row>
    <row r="269" spans="13:13">
      <c r="M269" s="30" t="str">
        <f t="shared" si="93"/>
        <v/>
      </c>
    </row>
    <row r="270" spans="13:13">
      <c r="M270" s="30" t="str">
        <f t="shared" si="93"/>
        <v/>
      </c>
    </row>
    <row r="271" spans="13:13">
      <c r="M271" s="30" t="str">
        <f t="shared" si="93"/>
        <v/>
      </c>
    </row>
    <row r="272" spans="13:13">
      <c r="M272" s="30" t="str">
        <f t="shared" si="93"/>
        <v/>
      </c>
    </row>
    <row r="273" spans="13:13">
      <c r="M273" s="30" t="str">
        <f t="shared" si="93"/>
        <v/>
      </c>
    </row>
    <row r="274" spans="13:13">
      <c r="M274" s="30" t="str">
        <f t="shared" si="93"/>
        <v/>
      </c>
    </row>
    <row r="275" spans="13:13">
      <c r="M275" s="30" t="str">
        <f t="shared" si="93"/>
        <v/>
      </c>
    </row>
    <row r="276" spans="13:13">
      <c r="M276" s="30" t="str">
        <f t="shared" ref="M276:M339" si="94">IF(J276="","",C276*(J276-D276)*S276)</f>
        <v/>
      </c>
    </row>
    <row r="277" spans="13:13">
      <c r="M277" s="30" t="str">
        <f t="shared" si="94"/>
        <v/>
      </c>
    </row>
    <row r="278" spans="13:13">
      <c r="M278" s="30" t="str">
        <f t="shared" si="94"/>
        <v/>
      </c>
    </row>
    <row r="279" spans="13:13">
      <c r="M279" s="30" t="str">
        <f t="shared" si="94"/>
        <v/>
      </c>
    </row>
    <row r="280" spans="13:13">
      <c r="M280" s="30" t="str">
        <f t="shared" si="94"/>
        <v/>
      </c>
    </row>
    <row r="281" spans="13:13">
      <c r="M281" s="30" t="str">
        <f t="shared" si="94"/>
        <v/>
      </c>
    </row>
    <row r="282" spans="13:13">
      <c r="M282" s="30" t="str">
        <f t="shared" si="94"/>
        <v/>
      </c>
    </row>
    <row r="283" spans="13:13">
      <c r="M283" s="30" t="str">
        <f t="shared" si="94"/>
        <v/>
      </c>
    </row>
    <row r="284" spans="13:13">
      <c r="M284" s="30" t="str">
        <f t="shared" si="94"/>
        <v/>
      </c>
    </row>
    <row r="285" spans="13:13">
      <c r="M285" s="30" t="str">
        <f t="shared" si="94"/>
        <v/>
      </c>
    </row>
    <row r="286" spans="13:13">
      <c r="M286" s="30" t="str">
        <f t="shared" si="94"/>
        <v/>
      </c>
    </row>
    <row r="287" spans="13:13">
      <c r="M287" s="30" t="str">
        <f t="shared" si="94"/>
        <v/>
      </c>
    </row>
    <row r="288" spans="13:13">
      <c r="M288" s="30" t="str">
        <f t="shared" si="94"/>
        <v/>
      </c>
    </row>
    <row r="289" spans="13:13">
      <c r="M289" s="30" t="str">
        <f t="shared" si="94"/>
        <v/>
      </c>
    </row>
    <row r="290" spans="13:13">
      <c r="M290" s="30" t="str">
        <f t="shared" si="94"/>
        <v/>
      </c>
    </row>
    <row r="291" spans="13:13">
      <c r="M291" s="30" t="str">
        <f t="shared" si="94"/>
        <v/>
      </c>
    </row>
    <row r="292" spans="13:13">
      <c r="M292" s="30" t="str">
        <f t="shared" si="94"/>
        <v/>
      </c>
    </row>
    <row r="293" spans="13:13">
      <c r="M293" s="30" t="str">
        <f t="shared" si="94"/>
        <v/>
      </c>
    </row>
    <row r="294" spans="13:13">
      <c r="M294" s="30" t="str">
        <f t="shared" si="94"/>
        <v/>
      </c>
    </row>
    <row r="295" spans="13:13">
      <c r="M295" s="30" t="str">
        <f t="shared" si="94"/>
        <v/>
      </c>
    </row>
    <row r="296" spans="13:13">
      <c r="M296" s="30" t="str">
        <f t="shared" si="94"/>
        <v/>
      </c>
    </row>
    <row r="297" spans="13:13">
      <c r="M297" s="30" t="str">
        <f t="shared" si="94"/>
        <v/>
      </c>
    </row>
    <row r="298" spans="13:13">
      <c r="M298" s="30" t="str">
        <f t="shared" si="94"/>
        <v/>
      </c>
    </row>
    <row r="299" spans="13:13">
      <c r="M299" s="30" t="str">
        <f t="shared" si="94"/>
        <v/>
      </c>
    </row>
    <row r="300" spans="13:13">
      <c r="M300" s="30" t="str">
        <f t="shared" si="94"/>
        <v/>
      </c>
    </row>
    <row r="301" spans="13:13">
      <c r="M301" s="30" t="str">
        <f t="shared" si="94"/>
        <v/>
      </c>
    </row>
    <row r="302" spans="13:13">
      <c r="M302" s="30" t="str">
        <f t="shared" si="94"/>
        <v/>
      </c>
    </row>
    <row r="303" spans="13:13">
      <c r="M303" s="30" t="str">
        <f t="shared" si="94"/>
        <v/>
      </c>
    </row>
    <row r="304" spans="13:13">
      <c r="M304" s="30" t="str">
        <f t="shared" si="94"/>
        <v/>
      </c>
    </row>
    <row r="305" spans="13:13">
      <c r="M305" s="30" t="str">
        <f t="shared" si="94"/>
        <v/>
      </c>
    </row>
    <row r="306" spans="13:13">
      <c r="M306" s="30" t="str">
        <f t="shared" si="94"/>
        <v/>
      </c>
    </row>
    <row r="307" spans="13:13">
      <c r="M307" s="30" t="str">
        <f t="shared" si="94"/>
        <v/>
      </c>
    </row>
    <row r="308" spans="13:13">
      <c r="M308" s="30" t="str">
        <f t="shared" si="94"/>
        <v/>
      </c>
    </row>
    <row r="309" spans="13:13">
      <c r="M309" s="30" t="str">
        <f t="shared" si="94"/>
        <v/>
      </c>
    </row>
    <row r="310" spans="13:13">
      <c r="M310" s="30" t="str">
        <f t="shared" si="94"/>
        <v/>
      </c>
    </row>
    <row r="311" spans="13:13">
      <c r="M311" s="30" t="str">
        <f t="shared" si="94"/>
        <v/>
      </c>
    </row>
    <row r="312" spans="13:13">
      <c r="M312" s="30" t="str">
        <f t="shared" si="94"/>
        <v/>
      </c>
    </row>
    <row r="313" spans="13:13">
      <c r="M313" s="30" t="str">
        <f t="shared" si="94"/>
        <v/>
      </c>
    </row>
    <row r="314" spans="13:13">
      <c r="M314" s="30" t="str">
        <f t="shared" si="94"/>
        <v/>
      </c>
    </row>
    <row r="315" spans="13:13">
      <c r="M315" s="30" t="str">
        <f t="shared" si="94"/>
        <v/>
      </c>
    </row>
    <row r="316" spans="13:13">
      <c r="M316" s="30" t="str">
        <f t="shared" si="94"/>
        <v/>
      </c>
    </row>
    <row r="317" spans="13:13">
      <c r="M317" s="30" t="str">
        <f t="shared" si="94"/>
        <v/>
      </c>
    </row>
    <row r="318" spans="13:13">
      <c r="M318" s="30" t="str">
        <f t="shared" si="94"/>
        <v/>
      </c>
    </row>
    <row r="319" spans="13:13">
      <c r="M319" s="30" t="str">
        <f t="shared" si="94"/>
        <v/>
      </c>
    </row>
    <row r="320" spans="13:13">
      <c r="M320" s="30" t="str">
        <f t="shared" si="94"/>
        <v/>
      </c>
    </row>
    <row r="321" spans="13:13">
      <c r="M321" s="30" t="str">
        <f t="shared" si="94"/>
        <v/>
      </c>
    </row>
    <row r="322" spans="13:13">
      <c r="M322" s="30" t="str">
        <f t="shared" si="94"/>
        <v/>
      </c>
    </row>
    <row r="323" spans="13:13">
      <c r="M323" s="30" t="str">
        <f t="shared" si="94"/>
        <v/>
      </c>
    </row>
    <row r="324" spans="13:13">
      <c r="M324" s="30" t="str">
        <f t="shared" si="94"/>
        <v/>
      </c>
    </row>
    <row r="325" spans="13:13">
      <c r="M325" s="30" t="str">
        <f t="shared" si="94"/>
        <v/>
      </c>
    </row>
    <row r="326" spans="13:13">
      <c r="M326" s="30" t="str">
        <f t="shared" si="94"/>
        <v/>
      </c>
    </row>
    <row r="327" spans="13:13">
      <c r="M327" s="30" t="str">
        <f t="shared" si="94"/>
        <v/>
      </c>
    </row>
    <row r="328" spans="13:13">
      <c r="M328" s="30" t="str">
        <f t="shared" si="94"/>
        <v/>
      </c>
    </row>
    <row r="329" spans="13:13">
      <c r="M329" s="30" t="str">
        <f t="shared" si="94"/>
        <v/>
      </c>
    </row>
    <row r="330" spans="13:13">
      <c r="M330" s="30" t="str">
        <f t="shared" si="94"/>
        <v/>
      </c>
    </row>
    <row r="331" spans="13:13">
      <c r="M331" s="30" t="str">
        <f t="shared" si="94"/>
        <v/>
      </c>
    </row>
    <row r="332" spans="13:13">
      <c r="M332" s="30" t="str">
        <f t="shared" si="94"/>
        <v/>
      </c>
    </row>
    <row r="333" spans="13:13">
      <c r="M333" s="30" t="str">
        <f t="shared" si="94"/>
        <v/>
      </c>
    </row>
    <row r="334" spans="13:13">
      <c r="M334" s="30" t="str">
        <f t="shared" si="94"/>
        <v/>
      </c>
    </row>
    <row r="335" spans="13:13">
      <c r="M335" s="30" t="str">
        <f t="shared" si="94"/>
        <v/>
      </c>
    </row>
    <row r="336" spans="13:13">
      <c r="M336" s="30" t="str">
        <f t="shared" si="94"/>
        <v/>
      </c>
    </row>
    <row r="337" spans="13:13">
      <c r="M337" s="30" t="str">
        <f t="shared" si="94"/>
        <v/>
      </c>
    </row>
    <row r="338" spans="13:13">
      <c r="M338" s="30" t="str">
        <f t="shared" si="94"/>
        <v/>
      </c>
    </row>
    <row r="339" spans="13:13">
      <c r="M339" s="30" t="str">
        <f t="shared" si="94"/>
        <v/>
      </c>
    </row>
    <row r="340" spans="13:13">
      <c r="M340" s="30" t="str">
        <f t="shared" ref="M340:M370" si="95">IF(J340="","",C340*(J340-D340)*S340)</f>
        <v/>
      </c>
    </row>
    <row r="341" spans="13:13">
      <c r="M341" s="30" t="str">
        <f t="shared" si="95"/>
        <v/>
      </c>
    </row>
    <row r="342" spans="13:13">
      <c r="M342" s="30" t="str">
        <f t="shared" si="95"/>
        <v/>
      </c>
    </row>
    <row r="343" spans="13:13">
      <c r="M343" s="30" t="str">
        <f t="shared" si="95"/>
        <v/>
      </c>
    </row>
    <row r="344" spans="13:13">
      <c r="M344" s="30" t="str">
        <f t="shared" si="95"/>
        <v/>
      </c>
    </row>
    <row r="345" spans="13:13">
      <c r="M345" s="30" t="str">
        <f t="shared" si="95"/>
        <v/>
      </c>
    </row>
    <row r="346" spans="13:13">
      <c r="M346" s="30" t="str">
        <f t="shared" si="95"/>
        <v/>
      </c>
    </row>
    <row r="347" spans="13:13">
      <c r="M347" s="30" t="str">
        <f t="shared" si="95"/>
        <v/>
      </c>
    </row>
    <row r="348" spans="13:13">
      <c r="M348" s="30" t="str">
        <f t="shared" si="95"/>
        <v/>
      </c>
    </row>
    <row r="349" spans="13:13">
      <c r="M349" s="30" t="str">
        <f t="shared" si="95"/>
        <v/>
      </c>
    </row>
    <row r="350" spans="13:13">
      <c r="M350" s="30" t="str">
        <f t="shared" si="95"/>
        <v/>
      </c>
    </row>
    <row r="351" spans="13:13">
      <c r="M351" s="30" t="str">
        <f t="shared" si="95"/>
        <v/>
      </c>
    </row>
    <row r="352" spans="13:13">
      <c r="M352" s="30" t="str">
        <f t="shared" si="95"/>
        <v/>
      </c>
    </row>
    <row r="353" spans="13:13">
      <c r="M353" s="30" t="str">
        <f t="shared" si="95"/>
        <v/>
      </c>
    </row>
    <row r="354" spans="13:13">
      <c r="M354" s="30" t="str">
        <f t="shared" si="95"/>
        <v/>
      </c>
    </row>
    <row r="355" spans="13:13">
      <c r="M355" s="30" t="str">
        <f t="shared" si="95"/>
        <v/>
      </c>
    </row>
    <row r="356" spans="13:13">
      <c r="M356" s="30" t="str">
        <f t="shared" si="95"/>
        <v/>
      </c>
    </row>
    <row r="357" spans="13:13">
      <c r="M357" s="30" t="str">
        <f t="shared" si="95"/>
        <v/>
      </c>
    </row>
    <row r="358" spans="13:13">
      <c r="M358" s="30" t="str">
        <f t="shared" si="95"/>
        <v/>
      </c>
    </row>
    <row r="359" spans="13:13">
      <c r="M359" s="30" t="str">
        <f t="shared" si="95"/>
        <v/>
      </c>
    </row>
    <row r="360" spans="13:13">
      <c r="M360" s="30" t="str">
        <f t="shared" si="95"/>
        <v/>
      </c>
    </row>
    <row r="361" spans="13:13">
      <c r="M361" s="30" t="str">
        <f t="shared" si="95"/>
        <v/>
      </c>
    </row>
    <row r="362" spans="13:13">
      <c r="M362" s="30" t="str">
        <f t="shared" si="95"/>
        <v/>
      </c>
    </row>
    <row r="363" spans="13:13">
      <c r="M363" s="30" t="str">
        <f t="shared" si="95"/>
        <v/>
      </c>
    </row>
    <row r="364" spans="13:13">
      <c r="M364" s="30" t="str">
        <f t="shared" si="95"/>
        <v/>
      </c>
    </row>
    <row r="365" spans="13:13">
      <c r="M365" s="30" t="str">
        <f t="shared" si="95"/>
        <v/>
      </c>
    </row>
    <row r="366" spans="13:13">
      <c r="M366" s="30" t="str">
        <f t="shared" si="95"/>
        <v/>
      </c>
    </row>
    <row r="367" spans="13:13">
      <c r="M367" s="30" t="str">
        <f t="shared" si="95"/>
        <v/>
      </c>
    </row>
    <row r="368" spans="13:13">
      <c r="M368" s="30" t="str">
        <f t="shared" si="95"/>
        <v/>
      </c>
    </row>
    <row r="369" spans="13:13">
      <c r="M369" s="30" t="str">
        <f t="shared" si="95"/>
        <v/>
      </c>
    </row>
    <row r="370" spans="13:13">
      <c r="M370" s="30" t="str">
        <f t="shared" si="95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81"/>
  <sheetViews>
    <sheetView workbookViewId="0">
      <pane ySplit="1" topLeftCell="A58" activePane="bottomLeft" state="frozen"/>
      <selection pane="bottomLeft" activeCell="A41" sqref="A41:K81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24" t="s">
        <v>1</v>
      </c>
      <c r="B1" s="24" t="s">
        <v>2</v>
      </c>
      <c r="C1" s="24" t="s">
        <v>3</v>
      </c>
      <c r="D1" s="24" t="s">
        <v>117</v>
      </c>
      <c r="E1" s="24" t="s">
        <v>49</v>
      </c>
      <c r="F1" s="34" t="s">
        <v>5</v>
      </c>
      <c r="G1" s="24" t="s">
        <v>6</v>
      </c>
      <c r="H1" s="24" t="s">
        <v>20</v>
      </c>
      <c r="I1" s="24" t="s">
        <v>50</v>
      </c>
      <c r="J1" s="24" t="s">
        <v>4</v>
      </c>
      <c r="K1" s="3" t="s">
        <v>195</v>
      </c>
    </row>
    <row r="2" spans="1:11">
      <c r="A2" s="1" t="s">
        <v>186</v>
      </c>
      <c r="B2" s="1">
        <v>16</v>
      </c>
      <c r="C2" s="1">
        <v>672.2</v>
      </c>
      <c r="D2" s="2">
        <v>43133</v>
      </c>
      <c r="E2" s="40">
        <v>0.3833333333333333</v>
      </c>
      <c r="F2" s="31">
        <v>1.6500000000000001E-2</v>
      </c>
      <c r="G2" s="1">
        <v>658.2</v>
      </c>
      <c r="H2" s="2">
        <v>43133</v>
      </c>
      <c r="I2" s="40">
        <v>0.62152777777777779</v>
      </c>
      <c r="J2" s="30">
        <v>-22400</v>
      </c>
      <c r="K2" t="s">
        <v>200</v>
      </c>
    </row>
    <row r="3" spans="1:11">
      <c r="A3" s="24" t="s">
        <v>190</v>
      </c>
      <c r="B3" s="24">
        <v>1</v>
      </c>
      <c r="C3" s="24">
        <v>4406.8</v>
      </c>
      <c r="D3" s="35">
        <v>43126</v>
      </c>
      <c r="E3" s="47">
        <v>0.46249999999999997</v>
      </c>
      <c r="F3" s="34">
        <v>2.1999999999999999E-2</v>
      </c>
      <c r="G3" s="24">
        <v>4347.2</v>
      </c>
      <c r="H3" s="35">
        <v>43129</v>
      </c>
      <c r="I3" s="47">
        <v>0.46458333333333335</v>
      </c>
      <c r="J3" s="30">
        <v>-17880.000000000109</v>
      </c>
      <c r="K3" t="s">
        <v>201</v>
      </c>
    </row>
    <row r="4" spans="1:11">
      <c r="A4" s="24" t="s">
        <v>189</v>
      </c>
      <c r="B4" s="24">
        <v>-5</v>
      </c>
      <c r="C4" s="24">
        <v>1998</v>
      </c>
      <c r="D4" s="35">
        <v>43132</v>
      </c>
      <c r="E4" s="47">
        <v>0.61805555555555558</v>
      </c>
      <c r="F4" s="34">
        <v>1.7000000000000001E-2</v>
      </c>
      <c r="G4" s="24">
        <v>2014.5</v>
      </c>
      <c r="H4" s="35">
        <v>43132</v>
      </c>
      <c r="I4" s="61">
        <v>0.88541666666666663</v>
      </c>
      <c r="J4" s="30">
        <v>-8250</v>
      </c>
      <c r="K4" t="s">
        <v>200</v>
      </c>
    </row>
    <row r="5" spans="1:11">
      <c r="A5" s="24" t="s">
        <v>189</v>
      </c>
      <c r="B5" s="24">
        <v>-5</v>
      </c>
      <c r="C5" s="24">
        <v>1986.5</v>
      </c>
      <c r="D5" s="35">
        <v>43131</v>
      </c>
      <c r="E5" s="47">
        <v>0.40972222222222227</v>
      </c>
      <c r="F5" s="34">
        <v>1.4499999999999999E-2</v>
      </c>
      <c r="G5" s="24">
        <v>2001.5</v>
      </c>
      <c r="H5" s="35">
        <v>43131</v>
      </c>
      <c r="I5" s="47">
        <v>0.88194444444444453</v>
      </c>
      <c r="J5" s="30">
        <v>-7500</v>
      </c>
      <c r="K5" t="s">
        <v>200</v>
      </c>
    </row>
    <row r="6" spans="1:11">
      <c r="A6" s="24" t="s">
        <v>189</v>
      </c>
      <c r="B6" s="24">
        <v>7</v>
      </c>
      <c r="C6" s="24">
        <v>2053</v>
      </c>
      <c r="D6" s="35">
        <v>43126</v>
      </c>
      <c r="E6" s="47">
        <v>0.58819444444444446</v>
      </c>
      <c r="F6" s="34">
        <v>2.1499999999999998E-2</v>
      </c>
      <c r="G6" s="24">
        <v>2043.5</v>
      </c>
      <c r="H6" s="35">
        <v>43126</v>
      </c>
      <c r="I6" s="47">
        <v>0.62013888888888891</v>
      </c>
      <c r="J6" s="30">
        <v>-6650</v>
      </c>
      <c r="K6" t="s">
        <v>200</v>
      </c>
    </row>
    <row r="7" spans="1:11">
      <c r="A7" s="24" t="s">
        <v>189</v>
      </c>
      <c r="B7" s="24">
        <v>6</v>
      </c>
      <c r="C7" s="24">
        <v>2055.5</v>
      </c>
      <c r="D7" s="35">
        <v>43125</v>
      </c>
      <c r="E7" s="47">
        <v>0.88263888888888886</v>
      </c>
      <c r="F7" s="34">
        <v>2.1499999999999998E-2</v>
      </c>
      <c r="G7" s="24">
        <v>2044.5</v>
      </c>
      <c r="H7" s="35">
        <v>43126</v>
      </c>
      <c r="I7" s="47">
        <v>0.37986111111111115</v>
      </c>
      <c r="J7" s="30">
        <v>-6600</v>
      </c>
      <c r="K7" t="s">
        <v>200</v>
      </c>
    </row>
    <row r="8" spans="1:11">
      <c r="A8" s="24" t="s">
        <v>191</v>
      </c>
      <c r="B8" s="24">
        <v>-10</v>
      </c>
      <c r="C8" s="24">
        <v>14800</v>
      </c>
      <c r="D8" s="35">
        <v>43126</v>
      </c>
      <c r="E8" s="47">
        <v>0.56597222222222221</v>
      </c>
      <c r="F8" s="34">
        <v>1.15E-2</v>
      </c>
      <c r="G8" s="24">
        <v>14930</v>
      </c>
      <c r="H8" s="35">
        <v>43129</v>
      </c>
      <c r="I8" s="47">
        <v>0.40833333333333338</v>
      </c>
      <c r="J8" s="30">
        <v>-6500</v>
      </c>
      <c r="K8" t="s">
        <v>196</v>
      </c>
    </row>
    <row r="9" spans="1:11">
      <c r="A9" s="24" t="s">
        <v>62</v>
      </c>
      <c r="B9" s="24">
        <v>-3</v>
      </c>
      <c r="C9" s="24">
        <v>53220</v>
      </c>
      <c r="D9" s="35">
        <v>43126</v>
      </c>
      <c r="E9" s="47">
        <v>0.9243055555555556</v>
      </c>
      <c r="F9" s="34">
        <v>9.4999999999999998E-3</v>
      </c>
      <c r="G9" s="24">
        <v>53640</v>
      </c>
      <c r="H9" s="35">
        <v>43129</v>
      </c>
      <c r="I9" s="47">
        <v>0.4069444444444445</v>
      </c>
      <c r="J9" s="30">
        <v>-6300</v>
      </c>
      <c r="K9" t="s">
        <v>196</v>
      </c>
    </row>
    <row r="10" spans="1:11">
      <c r="A10" s="1" t="s">
        <v>119</v>
      </c>
      <c r="B10" s="1">
        <v>1</v>
      </c>
      <c r="C10" s="1">
        <v>3152</v>
      </c>
      <c r="D10" s="2">
        <v>43132</v>
      </c>
      <c r="E10" s="40">
        <v>0.62152777777777779</v>
      </c>
      <c r="F10" s="31">
        <v>1.4E-2</v>
      </c>
      <c r="G10" s="1">
        <v>3131</v>
      </c>
      <c r="H10" s="2">
        <v>43133</v>
      </c>
      <c r="I10" s="40">
        <v>0.39861111111111108</v>
      </c>
      <c r="J10" s="30">
        <v>-6300</v>
      </c>
      <c r="K10" t="s">
        <v>201</v>
      </c>
    </row>
    <row r="11" spans="1:11">
      <c r="A11" s="24" t="s">
        <v>177</v>
      </c>
      <c r="B11" s="24">
        <v>10</v>
      </c>
      <c r="C11" s="24">
        <v>1295.5</v>
      </c>
      <c r="D11" s="35">
        <v>43130</v>
      </c>
      <c r="E11" s="47">
        <v>0.92708333333333337</v>
      </c>
      <c r="F11" s="34">
        <v>1.2500000000000001E-2</v>
      </c>
      <c r="G11" s="24">
        <v>1285</v>
      </c>
      <c r="H11" s="35">
        <v>43131</v>
      </c>
      <c r="I11" s="47">
        <v>0.38125000000000003</v>
      </c>
      <c r="J11" s="30">
        <v>-6300</v>
      </c>
      <c r="K11" t="s">
        <v>200</v>
      </c>
    </row>
    <row r="12" spans="1:11">
      <c r="A12" s="24" t="s">
        <v>65</v>
      </c>
      <c r="B12" s="24">
        <v>16</v>
      </c>
      <c r="C12" s="24">
        <v>5778</v>
      </c>
      <c r="D12" s="35">
        <v>43125</v>
      </c>
      <c r="E12" s="47">
        <v>0.37986111111111115</v>
      </c>
      <c r="F12" s="34">
        <v>7.3333333333333341E-3</v>
      </c>
      <c r="G12" s="24">
        <v>5704</v>
      </c>
      <c r="H12" s="35">
        <v>43130</v>
      </c>
      <c r="I12" s="47">
        <v>0.38194444444444442</v>
      </c>
      <c r="J12" s="30">
        <v>-5920</v>
      </c>
      <c r="K12" t="s">
        <v>198</v>
      </c>
    </row>
    <row r="13" spans="1:11">
      <c r="A13" s="24" t="s">
        <v>60</v>
      </c>
      <c r="B13" s="24">
        <v>20</v>
      </c>
      <c r="C13" s="24">
        <v>3940</v>
      </c>
      <c r="D13" s="35">
        <v>43130</v>
      </c>
      <c r="E13" s="47">
        <v>0.88750000000000007</v>
      </c>
      <c r="F13" s="34">
        <v>1.3500000000000002E-2</v>
      </c>
      <c r="G13" s="24">
        <v>3915</v>
      </c>
      <c r="H13" s="35">
        <v>43131</v>
      </c>
      <c r="I13" s="47">
        <v>0.38125000000000003</v>
      </c>
      <c r="J13" s="30">
        <v>-5000</v>
      </c>
      <c r="K13" t="s">
        <v>200</v>
      </c>
    </row>
    <row r="14" spans="1:11">
      <c r="A14" s="24" t="s">
        <v>64</v>
      </c>
      <c r="B14" s="24">
        <v>16</v>
      </c>
      <c r="C14" s="24">
        <v>667.6</v>
      </c>
      <c r="D14" s="35">
        <v>43130</v>
      </c>
      <c r="E14" s="47">
        <v>0.92708333333333337</v>
      </c>
      <c r="F14" s="34">
        <v>1.6500000000000001E-2</v>
      </c>
      <c r="G14" s="24">
        <v>664.8</v>
      </c>
      <c r="H14" s="35">
        <v>43131</v>
      </c>
      <c r="I14" s="47">
        <v>0.41944444444444445</v>
      </c>
      <c r="J14" s="30">
        <v>-4480.0000000001091</v>
      </c>
      <c r="K14" t="s">
        <v>200</v>
      </c>
    </row>
    <row r="15" spans="1:11">
      <c r="A15" s="24" t="s">
        <v>187</v>
      </c>
      <c r="B15" s="24">
        <v>-13</v>
      </c>
      <c r="C15" s="24">
        <v>3595</v>
      </c>
      <c r="D15" s="35">
        <v>43131</v>
      </c>
      <c r="E15" s="47">
        <v>0.40972222222222227</v>
      </c>
      <c r="F15" s="34">
        <v>7.3333333333333341E-3</v>
      </c>
      <c r="G15" s="24">
        <v>3627</v>
      </c>
      <c r="H15" s="35">
        <v>43132</v>
      </c>
      <c r="I15" s="47">
        <v>0.38194444444444442</v>
      </c>
      <c r="J15" s="30">
        <v>-4160</v>
      </c>
      <c r="K15" t="s">
        <v>199</v>
      </c>
    </row>
    <row r="16" spans="1:11">
      <c r="A16" s="24" t="s">
        <v>119</v>
      </c>
      <c r="B16" s="24">
        <v>1</v>
      </c>
      <c r="C16" s="24">
        <v>3142</v>
      </c>
      <c r="D16" s="35">
        <v>43132</v>
      </c>
      <c r="E16" s="47">
        <v>0.56597222222222221</v>
      </c>
      <c r="F16" s="34">
        <v>1.4E-2</v>
      </c>
      <c r="G16" s="24">
        <v>3128.2</v>
      </c>
      <c r="H16" s="35">
        <v>43132</v>
      </c>
      <c r="I16" s="47">
        <v>0.58750000000000002</v>
      </c>
      <c r="J16" s="30">
        <v>-4140.0000000000546</v>
      </c>
      <c r="K16" t="s">
        <v>201</v>
      </c>
    </row>
    <row r="17" spans="1:12">
      <c r="A17" s="24" t="s">
        <v>182</v>
      </c>
      <c r="B17" s="24">
        <v>9</v>
      </c>
      <c r="C17" s="24">
        <v>26220</v>
      </c>
      <c r="D17" s="35">
        <v>43125</v>
      </c>
      <c r="E17" s="47">
        <v>0.37986111111111115</v>
      </c>
      <c r="F17" s="34">
        <v>1.7000000000000001E-2</v>
      </c>
      <c r="G17" s="24">
        <v>26140</v>
      </c>
      <c r="H17" s="35">
        <v>43126</v>
      </c>
      <c r="I17" s="47">
        <v>0.37986111111111115</v>
      </c>
      <c r="J17" s="30">
        <v>-3600</v>
      </c>
      <c r="K17" t="s">
        <v>196</v>
      </c>
    </row>
    <row r="18" spans="1:12">
      <c r="A18" s="24" t="s">
        <v>190</v>
      </c>
      <c r="B18" s="24">
        <v>1</v>
      </c>
      <c r="C18" s="24">
        <v>4292</v>
      </c>
      <c r="D18" s="35">
        <v>43131</v>
      </c>
      <c r="E18" s="47">
        <v>0.47013888888888888</v>
      </c>
      <c r="F18" s="34">
        <v>1.4999999999999999E-2</v>
      </c>
      <c r="G18" s="24">
        <v>4280.3999999999996</v>
      </c>
      <c r="H18" s="35">
        <v>43131</v>
      </c>
      <c r="I18" s="47">
        <v>0.56805555555555554</v>
      </c>
      <c r="J18" s="30">
        <v>-3480.0000000001091</v>
      </c>
      <c r="K18" t="s">
        <v>201</v>
      </c>
    </row>
    <row r="19" spans="1:12">
      <c r="A19" s="24" t="s">
        <v>79</v>
      </c>
      <c r="B19" s="24">
        <v>16</v>
      </c>
      <c r="C19" s="24">
        <v>3950</v>
      </c>
      <c r="D19" s="35">
        <v>43130</v>
      </c>
      <c r="E19" s="47">
        <v>0.92708333333333337</v>
      </c>
      <c r="F19" s="34">
        <v>9.6666666666666654E-3</v>
      </c>
      <c r="G19" s="24">
        <v>3929</v>
      </c>
      <c r="H19" s="35">
        <v>43131</v>
      </c>
      <c r="I19" s="47">
        <v>0.46527777777777773</v>
      </c>
      <c r="J19" s="30">
        <v>-3360</v>
      </c>
      <c r="K19" t="s">
        <v>200</v>
      </c>
    </row>
    <row r="20" spans="1:12">
      <c r="A20" s="24" t="s">
        <v>79</v>
      </c>
      <c r="B20" s="24">
        <v>22</v>
      </c>
      <c r="C20" s="24">
        <v>3966</v>
      </c>
      <c r="D20" s="35">
        <v>43129</v>
      </c>
      <c r="E20" s="47">
        <v>0.46458333333333335</v>
      </c>
      <c r="F20" s="34">
        <v>1.3333333333333334E-2</v>
      </c>
      <c r="G20" s="24">
        <v>3951</v>
      </c>
      <c r="H20" s="35">
        <v>43130</v>
      </c>
      <c r="I20" s="47">
        <v>0.38194444444444442</v>
      </c>
      <c r="J20" s="30">
        <v>-3300</v>
      </c>
      <c r="K20" t="s">
        <v>200</v>
      </c>
      <c r="L20" s="1"/>
    </row>
    <row r="21" spans="1:12">
      <c r="A21" s="24" t="s">
        <v>60</v>
      </c>
      <c r="B21" s="24">
        <v>22</v>
      </c>
      <c r="C21" s="24">
        <v>3951</v>
      </c>
      <c r="D21" s="35">
        <v>43129</v>
      </c>
      <c r="E21" s="47">
        <v>0.4375</v>
      </c>
      <c r="F21" s="34">
        <v>1.3000000000000001E-2</v>
      </c>
      <c r="G21" s="24">
        <v>3936</v>
      </c>
      <c r="H21" s="35">
        <v>43129</v>
      </c>
      <c r="I21" s="47">
        <v>0.88194444444444453</v>
      </c>
      <c r="J21" s="30">
        <v>-3300</v>
      </c>
      <c r="K21" t="s">
        <v>200</v>
      </c>
    </row>
    <row r="22" spans="1:12">
      <c r="A22" s="24" t="s">
        <v>62</v>
      </c>
      <c r="B22" s="24">
        <v>-4</v>
      </c>
      <c r="C22" s="24">
        <v>53050</v>
      </c>
      <c r="D22" s="35">
        <v>43131</v>
      </c>
      <c r="E22" s="47">
        <v>0.57638888888888895</v>
      </c>
      <c r="F22" s="34">
        <v>1.55E-2</v>
      </c>
      <c r="G22" s="24">
        <v>53200</v>
      </c>
      <c r="H22" s="35">
        <v>43131</v>
      </c>
      <c r="I22" s="47">
        <v>0.88194444444444453</v>
      </c>
      <c r="J22" s="30">
        <v>-3000</v>
      </c>
      <c r="K22" t="s">
        <v>196</v>
      </c>
    </row>
    <row r="23" spans="1:12">
      <c r="A23" s="24" t="s">
        <v>78</v>
      </c>
      <c r="B23" s="24">
        <v>12</v>
      </c>
      <c r="C23" s="24">
        <v>9554</v>
      </c>
      <c r="D23" s="35">
        <v>43125</v>
      </c>
      <c r="E23" s="47">
        <v>0.37986111111111115</v>
      </c>
      <c r="F23" s="34">
        <v>8.9999999999999993E-3</v>
      </c>
      <c r="G23" s="24">
        <v>9512</v>
      </c>
      <c r="H23" s="35">
        <v>43126</v>
      </c>
      <c r="I23" s="47">
        <v>0.42222222222222222</v>
      </c>
      <c r="J23" s="30">
        <v>-2520</v>
      </c>
      <c r="K23" t="s">
        <v>198</v>
      </c>
    </row>
    <row r="24" spans="1:12">
      <c r="A24" s="24" t="s">
        <v>177</v>
      </c>
      <c r="B24" s="24">
        <v>10</v>
      </c>
      <c r="C24" s="24">
        <v>1300</v>
      </c>
      <c r="D24" s="35">
        <v>43132</v>
      </c>
      <c r="E24" s="47">
        <v>0.38194444444444442</v>
      </c>
      <c r="F24" s="34">
        <v>1.2500000000000001E-2</v>
      </c>
      <c r="G24" s="24">
        <v>1296</v>
      </c>
      <c r="H24" s="35">
        <v>43132</v>
      </c>
      <c r="I24" s="47">
        <v>0.44444444444444442</v>
      </c>
      <c r="J24" s="30">
        <v>-2400</v>
      </c>
      <c r="K24" t="s">
        <v>200</v>
      </c>
    </row>
    <row r="25" spans="1:12">
      <c r="A25" s="24" t="s">
        <v>189</v>
      </c>
      <c r="B25" s="24">
        <v>3</v>
      </c>
      <c r="C25" s="24">
        <v>2025.5</v>
      </c>
      <c r="D25" s="35">
        <v>43132</v>
      </c>
      <c r="E25" s="47">
        <v>0.38194444444444442</v>
      </c>
      <c r="F25" s="34">
        <v>1.0500000000000001E-2</v>
      </c>
      <c r="G25" s="24">
        <v>2018.5</v>
      </c>
      <c r="H25" s="35">
        <v>43132</v>
      </c>
      <c r="I25" s="47">
        <v>0.44444444444444442</v>
      </c>
      <c r="J25" s="30">
        <v>-2100</v>
      </c>
      <c r="K25" t="s">
        <v>200</v>
      </c>
    </row>
    <row r="26" spans="1:12">
      <c r="A26" s="24" t="s">
        <v>177</v>
      </c>
      <c r="B26" s="24">
        <v>14</v>
      </c>
      <c r="C26" s="24">
        <v>1295</v>
      </c>
      <c r="D26" s="35">
        <v>43126</v>
      </c>
      <c r="E26" s="47">
        <v>0.88958333333333339</v>
      </c>
      <c r="F26" s="34">
        <v>1.6500000000000001E-2</v>
      </c>
      <c r="G26" s="24">
        <v>1292.5</v>
      </c>
      <c r="H26" s="35">
        <v>43126</v>
      </c>
      <c r="I26" s="47">
        <v>0.9243055555555556</v>
      </c>
      <c r="J26" s="30">
        <v>-2100</v>
      </c>
      <c r="K26" t="s">
        <v>200</v>
      </c>
    </row>
    <row r="27" spans="1:12">
      <c r="A27" s="24" t="s">
        <v>192</v>
      </c>
      <c r="B27" s="24">
        <v>13</v>
      </c>
      <c r="C27" s="24">
        <v>9955</v>
      </c>
      <c r="D27" s="35">
        <v>43125</v>
      </c>
      <c r="E27" s="47">
        <v>0.37986111111111115</v>
      </c>
      <c r="F27" s="34">
        <v>0.01</v>
      </c>
      <c r="G27" s="24">
        <v>9925</v>
      </c>
      <c r="H27" s="35">
        <v>43126</v>
      </c>
      <c r="I27" s="47">
        <v>0.40277777777777773</v>
      </c>
      <c r="J27" s="30">
        <v>-1950</v>
      </c>
      <c r="K27" t="s">
        <v>198</v>
      </c>
    </row>
    <row r="28" spans="1:12">
      <c r="A28" s="24" t="s">
        <v>182</v>
      </c>
      <c r="B28" s="24">
        <v>8</v>
      </c>
      <c r="C28" s="24">
        <v>26733.75</v>
      </c>
      <c r="D28" s="35">
        <v>43131</v>
      </c>
      <c r="E28" s="47">
        <v>0.62083333333333335</v>
      </c>
      <c r="F28" s="34">
        <v>1.7000000000000001E-2</v>
      </c>
      <c r="G28" s="24">
        <v>26685</v>
      </c>
      <c r="H28" s="35">
        <v>43132</v>
      </c>
      <c r="I28" s="47">
        <v>0.38194444444444442</v>
      </c>
      <c r="J28" s="30">
        <v>-1950</v>
      </c>
      <c r="K28" t="s">
        <v>196</v>
      </c>
    </row>
    <row r="29" spans="1:12">
      <c r="A29" s="24" t="s">
        <v>192</v>
      </c>
      <c r="B29" s="24">
        <v>9</v>
      </c>
      <c r="C29" s="24">
        <v>10020</v>
      </c>
      <c r="D29" s="35">
        <v>43126</v>
      </c>
      <c r="E29" s="47">
        <v>0.58819444444444446</v>
      </c>
      <c r="F29" s="34">
        <v>6.6666666666666671E-3</v>
      </c>
      <c r="G29" s="24">
        <v>9980</v>
      </c>
      <c r="H29" s="35">
        <v>43129</v>
      </c>
      <c r="I29" s="47">
        <v>0.58958333333333335</v>
      </c>
      <c r="J29" s="30">
        <v>-1800</v>
      </c>
      <c r="K29" t="s">
        <v>198</v>
      </c>
    </row>
    <row r="30" spans="1:12">
      <c r="A30" s="24" t="s">
        <v>66</v>
      </c>
      <c r="B30" s="24">
        <v>11</v>
      </c>
      <c r="C30" s="24">
        <v>2336</v>
      </c>
      <c r="D30" s="35">
        <v>43132</v>
      </c>
      <c r="E30" s="61">
        <v>0.88541666666666663</v>
      </c>
      <c r="F30" s="34">
        <v>4.0000000000000001E-3</v>
      </c>
      <c r="G30" s="24">
        <v>2320</v>
      </c>
      <c r="H30" s="35">
        <v>43132</v>
      </c>
      <c r="I30" s="47">
        <v>0.92291666666666661</v>
      </c>
      <c r="J30" s="30">
        <v>-1760</v>
      </c>
      <c r="K30" t="s">
        <v>199</v>
      </c>
    </row>
    <row r="31" spans="1:12">
      <c r="A31" s="24" t="s">
        <v>190</v>
      </c>
      <c r="B31" s="24">
        <v>1</v>
      </c>
      <c r="C31" s="24">
        <v>4287</v>
      </c>
      <c r="D31" s="35">
        <v>43131</v>
      </c>
      <c r="E31" s="47">
        <v>0.62083333333333335</v>
      </c>
      <c r="F31" s="34">
        <v>1.4999999999999999E-2</v>
      </c>
      <c r="G31" s="24">
        <v>4281.2</v>
      </c>
      <c r="H31" s="35">
        <v>43132</v>
      </c>
      <c r="I31" s="47">
        <v>0.44444444444444442</v>
      </c>
      <c r="J31" s="30">
        <v>-1740.0000000000546</v>
      </c>
      <c r="K31" t="s">
        <v>201</v>
      </c>
    </row>
    <row r="32" spans="1:12">
      <c r="A32" s="24" t="s">
        <v>193</v>
      </c>
      <c r="B32" s="24">
        <v>-1</v>
      </c>
      <c r="C32" s="24">
        <v>91.71</v>
      </c>
      <c r="D32" s="35">
        <v>43125</v>
      </c>
      <c r="E32" s="47">
        <v>0.40763888888888888</v>
      </c>
      <c r="F32" s="34">
        <v>1.7999999999999999E-2</v>
      </c>
      <c r="G32" s="24">
        <v>91.875</v>
      </c>
      <c r="H32" s="35">
        <v>43126</v>
      </c>
      <c r="I32" s="47">
        <v>0.42222222222222222</v>
      </c>
      <c r="J32" s="30">
        <v>-1650.0000000000625</v>
      </c>
      <c r="K32" t="s">
        <v>202</v>
      </c>
    </row>
    <row r="33" spans="1:11">
      <c r="A33" s="24" t="s">
        <v>193</v>
      </c>
      <c r="B33" s="24">
        <v>-1</v>
      </c>
      <c r="C33" s="24">
        <v>91.8</v>
      </c>
      <c r="D33" s="35">
        <v>43130</v>
      </c>
      <c r="E33" s="47">
        <v>0.58750000000000002</v>
      </c>
      <c r="F33" s="34">
        <v>1.7999999999999999E-2</v>
      </c>
      <c r="G33" s="24">
        <v>91.965000000000003</v>
      </c>
      <c r="H33" s="35">
        <v>43131</v>
      </c>
      <c r="I33" s="47">
        <v>0.41944444444444445</v>
      </c>
      <c r="J33" s="30">
        <v>-1650.0000000000625</v>
      </c>
      <c r="K33" t="s">
        <v>202</v>
      </c>
    </row>
    <row r="34" spans="1:11">
      <c r="A34" s="24" t="s">
        <v>77</v>
      </c>
      <c r="B34" s="24">
        <v>-11</v>
      </c>
      <c r="C34" s="24">
        <v>2759</v>
      </c>
      <c r="D34" s="35">
        <v>43126</v>
      </c>
      <c r="E34" s="47">
        <v>0.37986111111111115</v>
      </c>
      <c r="F34" s="34">
        <v>4.6666666666666662E-3</v>
      </c>
      <c r="G34" s="24">
        <v>2773</v>
      </c>
      <c r="H34" s="35">
        <v>43129</v>
      </c>
      <c r="I34" s="47">
        <v>0.40833333333333338</v>
      </c>
      <c r="J34" s="30">
        <v>-1540</v>
      </c>
      <c r="K34" t="s">
        <v>199</v>
      </c>
    </row>
    <row r="35" spans="1:11">
      <c r="A35" s="24" t="s">
        <v>77</v>
      </c>
      <c r="B35" s="24">
        <v>17</v>
      </c>
      <c r="C35" s="24">
        <v>2804</v>
      </c>
      <c r="D35" s="35">
        <v>43129</v>
      </c>
      <c r="E35" s="47">
        <v>0.46458333333333335</v>
      </c>
      <c r="F35" s="34">
        <v>7.3333333333333341E-3</v>
      </c>
      <c r="G35" s="24">
        <v>2795</v>
      </c>
      <c r="H35" s="35">
        <v>43130</v>
      </c>
      <c r="I35" s="47">
        <v>0.38194444444444442</v>
      </c>
      <c r="J35" s="30">
        <v>-1530</v>
      </c>
      <c r="K35" t="s">
        <v>199</v>
      </c>
    </row>
    <row r="36" spans="1:11">
      <c r="A36" s="24" t="s">
        <v>68</v>
      </c>
      <c r="B36" s="24">
        <v>8</v>
      </c>
      <c r="C36" s="24">
        <v>102860</v>
      </c>
      <c r="D36" s="35">
        <v>43132</v>
      </c>
      <c r="E36" s="61">
        <v>0.88541666666666663</v>
      </c>
      <c r="F36" s="34">
        <v>1.3000000000000001E-2</v>
      </c>
      <c r="G36" s="24">
        <v>102690</v>
      </c>
      <c r="H36" s="35">
        <v>43132</v>
      </c>
      <c r="I36" s="47">
        <v>0.92291666666666661</v>
      </c>
      <c r="J36" s="30">
        <v>-1360</v>
      </c>
      <c r="K36" t="s">
        <v>196</v>
      </c>
    </row>
    <row r="37" spans="1:11">
      <c r="A37" s="24" t="s">
        <v>194</v>
      </c>
      <c r="B37" s="24">
        <v>-1</v>
      </c>
      <c r="C37" s="24">
        <v>95.83</v>
      </c>
      <c r="D37" s="35">
        <v>43125</v>
      </c>
      <c r="E37" s="47">
        <v>0.47152777777777777</v>
      </c>
      <c r="F37" s="34">
        <v>0.02</v>
      </c>
      <c r="G37" s="24">
        <v>95.965000000000003</v>
      </c>
      <c r="H37" s="35">
        <v>43126</v>
      </c>
      <c r="I37" s="47">
        <v>0.40277777777777773</v>
      </c>
      <c r="J37" s="30">
        <v>-1350.0000000000512</v>
      </c>
      <c r="K37" t="s">
        <v>202</v>
      </c>
    </row>
    <row r="38" spans="1:11">
      <c r="A38" s="24" t="s">
        <v>193</v>
      </c>
      <c r="B38" s="24">
        <v>-1</v>
      </c>
      <c r="C38" s="24">
        <v>91.825000000000003</v>
      </c>
      <c r="D38" s="35">
        <v>43129</v>
      </c>
      <c r="E38" s="47">
        <v>0.46458333333333335</v>
      </c>
      <c r="F38" s="34">
        <v>1.7999999999999999E-2</v>
      </c>
      <c r="G38" s="24">
        <v>91.954999999999998</v>
      </c>
      <c r="H38" s="35">
        <v>43129</v>
      </c>
      <c r="I38" s="47">
        <v>0.56736111111111109</v>
      </c>
      <c r="J38" s="30">
        <v>-1299.9999999999545</v>
      </c>
      <c r="K38" t="s">
        <v>202</v>
      </c>
    </row>
    <row r="39" spans="1:11">
      <c r="A39" s="24" t="s">
        <v>66</v>
      </c>
      <c r="B39" s="24">
        <v>20</v>
      </c>
      <c r="C39" s="24">
        <v>2342</v>
      </c>
      <c r="D39" s="35">
        <v>43130</v>
      </c>
      <c r="E39" s="47">
        <v>0.88750000000000007</v>
      </c>
      <c r="F39" s="34">
        <v>7.0000000000000001E-3</v>
      </c>
      <c r="G39" s="24">
        <v>2336</v>
      </c>
      <c r="H39" s="35">
        <v>43131</v>
      </c>
      <c r="I39" s="47">
        <v>0.88194444444444453</v>
      </c>
      <c r="J39" s="30">
        <v>-1200</v>
      </c>
      <c r="K39" t="s">
        <v>199</v>
      </c>
    </row>
    <row r="40" spans="1:11">
      <c r="A40" s="1" t="s">
        <v>184</v>
      </c>
      <c r="B40" s="1">
        <v>10</v>
      </c>
      <c r="C40" s="1">
        <v>5688</v>
      </c>
      <c r="D40" s="2">
        <v>43133</v>
      </c>
      <c r="E40" s="40">
        <v>0.56597222222222221</v>
      </c>
      <c r="F40" s="31">
        <v>4.6666666666666662E-3</v>
      </c>
      <c r="G40" s="1">
        <v>5664</v>
      </c>
      <c r="H40" s="2">
        <v>43133</v>
      </c>
      <c r="I40" s="40">
        <v>0.62152777777777779</v>
      </c>
      <c r="J40" s="30">
        <v>-1200</v>
      </c>
      <c r="K40" t="s">
        <v>198</v>
      </c>
    </row>
    <row r="41" spans="1:11">
      <c r="A41" s="24" t="s">
        <v>74</v>
      </c>
      <c r="B41" s="24">
        <v>4</v>
      </c>
      <c r="C41" s="24">
        <v>2896</v>
      </c>
      <c r="D41" s="35">
        <v>43131</v>
      </c>
      <c r="E41" s="47">
        <v>0.62083333333333335</v>
      </c>
      <c r="F41" s="34">
        <v>1.6666666666666668E-3</v>
      </c>
      <c r="G41" s="24">
        <v>2872</v>
      </c>
      <c r="H41" s="35">
        <v>43132</v>
      </c>
      <c r="I41" s="47">
        <v>0.46180555555555558</v>
      </c>
      <c r="J41" s="30">
        <v>-960</v>
      </c>
      <c r="K41" t="s">
        <v>198</v>
      </c>
    </row>
    <row r="42" spans="1:11">
      <c r="A42" s="24" t="s">
        <v>72</v>
      </c>
      <c r="B42" s="24">
        <v>-1</v>
      </c>
      <c r="C42" s="24">
        <v>275.8</v>
      </c>
      <c r="D42" s="35">
        <v>43132</v>
      </c>
      <c r="E42" s="61">
        <v>0.88541666666666663</v>
      </c>
      <c r="F42" s="34">
        <v>5.6666666666666671E-3</v>
      </c>
      <c r="G42" s="24">
        <v>276.7</v>
      </c>
      <c r="H42" s="35">
        <v>43133</v>
      </c>
      <c r="I42" s="47">
        <v>0.375</v>
      </c>
      <c r="J42" s="30">
        <v>-899.99999999997726</v>
      </c>
      <c r="K42" t="s">
        <v>197</v>
      </c>
    </row>
    <row r="43" spans="1:11">
      <c r="A43" s="24" t="s">
        <v>60</v>
      </c>
      <c r="B43" s="24">
        <v>17</v>
      </c>
      <c r="C43" s="24">
        <v>3937</v>
      </c>
      <c r="D43" s="35">
        <v>43131</v>
      </c>
      <c r="E43" s="47">
        <v>0.92152777777777783</v>
      </c>
      <c r="F43" s="34">
        <v>1.0500000000000001E-2</v>
      </c>
      <c r="G43" s="24">
        <v>3932</v>
      </c>
      <c r="H43" s="35">
        <v>43132</v>
      </c>
      <c r="I43" s="61">
        <v>0.88541666666666663</v>
      </c>
      <c r="J43" s="30">
        <v>-850</v>
      </c>
      <c r="K43" t="s">
        <v>200</v>
      </c>
    </row>
    <row r="44" spans="1:11">
      <c r="A44" s="24" t="s">
        <v>77</v>
      </c>
      <c r="B44" s="24">
        <v>27</v>
      </c>
      <c r="C44" s="24">
        <v>2807</v>
      </c>
      <c r="D44" s="35">
        <v>43130</v>
      </c>
      <c r="E44" s="47">
        <v>0.88750000000000007</v>
      </c>
      <c r="F44" s="34">
        <v>1.15E-2</v>
      </c>
      <c r="G44" s="24">
        <v>2804</v>
      </c>
      <c r="H44" s="35">
        <v>43131</v>
      </c>
      <c r="I44" s="47">
        <v>0.88194444444444453</v>
      </c>
      <c r="J44" s="30">
        <v>-810</v>
      </c>
      <c r="K44" t="s">
        <v>199</v>
      </c>
    </row>
    <row r="45" spans="1:11">
      <c r="A45" s="24" t="s">
        <v>119</v>
      </c>
      <c r="B45" s="24">
        <v>1</v>
      </c>
      <c r="C45" s="24">
        <v>3197.4</v>
      </c>
      <c r="D45" s="35">
        <v>43126</v>
      </c>
      <c r="E45" s="47">
        <v>0.46249999999999997</v>
      </c>
      <c r="F45" s="34">
        <v>1.4E-2</v>
      </c>
      <c r="G45" s="24">
        <v>3195</v>
      </c>
      <c r="H45" s="35">
        <v>43129</v>
      </c>
      <c r="I45" s="47">
        <v>0.46458333333333335</v>
      </c>
      <c r="J45" s="30">
        <v>-720.00000000002728</v>
      </c>
      <c r="K45" t="s">
        <v>201</v>
      </c>
    </row>
    <row r="46" spans="1:11">
      <c r="A46" s="24" t="s">
        <v>70</v>
      </c>
      <c r="B46" s="24">
        <v>12</v>
      </c>
      <c r="C46" s="24">
        <v>6660</v>
      </c>
      <c r="D46" s="35">
        <v>43129</v>
      </c>
      <c r="E46" s="47">
        <v>0.56736111111111109</v>
      </c>
      <c r="F46" s="34">
        <v>6.000000000000001E-3</v>
      </c>
      <c r="G46" s="24">
        <v>6648</v>
      </c>
      <c r="H46" s="35">
        <v>43129</v>
      </c>
      <c r="I46" s="47">
        <v>0.58958333333333335</v>
      </c>
      <c r="J46" s="30">
        <v>-720</v>
      </c>
      <c r="K46" t="s">
        <v>200</v>
      </c>
    </row>
    <row r="47" spans="1:11">
      <c r="A47" s="24" t="s">
        <v>62</v>
      </c>
      <c r="B47" s="24">
        <v>-2</v>
      </c>
      <c r="C47" s="24">
        <v>53420</v>
      </c>
      <c r="D47" s="35">
        <v>43130</v>
      </c>
      <c r="E47" s="47">
        <v>0.38194444444444442</v>
      </c>
      <c r="F47" s="34">
        <v>7.4999999999999997E-3</v>
      </c>
      <c r="G47" s="24">
        <v>53490</v>
      </c>
      <c r="H47" s="35">
        <v>43130</v>
      </c>
      <c r="I47" s="47">
        <v>0.40277777777777773</v>
      </c>
      <c r="J47" s="30">
        <v>-700</v>
      </c>
      <c r="K47" t="s">
        <v>196</v>
      </c>
    </row>
    <row r="48" spans="1:11">
      <c r="A48" s="1" t="s">
        <v>70</v>
      </c>
      <c r="B48" s="1">
        <v>13</v>
      </c>
      <c r="C48" s="1">
        <v>6670</v>
      </c>
      <c r="D48" s="2">
        <v>43133</v>
      </c>
      <c r="E48" s="40">
        <v>0.44444444444444442</v>
      </c>
      <c r="F48" s="31">
        <v>6.9999999999999993E-3</v>
      </c>
      <c r="G48" s="1">
        <v>6662</v>
      </c>
      <c r="H48" s="2">
        <v>43133</v>
      </c>
      <c r="I48" s="40">
        <v>0.46458333333333335</v>
      </c>
      <c r="J48" s="30">
        <v>-520</v>
      </c>
      <c r="K48" t="s">
        <v>200</v>
      </c>
    </row>
    <row r="49" spans="1:11">
      <c r="A49" s="24" t="s">
        <v>67</v>
      </c>
      <c r="B49" s="24">
        <v>-10</v>
      </c>
      <c r="C49" s="24">
        <v>2088</v>
      </c>
      <c r="D49" s="35">
        <v>43130</v>
      </c>
      <c r="E49" s="47">
        <v>0.58750000000000002</v>
      </c>
      <c r="F49" s="34">
        <v>3.3333333333333335E-3</v>
      </c>
      <c r="G49" s="24">
        <v>2093</v>
      </c>
      <c r="H49" s="35">
        <v>43131</v>
      </c>
      <c r="I49" s="47">
        <v>0.40277777777777773</v>
      </c>
      <c r="J49" s="30">
        <v>-500</v>
      </c>
      <c r="K49" t="s">
        <v>199</v>
      </c>
    </row>
    <row r="50" spans="1:11">
      <c r="A50" s="1" t="s">
        <v>65</v>
      </c>
      <c r="B50" s="1">
        <v>10</v>
      </c>
      <c r="C50" s="1">
        <v>5694</v>
      </c>
      <c r="D50" s="2">
        <v>43133</v>
      </c>
      <c r="E50" s="40">
        <v>0.3833333333333333</v>
      </c>
      <c r="F50" s="31">
        <v>4.333333333333334E-3</v>
      </c>
      <c r="G50" s="1">
        <v>5684</v>
      </c>
      <c r="H50" s="2">
        <v>43133</v>
      </c>
      <c r="I50" s="40">
        <v>0.39861111111111108</v>
      </c>
      <c r="J50" s="30">
        <v>-500</v>
      </c>
      <c r="K50" t="s">
        <v>198</v>
      </c>
    </row>
    <row r="51" spans="1:11">
      <c r="A51" s="24" t="s">
        <v>112</v>
      </c>
      <c r="B51" s="24">
        <v>-6</v>
      </c>
      <c r="C51" s="24">
        <v>5186</v>
      </c>
      <c r="D51" s="35">
        <v>43130</v>
      </c>
      <c r="E51" s="47">
        <v>0.46875</v>
      </c>
      <c r="F51" s="34">
        <v>4.6666666666666662E-3</v>
      </c>
      <c r="G51" s="24">
        <v>5194</v>
      </c>
      <c r="H51" s="35">
        <v>43131</v>
      </c>
      <c r="I51" s="47">
        <v>0.40277777777777773</v>
      </c>
      <c r="J51" s="30">
        <v>-480</v>
      </c>
      <c r="K51" t="s">
        <v>199</v>
      </c>
    </row>
    <row r="52" spans="1:11">
      <c r="A52" s="24" t="s">
        <v>76</v>
      </c>
      <c r="B52" s="24">
        <v>-9</v>
      </c>
      <c r="C52" s="24">
        <v>2783</v>
      </c>
      <c r="D52" s="35">
        <v>43132</v>
      </c>
      <c r="E52" s="47">
        <v>0.4375</v>
      </c>
      <c r="F52" s="34">
        <v>4.0000000000000001E-3</v>
      </c>
      <c r="G52" s="24">
        <v>2788</v>
      </c>
      <c r="H52" s="35">
        <v>43133</v>
      </c>
      <c r="I52" s="47">
        <v>0.3833333333333333</v>
      </c>
      <c r="J52" s="30">
        <v>-450</v>
      </c>
      <c r="K52" t="s">
        <v>198</v>
      </c>
    </row>
    <row r="53" spans="1:11">
      <c r="A53" s="24" t="s">
        <v>74</v>
      </c>
      <c r="B53" s="24">
        <v>9</v>
      </c>
      <c r="C53" s="24">
        <v>2918</v>
      </c>
      <c r="D53" s="35">
        <v>43126</v>
      </c>
      <c r="E53" s="47">
        <v>0.88958333333333339</v>
      </c>
      <c r="F53" s="34">
        <v>3.666666666666667E-3</v>
      </c>
      <c r="G53" s="24">
        <v>2914</v>
      </c>
      <c r="H53" s="35">
        <v>43129</v>
      </c>
      <c r="I53" s="47">
        <v>0.88194444444444453</v>
      </c>
      <c r="J53" s="30">
        <v>-360</v>
      </c>
      <c r="K53" t="s">
        <v>198</v>
      </c>
    </row>
    <row r="54" spans="1:11">
      <c r="A54" s="1" t="s">
        <v>65</v>
      </c>
      <c r="B54" s="1">
        <v>10</v>
      </c>
      <c r="C54" s="1">
        <v>5696</v>
      </c>
      <c r="D54" s="2">
        <v>43133</v>
      </c>
      <c r="E54" s="40">
        <v>0.44444444444444442</v>
      </c>
      <c r="F54" s="31">
        <v>4.333333333333334E-3</v>
      </c>
      <c r="G54" s="1">
        <v>5690</v>
      </c>
      <c r="H54" s="2">
        <v>43133</v>
      </c>
      <c r="I54" s="40">
        <v>0.46458333333333335</v>
      </c>
      <c r="J54" s="30">
        <v>-300</v>
      </c>
      <c r="K54" t="s">
        <v>198</v>
      </c>
    </row>
    <row r="55" spans="1:11">
      <c r="A55" s="1" t="s">
        <v>70</v>
      </c>
      <c r="B55" s="1">
        <v>13</v>
      </c>
      <c r="C55" s="1">
        <v>6664</v>
      </c>
      <c r="D55" s="2">
        <v>43133</v>
      </c>
      <c r="E55" s="40">
        <v>0.3833333333333333</v>
      </c>
      <c r="F55" s="31">
        <v>6.9999999999999993E-3</v>
      </c>
      <c r="G55" s="1">
        <v>6660</v>
      </c>
      <c r="H55" s="2">
        <v>43133</v>
      </c>
      <c r="I55" s="40">
        <v>0.39861111111111108</v>
      </c>
      <c r="J55" s="30">
        <v>-260</v>
      </c>
      <c r="K55" t="s">
        <v>200</v>
      </c>
    </row>
    <row r="56" spans="1:11">
      <c r="A56" s="24" t="s">
        <v>76</v>
      </c>
      <c r="B56" s="24">
        <v>-1</v>
      </c>
      <c r="C56" s="24">
        <v>2835</v>
      </c>
      <c r="D56" s="35">
        <v>43126</v>
      </c>
      <c r="E56" s="47">
        <v>0.37986111111111115</v>
      </c>
      <c r="F56" s="34">
        <v>6.6666666666666664E-4</v>
      </c>
      <c r="G56" s="24">
        <v>2843</v>
      </c>
      <c r="H56" s="35">
        <v>43126</v>
      </c>
      <c r="I56" s="47">
        <v>0.89027777777777783</v>
      </c>
      <c r="J56" s="30">
        <v>-80</v>
      </c>
      <c r="K56" t="s">
        <v>198</v>
      </c>
    </row>
    <row r="57" spans="1:11">
      <c r="A57" s="24" t="s">
        <v>177</v>
      </c>
      <c r="B57" s="24">
        <v>13</v>
      </c>
      <c r="C57" s="24">
        <v>1292</v>
      </c>
      <c r="D57" s="35">
        <v>43130</v>
      </c>
      <c r="E57" s="47">
        <v>0.38194444444444442</v>
      </c>
      <c r="F57" s="34">
        <v>1.55E-2</v>
      </c>
      <c r="G57" s="24">
        <v>1292</v>
      </c>
      <c r="H57" s="35">
        <v>43130</v>
      </c>
      <c r="I57" s="47">
        <v>0.62083333333333335</v>
      </c>
      <c r="J57" s="30">
        <v>0</v>
      </c>
      <c r="K57" t="s">
        <v>200</v>
      </c>
    </row>
    <row r="58" spans="1:11">
      <c r="A58" s="24" t="s">
        <v>64</v>
      </c>
      <c r="B58" s="24">
        <v>24</v>
      </c>
      <c r="C58" s="24">
        <v>668.6</v>
      </c>
      <c r="D58" s="35">
        <v>43126</v>
      </c>
      <c r="E58" s="47">
        <v>0.42222222222222222</v>
      </c>
      <c r="F58" s="34">
        <v>2.5000000000000001E-2</v>
      </c>
      <c r="G58" s="24">
        <v>668.6</v>
      </c>
      <c r="H58" s="35">
        <v>43129</v>
      </c>
      <c r="I58" s="47">
        <v>0.92361111111111116</v>
      </c>
      <c r="J58" s="30">
        <v>0</v>
      </c>
      <c r="K58" t="s">
        <v>200</v>
      </c>
    </row>
    <row r="59" spans="1:11">
      <c r="A59" s="24" t="s">
        <v>67</v>
      </c>
      <c r="B59" s="24">
        <v>-11</v>
      </c>
      <c r="C59" s="24">
        <v>2089</v>
      </c>
      <c r="D59" s="35">
        <v>43125</v>
      </c>
      <c r="E59" s="47">
        <v>0.40763888888888888</v>
      </c>
      <c r="F59" s="34">
        <v>3.666666666666667E-3</v>
      </c>
      <c r="G59" s="24">
        <v>2088</v>
      </c>
      <c r="H59" s="35">
        <v>43126</v>
      </c>
      <c r="I59" s="47">
        <v>0.58819444444444446</v>
      </c>
      <c r="J59" s="30">
        <v>110</v>
      </c>
      <c r="K59" t="s">
        <v>199</v>
      </c>
    </row>
    <row r="60" spans="1:11">
      <c r="A60" s="24" t="s">
        <v>70</v>
      </c>
      <c r="B60" s="24">
        <v>12</v>
      </c>
      <c r="C60" s="24">
        <v>6648</v>
      </c>
      <c r="D60" s="35">
        <v>43129</v>
      </c>
      <c r="E60" s="47">
        <v>0.62152777777777779</v>
      </c>
      <c r="F60" s="34">
        <v>6.000000000000001E-3</v>
      </c>
      <c r="G60" s="24">
        <v>6650</v>
      </c>
      <c r="H60" s="35">
        <v>43130</v>
      </c>
      <c r="I60" s="47">
        <v>0.37638888888888888</v>
      </c>
      <c r="J60" s="30">
        <v>120</v>
      </c>
      <c r="K60" t="s">
        <v>200</v>
      </c>
    </row>
    <row r="61" spans="1:11">
      <c r="A61" s="24" t="s">
        <v>74</v>
      </c>
      <c r="B61" s="24">
        <v>1</v>
      </c>
      <c r="C61" s="24">
        <v>2890</v>
      </c>
      <c r="D61" s="35">
        <v>43132</v>
      </c>
      <c r="E61" s="47">
        <v>0.92291666666666661</v>
      </c>
      <c r="F61" s="34">
        <v>1.6666666666666668E-3</v>
      </c>
      <c r="G61" s="24">
        <v>2922</v>
      </c>
      <c r="H61" s="35">
        <v>43133</v>
      </c>
      <c r="I61" s="47">
        <v>0.375</v>
      </c>
      <c r="J61" s="30">
        <v>320</v>
      </c>
      <c r="K61" t="s">
        <v>198</v>
      </c>
    </row>
    <row r="62" spans="1:11">
      <c r="A62" s="24" t="s">
        <v>76</v>
      </c>
      <c r="B62" s="24">
        <v>-2</v>
      </c>
      <c r="C62" s="24">
        <v>2823</v>
      </c>
      <c r="D62" s="35">
        <v>43129</v>
      </c>
      <c r="E62" s="47">
        <v>0.92361111111111116</v>
      </c>
      <c r="F62" s="34">
        <v>6.6666666666666664E-4</v>
      </c>
      <c r="G62" s="24">
        <v>2782</v>
      </c>
      <c r="H62" s="35">
        <v>43131</v>
      </c>
      <c r="I62" s="47">
        <v>0.88194444444444453</v>
      </c>
      <c r="J62" s="30">
        <v>820</v>
      </c>
      <c r="K62" t="s">
        <v>198</v>
      </c>
    </row>
    <row r="63" spans="1:11">
      <c r="A63" s="24" t="s">
        <v>70</v>
      </c>
      <c r="B63" s="24">
        <v>14</v>
      </c>
      <c r="C63" s="24">
        <v>6638</v>
      </c>
      <c r="D63" s="35">
        <v>43132</v>
      </c>
      <c r="E63" s="47">
        <v>0.38194444444444442</v>
      </c>
      <c r="F63" s="34">
        <v>6.9999999999999993E-3</v>
      </c>
      <c r="G63" s="24">
        <v>6650</v>
      </c>
      <c r="H63" s="35">
        <v>43132</v>
      </c>
      <c r="I63" s="47">
        <v>0.44444444444444442</v>
      </c>
      <c r="J63" s="30">
        <v>840</v>
      </c>
      <c r="K63" t="s">
        <v>200</v>
      </c>
    </row>
    <row r="64" spans="1:11">
      <c r="A64" s="24" t="s">
        <v>62</v>
      </c>
      <c r="B64" s="24">
        <v>-2</v>
      </c>
      <c r="C64" s="24">
        <v>53510</v>
      </c>
      <c r="D64" s="35">
        <v>43129</v>
      </c>
      <c r="E64" s="47">
        <v>0.88194444444444453</v>
      </c>
      <c r="F64" s="34">
        <v>7.4999999999999997E-3</v>
      </c>
      <c r="G64" s="24">
        <v>53420</v>
      </c>
      <c r="H64" s="35">
        <v>43129</v>
      </c>
      <c r="I64" s="47">
        <v>0.92361111111111116</v>
      </c>
      <c r="J64" s="30">
        <v>900</v>
      </c>
      <c r="K64" t="s">
        <v>196</v>
      </c>
    </row>
    <row r="65" spans="1:11">
      <c r="A65" s="24" t="s">
        <v>79</v>
      </c>
      <c r="B65" s="24">
        <v>16</v>
      </c>
      <c r="C65" s="24">
        <v>3964</v>
      </c>
      <c r="D65" s="35">
        <v>43131</v>
      </c>
      <c r="E65" s="47">
        <v>0.92152777777777783</v>
      </c>
      <c r="F65" s="34">
        <v>9.6666666666666654E-3</v>
      </c>
      <c r="G65" s="24">
        <v>3970</v>
      </c>
      <c r="H65" s="35">
        <v>43132</v>
      </c>
      <c r="I65" s="61">
        <v>0.88541666666666663</v>
      </c>
      <c r="J65" s="30">
        <v>960</v>
      </c>
      <c r="K65" t="s">
        <v>200</v>
      </c>
    </row>
    <row r="66" spans="1:11">
      <c r="A66" s="24" t="s">
        <v>66</v>
      </c>
      <c r="B66" s="24">
        <v>16</v>
      </c>
      <c r="C66" s="24">
        <v>2287</v>
      </c>
      <c r="D66" s="35">
        <v>43124</v>
      </c>
      <c r="E66" s="47">
        <v>0.87916666666666676</v>
      </c>
      <c r="F66" s="34">
        <v>5.6666666666666671E-3</v>
      </c>
      <c r="G66" s="24">
        <v>2295</v>
      </c>
      <c r="H66" s="35">
        <v>43126</v>
      </c>
      <c r="I66" s="47">
        <v>0.37986111111111115</v>
      </c>
      <c r="J66" s="30">
        <v>1280</v>
      </c>
      <c r="K66" t="s">
        <v>199</v>
      </c>
    </row>
    <row r="67" spans="1:11">
      <c r="A67" s="24" t="s">
        <v>69</v>
      </c>
      <c r="B67" s="24">
        <v>-1</v>
      </c>
      <c r="C67" s="24">
        <v>6169.4</v>
      </c>
      <c r="D67" s="35">
        <v>43131</v>
      </c>
      <c r="E67" s="47">
        <v>0.5756944444444444</v>
      </c>
      <c r="F67" s="34">
        <v>1.7999999999999999E-2</v>
      </c>
      <c r="G67" s="24">
        <v>6160.2</v>
      </c>
      <c r="H67" s="35">
        <v>43131</v>
      </c>
      <c r="I67" s="47">
        <v>0.62083333333333335</v>
      </c>
      <c r="J67" s="30">
        <v>1839.9999999999636</v>
      </c>
      <c r="K67" t="s">
        <v>201</v>
      </c>
    </row>
    <row r="68" spans="1:11">
      <c r="A68" s="24" t="s">
        <v>62</v>
      </c>
      <c r="B68" s="24">
        <v>-3</v>
      </c>
      <c r="C68" s="24">
        <v>53226.67</v>
      </c>
      <c r="D68" s="35">
        <v>43132</v>
      </c>
      <c r="E68" s="47">
        <v>0.38194444444444442</v>
      </c>
      <c r="F68" s="34">
        <v>1.0500000000000001E-2</v>
      </c>
      <c r="G68" s="24">
        <v>53090</v>
      </c>
      <c r="H68" s="35">
        <v>43133</v>
      </c>
      <c r="I68" s="47">
        <v>0.38541666666666669</v>
      </c>
      <c r="J68" s="30">
        <v>2050.0499999999738</v>
      </c>
      <c r="K68" t="s">
        <v>196</v>
      </c>
    </row>
    <row r="69" spans="1:11">
      <c r="A69" s="24" t="s">
        <v>191</v>
      </c>
      <c r="B69" s="24">
        <v>-14</v>
      </c>
      <c r="C69" s="24">
        <v>14615</v>
      </c>
      <c r="D69" s="35">
        <v>43131</v>
      </c>
      <c r="E69" s="47">
        <v>0.47013888888888888</v>
      </c>
      <c r="F69" s="34">
        <v>1.6E-2</v>
      </c>
      <c r="G69" s="24">
        <v>14585</v>
      </c>
      <c r="H69" s="35">
        <v>43132</v>
      </c>
      <c r="I69" s="61">
        <v>0.88541666666666663</v>
      </c>
      <c r="J69" s="30">
        <v>2100</v>
      </c>
      <c r="K69" t="s">
        <v>196</v>
      </c>
    </row>
    <row r="70" spans="1:11">
      <c r="A70" s="24" t="s">
        <v>189</v>
      </c>
      <c r="B70" s="24">
        <v>7</v>
      </c>
      <c r="C70" s="24">
        <v>2034.5</v>
      </c>
      <c r="D70" s="35">
        <v>43129</v>
      </c>
      <c r="E70" s="47">
        <v>0.40833333333333338</v>
      </c>
      <c r="F70" s="34">
        <v>2.1499999999999998E-2</v>
      </c>
      <c r="G70" s="24">
        <v>2038</v>
      </c>
      <c r="H70" s="35">
        <v>43129</v>
      </c>
      <c r="I70" s="47">
        <v>0.92361111111111116</v>
      </c>
      <c r="J70" s="30">
        <v>2450</v>
      </c>
      <c r="K70" t="s">
        <v>200</v>
      </c>
    </row>
    <row r="71" spans="1:11">
      <c r="A71" s="24" t="s">
        <v>62</v>
      </c>
      <c r="B71" s="24">
        <v>-2</v>
      </c>
      <c r="C71" s="24">
        <v>53490</v>
      </c>
      <c r="D71" s="35">
        <v>43130</v>
      </c>
      <c r="E71" s="47">
        <v>0.42152777777777778</v>
      </c>
      <c r="F71" s="34">
        <v>7.4999999999999997E-3</v>
      </c>
      <c r="G71" s="24">
        <v>53140</v>
      </c>
      <c r="H71" s="35">
        <v>43131</v>
      </c>
      <c r="I71" s="47">
        <v>0.46875</v>
      </c>
      <c r="J71" s="30">
        <v>3500</v>
      </c>
      <c r="K71" t="s">
        <v>196</v>
      </c>
    </row>
    <row r="72" spans="1:11">
      <c r="A72" s="24" t="s">
        <v>112</v>
      </c>
      <c r="B72" s="24">
        <v>-9</v>
      </c>
      <c r="C72" s="24">
        <v>5192</v>
      </c>
      <c r="D72" s="35">
        <v>43131</v>
      </c>
      <c r="E72" s="47">
        <v>0.62083333333333335</v>
      </c>
      <c r="F72" s="34">
        <v>7.0000000000000001E-3</v>
      </c>
      <c r="G72" s="24">
        <v>5148</v>
      </c>
      <c r="H72" s="35">
        <v>43132</v>
      </c>
      <c r="I72" s="61">
        <v>0.88541666666666663</v>
      </c>
      <c r="J72" s="30">
        <v>3960</v>
      </c>
      <c r="K72" t="s">
        <v>199</v>
      </c>
    </row>
    <row r="73" spans="1:11">
      <c r="A73" s="24" t="s">
        <v>66</v>
      </c>
      <c r="B73" s="24">
        <v>22</v>
      </c>
      <c r="C73" s="24">
        <v>2305</v>
      </c>
      <c r="D73" s="35">
        <v>43129</v>
      </c>
      <c r="E73" s="47">
        <v>0.40833333333333338</v>
      </c>
      <c r="F73" s="34">
        <v>7.6666666666666662E-3</v>
      </c>
      <c r="G73" s="24">
        <v>2329</v>
      </c>
      <c r="H73" s="35">
        <v>43130</v>
      </c>
      <c r="I73" s="47">
        <v>0.38194444444444442</v>
      </c>
      <c r="J73" s="30">
        <v>5280</v>
      </c>
      <c r="K73" t="s">
        <v>199</v>
      </c>
    </row>
    <row r="74" spans="1:11">
      <c r="A74" s="24" t="s">
        <v>187</v>
      </c>
      <c r="B74" s="24">
        <v>-13</v>
      </c>
      <c r="C74" s="24">
        <v>3685</v>
      </c>
      <c r="D74" s="35">
        <v>43126</v>
      </c>
      <c r="E74" s="47">
        <v>0.37986111111111115</v>
      </c>
      <c r="F74" s="34">
        <v>8.0000000000000002E-3</v>
      </c>
      <c r="G74" s="24">
        <v>3628</v>
      </c>
      <c r="H74" s="35">
        <v>43130</v>
      </c>
      <c r="I74" s="47">
        <v>0.58888888888888891</v>
      </c>
      <c r="J74" s="30">
        <v>7410</v>
      </c>
      <c r="K74" t="s">
        <v>199</v>
      </c>
    </row>
    <row r="75" spans="1:11">
      <c r="A75" s="24" t="s">
        <v>191</v>
      </c>
      <c r="B75" s="24">
        <v>-10</v>
      </c>
      <c r="C75" s="24">
        <v>14845</v>
      </c>
      <c r="D75" s="35">
        <v>43129</v>
      </c>
      <c r="E75" s="47">
        <v>0.92361111111111116</v>
      </c>
      <c r="F75" s="34">
        <v>1.15E-2</v>
      </c>
      <c r="G75" s="24">
        <v>14645</v>
      </c>
      <c r="H75" s="35">
        <v>43131</v>
      </c>
      <c r="I75" s="47">
        <v>0.40972222222222227</v>
      </c>
      <c r="J75" s="30">
        <v>10000</v>
      </c>
      <c r="K75" t="s">
        <v>196</v>
      </c>
    </row>
    <row r="76" spans="1:11">
      <c r="A76" s="24" t="s">
        <v>69</v>
      </c>
      <c r="B76" s="24">
        <v>1</v>
      </c>
      <c r="C76" s="24">
        <v>6316.2</v>
      </c>
      <c r="D76" s="35">
        <v>43122</v>
      </c>
      <c r="E76" s="47">
        <v>0.56944444444444442</v>
      </c>
      <c r="F76" s="34">
        <v>1.9E-2</v>
      </c>
      <c r="G76" s="24">
        <v>6367.2</v>
      </c>
      <c r="H76" s="35">
        <v>43129</v>
      </c>
      <c r="I76" s="47">
        <v>0.4375</v>
      </c>
      <c r="J76" s="24">
        <v>10200</v>
      </c>
      <c r="K76" t="s">
        <v>201</v>
      </c>
    </row>
    <row r="77" spans="1:11">
      <c r="A77" s="24" t="s">
        <v>68</v>
      </c>
      <c r="B77" s="24">
        <v>13</v>
      </c>
      <c r="C77" s="24">
        <v>104300</v>
      </c>
      <c r="D77" s="35">
        <v>43126</v>
      </c>
      <c r="E77" s="47">
        <v>0.88888888888888884</v>
      </c>
      <c r="F77" s="34">
        <v>2.0499999999999997E-2</v>
      </c>
      <c r="G77" s="24">
        <v>105200</v>
      </c>
      <c r="H77" s="35">
        <v>43130</v>
      </c>
      <c r="I77" s="47">
        <v>0.38194444444444442</v>
      </c>
      <c r="J77" s="30">
        <v>11700</v>
      </c>
      <c r="K77" t="s">
        <v>196</v>
      </c>
    </row>
    <row r="78" spans="1:11">
      <c r="A78" s="24" t="s">
        <v>177</v>
      </c>
      <c r="B78" s="24">
        <v>15</v>
      </c>
      <c r="C78" s="24">
        <v>1290</v>
      </c>
      <c r="D78" s="35">
        <v>43124</v>
      </c>
      <c r="E78" s="47">
        <v>0.87916666666666676</v>
      </c>
      <c r="F78" s="34">
        <v>1.7500000000000002E-2</v>
      </c>
      <c r="G78" s="24">
        <v>1306</v>
      </c>
      <c r="H78" s="35">
        <v>43126</v>
      </c>
      <c r="I78" s="47">
        <v>0.37986111111111115</v>
      </c>
      <c r="J78" s="30">
        <v>14400</v>
      </c>
      <c r="K78" t="s">
        <v>200</v>
      </c>
    </row>
    <row r="79" spans="1:11">
      <c r="A79" s="24" t="s">
        <v>182</v>
      </c>
      <c r="B79" s="24">
        <v>9</v>
      </c>
      <c r="C79" s="24">
        <v>26205</v>
      </c>
      <c r="D79" s="35">
        <v>43126</v>
      </c>
      <c r="E79" s="47">
        <v>0.88958333333333339</v>
      </c>
      <c r="F79" s="34">
        <v>1.8000000000000002E-2</v>
      </c>
      <c r="G79" s="24">
        <v>26815</v>
      </c>
      <c r="H79" s="35">
        <v>43130</v>
      </c>
      <c r="I79" s="47">
        <v>0.38194444444444442</v>
      </c>
      <c r="J79" s="30">
        <v>27450</v>
      </c>
      <c r="K79" t="s">
        <v>196</v>
      </c>
    </row>
    <row r="80" spans="1:11">
      <c r="A80" s="24" t="s">
        <v>68</v>
      </c>
      <c r="B80" s="24">
        <v>12</v>
      </c>
      <c r="C80" s="24">
        <v>99710</v>
      </c>
      <c r="D80" s="35">
        <v>43125</v>
      </c>
      <c r="E80" s="47">
        <v>0.87916666666666676</v>
      </c>
      <c r="F80" s="34">
        <v>1.8500000000000003E-2</v>
      </c>
      <c r="G80" s="24">
        <v>103760</v>
      </c>
      <c r="H80" s="35">
        <v>43126</v>
      </c>
      <c r="I80" s="47">
        <v>0.37986111111111115</v>
      </c>
      <c r="J80" s="30">
        <v>48600</v>
      </c>
      <c r="K80" t="s">
        <v>196</v>
      </c>
    </row>
    <row r="81" spans="1:11">
      <c r="A81" s="24" t="s">
        <v>190</v>
      </c>
      <c r="B81" s="24">
        <v>1</v>
      </c>
      <c r="C81" s="24">
        <v>4106.8</v>
      </c>
      <c r="D81" s="35">
        <v>43102</v>
      </c>
      <c r="E81" s="47">
        <v>0.61875000000000002</v>
      </c>
      <c r="F81" s="34">
        <v>2.5999999999999999E-2</v>
      </c>
      <c r="G81" s="24">
        <v>4385.8</v>
      </c>
      <c r="H81" s="35">
        <v>43126</v>
      </c>
      <c r="I81" s="47">
        <v>0.40277777777777773</v>
      </c>
      <c r="J81" s="30">
        <v>83700</v>
      </c>
      <c r="K81" t="s">
        <v>201</v>
      </c>
    </row>
  </sheetData>
  <sortState ref="A2:K81">
    <sortCondition ref="J2:J81"/>
    <sortCondition ref="A2:A81"/>
    <sortCondition ref="D2:D8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23</v>
      </c>
      <c r="D1" s="18" t="s">
        <v>24</v>
      </c>
      <c r="E1" s="18" t="s">
        <v>25</v>
      </c>
      <c r="F1" s="18" t="s">
        <v>26</v>
      </c>
      <c r="G1" s="19" t="s">
        <v>27</v>
      </c>
      <c r="H1" s="3"/>
      <c r="I1" s="3"/>
    </row>
    <row r="2" spans="1:9">
      <c r="A2" s="2">
        <v>43094</v>
      </c>
      <c r="B2" s="1" t="s">
        <v>13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14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15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16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13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14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15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28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14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15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28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16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29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86</v>
      </c>
      <c r="B1" t="s">
        <v>80</v>
      </c>
      <c r="C1" t="s">
        <v>81</v>
      </c>
      <c r="D1" t="s">
        <v>82</v>
      </c>
      <c r="E1" t="s">
        <v>83</v>
      </c>
      <c r="F1" t="s">
        <v>87</v>
      </c>
      <c r="G1" t="s">
        <v>84</v>
      </c>
      <c r="H1" t="s">
        <v>85</v>
      </c>
      <c r="I1" t="s">
        <v>89</v>
      </c>
      <c r="J1" t="s">
        <v>90</v>
      </c>
    </row>
    <row r="2" spans="1:10">
      <c r="A2" s="2">
        <v>43116</v>
      </c>
      <c r="B2" s="1" t="s">
        <v>62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60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71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68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76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67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66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75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79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63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88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66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75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73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77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74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73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78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61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63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75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75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62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61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75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78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72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71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66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75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60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70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75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67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67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64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62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60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63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69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65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71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61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68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