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60" windowWidth="14835" windowHeight="5385" tabRatio="825"/>
  </bookViews>
  <sheets>
    <sheet name="biodata" sheetId="105" r:id="rId1"/>
    <sheet name="kasus 1" sheetId="88" r:id="rId2"/>
    <sheet name="kasus 2" sheetId="56" r:id="rId3"/>
    <sheet name="kasus 3" sheetId="96" r:id="rId4"/>
    <sheet name="kasus 4" sheetId="80" r:id="rId5"/>
    <sheet name="kasus 5" sheetId="106" r:id="rId6"/>
    <sheet name="kasus 6" sheetId="107" r:id="rId7"/>
    <sheet name="kasus 7" sheetId="103" r:id="rId8"/>
    <sheet name="kasus 8" sheetId="109" r:id="rId9"/>
    <sheet name="kasus 9" sheetId="111" r:id="rId10"/>
    <sheet name="kasus 10" sheetId="112" r:id="rId11"/>
    <sheet name="kasus 11" sheetId="110" r:id="rId12"/>
  </sheets>
  <externalReferences>
    <externalReference r:id="rId13"/>
  </externalReferences>
  <definedNames>
    <definedName name="__IntlFixup" hidden="1">TRUE</definedName>
    <definedName name="AccessDatabase" hidden="1">"C:\My Documents\MAUI MALL1.mdb"</definedName>
    <definedName name="ACwvu.CapersView." localSheetId="5" hidden="1">[1]MASTER!#REF!</definedName>
    <definedName name="ACwvu.CapersView." localSheetId="6" hidden="1">[1]MASTER!#REF!</definedName>
    <definedName name="ACwvu.CapersView." localSheetId="9" hidden="1">[1]MASTER!#REF!</definedName>
    <definedName name="ACwvu.CapersView." hidden="1">[1]MASTER!#REF!</definedName>
    <definedName name="ACwvu.Japan_Capers_Ed_Pub." localSheetId="5" hidden="1">#REF!</definedName>
    <definedName name="ACwvu.Japan_Capers_Ed_Pub." localSheetId="6" hidden="1">#REF!</definedName>
    <definedName name="ACwvu.Japan_Capers_Ed_Pub." localSheetId="9" hidden="1">#REF!</definedName>
    <definedName name="ACwvu.Japan_Capers_Ed_Pub." hidden="1">#REF!</definedName>
    <definedName name="ACwvu.KJP_CC." localSheetId="5" hidden="1">#REF!</definedName>
    <definedName name="ACwvu.KJP_CC." localSheetId="6" hidden="1">#REF!</definedName>
    <definedName name="ACwvu.KJP_CC." localSheetId="9" hidden="1">#REF!</definedName>
    <definedName name="ACwvu.KJP_CC." hidden="1">#REF!</definedName>
    <definedName name="anscount" hidden="1">4</definedName>
    <definedName name="Cwvu.CapersView." localSheetId="5" hidden="1">[1]MASTER!#REF!</definedName>
    <definedName name="Cwvu.CapersView." localSheetId="6" hidden="1">[1]MASTER!#REF!</definedName>
    <definedName name="Cwvu.CapersView." localSheetId="9" hidden="1">[1]MASTER!#REF!</definedName>
    <definedName name="Cwvu.CapersView." hidden="1">[1]MASTER!#REF!</definedName>
    <definedName name="Cwvu.Japan_Capers_Ed_Pub." localSheetId="5" hidden="1">[1]MASTER!#REF!</definedName>
    <definedName name="Cwvu.Japan_Capers_Ed_Pub." localSheetId="6" hidden="1">[1]MASTER!#REF!</definedName>
    <definedName name="Cwvu.Japan_Capers_Ed_Pub." localSheetId="9" hidden="1">[1]MASTER!#REF!</definedName>
    <definedName name="Cwvu.Japan_Capers_Ed_Pub." hidden="1">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6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8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9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ee" localSheetId="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HTML_CodePage" hidden="1">1252</definedName>
    <definedName name="HTML_Control" localSheetId="8" hidden="1">{"'PRODUCTIONCOST SHEET'!$B$3:$G$48"}</definedName>
    <definedName name="HTML_Control" localSheetId="9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k" localSheetId="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imcount" hidden="1">3</definedName>
    <definedName name="q" localSheetId="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wvu.CapersView." localSheetId="5" hidden="1">#REF!</definedName>
    <definedName name="Rwvu.CapersView." localSheetId="6" hidden="1">#REF!</definedName>
    <definedName name="Rwvu.CapersView." localSheetId="9" hidden="1">#REF!</definedName>
    <definedName name="Rwvu.CapersView." hidden="1">#REF!</definedName>
    <definedName name="Rwvu.Japan_Capers_Ed_Pub." localSheetId="5" hidden="1">#REF!</definedName>
    <definedName name="Rwvu.Japan_Capers_Ed_Pub." localSheetId="6" hidden="1">#REF!</definedName>
    <definedName name="Rwvu.Japan_Capers_Ed_Pub." localSheetId="9" hidden="1">#REF!</definedName>
    <definedName name="Rwvu.Japan_Capers_Ed_Pub." hidden="1">#REF!</definedName>
    <definedName name="Rwvu.KJP_CC." localSheetId="5" hidden="1">#REF!</definedName>
    <definedName name="Rwvu.KJP_CC." localSheetId="6" hidden="1">#REF!</definedName>
    <definedName name="Rwvu.KJP_CC." localSheetId="9" hidden="1">#REF!</definedName>
    <definedName name="Rwvu.KJP_CC." hidden="1">#REF!</definedName>
    <definedName name="sencount" hidden="1">3</definedName>
    <definedName name="Swvu.CapersView." localSheetId="5" hidden="1">[1]MASTER!#REF!</definedName>
    <definedName name="Swvu.CapersView." localSheetId="6" hidden="1">[1]MASTER!#REF!</definedName>
    <definedName name="Swvu.CapersView." localSheetId="9" hidden="1">[1]MASTER!#REF!</definedName>
    <definedName name="Swvu.CapersView." hidden="1">[1]MASTER!#REF!</definedName>
    <definedName name="Swvu.Japan_Capers_Ed_Pub." localSheetId="5" hidden="1">#REF!</definedName>
    <definedName name="Swvu.Japan_Capers_Ed_Pub." localSheetId="6" hidden="1">#REF!</definedName>
    <definedName name="Swvu.Japan_Capers_Ed_Pub." localSheetId="9" hidden="1">#REF!</definedName>
    <definedName name="Swvu.Japan_Capers_Ed_Pub." hidden="1">#REF!</definedName>
    <definedName name="Swvu.KJP_CC." localSheetId="5" hidden="1">#REF!</definedName>
    <definedName name="Swvu.KJP_CC." localSheetId="6" hidden="1">#REF!</definedName>
    <definedName name="Swvu.KJP_CC." localSheetId="9" hidden="1">#REF!</definedName>
    <definedName name="Swvu.KJP_CC." hidden="1">#REF!</definedName>
    <definedName name="trte" localSheetId="8" hidden="1">{#N/A,#N/A,FALSE,"PRJCTED QTRLY $'s"}</definedName>
    <definedName name="trte" localSheetId="9" hidden="1">{#N/A,#N/A,FALSE,"PRJCTED QTRLY $'s"}</definedName>
    <definedName name="trte" hidden="1">{#N/A,#N/A,FALSE,"PRJCTED QTRLY $'s"}</definedName>
    <definedName name="vvv" localSheetId="8" hidden="1">{"Japan_Capers_Ed_Pub",#N/A,FALSE,"DI 2 YEAR MASTER SCHEDULE"}</definedName>
    <definedName name="vvv" localSheetId="9" hidden="1">{"Japan_Capers_Ed_Pub",#N/A,FALSE,"DI 2 YEAR MASTER SCHEDULE"}</definedName>
    <definedName name="vvv" hidden="1">{"Japan_Capers_Ed_Pub",#N/A,FALSE,"DI 2 YEAR MASTER SCHEDULE"}</definedName>
    <definedName name="vvvv" localSheetId="8" hidden="1">{#N/A,#N/A,FALSE,"PRJCTED MNTHLY QTY's"}</definedName>
    <definedName name="vvvv" localSheetId="9" hidden="1">{#N/A,#N/A,FALSE,"PRJCTED MNTHLY QTY's"}</definedName>
    <definedName name="vvvv" hidden="1">{#N/A,#N/A,FALSE,"PRJCTED MNTHLY QTY's"}</definedName>
    <definedName name="we" localSheetId="8" hidden="1">{"'PRODUCTIONCOST SHEET'!$B$3:$G$48"}</definedName>
    <definedName name="we" hidden="1">{"'PRODUCTIONCOST SHEET'!$B$3:$G$48"}</definedName>
    <definedName name="wrn.AllData." localSheetId="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CapersPlotter." localSheetId="8" hidden="1">{#N/A,#N/A,FALSE,"DI 2 YEAR MASTER SCHEDULE"}</definedName>
    <definedName name="wrn.CapersPlotter." localSheetId="9" hidden="1">{#N/A,#N/A,FALSE,"DI 2 YEAR MASTER SCHEDULE"}</definedName>
    <definedName name="wrn.CapersPlotter." hidden="1">{#N/A,#N/A,FALSE,"DI 2 YEAR MASTER SCHEDULE"}</definedName>
    <definedName name="wrn.Edutainment._.Priority._.List." localSheetId="8" hidden="1">{#N/A,#N/A,FALSE,"DI 2 YEAR MASTER SCHEDULE"}</definedName>
    <definedName name="wrn.Edutainment._.Priority._.List." localSheetId="9" hidden="1">{#N/A,#N/A,FALSE,"DI 2 YEAR MASTER SCHEDULE"}</definedName>
    <definedName name="wrn.Edutainment._.Priority._.List." hidden="1">{#N/A,#N/A,FALSE,"DI 2 YEAR MASTER SCHEDULE"}</definedName>
    <definedName name="wrn.FirstHalf." localSheetId="8" hidden="1">{"FirstQ",#N/A,FALSE,"Budget2000";"SecondQ",#N/A,FALSE,"Budget2000"}</definedName>
    <definedName name="wrn.FirstHalf." hidden="1">{"FirstQ",#N/A,FALSE,"Budget2000";"SecondQ",#N/A,FALSE,"Budget2000"}</definedName>
    <definedName name="wrn.Japan_Capers_Ed._.Pub." localSheetId="8" hidden="1">{"Japan_Capers_Ed_Pub",#N/A,FALSE,"DI 2 YEAR MASTER SCHEDULE"}</definedName>
    <definedName name="wrn.Japan_Capers_Ed._.Pub." localSheetId="9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8" hidden="1">{#N/A,#N/A,FALSE,"DI 2 YEAR MASTER SCHEDULE"}</definedName>
    <definedName name="wrn.Priority._.list." localSheetId="9" hidden="1">{#N/A,#N/A,FALSE,"DI 2 YEAR MASTER SCHEDULE"}</definedName>
    <definedName name="wrn.Priority._.list." hidden="1">{#N/A,#N/A,FALSE,"DI 2 YEAR MASTER SCHEDULE"}</definedName>
    <definedName name="wrn.Prjcted._.Mnthly._.Qtys." localSheetId="8" hidden="1">{#N/A,#N/A,FALSE,"PRJCTED MNTHLY QTY's"}</definedName>
    <definedName name="wrn.Prjcted._.Mnthly._.Qtys." localSheetId="9" hidden="1">{#N/A,#N/A,FALSE,"PRJCTED MNTHLY QTY's"}</definedName>
    <definedName name="wrn.Prjcted._.Mnthly._.Qtys." hidden="1">{#N/A,#N/A,FALSE,"PRJCTED MNTHLY QTY's"}</definedName>
    <definedName name="wrn.Prjcted._.Qtrly._.Dollars." localSheetId="8" hidden="1">{#N/A,#N/A,FALSE,"PRJCTED QTRLY $'s"}</definedName>
    <definedName name="wrn.Prjcted._.Qtrly._.Dollars." localSheetId="9" hidden="1">{#N/A,#N/A,FALSE,"PRJCTED QTRLY $'s"}</definedName>
    <definedName name="wrn.Prjcted._.Qtrly._.Dollars." hidden="1">{#N/A,#N/A,FALSE,"PRJCTED QTRLY $'s"}</definedName>
    <definedName name="wrn.Prjcted._.Qtrly._.Qtys." localSheetId="8" hidden="1">{#N/A,#N/A,FALSE,"PRJCTED QTRLY QTY's"}</definedName>
    <definedName name="wrn.Prjcted._.Qtrly._.Qtys." localSheetId="9" hidden="1">{#N/A,#N/A,FALSE,"PRJCTED QTRLY QTY's"}</definedName>
    <definedName name="wrn.Prjcted._.Qtrly._.Qtys." hidden="1">{#N/A,#N/A,FALSE,"PRJCTED QTRLY QTY's"}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9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9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9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" localSheetId="9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XX" localSheetId="8" hidden="1">{"'PRODUCTIONCOST SHEET'!$B$3:$G$48"}</definedName>
    <definedName name="XXX" hidden="1">{"'PRODUCTIONCOST SHEET'!$B$3:$G$48"}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[1]MASTER!$A$1:$Q$65536,[1]MASTER!$Y$1:$Z$65536</definedName>
    <definedName name="Z_9A428CE1_B4D9_11D0_A8AA_0000C071AEE7_.wvu.PrintArea" localSheetId="5" hidden="1">#REF!</definedName>
    <definedName name="Z_9A428CE1_B4D9_11D0_A8AA_0000C071AEE7_.wvu.PrintArea" localSheetId="6" hidden="1">#REF!</definedName>
    <definedName name="Z_9A428CE1_B4D9_11D0_A8AA_0000C071AEE7_.wvu.PrintArea" localSheetId="9" hidden="1">#REF!</definedName>
    <definedName name="Z_9A428CE1_B4D9_11D0_A8AA_0000C071AEE7_.wvu.PrintArea" hidden="1">#REF!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localSheetId="6" hidden="1">[1]MASTER!#REF!,[1]MASTER!#REF!,[1]MASTER!#REF!,[1]MASTER!#REF!,[1]MASTER!#REF!,[1]MASTER!#REF!,[1]MASTER!#REF!,[1]MASTER!$A$98:$IV$272</definedName>
    <definedName name="Z_9A428CE1_B4D9_11D0_A8AA_0000C071AEE7_.wvu.Rows" localSheetId="9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24519"/>
</workbook>
</file>

<file path=xl/calcChain.xml><?xml version="1.0" encoding="utf-8"?>
<calcChain xmlns="http://schemas.openxmlformats.org/spreadsheetml/2006/main">
  <c r="H37" i="80"/>
  <c r="G37"/>
  <c r="H6" i="110" l="1"/>
  <c r="F6"/>
  <c r="D6"/>
  <c r="C10" i="112"/>
  <c r="C7"/>
  <c r="C4"/>
  <c r="F6" i="11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5"/>
  <c r="F23" i="109"/>
  <c r="G23"/>
  <c r="H23"/>
  <c r="I23"/>
  <c r="I5"/>
  <c r="I6"/>
  <c r="I7"/>
  <c r="I8"/>
  <c r="I9"/>
  <c r="I10"/>
  <c r="I11"/>
  <c r="I12"/>
  <c r="I13"/>
  <c r="I14"/>
  <c r="I15"/>
  <c r="I16"/>
  <c r="I17"/>
  <c r="I18"/>
  <c r="I19"/>
  <c r="I20"/>
  <c r="I21"/>
  <c r="I22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4"/>
  <c r="F34" i="103"/>
  <c r="G34"/>
  <c r="H34"/>
  <c r="I3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5"/>
  <c r="G43" i="107"/>
  <c r="H43"/>
  <c r="I43"/>
  <c r="J4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G28" i="106"/>
  <c r="H28"/>
  <c r="I28"/>
  <c r="J2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4"/>
  <c r="M28" i="80"/>
  <c r="M29"/>
  <c r="M30"/>
  <c r="M31"/>
  <c r="M32"/>
  <c r="M27"/>
  <c r="L32"/>
  <c r="L28"/>
  <c r="L29"/>
  <c r="L30"/>
  <c r="L31"/>
  <c r="L27"/>
  <c r="M20"/>
  <c r="M21"/>
  <c r="M22"/>
  <c r="M23"/>
  <c r="M24"/>
  <c r="M19"/>
  <c r="L24"/>
  <c r="L20"/>
  <c r="L21"/>
  <c r="L22"/>
  <c r="L23"/>
  <c r="L1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4"/>
  <c r="E37" l="1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4"/>
  <c r="O32" i="96"/>
  <c r="D32"/>
  <c r="E32"/>
  <c r="F32"/>
  <c r="G32"/>
  <c r="H32"/>
  <c r="I32"/>
  <c r="J32"/>
  <c r="K32"/>
  <c r="L32"/>
  <c r="M32"/>
  <c r="N32"/>
  <c r="C32"/>
  <c r="O31"/>
  <c r="C31"/>
  <c r="D31"/>
  <c r="E31"/>
  <c r="F31"/>
  <c r="G31"/>
  <c r="H31"/>
  <c r="I31"/>
  <c r="J31"/>
  <c r="K31"/>
  <c r="L31"/>
  <c r="M31"/>
  <c r="N3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L28" i="56"/>
  <c r="L29"/>
  <c r="L30"/>
  <c r="L31"/>
  <c r="L32"/>
  <c r="L27"/>
  <c r="K32"/>
  <c r="K28"/>
  <c r="K29"/>
  <c r="K30"/>
  <c r="K31"/>
  <c r="K27"/>
  <c r="L20"/>
  <c r="L21"/>
  <c r="L22"/>
  <c r="L23"/>
  <c r="L24"/>
  <c r="L19"/>
  <c r="K24"/>
  <c r="K20"/>
  <c r="K21"/>
  <c r="K22"/>
  <c r="K23"/>
  <c r="K19"/>
  <c r="F46"/>
  <c r="E46"/>
  <c r="E45"/>
  <c r="F45"/>
  <c r="G30"/>
  <c r="G31"/>
  <c r="G32"/>
  <c r="G33"/>
  <c r="G34"/>
  <c r="G35"/>
  <c r="G36"/>
  <c r="G37"/>
  <c r="G38"/>
  <c r="G39"/>
  <c r="G40"/>
  <c r="G41"/>
  <c r="G42"/>
  <c r="G43"/>
  <c r="G44"/>
  <c r="G29"/>
  <c r="G28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7"/>
  <c r="G4"/>
  <c r="G5"/>
  <c r="G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K21" i="88"/>
  <c r="K22"/>
  <c r="K23"/>
  <c r="K24"/>
  <c r="K25"/>
  <c r="K20"/>
  <c r="J25"/>
  <c r="J21"/>
  <c r="J22"/>
  <c r="J23"/>
  <c r="J24"/>
  <c r="J20"/>
  <c r="K13"/>
  <c r="K14"/>
  <c r="K15"/>
  <c r="K16"/>
  <c r="K17"/>
  <c r="K12"/>
  <c r="E37"/>
  <c r="F37"/>
  <c r="J17"/>
  <c r="J13"/>
  <c r="J14"/>
  <c r="J15"/>
  <c r="J16"/>
  <c r="J1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4"/>
  <c r="T21" i="105"/>
  <c r="T19"/>
  <c r="T17"/>
  <c r="T15"/>
  <c r="T13"/>
  <c r="E8"/>
</calcChain>
</file>

<file path=xl/comments1.xml><?xml version="1.0" encoding="utf-8"?>
<comments xmlns="http://schemas.openxmlformats.org/spreadsheetml/2006/main">
  <authors>
    <author>exoz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use vlookup or hlookup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use vlookup or hlookup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jumlah brg x hrg satuan</t>
        </r>
      </text>
    </comment>
  </commentList>
</comments>
</file>

<file path=xl/comments2.xml><?xml version="1.0" encoding="utf-8"?>
<comments xmlns="http://schemas.openxmlformats.org/spreadsheetml/2006/main">
  <authors>
    <author>exoz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use vlookup or hlookup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use vlookup or hlookup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jumlah brg x hrg satuan</t>
        </r>
      </text>
    </comment>
  </commentList>
</comments>
</file>

<file path=xl/comments3.xml><?xml version="1.0" encoding="utf-8"?>
<comments xmlns="http://schemas.openxmlformats.org/spreadsheetml/2006/main">
  <authors>
    <author>exoz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use vlookup or hlookup</t>
        </r>
      </text>
    </comment>
  </commentList>
</comments>
</file>

<file path=xl/comments4.xml><?xml version="1.0" encoding="utf-8"?>
<comments xmlns="http://schemas.openxmlformats.org/spreadsheetml/2006/main">
  <authors>
    <author>exoz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 xml:space="preserve">exoz:
</t>
        </r>
        <r>
          <rPr>
            <sz val="9"/>
            <color indexed="81"/>
            <rFont val="Tahoma"/>
            <family val="2"/>
          </rPr>
          <t>jml. Harga = hrg satuan x volume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jml harga - diskon</t>
        </r>
      </text>
    </comment>
  </commentList>
</comments>
</file>

<file path=xl/comments5.xml><?xml version="1.0" encoding="utf-8"?>
<comments xmlns="http://schemas.openxmlformats.org/spreadsheetml/2006/main">
  <authors>
    <author>exoz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 xml:space="preserve">exoz:
</t>
        </r>
        <r>
          <rPr>
            <sz val="9"/>
            <color indexed="81"/>
            <rFont val="Tahoma"/>
            <family val="2"/>
          </rPr>
          <t>jml. Harga = hrg satuan x volume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jml harga - diskon</t>
        </r>
      </text>
    </comment>
  </commentList>
</comments>
</file>

<file path=xl/comments6.xml><?xml version="1.0" encoding="utf-8"?>
<comments xmlns="http://schemas.openxmlformats.org/spreadsheetml/2006/main">
  <authors>
    <author>exoz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gunakan IF</t>
        </r>
      </text>
    </comment>
  </commentList>
</comments>
</file>

<file path=xl/comments7.xml><?xml version="1.0" encoding="utf-8"?>
<comments xmlns="http://schemas.openxmlformats.org/spreadsheetml/2006/main">
  <authors>
    <author>exoz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selesai - mulai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lama sewa * sewa/jam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diskon 10% </t>
        </r>
        <r>
          <rPr>
            <b/>
            <sz val="9"/>
            <color indexed="81"/>
            <rFont val="Tahoma"/>
            <family val="2"/>
          </rPr>
          <t>jika</t>
        </r>
        <r>
          <rPr>
            <sz val="9"/>
            <color indexed="81"/>
            <rFont val="Tahoma"/>
            <family val="2"/>
          </rPr>
          <t xml:space="preserve"> lama sewa &gt; 5 jam</t>
        </r>
      </text>
    </comment>
  </commentList>
</comments>
</file>

<file path=xl/comments8.xml><?xml version="1.0" encoding="utf-8"?>
<comments xmlns="http://schemas.openxmlformats.org/spreadsheetml/2006/main">
  <authors>
    <author>exoz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gunakan fungsi if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exoz:</t>
        </r>
        <r>
          <rPr>
            <sz val="9"/>
            <color indexed="81"/>
            <rFont val="Tahoma"/>
            <family val="2"/>
          </rPr>
          <t xml:space="preserve">
gunakan fungsi if
</t>
        </r>
      </text>
    </comment>
  </commentList>
</comments>
</file>

<file path=xl/sharedStrings.xml><?xml version="1.0" encoding="utf-8"?>
<sst xmlns="http://schemas.openxmlformats.org/spreadsheetml/2006/main" count="660" uniqueCount="283">
  <si>
    <t>NO</t>
  </si>
  <si>
    <t>TOTAL</t>
  </si>
  <si>
    <t>KODE</t>
  </si>
  <si>
    <t>NAMA</t>
  </si>
  <si>
    <t>E</t>
  </si>
  <si>
    <t>D</t>
  </si>
  <si>
    <t>C</t>
  </si>
  <si>
    <t>B</t>
  </si>
  <si>
    <t>A</t>
  </si>
  <si>
    <t>JUMLAH</t>
  </si>
  <si>
    <t>HARGA SATUAN</t>
  </si>
  <si>
    <t>kode</t>
  </si>
  <si>
    <t>nama barang</t>
  </si>
  <si>
    <t>harga</t>
  </si>
  <si>
    <t>F</t>
  </si>
  <si>
    <t>TOTAL PENJUALAN</t>
  </si>
  <si>
    <t>NAMA BARANG</t>
  </si>
  <si>
    <t>TGL</t>
  </si>
  <si>
    <t>BONUS</t>
  </si>
  <si>
    <t>DISKON</t>
  </si>
  <si>
    <t>TANGGAL</t>
  </si>
  <si>
    <t>JMLH BRG</t>
  </si>
  <si>
    <t>HRG BERSIH</t>
  </si>
  <si>
    <t>TAHUN</t>
  </si>
  <si>
    <t>PENJUALAN</t>
  </si>
  <si>
    <t>TOKO MAJU</t>
  </si>
  <si>
    <t xml:space="preserve">DAFTAR PENJUALAN </t>
  </si>
  <si>
    <t>No</t>
  </si>
  <si>
    <t>pembeli</t>
  </si>
  <si>
    <t>Nama barang</t>
  </si>
  <si>
    <t>Harga</t>
  </si>
  <si>
    <t>total</t>
  </si>
  <si>
    <t>diskon</t>
  </si>
  <si>
    <t>harga bersih</t>
  </si>
  <si>
    <t>yang lainnya tanpa diskon</t>
  </si>
  <si>
    <t>TIPE</t>
  </si>
  <si>
    <t>PENDAPATAN</t>
  </si>
  <si>
    <t>LEMBAGA PENDIDIKAN DAN PENGEMBANGAN PROFESI INDONESIA</t>
  </si>
  <si>
    <t>Sidoarjo</t>
  </si>
  <si>
    <t xml:space="preserve">  NIM</t>
  </si>
  <si>
    <t xml:space="preserve">  NAME</t>
  </si>
  <si>
    <t xml:space="preserve">  CLASS</t>
  </si>
  <si>
    <t xml:space="preserve">  PHONE</t>
  </si>
  <si>
    <t xml:space="preserve">  EMAIL</t>
  </si>
  <si>
    <t>NAMA PEMBELI</t>
  </si>
  <si>
    <t>HRG.SATUAN</t>
  </si>
  <si>
    <t>VOLUME</t>
  </si>
  <si>
    <t>JML.DIBAYAR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</si>
  <si>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</si>
  <si>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</si>
  <si>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</si>
  <si>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</si>
  <si>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</si>
  <si>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</si>
  <si>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</si>
  <si>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</si>
  <si>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</si>
  <si>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</si>
  <si>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</si>
  <si>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</si>
  <si>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</si>
  <si>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</si>
  <si>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</si>
  <si>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</si>
  <si>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</si>
  <si>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</si>
  <si>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</si>
  <si>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</si>
  <si>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pembelian</t>
  </si>
  <si>
    <t>PT. MAJU MAPAN</t>
  </si>
  <si>
    <t>TOKO MAJU MAPAN</t>
  </si>
  <si>
    <t>PERSENTASE</t>
  </si>
  <si>
    <t>%</t>
  </si>
  <si>
    <t>TOKO JAYA</t>
  </si>
  <si>
    <t>PEMBELI 1</t>
  </si>
  <si>
    <t>PEMBELI 2</t>
  </si>
  <si>
    <t>PEMBELI 3</t>
  </si>
  <si>
    <t>PEMBELI 4</t>
  </si>
  <si>
    <t>PEMBELI 5</t>
  </si>
  <si>
    <t>PEMBELI 6</t>
  </si>
  <si>
    <t>PEMBELI 7</t>
  </si>
  <si>
    <t>PEMBELI 8</t>
  </si>
  <si>
    <t>PEMBELI 9</t>
  </si>
  <si>
    <t>PEMBELI 10</t>
  </si>
  <si>
    <t>PEMBELI 11</t>
  </si>
  <si>
    <t>PEMBELI 12</t>
  </si>
  <si>
    <t>PEMBELI 13</t>
  </si>
  <si>
    <t>PEMBELI 14</t>
  </si>
  <si>
    <t>PEMBELI 15</t>
  </si>
  <si>
    <t>PEMBELI 16</t>
  </si>
  <si>
    <t>PEMBELI 17</t>
  </si>
  <si>
    <t>PEMBELI 18</t>
  </si>
  <si>
    <t>PEMBELI 19</t>
  </si>
  <si>
    <t>PEMBELI 20</t>
  </si>
  <si>
    <t>PEMBELI 21</t>
  </si>
  <si>
    <t>PEMBELI 22</t>
  </si>
  <si>
    <t>PEMBELI 23</t>
  </si>
  <si>
    <t>PEMBELI 24</t>
  </si>
  <si>
    <t>PEMBELI 25</t>
  </si>
  <si>
    <t>PEMBELI 26</t>
  </si>
  <si>
    <t>PEMBELI 27</t>
  </si>
  <si>
    <t>PEMBELI 28</t>
  </si>
  <si>
    <t>PEMBELI 29</t>
  </si>
  <si>
    <t>PEMBELI 30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</si>
  <si>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</si>
  <si>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</si>
  <si>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</si>
  <si>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</si>
  <si>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</si>
  <si>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</si>
  <si>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</si>
  <si>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</si>
  <si>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</si>
  <si>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</si>
  <si>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A1-B2</t>
  </si>
  <si>
    <t>A3-B5</t>
  </si>
  <si>
    <t>A2-B4</t>
  </si>
  <si>
    <t>A5-B1</t>
  </si>
  <si>
    <t>A4-B2</t>
  </si>
  <si>
    <t>A3-B3</t>
  </si>
  <si>
    <t>A5-B4</t>
  </si>
  <si>
    <t>A1-B1</t>
  </si>
  <si>
    <t>A2-B5</t>
  </si>
  <si>
    <t>A4-B1</t>
  </si>
  <si>
    <t>A1-B3</t>
  </si>
  <si>
    <t>A2-B3</t>
  </si>
  <si>
    <t>A5-B5</t>
  </si>
  <si>
    <t>BARANG</t>
  </si>
  <si>
    <t>PEMBELI 31</t>
  </si>
  <si>
    <t>PEMBELI 32</t>
  </si>
  <si>
    <t>PEMBELI 33</t>
  </si>
  <si>
    <t>PEMBELI 34</t>
  </si>
  <si>
    <t>PEMBELI 35</t>
  </si>
  <si>
    <t>PEMBELI 36</t>
  </si>
  <si>
    <t>PEMBELI 37</t>
  </si>
  <si>
    <t>K1</t>
  </si>
  <si>
    <t>K2</t>
  </si>
  <si>
    <t>K3</t>
  </si>
  <si>
    <t>K4</t>
  </si>
  <si>
    <t>K5</t>
  </si>
  <si>
    <t>K1-2</t>
  </si>
  <si>
    <t>K2-5</t>
  </si>
  <si>
    <t>K4-3</t>
  </si>
  <si>
    <t>K5-4</t>
  </si>
  <si>
    <t>K1-5</t>
  </si>
  <si>
    <t>K2-1</t>
  </si>
  <si>
    <t>K3-3</t>
  </si>
  <si>
    <t>K4-4</t>
  </si>
  <si>
    <t>K5-1</t>
  </si>
  <si>
    <t>K2-3</t>
  </si>
  <si>
    <t>K3-5</t>
  </si>
  <si>
    <t>K5-5</t>
  </si>
  <si>
    <t>K1-1</t>
  </si>
  <si>
    <t>K2-4</t>
  </si>
  <si>
    <t>K3-2</t>
  </si>
  <si>
    <t>T1</t>
  </si>
  <si>
    <t>T2</t>
  </si>
  <si>
    <t>T3</t>
  </si>
  <si>
    <t>T4</t>
  </si>
  <si>
    <t>T5</t>
  </si>
  <si>
    <t>K1-T1-2</t>
  </si>
  <si>
    <t>K2-T4-3</t>
  </si>
  <si>
    <t>K3-T2-5</t>
  </si>
  <si>
    <t>K4-T3-1</t>
  </si>
  <si>
    <t>K5-T4-4</t>
  </si>
  <si>
    <t>K1-T5-1</t>
  </si>
  <si>
    <t>K2-T1-2</t>
  </si>
  <si>
    <t>K3-T3-3</t>
  </si>
  <si>
    <t>K4-T4-5</t>
  </si>
  <si>
    <t>K5-T1-4</t>
  </si>
  <si>
    <t>K1-T2-3</t>
  </si>
  <si>
    <t>K2-T3-1</t>
  </si>
  <si>
    <t>K3-T5-5</t>
  </si>
  <si>
    <t>K4-T1-2</t>
  </si>
  <si>
    <t>K5-T5-3</t>
  </si>
  <si>
    <t>K1-T1-4</t>
  </si>
  <si>
    <t>K1-T2-1</t>
  </si>
  <si>
    <t>K2-T5-5</t>
  </si>
  <si>
    <t>K3-T5-4</t>
  </si>
  <si>
    <t>K4-T3-2</t>
  </si>
  <si>
    <t>K5-T4-3</t>
  </si>
  <si>
    <t>K1-T5-5</t>
  </si>
  <si>
    <t>K2-T1-1</t>
  </si>
  <si>
    <t>SEWA/JAM</t>
  </si>
  <si>
    <t>MULAI</t>
  </si>
  <si>
    <t>SELESAI</t>
  </si>
  <si>
    <t>LAMA
SEWA</t>
  </si>
  <si>
    <t>JML.BIAYA SEWA</t>
  </si>
  <si>
    <t>PENYEWA 1</t>
  </si>
  <si>
    <t>PENYEWA 2</t>
  </si>
  <si>
    <t>PENYEWA 3</t>
  </si>
  <si>
    <t>PENYEWA 4</t>
  </si>
  <si>
    <t>PENYEWA 5</t>
  </si>
  <si>
    <t>PENYEWA 6</t>
  </si>
  <si>
    <t>PENYEWA 7</t>
  </si>
  <si>
    <t>PENYEWA 8</t>
  </si>
  <si>
    <t>PENYEWA 9</t>
  </si>
  <si>
    <t>PENYEWA 10</t>
  </si>
  <si>
    <t>PENYEWA 11</t>
  </si>
  <si>
    <t>PENYEWA 12</t>
  </si>
  <si>
    <t>PENYEWA 13</t>
  </si>
  <si>
    <t>PENYEWA 14</t>
  </si>
  <si>
    <t>PENYEWA 15</t>
  </si>
  <si>
    <t>PENYEWA 16</t>
  </si>
  <si>
    <t>PENYEWA 17</t>
  </si>
  <si>
    <t>PENYEWA 18</t>
  </si>
  <si>
    <t>PENYEWA 19</t>
  </si>
  <si>
    <t>MILO</t>
  </si>
  <si>
    <t>BENDERA</t>
  </si>
  <si>
    <t>OVALTINE</t>
  </si>
  <si>
    <t>HI LO</t>
  </si>
  <si>
    <t>SUSTAGEN</t>
  </si>
  <si>
    <t>RASA</t>
  </si>
  <si>
    <t>MADU</t>
  </si>
  <si>
    <t>VANILA</t>
  </si>
  <si>
    <t>COKLAT</t>
  </si>
  <si>
    <t>STROBERI</t>
  </si>
  <si>
    <t>MANGGA</t>
  </si>
  <si>
    <t>RATA RATA</t>
  </si>
  <si>
    <t>KAOS</t>
  </si>
  <si>
    <t>VOUCHER</t>
  </si>
  <si>
    <t>MUG</t>
  </si>
  <si>
    <t>GELAS</t>
  </si>
  <si>
    <t>BONEKA</t>
  </si>
  <si>
    <t>K1-4</t>
  </si>
  <si>
    <t>K5-3</t>
  </si>
  <si>
    <t>PEMBELI 38</t>
  </si>
  <si>
    <t>PEMBELI 39</t>
  </si>
  <si>
    <t>K1-T5-2</t>
  </si>
  <si>
    <t>K2-T5-3</t>
  </si>
  <si>
    <t>K5-T5-5</t>
  </si>
  <si>
    <t>K3-T2-1</t>
  </si>
  <si>
    <t>diskon 14,8% dari total jika MEMBELI MILO</t>
  </si>
  <si>
    <t>MAJU MAPAN</t>
  </si>
  <si>
    <t>PESAN KESALAHAN DALAM MS EXCEL</t>
  </si>
  <si>
    <t>catatan :</t>
  </si>
  <si>
    <t>NAMA SISWA</t>
  </si>
  <si>
    <t>NILAI</t>
  </si>
  <si>
    <t>GRADE</t>
  </si>
  <si>
    <t>STATUS</t>
  </si>
  <si>
    <t>jika nilainya &lt; 45 grade e, status tidak lulus</t>
  </si>
  <si>
    <t>jika nilainya &lt; 55 grade d, status jelek</t>
  </si>
  <si>
    <t>jika nilainya &lt; 75 grade c, status BAIK</t>
  </si>
  <si>
    <t>jika nilainya &lt; 86 grade b, status KEREN</t>
  </si>
  <si>
    <t>jika nilainya &gt;=86 grade a, status WOW</t>
  </si>
  <si>
    <t>NILAI SISWA KELAS X</t>
  </si>
  <si>
    <t>SISWA 1</t>
  </si>
  <si>
    <t>SISWA 2</t>
  </si>
  <si>
    <t>SISWA 3</t>
  </si>
  <si>
    <t>SISWA 4</t>
  </si>
  <si>
    <t>SISWA 5</t>
  </si>
  <si>
    <t>SISWA 6</t>
  </si>
  <si>
    <t>SISWA 7</t>
  </si>
  <si>
    <t>SISWA 8</t>
  </si>
  <si>
    <t>SISWA 9</t>
  </si>
  <si>
    <t>SISWA 10</t>
  </si>
  <si>
    <t>SISWA 11</t>
  </si>
  <si>
    <t>SISWA 12</t>
  </si>
  <si>
    <t>SISWA 13</t>
  </si>
  <si>
    <t>SISWA 14</t>
  </si>
  <si>
    <t>SISWA 15</t>
  </si>
  <si>
    <t>SISWA 16</t>
  </si>
  <si>
    <t>SISWA 17</t>
  </si>
  <si>
    <t>SISWA 18</t>
  </si>
  <si>
    <t>SISWA 19</t>
  </si>
  <si>
    <t>SISWA 20</t>
  </si>
  <si>
    <t>SISWA 21</t>
  </si>
  <si>
    <t>SISWA 22</t>
  </si>
  <si>
    <t>SISWA 23</t>
  </si>
  <si>
    <t>SISWA 24</t>
  </si>
  <si>
    <t>SISWA 25</t>
  </si>
  <si>
    <t>SISWA 26</t>
  </si>
  <si>
    <t>SISWA 27</t>
  </si>
  <si>
    <t>Jawab</t>
  </si>
  <si>
    <t>Sebuah laptop dengan harga Rp 6.500.000,- dijual dengan diskon 10%. Berapa rupiahkah potongan harganya?</t>
  </si>
  <si>
    <t>Sebuah tas dengan harga Rp 500.000,- dijual dengan diskon 10%. Berapakah harga jual tas tersebut setelah di diskon?</t>
  </si>
  <si>
    <t>Sebuah baju dengan harga Rp 200.000,- dijual dengan diskon 10%. Berapa rupiahkah potongan harganya?</t>
  </si>
  <si>
    <t>Carilah pesan kesalahan dalam Microsoft Excel</t>
  </si>
  <si>
    <t>+</t>
  </si>
  <si>
    <t>muhammad ilham firnanda</t>
  </si>
  <si>
    <t>ic1701</t>
  </si>
  <si>
    <t>082131288/599</t>
  </si>
  <si>
    <t>ilhamlp3i.sda@gmail.com</t>
  </si>
</sst>
</file>

<file path=xl/styles.xml><?xml version="1.0" encoding="utf-8"?>
<styleSheet xmlns="http://schemas.openxmlformats.org/spreadsheetml/2006/main">
  <numFmts count="10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(* #,##0_);_(* \(#,##0\);_(* &quot;-&quot;??_);_(@_)"/>
    <numFmt numFmtId="169" formatCode="&quot; DISKON &quot;\ 0%"/>
    <numFmt numFmtId="170" formatCode="_([$Rp-421]* #,##0_);_([$Rp-421]* \(#,##0\);_([$Rp-421]* &quot;-&quot;??_);_(@_)"/>
  </numFmts>
  <fonts count="4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10"/>
      <name val="Times New Roman"/>
      <family val="1"/>
    </font>
    <font>
      <b/>
      <sz val="18"/>
      <color indexed="8"/>
      <name val="Cambria"/>
      <family val="1"/>
    </font>
    <font>
      <sz val="11"/>
      <color rgb="FF9C6500"/>
      <name val="Calibri"/>
      <family val="2"/>
      <charset val="1"/>
      <scheme val="minor"/>
    </font>
    <font>
      <u/>
      <sz val="12.65"/>
      <color theme="10"/>
      <name val="Calibri"/>
      <family val="2"/>
      <charset val="1"/>
    </font>
    <font>
      <sz val="11"/>
      <color theme="1"/>
      <name val="Calibri"/>
      <family val="2"/>
      <charset val="162"/>
      <scheme val="minor"/>
    </font>
    <font>
      <u/>
      <sz val="10"/>
      <color theme="10"/>
      <name val="Times New Roman"/>
      <family val="1"/>
    </font>
    <font>
      <sz val="1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theme="0"/>
      <name val="Garamond"/>
      <family val="1"/>
    </font>
    <font>
      <sz val="16"/>
      <color theme="0"/>
      <name val="Lucida Calligraphy"/>
      <family val="4"/>
    </font>
    <font>
      <sz val="11"/>
      <color theme="3" tint="-0.499984740745262"/>
      <name val="Calibri"/>
      <family val="2"/>
      <charset val="1"/>
      <scheme val="minor"/>
    </font>
    <font>
      <b/>
      <sz val="22"/>
      <color theme="3" tint="-0.499984740745262"/>
      <name val="Garamond"/>
      <family val="1"/>
      <charset val="162"/>
    </font>
    <font>
      <b/>
      <sz val="14"/>
      <color theme="3" tint="-0.499984740745262"/>
      <name val="Garamond"/>
      <family val="1"/>
      <charset val="162"/>
    </font>
    <font>
      <sz val="11"/>
      <color theme="1"/>
      <name val="Garamond"/>
      <family val="1"/>
      <charset val="162"/>
    </font>
    <font>
      <b/>
      <sz val="14"/>
      <color theme="6" tint="0.79998168889431442"/>
      <name val="Garamond"/>
      <family val="1"/>
      <charset val="162"/>
    </font>
    <font>
      <b/>
      <sz val="11"/>
      <color theme="3" tint="-0.499984740745262"/>
      <name val="Garamond"/>
      <family val="1"/>
      <charset val="162"/>
    </font>
    <font>
      <sz val="11"/>
      <color theme="0" tint="-0.34998626667073579"/>
      <name val="Garamond"/>
      <family val="1"/>
      <charset val="162"/>
    </font>
    <font>
      <b/>
      <sz val="11"/>
      <color theme="1"/>
      <name val="Garamond"/>
      <family val="1"/>
      <charset val="162"/>
    </font>
    <font>
      <b/>
      <sz val="14"/>
      <name val="Arial"/>
      <family val="2"/>
    </font>
    <font>
      <b/>
      <sz val="11"/>
      <color indexed="8"/>
      <name val="Calibri"/>
      <family val="2"/>
      <scheme val="minor"/>
    </font>
    <font>
      <b/>
      <i/>
      <sz val="10"/>
      <name val="Arial"/>
      <family val="2"/>
    </font>
    <font>
      <b/>
      <sz val="14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C6EFCE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4F3E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/>
      </patternFill>
    </fill>
    <fill>
      <patternFill patternType="lightDown"/>
    </fill>
    <fill>
      <patternFill patternType="lightDown">
        <bgColor theme="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2" tint="-0.24994659260841701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2" tint="-0.24994659260841701"/>
      </right>
      <top/>
      <bottom/>
      <diagonal/>
    </border>
    <border>
      <left style="medium">
        <color theme="0"/>
      </left>
      <right/>
      <top style="medium">
        <color theme="0"/>
      </top>
      <bottom style="thick">
        <color theme="2" tint="-9.9948118533890809E-2"/>
      </bottom>
      <diagonal/>
    </border>
    <border>
      <left/>
      <right/>
      <top style="medium">
        <color theme="0"/>
      </top>
      <bottom style="thick">
        <color theme="2" tint="-9.9948118533890809E-2"/>
      </bottom>
      <diagonal/>
    </border>
    <border>
      <left/>
      <right style="thick">
        <color theme="2" tint="-9.9948118533890809E-2"/>
      </right>
      <top style="medium">
        <color theme="0"/>
      </top>
      <bottom style="thick">
        <color theme="2" tint="-9.9948118533890809E-2"/>
      </bottom>
      <diagonal/>
    </border>
    <border>
      <left style="thick">
        <color theme="2" tint="-9.982604449598681E-2"/>
      </left>
      <right/>
      <top style="thick">
        <color theme="2" tint="-9.982604449598681E-2"/>
      </top>
      <bottom/>
      <diagonal/>
    </border>
    <border>
      <left/>
      <right/>
      <top style="thick">
        <color theme="2" tint="-9.982604449598681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thin">
        <color theme="2" tint="-9.9948118533890809E-2"/>
      </bottom>
      <diagonal/>
    </border>
    <border>
      <left style="thick">
        <color theme="0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  <border>
      <left/>
      <right/>
      <top style="medium">
        <color theme="2" tint="-9.9887081514938816E-2"/>
      </top>
      <bottom/>
      <diagonal/>
    </border>
    <border>
      <left/>
      <right/>
      <top style="thin">
        <color theme="2" tint="-9.9917600024414813E-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5">
    <xf numFmtId="0" fontId="0" fillId="0" borderId="0"/>
    <xf numFmtId="0" fontId="6" fillId="0" borderId="0"/>
    <xf numFmtId="0" fontId="10" fillId="3" borderId="0" applyNumberFormat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0" fillId="0" borderId="0"/>
    <xf numFmtId="0" fontId="10" fillId="0" borderId="0"/>
    <xf numFmtId="9" fontId="6" fillId="0" borderId="0" applyFont="0" applyFill="0" applyBorder="0" applyAlignment="0" applyProtection="0"/>
    <xf numFmtId="0" fontId="6" fillId="7" borderId="0"/>
    <xf numFmtId="16" fontId="11" fillId="0" borderId="0" applyNumberFormat="0" applyFont="0" applyFill="0" applyBorder="0">
      <alignment horizontal="left"/>
    </xf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0" fontId="2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ill="0" applyBorder="0" applyAlignment="0" applyProtection="0"/>
    <xf numFmtId="43" fontId="6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3" fillId="8" borderId="0" applyNumberFormat="0" applyBorder="0" applyAlignment="0" applyProtection="0"/>
    <xf numFmtId="0" fontId="2" fillId="0" borderId="0"/>
    <xf numFmtId="0" fontId="10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0" fillId="0" borderId="0"/>
    <xf numFmtId="0" fontId="2" fillId="0" borderId="0"/>
    <xf numFmtId="0" fontId="6" fillId="0" borderId="0"/>
    <xf numFmtId="0" fontId="19" fillId="0" borderId="0"/>
    <xf numFmtId="0" fontId="2" fillId="0" borderId="0"/>
    <xf numFmtId="0" fontId="15" fillId="0" borderId="0"/>
    <xf numFmtId="0" fontId="2" fillId="0" borderId="0"/>
    <xf numFmtId="0" fontId="16" fillId="0" borderId="0"/>
    <xf numFmtId="0" fontId="2" fillId="0" borderId="0"/>
    <xf numFmtId="0" fontId="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13" borderId="0" applyNumberFormat="0" applyBorder="0" applyAlignment="0" applyProtection="0"/>
    <xf numFmtId="0" fontId="1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41" fontId="6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23" fillId="0" borderId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41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6" fillId="0" borderId="0"/>
    <xf numFmtId="9" fontId="2" fillId="0" borderId="0" applyFont="0" applyFill="0" applyBorder="0" applyAlignment="0" applyProtection="0"/>
    <xf numFmtId="0" fontId="25" fillId="0" borderId="0" applyAlignment="0">
      <alignment horizontal="center" vertical="center"/>
    </xf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1" fillId="22" borderId="23"/>
    <xf numFmtId="0" fontId="6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2" fillId="5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3" fillId="23" borderId="0" applyNumberFormat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7" fillId="0" borderId="0" xfId="1" applyFont="1"/>
    <xf numFmtId="0" fontId="7" fillId="0" borderId="1" xfId="1" applyFont="1" applyBorder="1"/>
    <xf numFmtId="168" fontId="7" fillId="0" borderId="1" xfId="6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7" fillId="6" borderId="1" xfId="1" applyFont="1" applyFill="1" applyBorder="1"/>
    <xf numFmtId="41" fontId="7" fillId="6" borderId="1" xfId="62" quotePrefix="1" applyFont="1" applyFill="1" applyBorder="1"/>
    <xf numFmtId="41" fontId="7" fillId="6" borderId="1" xfId="1" applyNumberFormat="1" applyFont="1" applyFill="1" applyBorder="1"/>
    <xf numFmtId="37" fontId="7" fillId="6" borderId="1" xfId="1" applyNumberFormat="1" applyFont="1" applyFill="1" applyBorder="1"/>
    <xf numFmtId="0" fontId="0" fillId="0" borderId="1" xfId="0" applyBorder="1" applyAlignment="1">
      <alignment horizontal="center"/>
    </xf>
    <xf numFmtId="14" fontId="7" fillId="0" borderId="1" xfId="1" applyNumberFormat="1" applyFont="1" applyBorder="1"/>
    <xf numFmtId="0" fontId="5" fillId="0" borderId="0" xfId="0" applyFont="1"/>
    <xf numFmtId="0" fontId="12" fillId="0" borderId="0" xfId="1" applyFont="1"/>
    <xf numFmtId="9" fontId="7" fillId="0" borderId="1" xfId="1" applyNumberFormat="1" applyFont="1" applyBorder="1"/>
    <xf numFmtId="41" fontId="7" fillId="0" borderId="1" xfId="62" applyFont="1" applyFill="1" applyBorder="1"/>
    <xf numFmtId="41" fontId="7" fillId="0" borderId="1" xfId="62" applyFont="1" applyBorder="1"/>
    <xf numFmtId="0" fontId="7" fillId="0" borderId="1" xfId="1" applyFont="1" applyFill="1" applyBorder="1"/>
    <xf numFmtId="0" fontId="7" fillId="0" borderId="1" xfId="1" applyFont="1" applyFill="1" applyBorder="1" applyAlignment="1">
      <alignment horizontal="center"/>
    </xf>
    <xf numFmtId="0" fontId="7" fillId="0" borderId="0" xfId="1" applyFont="1" applyFill="1"/>
    <xf numFmtId="41" fontId="7" fillId="0" borderId="1" xfId="1" applyNumberFormat="1" applyFont="1" applyFill="1" applyBorder="1"/>
    <xf numFmtId="41" fontId="7" fillId="0" borderId="1" xfId="62" quotePrefix="1" applyFont="1" applyFill="1" applyBorder="1"/>
    <xf numFmtId="168" fontId="7" fillId="0" borderId="1" xfId="4" quotePrefix="1" applyNumberFormat="1" applyFont="1" applyFill="1" applyBorder="1"/>
    <xf numFmtId="14" fontId="7" fillId="0" borderId="1" xfId="1" applyNumberFormat="1" applyFont="1" applyFill="1" applyBorder="1"/>
    <xf numFmtId="0" fontId="7" fillId="6" borderId="1" xfId="1" applyFont="1" applyFill="1" applyBorder="1" applyAlignment="1" applyProtection="1">
      <alignment vertical="center"/>
      <protection locked="0"/>
    </xf>
    <xf numFmtId="41" fontId="0" fillId="0" borderId="1" xfId="0" applyNumberFormat="1" applyBorder="1"/>
    <xf numFmtId="0" fontId="5" fillId="0" borderId="0" xfId="0" applyFont="1" applyFill="1" applyBorder="1" applyAlignment="1">
      <alignment horizontal="center"/>
    </xf>
    <xf numFmtId="0" fontId="27" fillId="0" borderId="0" xfId="1" applyFont="1"/>
    <xf numFmtId="0" fontId="7" fillId="0" borderId="0" xfId="64" applyFont="1" applyFill="1"/>
    <xf numFmtId="0" fontId="2" fillId="0" borderId="0" xfId="114"/>
    <xf numFmtId="0" fontId="39" fillId="0" borderId="0" xfId="1" applyFont="1" applyProtection="1">
      <protection hidden="1"/>
    </xf>
    <xf numFmtId="0" fontId="6" fillId="0" borderId="0" xfId="1" applyProtection="1">
      <protection hidden="1"/>
    </xf>
    <xf numFmtId="0" fontId="6" fillId="0" borderId="0" xfId="1" applyProtection="1">
      <protection locked="0"/>
    </xf>
    <xf numFmtId="0" fontId="7" fillId="0" borderId="0" xfId="1" applyFont="1" applyProtection="1">
      <protection locked="0"/>
    </xf>
    <xf numFmtId="0" fontId="7" fillId="6" borderId="1" xfId="1" applyFont="1" applyFill="1" applyBorder="1" applyAlignment="1" applyProtection="1">
      <alignment horizontal="center" vertical="center"/>
      <protection locked="0"/>
    </xf>
    <xf numFmtId="0" fontId="7" fillId="6" borderId="1" xfId="1" applyFont="1" applyFill="1" applyBorder="1" applyAlignment="1" applyProtection="1">
      <alignment horizontal="center"/>
      <protection locked="0"/>
    </xf>
    <xf numFmtId="41" fontId="7" fillId="0" borderId="1" xfId="62" applyFont="1" applyBorder="1" applyProtection="1">
      <protection locked="0"/>
    </xf>
    <xf numFmtId="0" fontId="25" fillId="0" borderId="1" xfId="125" applyBorder="1" applyAlignment="1">
      <alignment horizontal="center"/>
    </xf>
    <xf numFmtId="41" fontId="7" fillId="0" borderId="1" xfId="62" applyFont="1" applyFill="1" applyBorder="1" applyAlignment="1">
      <alignment horizontal="center" vertical="center"/>
    </xf>
    <xf numFmtId="168" fontId="7" fillId="0" borderId="1" xfId="61" applyNumberFormat="1" applyFont="1" applyFill="1" applyBorder="1" applyAlignment="1">
      <alignment vertical="center"/>
    </xf>
    <xf numFmtId="0" fontId="25" fillId="0" borderId="1" xfId="125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" fillId="17" borderId="0" xfId="114" applyFill="1"/>
    <xf numFmtId="0" fontId="2" fillId="18" borderId="6" xfId="114" applyFill="1" applyBorder="1"/>
    <xf numFmtId="0" fontId="2" fillId="18" borderId="7" xfId="114" applyFill="1" applyBorder="1"/>
    <xf numFmtId="0" fontId="2" fillId="18" borderId="8" xfId="114" applyFill="1" applyBorder="1"/>
    <xf numFmtId="0" fontId="2" fillId="18" borderId="9" xfId="114" applyFill="1" applyBorder="1"/>
    <xf numFmtId="0" fontId="2" fillId="18" borderId="0" xfId="114" applyFill="1" applyBorder="1"/>
    <xf numFmtId="0" fontId="29" fillId="18" borderId="0" xfId="114" applyNumberFormat="1" applyFont="1" applyFill="1" applyBorder="1" applyAlignment="1">
      <alignment vertical="center"/>
    </xf>
    <xf numFmtId="0" fontId="30" fillId="18" borderId="0" xfId="114" applyFont="1" applyFill="1" applyBorder="1" applyAlignment="1">
      <alignment horizontal="left" vertical="top"/>
    </xf>
    <xf numFmtId="0" fontId="2" fillId="18" borderId="10" xfId="114" applyFill="1" applyBorder="1"/>
    <xf numFmtId="0" fontId="2" fillId="17" borderId="0" xfId="114" applyFill="1" applyBorder="1"/>
    <xf numFmtId="0" fontId="31" fillId="19" borderId="9" xfId="114" applyFont="1" applyFill="1" applyBorder="1"/>
    <xf numFmtId="0" fontId="32" fillId="19" borderId="0" xfId="114" applyFont="1" applyFill="1" applyBorder="1" applyAlignment="1">
      <alignment vertical="center"/>
    </xf>
    <xf numFmtId="0" fontId="33" fillId="19" borderId="0" xfId="114" applyFont="1" applyFill="1" applyBorder="1" applyAlignment="1">
      <alignment vertical="center"/>
    </xf>
    <xf numFmtId="0" fontId="32" fillId="19" borderId="0" xfId="114" applyFont="1" applyFill="1" applyBorder="1" applyAlignment="1">
      <alignment horizontal="left" vertical="center"/>
    </xf>
    <xf numFmtId="0" fontId="31" fillId="19" borderId="10" xfId="114" applyFont="1" applyFill="1" applyBorder="1"/>
    <xf numFmtId="0" fontId="2" fillId="20" borderId="9" xfId="114" applyFill="1" applyBorder="1"/>
    <xf numFmtId="0" fontId="34" fillId="20" borderId="0" xfId="114" applyFont="1" applyFill="1" applyBorder="1"/>
    <xf numFmtId="0" fontId="35" fillId="20" borderId="0" xfId="114" applyFont="1" applyFill="1" applyBorder="1" applyAlignment="1">
      <alignment vertical="center"/>
    </xf>
    <xf numFmtId="0" fontId="2" fillId="20" borderId="10" xfId="114" applyFill="1" applyBorder="1"/>
    <xf numFmtId="0" fontId="2" fillId="20" borderId="0" xfId="114" applyFill="1" applyBorder="1"/>
    <xf numFmtId="0" fontId="34" fillId="20" borderId="0" xfId="114" applyFont="1" applyFill="1"/>
    <xf numFmtId="0" fontId="37" fillId="20" borderId="0" xfId="114" applyFont="1" applyFill="1"/>
    <xf numFmtId="0" fontId="2" fillId="20" borderId="0" xfId="114" applyFill="1" applyBorder="1" applyAlignment="1">
      <alignment horizontal="left" indent="1"/>
    </xf>
    <xf numFmtId="0" fontId="38" fillId="20" borderId="0" xfId="114" applyFont="1" applyFill="1" applyBorder="1" applyAlignment="1">
      <alignment horizontal="left" indent="1"/>
    </xf>
    <xf numFmtId="0" fontId="34" fillId="20" borderId="0" xfId="114" applyFont="1" applyFill="1" applyBorder="1" applyAlignment="1">
      <alignment horizontal="left" indent="1"/>
    </xf>
    <xf numFmtId="0" fontId="34" fillId="20" borderId="16" xfId="114" applyFont="1" applyFill="1" applyBorder="1" applyAlignment="1">
      <alignment horizontal="left" indent="1"/>
    </xf>
    <xf numFmtId="0" fontId="38" fillId="20" borderId="21" xfId="114" applyFont="1" applyFill="1" applyBorder="1" applyAlignment="1">
      <alignment horizontal="left" indent="1"/>
    </xf>
    <xf numFmtId="0" fontId="38" fillId="20" borderId="22" xfId="114" applyFont="1" applyFill="1" applyBorder="1" applyAlignment="1">
      <alignment horizontal="left" indent="1"/>
    </xf>
    <xf numFmtId="14" fontId="34" fillId="20" borderId="17" xfId="114" applyNumberFormat="1" applyFont="1" applyFill="1" applyBorder="1" applyAlignment="1">
      <alignment horizontal="left" indent="1"/>
    </xf>
    <xf numFmtId="0" fontId="2" fillId="20" borderId="0" xfId="114" applyFill="1" applyBorder="1" applyAlignment="1"/>
    <xf numFmtId="0" fontId="38" fillId="20" borderId="21" xfId="114" applyFont="1" applyFill="1" applyBorder="1" applyAlignment="1">
      <alignment horizontal="left"/>
    </xf>
    <xf numFmtId="0" fontId="38" fillId="20" borderId="0" xfId="114" applyFont="1" applyFill="1" applyBorder="1" applyAlignment="1">
      <alignment horizontal="left"/>
    </xf>
    <xf numFmtId="14" fontId="34" fillId="20" borderId="0" xfId="114" applyNumberFormat="1" applyFont="1" applyFill="1" applyBorder="1" applyAlignment="1">
      <alignment horizontal="left"/>
    </xf>
    <xf numFmtId="0" fontId="2" fillId="20" borderId="0" xfId="114" applyFill="1"/>
    <xf numFmtId="0" fontId="34" fillId="20" borderId="0" xfId="114" applyFont="1" applyFill="1" applyBorder="1" applyAlignment="1">
      <alignment horizontal="left"/>
    </xf>
    <xf numFmtId="0" fontId="2" fillId="20" borderId="18" xfId="114" applyFill="1" applyBorder="1"/>
    <xf numFmtId="0" fontId="2" fillId="20" borderId="19" xfId="114" applyFill="1" applyBorder="1"/>
    <xf numFmtId="0" fontId="2" fillId="20" borderId="20" xfId="114" applyFill="1" applyBorder="1"/>
    <xf numFmtId="0" fontId="2" fillId="21" borderId="0" xfId="114" applyFill="1"/>
    <xf numFmtId="37" fontId="7" fillId="0" borderId="1" xfId="1" applyNumberFormat="1" applyFont="1" applyFill="1" applyBorder="1"/>
    <xf numFmtId="0" fontId="28" fillId="0" borderId="0" xfId="1" applyFont="1" applyFill="1"/>
    <xf numFmtId="0" fontId="28" fillId="0" borderId="0" xfId="1" applyFont="1" applyFill="1" applyAlignment="1">
      <alignment horizontal="center"/>
    </xf>
    <xf numFmtId="0" fontId="40" fillId="0" borderId="0" xfId="1" applyFont="1" applyFill="1"/>
    <xf numFmtId="170" fontId="40" fillId="0" borderId="0" xfId="1" applyNumberFormat="1" applyFont="1" applyFill="1"/>
    <xf numFmtId="0" fontId="28" fillId="0" borderId="1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left" vertical="center" indent="1"/>
    </xf>
    <xf numFmtId="20" fontId="28" fillId="0" borderId="1" xfId="1" applyNumberFormat="1" applyFont="1" applyFill="1" applyBorder="1" applyAlignment="1">
      <alignment horizontal="center" vertical="center"/>
    </xf>
    <xf numFmtId="170" fontId="28" fillId="0" borderId="1" xfId="1" applyNumberFormat="1" applyFont="1" applyFill="1" applyBorder="1" applyAlignment="1">
      <alignment vertical="center"/>
    </xf>
    <xf numFmtId="170" fontId="28" fillId="0" borderId="1" xfId="4" applyNumberFormat="1" applyFont="1" applyFill="1" applyBorder="1" applyAlignment="1">
      <alignment vertical="center"/>
    </xf>
    <xf numFmtId="0" fontId="28" fillId="0" borderId="0" xfId="1" applyFont="1" applyFill="1" applyAlignment="1">
      <alignment vertical="center"/>
    </xf>
    <xf numFmtId="170" fontId="12" fillId="0" borderId="1" xfId="1" applyNumberFormat="1" applyFont="1" applyFill="1" applyBorder="1" applyAlignment="1">
      <alignment vertical="center"/>
    </xf>
    <xf numFmtId="0" fontId="0" fillId="24" borderId="1" xfId="0" applyFill="1" applyBorder="1"/>
    <xf numFmtId="0" fontId="0" fillId="0" borderId="0" xfId="0" applyAlignment="1">
      <alignment horizontal="center"/>
    </xf>
    <xf numFmtId="0" fontId="3" fillId="23" borderId="1" xfId="143" applyBorder="1" applyAlignment="1">
      <alignment horizontal="center" vertical="center"/>
    </xf>
    <xf numFmtId="0" fontId="3" fillId="23" borderId="1" xfId="143" applyBorder="1" applyAlignment="1">
      <alignment horizontal="center"/>
    </xf>
    <xf numFmtId="0" fontId="3" fillId="23" borderId="1" xfId="143" applyNumberFormat="1" applyBorder="1" applyAlignment="1">
      <alignment horizontal="center"/>
    </xf>
    <xf numFmtId="0" fontId="3" fillId="23" borderId="5" xfId="143" applyBorder="1" applyAlignment="1">
      <alignment horizontal="center"/>
    </xf>
    <xf numFmtId="0" fontId="3" fillId="23" borderId="4" xfId="143" applyBorder="1" applyAlignment="1">
      <alignment horizontal="center"/>
    </xf>
    <xf numFmtId="0" fontId="3" fillId="23" borderId="4" xfId="143" applyNumberFormat="1" applyBorder="1" applyAlignment="1">
      <alignment horizontal="center"/>
    </xf>
    <xf numFmtId="37" fontId="7" fillId="25" borderId="1" xfId="1" applyNumberFormat="1" applyFont="1" applyFill="1" applyBorder="1"/>
    <xf numFmtId="0" fontId="3" fillId="23" borderId="1" xfId="143" applyBorder="1" applyAlignment="1" applyProtection="1">
      <alignment horizontal="center" vertical="center"/>
      <protection locked="0"/>
    </xf>
    <xf numFmtId="169" fontId="3" fillId="23" borderId="1" xfId="143" applyNumberFormat="1" applyBorder="1" applyAlignment="1" applyProtection="1">
      <alignment horizontal="center" vertical="center"/>
      <protection locked="0"/>
    </xf>
    <xf numFmtId="0" fontId="3" fillId="23" borderId="1" xfId="143" applyBorder="1" applyAlignment="1" applyProtection="1">
      <alignment horizontal="center"/>
      <protection locked="0"/>
    </xf>
    <xf numFmtId="0" fontId="0" fillId="0" borderId="1" xfId="0" applyNumberFormat="1" applyBorder="1"/>
    <xf numFmtId="0" fontId="0" fillId="24" borderId="1" xfId="0" applyNumberFormat="1" applyFill="1" applyBorder="1"/>
    <xf numFmtId="0" fontId="0" fillId="0" borderId="0" xfId="0" applyNumberFormat="1"/>
    <xf numFmtId="0" fontId="3" fillId="23" borderId="1" xfId="143" applyBorder="1" applyAlignment="1">
      <alignment horizontal="center" wrapText="1"/>
    </xf>
    <xf numFmtId="0" fontId="2" fillId="0" borderId="0" xfId="17"/>
    <xf numFmtId="0" fontId="4" fillId="0" borderId="0" xfId="17" applyFont="1"/>
    <xf numFmtId="0" fontId="2" fillId="0" borderId="0" xfId="17" applyAlignment="1">
      <alignment horizontal="center"/>
    </xf>
    <xf numFmtId="0" fontId="2" fillId="0" borderId="1" xfId="17" applyBorder="1"/>
    <xf numFmtId="0" fontId="6" fillId="0" borderId="0" xfId="88"/>
    <xf numFmtId="41" fontId="7" fillId="6" borderId="1" xfId="62" applyFont="1" applyFill="1" applyBorder="1"/>
    <xf numFmtId="9" fontId="7" fillId="0" borderId="1" xfId="144" applyFont="1" applyBorder="1"/>
    <xf numFmtId="9" fontId="7" fillId="0" borderId="1" xfId="144" applyFont="1" applyFill="1" applyBorder="1" applyAlignment="1">
      <alignment vertical="center"/>
    </xf>
    <xf numFmtId="9" fontId="7" fillId="0" borderId="1" xfId="144" applyFont="1" applyFill="1" applyBorder="1" applyAlignment="1">
      <alignment horizontal="center" vertical="center"/>
    </xf>
    <xf numFmtId="41" fontId="0" fillId="0" borderId="1" xfId="62" applyFont="1" applyBorder="1"/>
    <xf numFmtId="41" fontId="3" fillId="23" borderId="1" xfId="62" applyFont="1" applyFill="1" applyBorder="1"/>
    <xf numFmtId="41" fontId="28" fillId="0" borderId="1" xfId="62" applyFont="1" applyFill="1" applyBorder="1" applyAlignment="1">
      <alignment horizontal="right" vertical="center"/>
    </xf>
    <xf numFmtId="41" fontId="28" fillId="0" borderId="1" xfId="142" applyNumberFormat="1" applyFont="1" applyFill="1" applyBorder="1" applyAlignment="1">
      <alignment horizontal="right" vertical="center"/>
    </xf>
    <xf numFmtId="41" fontId="0" fillId="17" borderId="0" xfId="62" applyFont="1" applyFill="1"/>
    <xf numFmtId="49" fontId="0" fillId="0" borderId="0" xfId="0" applyNumberFormat="1"/>
    <xf numFmtId="0" fontId="1" fillId="0" borderId="1" xfId="0" applyFont="1" applyBorder="1"/>
    <xf numFmtId="0" fontId="36" fillId="20" borderId="11" xfId="114" applyFont="1" applyFill="1" applyBorder="1" applyAlignment="1">
      <alignment horizontal="left"/>
    </xf>
    <xf numFmtId="0" fontId="36" fillId="20" borderId="12" xfId="114" applyFont="1" applyFill="1" applyBorder="1" applyAlignment="1">
      <alignment horizontal="left"/>
    </xf>
    <xf numFmtId="0" fontId="36" fillId="20" borderId="13" xfId="114" applyFont="1" applyFill="1" applyBorder="1" applyAlignment="1">
      <alignment horizontal="left"/>
    </xf>
    <xf numFmtId="0" fontId="34" fillId="16" borderId="14" xfId="114" applyFont="1" applyFill="1" applyBorder="1" applyAlignment="1" applyProtection="1">
      <alignment horizontal="left" indent="1"/>
      <protection locked="0"/>
    </xf>
    <xf numFmtId="0" fontId="34" fillId="16" borderId="15" xfId="114" applyFont="1" applyFill="1" applyBorder="1" applyAlignment="1" applyProtection="1">
      <alignment horizontal="left" indent="1"/>
      <protection locked="0"/>
    </xf>
    <xf numFmtId="0" fontId="29" fillId="18" borderId="0" xfId="114" applyNumberFormat="1" applyFont="1" applyFill="1" applyBorder="1" applyAlignment="1">
      <alignment horizontal="center" vertical="center"/>
    </xf>
    <xf numFmtId="0" fontId="29" fillId="18" borderId="10" xfId="114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/>
    </xf>
    <xf numFmtId="0" fontId="12" fillId="0" borderId="3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6" borderId="3" xfId="1" applyFont="1" applyFill="1" applyBorder="1" applyAlignment="1">
      <alignment horizontal="center"/>
    </xf>
    <xf numFmtId="0" fontId="12" fillId="6" borderId="4" xfId="1" applyFont="1" applyFill="1" applyBorder="1" applyAlignment="1">
      <alignment horizontal="center"/>
    </xf>
    <xf numFmtId="0" fontId="3" fillId="23" borderId="1" xfId="143" applyBorder="1" applyAlignment="1">
      <alignment horizontal="center" vertical="center"/>
    </xf>
    <xf numFmtId="0" fontId="14" fillId="0" borderId="0" xfId="64" applyFont="1" applyFill="1" applyAlignment="1">
      <alignment horizontal="center" vertical="center"/>
    </xf>
    <xf numFmtId="0" fontId="3" fillId="23" borderId="1" xfId="143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40" fillId="0" borderId="2" xfId="1" applyFont="1" applyFill="1" applyBorder="1" applyAlignment="1" applyProtection="1">
      <alignment horizontal="center" vertical="center"/>
      <protection locked="0"/>
    </xf>
    <xf numFmtId="0" fontId="40" fillId="0" borderId="3" xfId="1" applyFont="1" applyFill="1" applyBorder="1" applyAlignment="1" applyProtection="1">
      <alignment horizontal="center" vertical="center"/>
      <protection locked="0"/>
    </xf>
    <xf numFmtId="0" fontId="40" fillId="0" borderId="4" xfId="1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2" fillId="0" borderId="0" xfId="1" applyFont="1" applyFill="1" applyAlignment="1">
      <alignment horizontal="center"/>
    </xf>
    <xf numFmtId="0" fontId="12" fillId="0" borderId="1" xfId="1" applyFont="1" applyFill="1" applyBorder="1" applyAlignment="1">
      <alignment horizontal="center" vertical="center"/>
    </xf>
  </cellXfs>
  <cellStyles count="145">
    <cellStyle name="20% - Accent1 2" xfId="2"/>
    <cellStyle name="40% - Accent2 2" xfId="79"/>
    <cellStyle name="40% - Accent3 2" xfId="80"/>
    <cellStyle name="40% - Accent5 2" xfId="18"/>
    <cellStyle name="40% - Accent5 2 2" xfId="106"/>
    <cellStyle name="40% - Accent5 2 2 2" xfId="107"/>
    <cellStyle name="40% - Accent5 2 3" xfId="134"/>
    <cellStyle name="60% - Accent1 2" xfId="19"/>
    <cellStyle name="Accent1 2" xfId="20"/>
    <cellStyle name="Accent2 2" xfId="63"/>
    <cellStyle name="Accent6" xfId="143" builtinId="49"/>
    <cellStyle name="Comma [0]" xfId="62" builtinId="6"/>
    <cellStyle name="Comma [0] 10" xfId="81"/>
    <cellStyle name="Comma [0] 11" xfId="108"/>
    <cellStyle name="Comma [0] 12" xfId="109"/>
    <cellStyle name="Comma [0] 13" xfId="127"/>
    <cellStyle name="Comma [0] 13 2" xfId="142"/>
    <cellStyle name="Comma [0] 14" xfId="135"/>
    <cellStyle name="Comma [0] 15" xfId="136"/>
    <cellStyle name="Comma [0] 2" xfId="3"/>
    <cellStyle name="Comma [0] 2 2" xfId="21"/>
    <cellStyle name="Comma [0] 2 2 2" xfId="82"/>
    <cellStyle name="Comma [0] 2 3" xfId="22"/>
    <cellStyle name="Comma [0] 2 4" xfId="83"/>
    <cellStyle name="Comma [0] 2 5" xfId="84"/>
    <cellStyle name="Comma [0] 3" xfId="23"/>
    <cellStyle name="Comma [0] 3 2" xfId="71"/>
    <cellStyle name="Comma [0] 4" xfId="24"/>
    <cellStyle name="Comma [0] 5" xfId="25"/>
    <cellStyle name="Comma [0] 5 2" xfId="72"/>
    <cellStyle name="Comma [0] 6" xfId="26"/>
    <cellStyle name="Comma [0] 6 2" xfId="73"/>
    <cellStyle name="Comma [0] 7" xfId="27"/>
    <cellStyle name="Comma [0] 8" xfId="28"/>
    <cellStyle name="Comma [0] 8 2" xfId="85"/>
    <cellStyle name="Comma [0] 9" xfId="86"/>
    <cellStyle name="Comma [0] 9 2" xfId="110"/>
    <cellStyle name="Comma 2" xfId="4"/>
    <cellStyle name="Comma 2 2" xfId="65"/>
    <cellStyle name="Comma 3" xfId="5"/>
    <cellStyle name="Comma 3 2" xfId="61"/>
    <cellStyle name="Comma 4" xfId="29"/>
    <cellStyle name="Comma 5" xfId="30"/>
    <cellStyle name="Comma 6" xfId="31"/>
    <cellStyle name="Comma 7" xfId="32"/>
    <cellStyle name="Comma 7 2" xfId="74"/>
    <cellStyle name="Comma 8" xfId="66"/>
    <cellStyle name="Comma 9" xfId="128"/>
    <cellStyle name="Currency [0] 2" xfId="33"/>
    <cellStyle name="Currency [0] 3" xfId="34"/>
    <cellStyle name="Dezimal [0]_Compiling Utility Macros" xfId="6"/>
    <cellStyle name="Dezimal_Compiling Utility Macros" xfId="7"/>
    <cellStyle name="Emphasis 1" xfId="35"/>
    <cellStyle name="Emphasis 2" xfId="36"/>
    <cellStyle name="Emphasis 3" xfId="37"/>
    <cellStyle name="Good 2" xfId="38"/>
    <cellStyle name="Good 2 2" xfId="39"/>
    <cellStyle name="Hyperlink 2" xfId="87"/>
    <cellStyle name="Hyperlink 2 2" xfId="111"/>
    <cellStyle name="Hyperlink 3" xfId="112"/>
    <cellStyle name="MyBlue" xfId="129"/>
    <cellStyle name="Neutral 2" xfId="59"/>
    <cellStyle name="Normal" xfId="0" builtinId="0"/>
    <cellStyle name="Normal 10" xfId="40"/>
    <cellStyle name="Normal 11" xfId="88"/>
    <cellStyle name="Normal 11 2" xfId="113"/>
    <cellStyle name="Normal 12" xfId="89"/>
    <cellStyle name="Normal 13" xfId="90"/>
    <cellStyle name="Normal 13 2" xfId="91"/>
    <cellStyle name="Normal 13 2 2" xfId="114"/>
    <cellStyle name="Normal 13 2 2 2" xfId="137"/>
    <cellStyle name="Normal 13 2 2 3" xfId="138"/>
    <cellStyle name="Normal 14" xfId="92"/>
    <cellStyle name="Normal 15" xfId="93"/>
    <cellStyle name="Normal 16" xfId="115"/>
    <cellStyle name="Normal 16 2" xfId="116"/>
    <cellStyle name="Normal 16 2 2" xfId="139"/>
    <cellStyle name="Normal 17" xfId="117"/>
    <cellStyle name="Normal 18" xfId="118"/>
    <cellStyle name="Normal 19" xfId="130"/>
    <cellStyle name="Normal 2" xfId="8"/>
    <cellStyle name="Normal 2 2" xfId="1"/>
    <cellStyle name="Normal 2 2 2" xfId="15"/>
    <cellStyle name="Normal 2 2 2 2" xfId="16"/>
    <cellStyle name="Normal 2 2 2 2 2" xfId="41"/>
    <cellStyle name="Normal 2 2 2 2 2 2" xfId="42"/>
    <cellStyle name="Normal 2 2 2 3" xfId="64"/>
    <cellStyle name="Normal 2 3" xfId="17"/>
    <cellStyle name="Normal 2 3 2" xfId="43"/>
    <cellStyle name="Normal 2 3 3" xfId="75"/>
    <cellStyle name="Normal 2 3 3 2" xfId="76"/>
    <cellStyle name="Normal 2 3 3 3" xfId="94"/>
    <cellStyle name="Normal 2 3 3 3 2" xfId="119"/>
    <cellStyle name="Normal 2 3 3 4" xfId="95"/>
    <cellStyle name="Normal 2 3 4" xfId="77"/>
    <cellStyle name="Normal 2 3 5" xfId="70"/>
    <cellStyle name="Normal 2 3 5 2" xfId="96"/>
    <cellStyle name="Normal 2 3 6" xfId="97"/>
    <cellStyle name="Normal 2 3 7" xfId="98"/>
    <cellStyle name="Normal 2 3 8" xfId="120"/>
    <cellStyle name="Normal 2 3 8 2" xfId="140"/>
    <cellStyle name="Normal 2 3 9" xfId="121"/>
    <cellStyle name="Normal 2 4" xfId="44"/>
    <cellStyle name="Normal 2 4 2" xfId="67"/>
    <cellStyle name="Normal 2 4 3" xfId="99"/>
    <cellStyle name="Normal 2 5" xfId="60"/>
    <cellStyle name="Normal 2 6" xfId="105"/>
    <cellStyle name="Normal 2 6 2" xfId="122"/>
    <cellStyle name="Normal 20" xfId="131"/>
    <cellStyle name="Normal 21" xfId="141"/>
    <cellStyle name="Normal 3" xfId="9"/>
    <cellStyle name="Normal 3 2" xfId="45"/>
    <cellStyle name="Normal 3 2 2" xfId="46"/>
    <cellStyle name="Normal 3 2 3" xfId="103"/>
    <cellStyle name="Normal 3 3" xfId="47"/>
    <cellStyle name="Normal 3 3 2" xfId="100"/>
    <cellStyle name="Normal 3 4" xfId="68"/>
    <cellStyle name="Normal 3 5" xfId="132"/>
    <cellStyle name="Normal 4" xfId="48"/>
    <cellStyle name="Normal 4 2" xfId="49"/>
    <cellStyle name="Normal 5" xfId="50"/>
    <cellStyle name="Normal 5 2" xfId="78"/>
    <cellStyle name="Normal 6" xfId="51"/>
    <cellStyle name="Normal 6 2" xfId="52"/>
    <cellStyle name="Normal 6 3" xfId="69"/>
    <cellStyle name="Normal 6 4" xfId="101"/>
    <cellStyle name="Normal 6 5" xfId="104"/>
    <cellStyle name="Normal 6 5 2" xfId="126"/>
    <cellStyle name="Normal 7" xfId="53"/>
    <cellStyle name="Normal 8" xfId="54"/>
    <cellStyle name="Normal 9" xfId="55"/>
    <cellStyle name="Normal 9 2" xfId="123"/>
    <cellStyle name="NORMAL Q" xfId="125"/>
    <cellStyle name="Percent" xfId="144" builtinId="5"/>
    <cellStyle name="Percent 2" xfId="10"/>
    <cellStyle name="Percent 2 2" xfId="56"/>
    <cellStyle name="Percent 2 3" xfId="102"/>
    <cellStyle name="Percent 3" xfId="57"/>
    <cellStyle name="Percent 4" xfId="124"/>
    <cellStyle name="Percent 5" xfId="133"/>
    <cellStyle name="Sheet Title" xfId="58"/>
    <cellStyle name="Standard_Anpassen der Amortisation" xfId="11"/>
    <cellStyle name="update" xfId="12"/>
    <cellStyle name="Währung [0]_Compiling Utility Macros" xfId="13"/>
    <cellStyle name="Währung_Compiling Utility Macros" xfId="14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102290</xdr:colOff>
      <xdr:row>1</xdr:row>
      <xdr:rowOff>171449</xdr:rowOff>
    </xdr:from>
    <xdr:to>
      <xdr:col>3</xdr:col>
      <xdr:colOff>267692</xdr:colOff>
      <xdr:row>7</xdr:row>
      <xdr:rowOff>142875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26165" y="361949"/>
          <a:ext cx="1070277" cy="1095376"/>
        </a:xfrm>
        <a:prstGeom prst="rect">
          <a:avLst/>
        </a:prstGeom>
      </xdr:spPr>
    </xdr:pic>
    <xdr:clientData/>
  </xdr:twoCellAnchor>
  <xdr:twoCellAnchor editAs="oneCell">
    <xdr:from>
      <xdr:col>19</xdr:col>
      <xdr:colOff>631031</xdr:colOff>
      <xdr:row>20</xdr:row>
      <xdr:rowOff>41672</xdr:rowOff>
    </xdr:from>
    <xdr:to>
      <xdr:col>20</xdr:col>
      <xdr:colOff>803671</xdr:colOff>
      <xdr:row>25</xdr:row>
      <xdr:rowOff>190501</xdr:rowOff>
    </xdr:to>
    <xdr:pic>
      <xdr:nvPicPr>
        <xdr:cNvPr id="3" name="Picture 2" descr="9c0248b3302ea017dfdf0f700760200aa0ad705e-151978044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41481" y="3480197"/>
          <a:ext cx="934640" cy="8822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6"/>
  <sheetViews>
    <sheetView showGridLines="0" showRowColHeaders="0" tabSelected="1" workbookViewId="0">
      <selection activeCell="G21" sqref="G21:R21"/>
    </sheetView>
  </sheetViews>
  <sheetFormatPr defaultColWidth="0" defaultRowHeight="0" customHeight="1" zeroHeight="1"/>
  <cols>
    <col min="1" max="1" width="7.85546875" style="29" customWidth="1"/>
    <col min="2" max="2" width="9.140625" style="29" customWidth="1"/>
    <col min="3" max="4" width="4.42578125" style="29" customWidth="1"/>
    <col min="5" max="5" width="10.85546875" style="29" customWidth="1"/>
    <col min="6" max="6" width="4.42578125" style="29" customWidth="1"/>
    <col min="7" max="7" width="5" style="29" customWidth="1"/>
    <col min="8" max="8" width="9.140625" style="29" customWidth="1"/>
    <col min="9" max="9" width="6.7109375" style="29" customWidth="1"/>
    <col min="10" max="10" width="5.85546875" style="29" customWidth="1"/>
    <col min="11" max="11" width="1.140625" style="29" customWidth="1"/>
    <col min="12" max="16" width="5.28515625" style="29" customWidth="1"/>
    <col min="17" max="17" width="7.7109375" style="29" customWidth="1"/>
    <col min="18" max="18" width="5.28515625" style="29" customWidth="1"/>
    <col min="19" max="19" width="2.7109375" style="29" customWidth="1"/>
    <col min="20" max="20" width="11.42578125" style="29" customWidth="1"/>
    <col min="21" max="21" width="12.42578125" style="29" customWidth="1"/>
    <col min="22" max="22" width="8" style="29" customWidth="1"/>
    <col min="23" max="27" width="0" style="29" hidden="1" customWidth="1"/>
    <col min="28" max="16384" width="9.140625" style="29" hidden="1"/>
  </cols>
  <sheetData>
    <row r="1" spans="1:22" ht="1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ht="15.75" customHeight="1" thickTop="1">
      <c r="A3" s="42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2"/>
    </row>
    <row r="4" spans="1:22" ht="11.25" customHeight="1">
      <c r="A4" s="42"/>
      <c r="B4" s="46"/>
      <c r="C4" s="47"/>
      <c r="D4" s="130" t="s">
        <v>37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1"/>
      <c r="V4" s="42"/>
    </row>
    <row r="5" spans="1:22" ht="17.25" customHeight="1">
      <c r="A5" s="42"/>
      <c r="B5" s="46"/>
      <c r="C5" s="48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1"/>
      <c r="V5" s="42"/>
    </row>
    <row r="6" spans="1:22" ht="21.75">
      <c r="A6" s="42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9" t="s">
        <v>38</v>
      </c>
      <c r="U6" s="50"/>
      <c r="V6" s="42"/>
    </row>
    <row r="7" spans="1:22" ht="7.5" customHeight="1">
      <c r="A7" s="42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50"/>
      <c r="V7" s="51"/>
    </row>
    <row r="8" spans="1:22" ht="26.25" customHeight="1">
      <c r="A8" s="42"/>
      <c r="B8" s="52"/>
      <c r="C8" s="53"/>
      <c r="D8" s="54"/>
      <c r="E8" s="55" t="str">
        <f>IF(G15="","",G15&amp;" "&amp;G17)</f>
        <v>muhammad ilham firnanda ic1701</v>
      </c>
      <c r="F8" s="53"/>
      <c r="G8" s="53"/>
      <c r="H8" s="53"/>
      <c r="I8" s="53"/>
      <c r="J8" s="53"/>
      <c r="K8" s="54"/>
      <c r="L8" s="54"/>
      <c r="M8" s="54"/>
      <c r="N8" s="54"/>
      <c r="O8" s="54"/>
      <c r="P8" s="54"/>
      <c r="Q8" s="54"/>
      <c r="R8" s="54"/>
      <c r="S8" s="54"/>
      <c r="T8" s="54"/>
      <c r="U8" s="56"/>
      <c r="V8" s="51"/>
    </row>
    <row r="9" spans="1:22" ht="9" customHeight="1">
      <c r="A9" s="42"/>
      <c r="B9" s="57"/>
      <c r="C9" s="58"/>
      <c r="D9" s="58"/>
      <c r="E9" s="58"/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60"/>
      <c r="V9" s="51"/>
    </row>
    <row r="10" spans="1:22" ht="9" customHeight="1">
      <c r="A10" s="42"/>
      <c r="B10" s="57"/>
      <c r="C10" s="58"/>
      <c r="D10" s="58"/>
      <c r="E10" s="58"/>
      <c r="F10" s="58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60"/>
      <c r="V10" s="51"/>
    </row>
    <row r="11" spans="1:22" ht="15" customHeight="1">
      <c r="A11" s="42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60"/>
      <c r="V11" s="42"/>
    </row>
    <row r="12" spans="1:22" ht="15.75" customHeight="1" thickBot="1">
      <c r="A12" s="42"/>
      <c r="B12" s="57"/>
      <c r="C12" s="58"/>
      <c r="D12" s="58"/>
      <c r="E12" s="58"/>
      <c r="F12" s="58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58"/>
      <c r="S12" s="58"/>
      <c r="T12" s="62"/>
      <c r="U12" s="60"/>
      <c r="V12" s="42"/>
    </row>
    <row r="13" spans="1:22" ht="16.5" customHeight="1" thickTop="1" thickBot="1">
      <c r="A13" s="42"/>
      <c r="B13" s="57"/>
      <c r="C13" s="125" t="s">
        <v>39</v>
      </c>
      <c r="D13" s="126"/>
      <c r="E13" s="127"/>
      <c r="F13" s="58"/>
      <c r="G13" s="128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58"/>
      <c r="T13" s="63" t="str">
        <f>IF(G13="","No mahasiswa anda","")</f>
        <v>No mahasiswa anda</v>
      </c>
      <c r="U13" s="60"/>
      <c r="V13" s="42"/>
    </row>
    <row r="14" spans="1:22" ht="6.75" customHeight="1" thickTop="1" thickBot="1">
      <c r="A14" s="42"/>
      <c r="B14" s="57"/>
      <c r="C14" s="58"/>
      <c r="D14" s="58"/>
      <c r="E14" s="58"/>
      <c r="F14" s="58"/>
      <c r="G14" s="64"/>
      <c r="H14" s="65"/>
      <c r="I14" s="65"/>
      <c r="J14" s="65"/>
      <c r="K14" s="65"/>
      <c r="L14" s="66"/>
      <c r="M14" s="66"/>
      <c r="N14" s="66"/>
      <c r="O14" s="66"/>
      <c r="P14" s="66"/>
      <c r="Q14" s="66"/>
      <c r="R14" s="67"/>
      <c r="S14" s="58"/>
      <c r="T14" s="62"/>
      <c r="U14" s="60"/>
      <c r="V14" s="42"/>
    </row>
    <row r="15" spans="1:22" ht="16.5" customHeight="1" thickTop="1" thickBot="1">
      <c r="A15" s="42"/>
      <c r="B15" s="57"/>
      <c r="C15" s="125" t="s">
        <v>40</v>
      </c>
      <c r="D15" s="126"/>
      <c r="E15" s="127"/>
      <c r="F15" s="58"/>
      <c r="G15" s="128" t="s">
        <v>279</v>
      </c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58"/>
      <c r="T15" s="63" t="str">
        <f>IF(G15="","Nama lengkap anda","")</f>
        <v/>
      </c>
      <c r="U15" s="60"/>
      <c r="V15" s="42"/>
    </row>
    <row r="16" spans="1:22" ht="6.75" customHeight="1" thickTop="1" thickBot="1">
      <c r="A16" s="42"/>
      <c r="B16" s="57"/>
      <c r="C16" s="58"/>
      <c r="D16" s="58"/>
      <c r="E16" s="58"/>
      <c r="F16" s="58"/>
      <c r="G16" s="64"/>
      <c r="H16" s="68"/>
      <c r="I16" s="69"/>
      <c r="J16" s="68"/>
      <c r="K16" s="65"/>
      <c r="L16" s="66"/>
      <c r="M16" s="66"/>
      <c r="N16" s="66"/>
      <c r="O16" s="66"/>
      <c r="P16" s="66"/>
      <c r="Q16" s="66"/>
      <c r="R16" s="67"/>
      <c r="S16" s="58"/>
      <c r="T16" s="62"/>
      <c r="U16" s="60"/>
      <c r="V16" s="42"/>
    </row>
    <row r="17" spans="1:22" ht="16.5" customHeight="1" thickTop="1" thickBot="1">
      <c r="A17" s="42"/>
      <c r="B17" s="57"/>
      <c r="C17" s="125" t="s">
        <v>41</v>
      </c>
      <c r="D17" s="126"/>
      <c r="E17" s="127"/>
      <c r="F17" s="58"/>
      <c r="G17" s="128" t="s">
        <v>280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58"/>
      <c r="T17" s="63" t="str">
        <f>IF(G17="","Kelas anda","")</f>
        <v/>
      </c>
      <c r="U17" s="60"/>
      <c r="V17" s="42"/>
    </row>
    <row r="18" spans="1:22" ht="6.75" customHeight="1" thickTop="1" thickBot="1">
      <c r="A18" s="42"/>
      <c r="B18" s="57"/>
      <c r="C18" s="58"/>
      <c r="D18" s="58"/>
      <c r="E18" s="58"/>
      <c r="F18" s="58"/>
      <c r="G18" s="64"/>
      <c r="H18" s="65"/>
      <c r="I18" s="65"/>
      <c r="J18" s="65"/>
      <c r="K18" s="65"/>
      <c r="L18" s="70"/>
      <c r="M18" s="70"/>
      <c r="N18" s="70"/>
      <c r="O18" s="70"/>
      <c r="P18" s="70"/>
      <c r="Q18" s="70"/>
      <c r="R18" s="70"/>
      <c r="S18" s="58"/>
      <c r="T18" s="62"/>
      <c r="U18" s="60"/>
      <c r="V18" s="42"/>
    </row>
    <row r="19" spans="1:22" ht="16.5" customHeight="1" thickTop="1" thickBot="1">
      <c r="A19" s="42"/>
      <c r="B19" s="57"/>
      <c r="C19" s="125" t="s">
        <v>42</v>
      </c>
      <c r="D19" s="126"/>
      <c r="E19" s="127"/>
      <c r="F19" s="58"/>
      <c r="G19" s="128" t="s">
        <v>281</v>
      </c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58"/>
      <c r="T19" s="63" t="str">
        <f>IF(G19="","Telepon anda","")</f>
        <v/>
      </c>
      <c r="U19" s="60"/>
      <c r="V19" s="42"/>
    </row>
    <row r="20" spans="1:22" ht="6" customHeight="1" thickTop="1" thickBot="1">
      <c r="A20" s="42"/>
      <c r="B20" s="57"/>
      <c r="C20" s="58"/>
      <c r="D20" s="58"/>
      <c r="E20" s="58"/>
      <c r="F20" s="58"/>
      <c r="G20" s="71"/>
      <c r="H20" s="72"/>
      <c r="I20" s="72"/>
      <c r="J20" s="72"/>
      <c r="K20" s="73"/>
      <c r="L20" s="74"/>
      <c r="M20" s="74"/>
      <c r="N20" s="74"/>
      <c r="O20" s="74"/>
      <c r="P20" s="74"/>
      <c r="Q20" s="74"/>
      <c r="R20" s="74"/>
      <c r="S20" s="58"/>
      <c r="T20" s="63"/>
      <c r="U20" s="60"/>
      <c r="V20" s="42"/>
    </row>
    <row r="21" spans="1:22" ht="16.5" customHeight="1" thickTop="1" thickBot="1">
      <c r="A21" s="42"/>
      <c r="B21" s="57"/>
      <c r="C21" s="125" t="s">
        <v>43</v>
      </c>
      <c r="D21" s="126"/>
      <c r="E21" s="127"/>
      <c r="F21" s="58"/>
      <c r="G21" s="128" t="s">
        <v>282</v>
      </c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75"/>
      <c r="T21" s="63" t="str">
        <f t="shared" ref="T21" si="0">IF(G21="","Email anda","")</f>
        <v/>
      </c>
      <c r="U21" s="60"/>
      <c r="V21" s="42"/>
    </row>
    <row r="22" spans="1:22" ht="6" customHeight="1" thickTop="1">
      <c r="A22" s="42"/>
      <c r="B22" s="57"/>
      <c r="C22" s="58"/>
      <c r="D22" s="58"/>
      <c r="E22" s="58"/>
      <c r="F22" s="58"/>
      <c r="G22" s="71"/>
      <c r="H22" s="73"/>
      <c r="I22" s="73"/>
      <c r="J22" s="73"/>
      <c r="K22" s="73"/>
      <c r="L22" s="76"/>
      <c r="M22" s="76"/>
      <c r="N22" s="76"/>
      <c r="O22" s="76"/>
      <c r="P22" s="76"/>
      <c r="Q22" s="76"/>
      <c r="R22" s="76"/>
      <c r="S22" s="58"/>
      <c r="T22" s="62"/>
      <c r="U22" s="60"/>
      <c r="V22" s="42"/>
    </row>
    <row r="23" spans="1:22" ht="16.5" customHeight="1">
      <c r="A23" s="42"/>
      <c r="B23" s="57"/>
      <c r="C23" s="58"/>
      <c r="D23" s="58"/>
      <c r="E23" s="58"/>
      <c r="F23" s="58"/>
      <c r="G23" s="71"/>
      <c r="H23" s="62"/>
      <c r="I23" s="62"/>
      <c r="J23" s="62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0"/>
      <c r="V23" s="42"/>
    </row>
    <row r="24" spans="1:22" ht="3.75" customHeight="1">
      <c r="A24" s="42"/>
      <c r="B24" s="57"/>
      <c r="C24" s="58"/>
      <c r="D24" s="58"/>
      <c r="E24" s="58"/>
      <c r="F24" s="58"/>
      <c r="G24" s="71"/>
      <c r="H24" s="62"/>
      <c r="I24" s="62"/>
      <c r="J24" s="62"/>
      <c r="K24" s="73"/>
      <c r="L24" s="76"/>
      <c r="M24" s="76"/>
      <c r="N24" s="76"/>
      <c r="O24" s="76"/>
      <c r="P24" s="76"/>
      <c r="Q24" s="76"/>
      <c r="R24" s="76"/>
      <c r="S24" s="58"/>
      <c r="T24" s="62"/>
      <c r="U24" s="60"/>
      <c r="V24" s="42"/>
    </row>
    <row r="25" spans="1:22" ht="15" customHeight="1">
      <c r="A25" s="42"/>
      <c r="B25" s="57"/>
      <c r="C25" s="58"/>
      <c r="D25" s="58"/>
      <c r="E25" s="58"/>
      <c r="F25" s="58"/>
      <c r="G25" s="75"/>
      <c r="H25" s="75"/>
      <c r="I25" s="75"/>
      <c r="J25" s="75"/>
      <c r="K25" s="75"/>
      <c r="L25" s="75"/>
      <c r="M25" s="62"/>
      <c r="N25" s="62"/>
      <c r="O25" s="62"/>
      <c r="P25" s="62"/>
      <c r="Q25" s="62"/>
      <c r="R25" s="62"/>
      <c r="S25" s="62"/>
      <c r="T25" s="62"/>
      <c r="U25" s="60"/>
      <c r="V25" s="42"/>
    </row>
    <row r="26" spans="1:22" ht="15.75" customHeight="1" thickBot="1">
      <c r="A26" s="42"/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9"/>
      <c r="V26" s="42"/>
    </row>
    <row r="27" spans="1:22" ht="28.5" customHeight="1" thickTop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" hidden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 ht="15" hidden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2" ht="15" hidden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2" ht="15" hidden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22" ht="15" hidden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:22" ht="15" hidden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:22" ht="15" hidden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:22" ht="15" hidden="1" customHeight="1"/>
    <row r="36" spans="1:22" ht="15" hidden="1" customHeight="1"/>
  </sheetData>
  <sheetProtection sheet="1" objects="1" scenarios="1" selectLockedCells="1"/>
  <mergeCells count="11">
    <mergeCell ref="C19:E19"/>
    <mergeCell ref="G19:R19"/>
    <mergeCell ref="C21:E21"/>
    <mergeCell ref="G21:R21"/>
    <mergeCell ref="D4:U5"/>
    <mergeCell ref="C13:E13"/>
    <mergeCell ref="G13:R13"/>
    <mergeCell ref="C15:E15"/>
    <mergeCell ref="G15:R15"/>
    <mergeCell ref="C17:E17"/>
    <mergeCell ref="G17:R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N31"/>
  <sheetViews>
    <sheetView topLeftCell="A13" workbookViewId="0">
      <selection activeCell="H27" sqref="H27"/>
    </sheetView>
  </sheetViews>
  <sheetFormatPr defaultRowHeight="15"/>
  <cols>
    <col min="1" max="2" width="9.140625" style="109"/>
    <col min="3" max="3" width="17.85546875" style="109" customWidth="1"/>
    <col min="4" max="4" width="12.42578125" style="109" customWidth="1"/>
    <col min="5" max="5" width="13" style="109" customWidth="1"/>
    <col min="6" max="6" width="18.42578125" style="109" customWidth="1"/>
    <col min="7" max="7" width="6.5703125" style="109" customWidth="1"/>
    <col min="8" max="16384" width="9.140625" style="109"/>
  </cols>
  <sheetData>
    <row r="1" spans="2:14" ht="18.75">
      <c r="C1" s="110" t="s">
        <v>245</v>
      </c>
    </row>
    <row r="3" spans="2:14">
      <c r="L3"/>
      <c r="M3"/>
    </row>
    <row r="4" spans="2:14">
      <c r="B4" s="102" t="s">
        <v>0</v>
      </c>
      <c r="C4" s="102" t="s">
        <v>236</v>
      </c>
      <c r="D4" s="102" t="s">
        <v>237</v>
      </c>
      <c r="E4" s="102" t="s">
        <v>238</v>
      </c>
      <c r="F4" s="102" t="s">
        <v>239</v>
      </c>
      <c r="G4" s="111"/>
      <c r="H4" s="12" t="s">
        <v>235</v>
      </c>
      <c r="I4"/>
      <c r="J4"/>
      <c r="K4"/>
      <c r="L4"/>
      <c r="M4"/>
    </row>
    <row r="5" spans="2:14">
      <c r="B5" s="34">
        <v>1</v>
      </c>
      <c r="C5" s="24" t="s">
        <v>246</v>
      </c>
      <c r="D5" s="34">
        <v>65</v>
      </c>
      <c r="E5" s="112" t="str">
        <f>IF(D5&lt;=45,"e",IF(D5&lt;=55,"d",IF(D5&lt;=75,"c",IF(D5&lt;=86,"b","a"))))</f>
        <v>c</v>
      </c>
      <c r="F5" s="112" t="str">
        <f>IF(E5="e","tidak lulus",IF(E5="d","jelek",IF(E5="c","BAIK",IF(E5="B","KEREN","WOW"))))</f>
        <v>BAIK</v>
      </c>
      <c r="H5" t="s">
        <v>240</v>
      </c>
      <c r="I5"/>
      <c r="J5"/>
      <c r="K5"/>
      <c r="L5"/>
      <c r="M5"/>
    </row>
    <row r="6" spans="2:14">
      <c r="B6" s="34">
        <v>2</v>
      </c>
      <c r="C6" s="24" t="s">
        <v>247</v>
      </c>
      <c r="D6" s="34">
        <v>82</v>
      </c>
      <c r="E6" s="112" t="str">
        <f t="shared" ref="E6:E31" si="0">IF(D6&lt;=45,"e",IF(D6&lt;=55,"d",IF(D6&lt;=75,"c",IF(D6&lt;=86,"b","a"))))</f>
        <v>b</v>
      </c>
      <c r="F6" s="112" t="str">
        <f t="shared" ref="F6:F31" si="1">IF(E6="e","tidak lulus",IF(E6="d","jelek",IF(E6="c","BAIK",IF(E6="B","KEREN","WOW"))))</f>
        <v>KEREN</v>
      </c>
      <c r="H6" t="s">
        <v>241</v>
      </c>
      <c r="I6"/>
      <c r="J6"/>
      <c r="K6"/>
      <c r="L6"/>
      <c r="M6"/>
      <c r="N6"/>
    </row>
    <row r="7" spans="2:14">
      <c r="B7" s="34">
        <v>3</v>
      </c>
      <c r="C7" s="24" t="s">
        <v>248</v>
      </c>
      <c r="D7" s="34">
        <v>86</v>
      </c>
      <c r="E7" s="112" t="str">
        <f t="shared" si="0"/>
        <v>b</v>
      </c>
      <c r="F7" s="112" t="str">
        <f t="shared" si="1"/>
        <v>KEREN</v>
      </c>
      <c r="H7" t="s">
        <v>242</v>
      </c>
      <c r="I7"/>
      <c r="J7"/>
      <c r="K7"/>
      <c r="L7"/>
      <c r="M7"/>
      <c r="N7"/>
    </row>
    <row r="8" spans="2:14">
      <c r="B8" s="34">
        <v>4</v>
      </c>
      <c r="C8" s="24" t="s">
        <v>249</v>
      </c>
      <c r="D8" s="34">
        <v>45</v>
      </c>
      <c r="E8" s="112" t="str">
        <f t="shared" si="0"/>
        <v>e</v>
      </c>
      <c r="F8" s="112" t="str">
        <f t="shared" si="1"/>
        <v>tidak lulus</v>
      </c>
      <c r="H8" t="s">
        <v>243</v>
      </c>
      <c r="I8"/>
      <c r="J8"/>
      <c r="K8"/>
      <c r="L8"/>
      <c r="M8"/>
      <c r="N8"/>
    </row>
    <row r="9" spans="2:14">
      <c r="B9" s="34">
        <v>5</v>
      </c>
      <c r="C9" s="24" t="s">
        <v>250</v>
      </c>
      <c r="D9" s="34">
        <v>66</v>
      </c>
      <c r="E9" s="112" t="str">
        <f t="shared" si="0"/>
        <v>c</v>
      </c>
      <c r="F9" s="112" t="str">
        <f t="shared" si="1"/>
        <v>BAIK</v>
      </c>
      <c r="H9" t="s">
        <v>244</v>
      </c>
      <c r="I9"/>
      <c r="J9"/>
      <c r="K9"/>
      <c r="L9"/>
      <c r="M9"/>
      <c r="N9"/>
    </row>
    <row r="10" spans="2:14">
      <c r="B10" s="34">
        <v>6</v>
      </c>
      <c r="C10" s="24" t="s">
        <v>251</v>
      </c>
      <c r="D10" s="34">
        <v>28</v>
      </c>
      <c r="E10" s="112" t="str">
        <f t="shared" si="0"/>
        <v>e</v>
      </c>
      <c r="F10" s="112" t="str">
        <f t="shared" si="1"/>
        <v>tidak lulus</v>
      </c>
      <c r="G10" s="113"/>
      <c r="H10" s="113"/>
      <c r="I10" s="113"/>
      <c r="J10"/>
      <c r="K10"/>
      <c r="L10"/>
      <c r="M10"/>
      <c r="N10"/>
    </row>
    <row r="11" spans="2:14">
      <c r="B11" s="34">
        <v>7</v>
      </c>
      <c r="C11" s="24" t="s">
        <v>252</v>
      </c>
      <c r="D11" s="34">
        <v>24</v>
      </c>
      <c r="E11" s="112" t="str">
        <f t="shared" si="0"/>
        <v>e</v>
      </c>
      <c r="F11" s="112" t="str">
        <f t="shared" si="1"/>
        <v>tidak lulus</v>
      </c>
      <c r="G11" s="113"/>
      <c r="H11" s="113"/>
      <c r="I11" s="113"/>
      <c r="J11"/>
      <c r="K11"/>
      <c r="L11"/>
      <c r="M11"/>
      <c r="N11"/>
    </row>
    <row r="12" spans="2:14">
      <c r="B12" s="34">
        <v>8</v>
      </c>
      <c r="C12" s="24" t="s">
        <v>253</v>
      </c>
      <c r="D12" s="34">
        <v>38</v>
      </c>
      <c r="E12" s="112" t="str">
        <f t="shared" si="0"/>
        <v>e</v>
      </c>
      <c r="F12" s="112" t="str">
        <f t="shared" si="1"/>
        <v>tidak lulus</v>
      </c>
      <c r="G12" s="113"/>
      <c r="H12" s="113"/>
      <c r="I12" s="113"/>
      <c r="J12"/>
      <c r="K12"/>
      <c r="L12"/>
      <c r="M12"/>
      <c r="N12"/>
    </row>
    <row r="13" spans="2:14">
      <c r="B13" s="34">
        <v>9</v>
      </c>
      <c r="C13" s="24" t="s">
        <v>254</v>
      </c>
      <c r="D13" s="34">
        <v>80</v>
      </c>
      <c r="E13" s="112" t="str">
        <f t="shared" si="0"/>
        <v>b</v>
      </c>
      <c r="F13" s="112" t="str">
        <f t="shared" si="1"/>
        <v>KEREN</v>
      </c>
      <c r="G13" s="113"/>
      <c r="H13" s="113"/>
      <c r="I13" s="113"/>
      <c r="J13" s="113"/>
      <c r="K13" s="113"/>
      <c r="L13" s="113"/>
      <c r="M13" s="113"/>
      <c r="N13" s="113"/>
    </row>
    <row r="14" spans="2:14">
      <c r="B14" s="34">
        <v>10</v>
      </c>
      <c r="C14" s="24" t="s">
        <v>255</v>
      </c>
      <c r="D14" s="34">
        <v>87</v>
      </c>
      <c r="E14" s="112" t="str">
        <f t="shared" si="0"/>
        <v>a</v>
      </c>
      <c r="F14" s="112" t="str">
        <f t="shared" si="1"/>
        <v>WOW</v>
      </c>
      <c r="G14" s="113"/>
      <c r="H14" s="113"/>
      <c r="I14" s="113"/>
      <c r="J14" s="113"/>
      <c r="K14" s="113"/>
      <c r="L14" s="113"/>
      <c r="M14" s="113"/>
      <c r="N14" s="113"/>
    </row>
    <row r="15" spans="2:14">
      <c r="B15" s="34">
        <v>11</v>
      </c>
      <c r="C15" s="24" t="s">
        <v>256</v>
      </c>
      <c r="D15" s="34">
        <v>55</v>
      </c>
      <c r="E15" s="112" t="str">
        <f t="shared" si="0"/>
        <v>d</v>
      </c>
      <c r="F15" s="112" t="str">
        <f t="shared" si="1"/>
        <v>jelek</v>
      </c>
      <c r="G15" s="113"/>
      <c r="H15" s="113"/>
      <c r="I15" s="113"/>
      <c r="J15" s="113"/>
      <c r="K15" s="113"/>
      <c r="L15" s="113"/>
      <c r="M15" s="113"/>
      <c r="N15" s="113"/>
    </row>
    <row r="16" spans="2:14">
      <c r="B16" s="34">
        <v>12</v>
      </c>
      <c r="C16" s="24" t="s">
        <v>257</v>
      </c>
      <c r="D16" s="34">
        <v>77</v>
      </c>
      <c r="E16" s="112" t="str">
        <f t="shared" si="0"/>
        <v>b</v>
      </c>
      <c r="F16" s="112" t="str">
        <f t="shared" si="1"/>
        <v>KEREN</v>
      </c>
      <c r="G16" s="113"/>
      <c r="H16" s="113"/>
      <c r="I16" s="113"/>
      <c r="J16" s="113"/>
      <c r="K16" s="113"/>
      <c r="L16" s="113"/>
      <c r="M16" s="113"/>
      <c r="N16" s="113"/>
    </row>
    <row r="17" spans="2:14">
      <c r="B17" s="34">
        <v>13</v>
      </c>
      <c r="C17" s="24" t="s">
        <v>258</v>
      </c>
      <c r="D17" s="34">
        <v>24</v>
      </c>
      <c r="E17" s="112" t="str">
        <f t="shared" si="0"/>
        <v>e</v>
      </c>
      <c r="F17" s="112" t="str">
        <f t="shared" si="1"/>
        <v>tidak lulus</v>
      </c>
      <c r="G17" s="113"/>
      <c r="H17" s="113"/>
      <c r="I17" s="113"/>
      <c r="J17" s="113"/>
      <c r="K17" s="113"/>
      <c r="L17" s="113"/>
      <c r="M17" s="113"/>
      <c r="N17" s="113"/>
    </row>
    <row r="18" spans="2:14">
      <c r="B18" s="34">
        <v>14</v>
      </c>
      <c r="C18" s="24" t="s">
        <v>259</v>
      </c>
      <c r="D18" s="34">
        <v>67</v>
      </c>
      <c r="E18" s="112" t="str">
        <f t="shared" si="0"/>
        <v>c</v>
      </c>
      <c r="F18" s="112" t="str">
        <f t="shared" si="1"/>
        <v>BAIK</v>
      </c>
    </row>
    <row r="19" spans="2:14">
      <c r="B19" s="34">
        <v>15</v>
      </c>
      <c r="C19" s="24" t="s">
        <v>260</v>
      </c>
      <c r="D19" s="34">
        <v>73</v>
      </c>
      <c r="E19" s="112" t="str">
        <f t="shared" si="0"/>
        <v>c</v>
      </c>
      <c r="F19" s="112" t="str">
        <f t="shared" si="1"/>
        <v>BAIK</v>
      </c>
    </row>
    <row r="20" spans="2:14">
      <c r="B20" s="34">
        <v>16</v>
      </c>
      <c r="C20" s="24" t="s">
        <v>261</v>
      </c>
      <c r="D20" s="34">
        <v>50</v>
      </c>
      <c r="E20" s="112" t="str">
        <f t="shared" si="0"/>
        <v>d</v>
      </c>
      <c r="F20" s="112" t="str">
        <f t="shared" si="1"/>
        <v>jelek</v>
      </c>
    </row>
    <row r="21" spans="2:14">
      <c r="B21" s="34">
        <v>17</v>
      </c>
      <c r="C21" s="24" t="s">
        <v>262</v>
      </c>
      <c r="D21" s="34">
        <v>43</v>
      </c>
      <c r="E21" s="112" t="str">
        <f t="shared" si="0"/>
        <v>e</v>
      </c>
      <c r="F21" s="112" t="str">
        <f t="shared" si="1"/>
        <v>tidak lulus</v>
      </c>
    </row>
    <row r="22" spans="2:14">
      <c r="B22" s="34">
        <v>18</v>
      </c>
      <c r="C22" s="24" t="s">
        <v>263</v>
      </c>
      <c r="D22" s="34">
        <v>98</v>
      </c>
      <c r="E22" s="112" t="str">
        <f t="shared" si="0"/>
        <v>a</v>
      </c>
      <c r="F22" s="112" t="str">
        <f t="shared" si="1"/>
        <v>WOW</v>
      </c>
    </row>
    <row r="23" spans="2:14">
      <c r="B23" s="34">
        <v>19</v>
      </c>
      <c r="C23" s="24" t="s">
        <v>264</v>
      </c>
      <c r="D23" s="34">
        <v>62</v>
      </c>
      <c r="E23" s="112" t="str">
        <f t="shared" si="0"/>
        <v>c</v>
      </c>
      <c r="F23" s="112" t="str">
        <f t="shared" si="1"/>
        <v>BAIK</v>
      </c>
    </row>
    <row r="24" spans="2:14">
      <c r="B24" s="34">
        <v>20</v>
      </c>
      <c r="C24" s="24" t="s">
        <v>265</v>
      </c>
      <c r="D24" s="34">
        <v>54</v>
      </c>
      <c r="E24" s="112" t="str">
        <f t="shared" si="0"/>
        <v>d</v>
      </c>
      <c r="F24" s="112" t="str">
        <f t="shared" si="1"/>
        <v>jelek</v>
      </c>
    </row>
    <row r="25" spans="2:14">
      <c r="B25" s="34">
        <v>21</v>
      </c>
      <c r="C25" s="24" t="s">
        <v>266</v>
      </c>
      <c r="D25" s="34">
        <v>38</v>
      </c>
      <c r="E25" s="112" t="str">
        <f t="shared" si="0"/>
        <v>e</v>
      </c>
      <c r="F25" s="112" t="str">
        <f t="shared" si="1"/>
        <v>tidak lulus</v>
      </c>
    </row>
    <row r="26" spans="2:14">
      <c r="B26" s="34">
        <v>22</v>
      </c>
      <c r="C26" s="24" t="s">
        <v>267</v>
      </c>
      <c r="D26" s="34">
        <v>40</v>
      </c>
      <c r="E26" s="112" t="str">
        <f t="shared" si="0"/>
        <v>e</v>
      </c>
      <c r="F26" s="112" t="str">
        <f t="shared" si="1"/>
        <v>tidak lulus</v>
      </c>
    </row>
    <row r="27" spans="2:14">
      <c r="B27" s="34">
        <v>23</v>
      </c>
      <c r="C27" s="24" t="s">
        <v>268</v>
      </c>
      <c r="D27" s="34">
        <v>56</v>
      </c>
      <c r="E27" s="112" t="str">
        <f t="shared" si="0"/>
        <v>c</v>
      </c>
      <c r="F27" s="112" t="str">
        <f t="shared" si="1"/>
        <v>BAIK</v>
      </c>
    </row>
    <row r="28" spans="2:14">
      <c r="B28" s="34">
        <v>24</v>
      </c>
      <c r="C28" s="24" t="s">
        <v>269</v>
      </c>
      <c r="D28" s="34">
        <v>71</v>
      </c>
      <c r="E28" s="112" t="str">
        <f t="shared" si="0"/>
        <v>c</v>
      </c>
      <c r="F28" s="112" t="str">
        <f t="shared" si="1"/>
        <v>BAIK</v>
      </c>
    </row>
    <row r="29" spans="2:14">
      <c r="B29" s="34">
        <v>25</v>
      </c>
      <c r="C29" s="24" t="s">
        <v>270</v>
      </c>
      <c r="D29" s="34">
        <v>52</v>
      </c>
      <c r="E29" s="112" t="str">
        <f t="shared" si="0"/>
        <v>d</v>
      </c>
      <c r="F29" s="112" t="str">
        <f t="shared" si="1"/>
        <v>jelek</v>
      </c>
    </row>
    <row r="30" spans="2:14">
      <c r="B30" s="34">
        <v>26</v>
      </c>
      <c r="C30" s="24" t="s">
        <v>271</v>
      </c>
      <c r="D30" s="34">
        <v>90</v>
      </c>
      <c r="E30" s="112" t="str">
        <f t="shared" si="0"/>
        <v>a</v>
      </c>
      <c r="F30" s="112" t="str">
        <f t="shared" si="1"/>
        <v>WOW</v>
      </c>
    </row>
    <row r="31" spans="2:14">
      <c r="B31" s="34">
        <v>27</v>
      </c>
      <c r="C31" s="24" t="s">
        <v>272</v>
      </c>
      <c r="D31" s="34">
        <v>47</v>
      </c>
      <c r="E31" s="112" t="str">
        <f t="shared" si="0"/>
        <v>d</v>
      </c>
      <c r="F31" s="112" t="str">
        <f t="shared" si="1"/>
        <v>jelek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C10"/>
  <sheetViews>
    <sheetView zoomScale="130" zoomScaleNormal="130" workbookViewId="0">
      <selection activeCell="C10" sqref="C10"/>
    </sheetView>
  </sheetViews>
  <sheetFormatPr defaultRowHeight="15"/>
  <cols>
    <col min="3" max="3" width="9.42578125" bestFit="1" customWidth="1"/>
  </cols>
  <sheetData>
    <row r="3" spans="1:3">
      <c r="A3" s="94">
        <v>1</v>
      </c>
      <c r="B3" t="s">
        <v>276</v>
      </c>
    </row>
    <row r="4" spans="1:3">
      <c r="B4" t="s">
        <v>273</v>
      </c>
      <c r="C4" s="122">
        <f>200000*10%</f>
        <v>20000</v>
      </c>
    </row>
    <row r="6" spans="1:3">
      <c r="A6" s="94">
        <v>2</v>
      </c>
      <c r="B6" t="s">
        <v>274</v>
      </c>
    </row>
    <row r="7" spans="1:3">
      <c r="B7" t="s">
        <v>273</v>
      </c>
      <c r="C7" s="122">
        <f>6500000*10%</f>
        <v>650000</v>
      </c>
    </row>
    <row r="9" spans="1:3">
      <c r="A9" s="94">
        <v>3</v>
      </c>
      <c r="B9" t="s">
        <v>275</v>
      </c>
    </row>
    <row r="10" spans="1:3">
      <c r="B10" t="s">
        <v>273</v>
      </c>
      <c r="C10" s="122">
        <f>500000*10%</f>
        <v>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N10"/>
  <sheetViews>
    <sheetView topLeftCell="D1" zoomScale="145" zoomScaleNormal="145" workbookViewId="0">
      <selection activeCell="O10" sqref="O8:P10"/>
    </sheetView>
  </sheetViews>
  <sheetFormatPr defaultRowHeight="15"/>
  <cols>
    <col min="2" max="2" width="5.85546875" customWidth="1"/>
    <col min="14" max="14" width="5.5703125" customWidth="1"/>
  </cols>
  <sheetData>
    <row r="2" spans="1:14">
      <c r="B2" s="12" t="s">
        <v>234</v>
      </c>
    </row>
    <row r="3" spans="1:14">
      <c r="B3" t="s">
        <v>277</v>
      </c>
    </row>
    <row r="6" spans="1:14">
      <c r="B6" s="1">
        <v>1.23456789101112E+16</v>
      </c>
      <c r="C6" s="1"/>
      <c r="D6" s="1" t="e">
        <f>D7/0</f>
        <v>#DIV/0!</v>
      </c>
      <c r="E6" s="1"/>
      <c r="F6" s="1" t="e">
        <f>VLOOKUP(L6:M11,G6,2)</f>
        <v>#VALUE!</v>
      </c>
      <c r="G6" s="1"/>
      <c r="H6" s="1" t="e">
        <f>LP3i</f>
        <v>#NAME?</v>
      </c>
      <c r="I6" s="1"/>
      <c r="N6" s="123"/>
    </row>
    <row r="7" spans="1:14">
      <c r="B7" s="1"/>
      <c r="C7" s="1"/>
      <c r="D7" s="1"/>
      <c r="E7" s="1"/>
      <c r="F7" s="1"/>
      <c r="G7" s="1"/>
      <c r="H7" s="1"/>
      <c r="I7" s="1"/>
    </row>
    <row r="8" spans="1:14">
      <c r="B8" s="1"/>
      <c r="C8" s="124" t="e">
        <v>#NULL!</v>
      </c>
      <c r="D8" s="1"/>
      <c r="E8" s="124" t="e">
        <v>#NUM!</v>
      </c>
      <c r="F8" s="1"/>
      <c r="G8" s="124" t="e">
        <v>#N/A</v>
      </c>
      <c r="H8" s="1"/>
      <c r="I8" s="124" t="e">
        <v>#REF!</v>
      </c>
    </row>
    <row r="10" spans="1:14">
      <c r="A10" t="s">
        <v>278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I26" sqref="I26"/>
    </sheetView>
  </sheetViews>
  <sheetFormatPr defaultColWidth="9.140625" defaultRowHeight="15" customHeight="1"/>
  <cols>
    <col min="1" max="1" width="15.42578125" style="2" customWidth="1"/>
    <col min="2" max="2" width="9.140625" style="2" customWidth="1"/>
    <col min="3" max="3" width="18.85546875" style="2" customWidth="1"/>
    <col min="4" max="4" width="19" style="2" customWidth="1"/>
    <col min="5" max="5" width="16.42578125" style="2" customWidth="1"/>
    <col min="6" max="6" width="19" style="2" customWidth="1"/>
    <col min="7" max="7" width="13.28515625" style="2" customWidth="1"/>
    <col min="8" max="8" width="9.140625" style="2" customWidth="1"/>
    <col min="9" max="9" width="15.7109375" style="2" customWidth="1"/>
    <col min="10" max="10" width="17" style="2" customWidth="1"/>
    <col min="11" max="11" width="11.28515625" style="2" customWidth="1"/>
    <col min="12" max="12" width="9.140625" style="2" customWidth="1"/>
    <col min="13" max="16384" width="9.140625" style="2"/>
  </cols>
  <sheetData>
    <row r="1" spans="1:11" ht="21">
      <c r="C1" s="27" t="s">
        <v>70</v>
      </c>
    </row>
    <row r="3" spans="1:11">
      <c r="A3" s="95" t="s">
        <v>20</v>
      </c>
      <c r="B3" s="95" t="s">
        <v>2</v>
      </c>
      <c r="C3" s="95" t="s">
        <v>16</v>
      </c>
      <c r="D3" s="95" t="s">
        <v>10</v>
      </c>
      <c r="E3" s="95" t="s">
        <v>21</v>
      </c>
      <c r="F3" s="95" t="s">
        <v>22</v>
      </c>
      <c r="H3" s="96" t="s">
        <v>11</v>
      </c>
      <c r="I3" s="96" t="s">
        <v>12</v>
      </c>
      <c r="J3" s="96" t="s">
        <v>13</v>
      </c>
    </row>
    <row r="4" spans="1:11">
      <c r="A4" s="11">
        <v>43136</v>
      </c>
      <c r="B4" s="5" t="s">
        <v>8</v>
      </c>
      <c r="C4" s="6" t="str">
        <f>VLOOKUP($B$4:$B$36,$H$4:$J$8,2,0)</f>
        <v>MILO</v>
      </c>
      <c r="D4" s="114">
        <f>VLOOKUP($B$4:$B$36,$H$4:$J$8,3,0)</f>
        <v>25000</v>
      </c>
      <c r="E4" s="7">
        <v>54</v>
      </c>
      <c r="F4" s="8">
        <f>D4*E4</f>
        <v>1350000</v>
      </c>
      <c r="H4" s="5" t="s">
        <v>8</v>
      </c>
      <c r="I4" s="3" t="s">
        <v>207</v>
      </c>
      <c r="J4" s="16">
        <v>25000</v>
      </c>
    </row>
    <row r="5" spans="1:11">
      <c r="A5" s="11">
        <v>43137</v>
      </c>
      <c r="B5" s="5" t="s">
        <v>7</v>
      </c>
      <c r="C5" s="6" t="str">
        <f t="shared" ref="C5:C36" si="0">VLOOKUP($B$4:$B$36,$H$4:$J$8,2,0)</f>
        <v>BENDERA</v>
      </c>
      <c r="D5" s="114">
        <f t="shared" ref="D5:D36" si="1">VLOOKUP($B$4:$B$36,$H$4:$J$8,3,0)</f>
        <v>27500</v>
      </c>
      <c r="E5" s="7">
        <v>85</v>
      </c>
      <c r="F5" s="8">
        <f t="shared" ref="F5:F36" si="2">D5*E5</f>
        <v>2337500</v>
      </c>
      <c r="H5" s="5" t="s">
        <v>7</v>
      </c>
      <c r="I5" s="3" t="s">
        <v>208</v>
      </c>
      <c r="J5" s="16">
        <v>27500</v>
      </c>
    </row>
    <row r="6" spans="1:11">
      <c r="A6" s="11">
        <v>43138</v>
      </c>
      <c r="B6" s="5" t="s">
        <v>6</v>
      </c>
      <c r="C6" s="6" t="str">
        <f t="shared" si="0"/>
        <v>OVALTINE</v>
      </c>
      <c r="D6" s="114">
        <f t="shared" si="1"/>
        <v>39800</v>
      </c>
      <c r="E6" s="7">
        <v>80</v>
      </c>
      <c r="F6" s="8">
        <f t="shared" si="2"/>
        <v>3184000</v>
      </c>
      <c r="H6" s="5" t="s">
        <v>6</v>
      </c>
      <c r="I6" s="3" t="s">
        <v>209</v>
      </c>
      <c r="J6" s="16">
        <v>39800</v>
      </c>
    </row>
    <row r="7" spans="1:11">
      <c r="A7" s="11">
        <v>43139</v>
      </c>
      <c r="B7" s="5" t="s">
        <v>5</v>
      </c>
      <c r="C7" s="6" t="str">
        <f t="shared" si="0"/>
        <v>HI LO</v>
      </c>
      <c r="D7" s="114">
        <f t="shared" si="1"/>
        <v>52500</v>
      </c>
      <c r="E7" s="7">
        <v>26</v>
      </c>
      <c r="F7" s="8">
        <f t="shared" si="2"/>
        <v>1365000</v>
      </c>
      <c r="H7" s="5" t="s">
        <v>5</v>
      </c>
      <c r="I7" s="3" t="s">
        <v>210</v>
      </c>
      <c r="J7" s="16">
        <v>52500</v>
      </c>
    </row>
    <row r="8" spans="1:11">
      <c r="A8" s="11">
        <v>43140</v>
      </c>
      <c r="B8" s="5" t="s">
        <v>4</v>
      </c>
      <c r="C8" s="6" t="str">
        <f t="shared" si="0"/>
        <v>SUSTAGEN</v>
      </c>
      <c r="D8" s="114">
        <f t="shared" si="1"/>
        <v>35700</v>
      </c>
      <c r="E8" s="7">
        <v>20</v>
      </c>
      <c r="F8" s="8">
        <f t="shared" si="2"/>
        <v>714000</v>
      </c>
      <c r="H8" s="5" t="s">
        <v>4</v>
      </c>
      <c r="I8" s="3" t="s">
        <v>211</v>
      </c>
      <c r="J8" s="16">
        <v>35700</v>
      </c>
    </row>
    <row r="9" spans="1:11">
      <c r="A9" s="11">
        <v>43141</v>
      </c>
      <c r="B9" s="5" t="s">
        <v>8</v>
      </c>
      <c r="C9" s="6" t="str">
        <f t="shared" si="0"/>
        <v>MILO</v>
      </c>
      <c r="D9" s="114">
        <f t="shared" si="1"/>
        <v>25000</v>
      </c>
      <c r="E9" s="7">
        <v>20</v>
      </c>
      <c r="F9" s="8">
        <f t="shared" si="2"/>
        <v>500000</v>
      </c>
      <c r="H9"/>
      <c r="I9"/>
      <c r="J9"/>
    </row>
    <row r="10" spans="1:11">
      <c r="A10" s="11">
        <v>43142</v>
      </c>
      <c r="B10" s="5" t="s">
        <v>7</v>
      </c>
      <c r="C10" s="6" t="str">
        <f t="shared" si="0"/>
        <v>BENDERA</v>
      </c>
      <c r="D10" s="114">
        <f t="shared" si="1"/>
        <v>27500</v>
      </c>
      <c r="E10" s="7">
        <v>74</v>
      </c>
      <c r="F10" s="8">
        <f t="shared" si="2"/>
        <v>2035000</v>
      </c>
      <c r="H10"/>
      <c r="I10"/>
      <c r="J10"/>
    </row>
    <row r="11" spans="1:11">
      <c r="A11" s="11">
        <v>43143</v>
      </c>
      <c r="B11" s="5" t="s">
        <v>6</v>
      </c>
      <c r="C11" s="6" t="str">
        <f t="shared" si="0"/>
        <v>OVALTINE</v>
      </c>
      <c r="D11" s="114">
        <f t="shared" si="1"/>
        <v>39800</v>
      </c>
      <c r="E11" s="7">
        <v>27</v>
      </c>
      <c r="F11" s="8">
        <f t="shared" si="2"/>
        <v>1074600</v>
      </c>
      <c r="I11" s="96" t="s">
        <v>127</v>
      </c>
      <c r="J11" s="96" t="s">
        <v>24</v>
      </c>
      <c r="K11" s="96" t="s">
        <v>72</v>
      </c>
    </row>
    <row r="12" spans="1:11">
      <c r="A12" s="11">
        <v>43144</v>
      </c>
      <c r="B12" s="5" t="s">
        <v>5</v>
      </c>
      <c r="C12" s="6" t="str">
        <f t="shared" si="0"/>
        <v>HI LO</v>
      </c>
      <c r="D12" s="114">
        <f t="shared" si="1"/>
        <v>52500</v>
      </c>
      <c r="E12" s="7">
        <v>12</v>
      </c>
      <c r="F12" s="8">
        <f t="shared" si="2"/>
        <v>630000</v>
      </c>
      <c r="I12" s="3" t="s">
        <v>207</v>
      </c>
      <c r="J12" s="3">
        <f>SUMIF($C$4:$C$36,I12,$E$4:$E$36)</f>
        <v>367</v>
      </c>
      <c r="K12" s="115">
        <f>J12/$J$17</f>
        <v>0.21884317233154443</v>
      </c>
    </row>
    <row r="13" spans="1:11">
      <c r="A13" s="11">
        <v>43145</v>
      </c>
      <c r="B13" s="5" t="s">
        <v>4</v>
      </c>
      <c r="C13" s="6" t="str">
        <f t="shared" si="0"/>
        <v>SUSTAGEN</v>
      </c>
      <c r="D13" s="114">
        <f t="shared" si="1"/>
        <v>35700</v>
      </c>
      <c r="E13" s="7">
        <v>65</v>
      </c>
      <c r="F13" s="8">
        <f t="shared" si="2"/>
        <v>2320500</v>
      </c>
      <c r="I13" s="3" t="s">
        <v>208</v>
      </c>
      <c r="J13" s="3">
        <f t="shared" ref="J13:J16" si="3">SUMIF($C$4:$C$36,I13,$E$4:$E$36)</f>
        <v>356</v>
      </c>
      <c r="K13" s="115">
        <f t="shared" ref="K13:K17" si="4">J13/$J$17</f>
        <v>0.21228384019081695</v>
      </c>
    </row>
    <row r="14" spans="1:11">
      <c r="A14" s="11">
        <v>43146</v>
      </c>
      <c r="B14" s="5" t="s">
        <v>8</v>
      </c>
      <c r="C14" s="6" t="str">
        <f t="shared" si="0"/>
        <v>MILO</v>
      </c>
      <c r="D14" s="114">
        <f t="shared" si="1"/>
        <v>25000</v>
      </c>
      <c r="E14" s="7">
        <v>72</v>
      </c>
      <c r="F14" s="8">
        <f t="shared" si="2"/>
        <v>1800000</v>
      </c>
      <c r="I14" s="3" t="s">
        <v>209</v>
      </c>
      <c r="J14" s="3">
        <f t="shared" si="3"/>
        <v>367</v>
      </c>
      <c r="K14" s="115">
        <f t="shared" si="4"/>
        <v>0.21884317233154443</v>
      </c>
    </row>
    <row r="15" spans="1:11">
      <c r="A15" s="11">
        <v>43147</v>
      </c>
      <c r="B15" s="5" t="s">
        <v>7</v>
      </c>
      <c r="C15" s="6" t="str">
        <f t="shared" si="0"/>
        <v>BENDERA</v>
      </c>
      <c r="D15" s="114">
        <f t="shared" si="1"/>
        <v>27500</v>
      </c>
      <c r="E15" s="7">
        <v>33</v>
      </c>
      <c r="F15" s="8">
        <f t="shared" si="2"/>
        <v>907500</v>
      </c>
      <c r="I15" s="3" t="s">
        <v>210</v>
      </c>
      <c r="J15" s="3">
        <f t="shared" si="3"/>
        <v>302</v>
      </c>
      <c r="K15" s="115">
        <f t="shared" si="4"/>
        <v>0.1800834824090638</v>
      </c>
    </row>
    <row r="16" spans="1:11">
      <c r="A16" s="11">
        <v>43148</v>
      </c>
      <c r="B16" s="5" t="s">
        <v>6</v>
      </c>
      <c r="C16" s="6" t="str">
        <f t="shared" si="0"/>
        <v>OVALTINE</v>
      </c>
      <c r="D16" s="114">
        <f t="shared" si="1"/>
        <v>39800</v>
      </c>
      <c r="E16" s="7">
        <v>45</v>
      </c>
      <c r="F16" s="8">
        <f t="shared" si="2"/>
        <v>1791000</v>
      </c>
      <c r="I16" s="3" t="s">
        <v>211</v>
      </c>
      <c r="J16" s="3">
        <f t="shared" si="3"/>
        <v>285</v>
      </c>
      <c r="K16" s="115">
        <f t="shared" si="4"/>
        <v>0.16994633273703041</v>
      </c>
    </row>
    <row r="17" spans="1:11">
      <c r="A17" s="11">
        <v>43149</v>
      </c>
      <c r="B17" s="5" t="s">
        <v>5</v>
      </c>
      <c r="C17" s="6" t="str">
        <f t="shared" si="0"/>
        <v>HI LO</v>
      </c>
      <c r="D17" s="114">
        <f t="shared" si="1"/>
        <v>52500</v>
      </c>
      <c r="E17" s="7">
        <v>61</v>
      </c>
      <c r="F17" s="8">
        <f t="shared" si="2"/>
        <v>3202500</v>
      </c>
      <c r="I17" s="5" t="s">
        <v>1</v>
      </c>
      <c r="J17" s="16">
        <f>SUM(J12:J16)</f>
        <v>1677</v>
      </c>
      <c r="K17" s="115">
        <f t="shared" si="4"/>
        <v>1</v>
      </c>
    </row>
    <row r="18" spans="1:11">
      <c r="A18" s="11">
        <v>43150</v>
      </c>
      <c r="B18" s="5" t="s">
        <v>4</v>
      </c>
      <c r="C18" s="6" t="str">
        <f t="shared" si="0"/>
        <v>SUSTAGEN</v>
      </c>
      <c r="D18" s="114">
        <f t="shared" si="1"/>
        <v>35700</v>
      </c>
      <c r="E18" s="7">
        <v>58</v>
      </c>
      <c r="F18" s="8">
        <f t="shared" si="2"/>
        <v>2070600</v>
      </c>
    </row>
    <row r="19" spans="1:11">
      <c r="A19" s="11">
        <v>43151</v>
      </c>
      <c r="B19" s="5" t="s">
        <v>8</v>
      </c>
      <c r="C19" s="6" t="str">
        <f t="shared" si="0"/>
        <v>MILO</v>
      </c>
      <c r="D19" s="114">
        <f t="shared" si="1"/>
        <v>25000</v>
      </c>
      <c r="E19" s="7">
        <v>21</v>
      </c>
      <c r="F19" s="8">
        <f t="shared" si="2"/>
        <v>525000</v>
      </c>
      <c r="I19" s="96" t="s">
        <v>127</v>
      </c>
      <c r="J19" s="97" t="s">
        <v>36</v>
      </c>
      <c r="K19" s="96" t="s">
        <v>72</v>
      </c>
    </row>
    <row r="20" spans="1:11">
      <c r="A20" s="11">
        <v>43152</v>
      </c>
      <c r="B20" s="5" t="s">
        <v>7</v>
      </c>
      <c r="C20" s="6" t="str">
        <f t="shared" si="0"/>
        <v>BENDERA</v>
      </c>
      <c r="D20" s="114">
        <f t="shared" si="1"/>
        <v>27500</v>
      </c>
      <c r="E20" s="7">
        <v>27</v>
      </c>
      <c r="F20" s="8">
        <f t="shared" si="2"/>
        <v>742500</v>
      </c>
      <c r="G20" s="19"/>
      <c r="H20" s="19"/>
      <c r="I20" s="3" t="s">
        <v>207</v>
      </c>
      <c r="J20" s="16">
        <f>SUMIF($C$4:$C$36,I20,$F$4:$F$36)</f>
        <v>9175000</v>
      </c>
      <c r="K20" s="115">
        <f>J20/$J$25</f>
        <v>0.15394011184357337</v>
      </c>
    </row>
    <row r="21" spans="1:11">
      <c r="A21" s="11">
        <v>43153</v>
      </c>
      <c r="B21" s="5" t="s">
        <v>6</v>
      </c>
      <c r="C21" s="6" t="str">
        <f t="shared" si="0"/>
        <v>OVALTINE</v>
      </c>
      <c r="D21" s="114">
        <f t="shared" si="1"/>
        <v>39800</v>
      </c>
      <c r="E21" s="7">
        <v>30</v>
      </c>
      <c r="F21" s="8">
        <f t="shared" si="2"/>
        <v>1194000</v>
      </c>
      <c r="G21" s="19"/>
      <c r="H21" s="19"/>
      <c r="I21" s="3" t="s">
        <v>208</v>
      </c>
      <c r="J21" s="16">
        <f t="shared" ref="J21:J24" si="5">SUMIF($C$4:$C$36,I21,$F$4:$F$36)</f>
        <v>9790000</v>
      </c>
      <c r="K21" s="115">
        <f t="shared" ref="K21:K25" si="6">J21/$J$25</f>
        <v>0.16425871334589462</v>
      </c>
    </row>
    <row r="22" spans="1:11">
      <c r="A22" s="11">
        <v>43154</v>
      </c>
      <c r="B22" s="5" t="s">
        <v>5</v>
      </c>
      <c r="C22" s="6" t="str">
        <f t="shared" si="0"/>
        <v>HI LO</v>
      </c>
      <c r="D22" s="114">
        <f t="shared" si="1"/>
        <v>52500</v>
      </c>
      <c r="E22" s="7">
        <v>84</v>
      </c>
      <c r="F22" s="8">
        <f t="shared" si="2"/>
        <v>4410000</v>
      </c>
      <c r="G22" s="19"/>
      <c r="H22" s="19"/>
      <c r="I22" s="3" t="s">
        <v>209</v>
      </c>
      <c r="J22" s="16">
        <f t="shared" si="5"/>
        <v>14606600</v>
      </c>
      <c r="K22" s="115">
        <f t="shared" si="6"/>
        <v>0.24507265805496878</v>
      </c>
    </row>
    <row r="23" spans="1:11">
      <c r="A23" s="11">
        <v>43155</v>
      </c>
      <c r="B23" s="5" t="s">
        <v>4</v>
      </c>
      <c r="C23" s="6" t="str">
        <f t="shared" si="0"/>
        <v>SUSTAGEN</v>
      </c>
      <c r="D23" s="114">
        <f t="shared" si="1"/>
        <v>35700</v>
      </c>
      <c r="E23" s="7">
        <v>67</v>
      </c>
      <c r="F23" s="8">
        <f t="shared" si="2"/>
        <v>2391900</v>
      </c>
      <c r="G23"/>
      <c r="H23"/>
      <c r="I23" s="3" t="s">
        <v>210</v>
      </c>
      <c r="J23" s="16">
        <f t="shared" si="5"/>
        <v>15855000</v>
      </c>
      <c r="K23" s="115">
        <f t="shared" si="6"/>
        <v>0.26601858019398972</v>
      </c>
    </row>
    <row r="24" spans="1:11">
      <c r="A24" s="11">
        <v>43156</v>
      </c>
      <c r="B24" s="5" t="s">
        <v>8</v>
      </c>
      <c r="C24" s="6" t="str">
        <f t="shared" si="0"/>
        <v>MILO</v>
      </c>
      <c r="D24" s="114">
        <f t="shared" si="1"/>
        <v>25000</v>
      </c>
      <c r="E24" s="7">
        <v>84</v>
      </c>
      <c r="F24" s="8">
        <f t="shared" si="2"/>
        <v>2100000</v>
      </c>
      <c r="G24"/>
      <c r="H24"/>
      <c r="I24" s="3" t="s">
        <v>211</v>
      </c>
      <c r="J24" s="16">
        <f t="shared" si="5"/>
        <v>10174500</v>
      </c>
      <c r="K24" s="115">
        <f t="shared" si="6"/>
        <v>0.17070993656157352</v>
      </c>
    </row>
    <row r="25" spans="1:11">
      <c r="A25" s="11">
        <v>43157</v>
      </c>
      <c r="B25" s="5" t="s">
        <v>7</v>
      </c>
      <c r="C25" s="6" t="str">
        <f t="shared" si="0"/>
        <v>BENDERA</v>
      </c>
      <c r="D25" s="114">
        <f t="shared" si="1"/>
        <v>27500</v>
      </c>
      <c r="E25" s="7">
        <v>58</v>
      </c>
      <c r="F25" s="8">
        <f t="shared" si="2"/>
        <v>1595000</v>
      </c>
      <c r="G25"/>
      <c r="H25"/>
      <c r="I25" s="5" t="s">
        <v>1</v>
      </c>
      <c r="J25" s="16">
        <f>SUM(J20:J24)</f>
        <v>59601100</v>
      </c>
      <c r="K25" s="115">
        <f t="shared" si="6"/>
        <v>1</v>
      </c>
    </row>
    <row r="26" spans="1:11">
      <c r="A26" s="11">
        <v>43158</v>
      </c>
      <c r="B26" s="5" t="s">
        <v>6</v>
      </c>
      <c r="C26" s="6" t="str">
        <f t="shared" si="0"/>
        <v>OVALTINE</v>
      </c>
      <c r="D26" s="114">
        <f t="shared" si="1"/>
        <v>39800</v>
      </c>
      <c r="E26" s="7">
        <v>68</v>
      </c>
      <c r="F26" s="8">
        <f t="shared" si="2"/>
        <v>2706400</v>
      </c>
      <c r="G26"/>
      <c r="H26"/>
      <c r="I26"/>
      <c r="J26"/>
    </row>
    <row r="27" spans="1:11">
      <c r="A27" s="11">
        <v>43159</v>
      </c>
      <c r="B27" s="5" t="s">
        <v>5</v>
      </c>
      <c r="C27" s="6" t="str">
        <f t="shared" si="0"/>
        <v>HI LO</v>
      </c>
      <c r="D27" s="114">
        <f t="shared" si="1"/>
        <v>52500</v>
      </c>
      <c r="E27" s="7">
        <v>56</v>
      </c>
      <c r="F27" s="8">
        <f t="shared" si="2"/>
        <v>2940000</v>
      </c>
      <c r="G27"/>
      <c r="H27"/>
      <c r="I27"/>
      <c r="J27"/>
    </row>
    <row r="28" spans="1:11">
      <c r="A28" s="11">
        <v>43160</v>
      </c>
      <c r="B28" s="5" t="s">
        <v>4</v>
      </c>
      <c r="C28" s="6" t="str">
        <f t="shared" si="0"/>
        <v>SUSTAGEN</v>
      </c>
      <c r="D28" s="114">
        <f t="shared" si="1"/>
        <v>35700</v>
      </c>
      <c r="E28" s="7">
        <v>59</v>
      </c>
      <c r="F28" s="8">
        <f t="shared" si="2"/>
        <v>2106300</v>
      </c>
      <c r="G28"/>
      <c r="H28"/>
      <c r="I28"/>
      <c r="J28"/>
    </row>
    <row r="29" spans="1:11">
      <c r="A29" s="11">
        <v>43161</v>
      </c>
      <c r="B29" s="5" t="s">
        <v>8</v>
      </c>
      <c r="C29" s="6" t="str">
        <f t="shared" si="0"/>
        <v>MILO</v>
      </c>
      <c r="D29" s="114">
        <f t="shared" si="1"/>
        <v>25000</v>
      </c>
      <c r="E29" s="7">
        <v>78</v>
      </c>
      <c r="F29" s="8">
        <f t="shared" si="2"/>
        <v>1950000</v>
      </c>
      <c r="G29"/>
      <c r="H29"/>
      <c r="I29"/>
      <c r="J29"/>
    </row>
    <row r="30" spans="1:11">
      <c r="A30" s="11">
        <v>43162</v>
      </c>
      <c r="B30" s="5" t="s">
        <v>7</v>
      </c>
      <c r="C30" s="6" t="str">
        <f t="shared" si="0"/>
        <v>BENDERA</v>
      </c>
      <c r="D30" s="114">
        <f t="shared" si="1"/>
        <v>27500</v>
      </c>
      <c r="E30" s="7">
        <v>61</v>
      </c>
      <c r="F30" s="8">
        <f t="shared" si="2"/>
        <v>1677500</v>
      </c>
      <c r="G30"/>
      <c r="H30"/>
      <c r="I30"/>
      <c r="J30"/>
    </row>
    <row r="31" spans="1:11">
      <c r="A31" s="11">
        <v>43163</v>
      </c>
      <c r="B31" s="5" t="s">
        <v>6</v>
      </c>
      <c r="C31" s="6" t="str">
        <f t="shared" si="0"/>
        <v>OVALTINE</v>
      </c>
      <c r="D31" s="114">
        <f t="shared" si="1"/>
        <v>39800</v>
      </c>
      <c r="E31" s="7">
        <v>34</v>
      </c>
      <c r="F31" s="8">
        <f t="shared" si="2"/>
        <v>1353200</v>
      </c>
      <c r="G31"/>
      <c r="H31"/>
      <c r="I31"/>
      <c r="J31"/>
    </row>
    <row r="32" spans="1:11">
      <c r="A32" s="11">
        <v>43164</v>
      </c>
      <c r="B32" s="5" t="s">
        <v>5</v>
      </c>
      <c r="C32" s="6" t="str">
        <f t="shared" si="0"/>
        <v>HI LO</v>
      </c>
      <c r="D32" s="114">
        <f t="shared" si="1"/>
        <v>52500</v>
      </c>
      <c r="E32" s="7">
        <v>63</v>
      </c>
      <c r="F32" s="8">
        <f t="shared" si="2"/>
        <v>3307500</v>
      </c>
      <c r="G32"/>
      <c r="H32"/>
      <c r="I32"/>
      <c r="J32"/>
    </row>
    <row r="33" spans="1:10">
      <c r="A33" s="11">
        <v>43165</v>
      </c>
      <c r="B33" s="5" t="s">
        <v>4</v>
      </c>
      <c r="C33" s="6" t="str">
        <f t="shared" si="0"/>
        <v>SUSTAGEN</v>
      </c>
      <c r="D33" s="114">
        <f t="shared" si="1"/>
        <v>35700</v>
      </c>
      <c r="E33" s="7">
        <v>16</v>
      </c>
      <c r="F33" s="8">
        <f t="shared" si="2"/>
        <v>571200</v>
      </c>
      <c r="G33"/>
      <c r="H33"/>
      <c r="I33"/>
      <c r="J33"/>
    </row>
    <row r="34" spans="1:10">
      <c r="A34" s="11">
        <v>43166</v>
      </c>
      <c r="B34" s="5" t="s">
        <v>8</v>
      </c>
      <c r="C34" s="6" t="str">
        <f t="shared" si="0"/>
        <v>MILO</v>
      </c>
      <c r="D34" s="114">
        <f t="shared" si="1"/>
        <v>25000</v>
      </c>
      <c r="E34" s="7">
        <v>38</v>
      </c>
      <c r="F34" s="8">
        <f t="shared" si="2"/>
        <v>950000</v>
      </c>
      <c r="G34"/>
      <c r="H34"/>
      <c r="I34"/>
      <c r="J34"/>
    </row>
    <row r="35" spans="1:10">
      <c r="A35" s="11">
        <v>43167</v>
      </c>
      <c r="B35" s="5" t="s">
        <v>7</v>
      </c>
      <c r="C35" s="6" t="str">
        <f t="shared" si="0"/>
        <v>BENDERA</v>
      </c>
      <c r="D35" s="114">
        <f t="shared" si="1"/>
        <v>27500</v>
      </c>
      <c r="E35" s="7">
        <v>18</v>
      </c>
      <c r="F35" s="8">
        <f t="shared" si="2"/>
        <v>495000</v>
      </c>
      <c r="G35"/>
      <c r="H35"/>
      <c r="I35"/>
      <c r="J35"/>
    </row>
    <row r="36" spans="1:10">
      <c r="A36" s="11">
        <v>43168</v>
      </c>
      <c r="B36" s="5" t="s">
        <v>6</v>
      </c>
      <c r="C36" s="6" t="str">
        <f t="shared" si="0"/>
        <v>OVALTINE</v>
      </c>
      <c r="D36" s="114">
        <f t="shared" si="1"/>
        <v>39800</v>
      </c>
      <c r="E36" s="7">
        <v>83</v>
      </c>
      <c r="F36" s="8">
        <f t="shared" si="2"/>
        <v>3303400</v>
      </c>
    </row>
    <row r="37" spans="1:10">
      <c r="A37" s="132" t="s">
        <v>1</v>
      </c>
      <c r="B37" s="133"/>
      <c r="C37" s="133"/>
      <c r="D37" s="134"/>
      <c r="E37" s="21">
        <f t="shared" ref="E37:F37" si="7">SUM(E4:E36)</f>
        <v>1677</v>
      </c>
      <c r="F37" s="81">
        <f t="shared" si="7"/>
        <v>59601100</v>
      </c>
    </row>
  </sheetData>
  <mergeCells count="1">
    <mergeCell ref="A37:D37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G34" sqref="G34"/>
    </sheetView>
  </sheetViews>
  <sheetFormatPr defaultColWidth="9.140625" defaultRowHeight="15"/>
  <cols>
    <col min="1" max="1" width="15.42578125" style="2" customWidth="1"/>
    <col min="2" max="2" width="10.5703125" style="2" customWidth="1"/>
    <col min="3" max="3" width="18.85546875" style="2" customWidth="1"/>
    <col min="4" max="4" width="19" style="2" customWidth="1"/>
    <col min="5" max="5" width="16.42578125" style="2" customWidth="1"/>
    <col min="6" max="7" width="21.5703125" style="2" customWidth="1"/>
    <col min="8" max="9" width="9.140625" style="2" customWidth="1"/>
    <col min="10" max="10" width="15.7109375" style="2" customWidth="1"/>
    <col min="11" max="11" width="14.7109375" style="2" customWidth="1"/>
    <col min="12" max="13" width="9.140625" style="2" customWidth="1"/>
    <col min="14" max="16384" width="9.140625" style="2"/>
  </cols>
  <sheetData>
    <row r="1" spans="1:11">
      <c r="C1" s="13" t="s">
        <v>25</v>
      </c>
    </row>
    <row r="3" spans="1:11">
      <c r="A3" s="95" t="s">
        <v>20</v>
      </c>
      <c r="B3" s="95" t="s">
        <v>2</v>
      </c>
      <c r="C3" s="95" t="s">
        <v>16</v>
      </c>
      <c r="D3" s="95" t="s">
        <v>10</v>
      </c>
      <c r="E3" s="95" t="s">
        <v>21</v>
      </c>
      <c r="F3" s="95" t="s">
        <v>22</v>
      </c>
      <c r="G3" s="96" t="s">
        <v>212</v>
      </c>
      <c r="I3" s="96" t="s">
        <v>11</v>
      </c>
      <c r="J3" s="96" t="s">
        <v>12</v>
      </c>
      <c r="K3" s="96" t="s">
        <v>13</v>
      </c>
    </row>
    <row r="4" spans="1:11">
      <c r="A4" s="11">
        <v>43105</v>
      </c>
      <c r="B4" s="5" t="s">
        <v>114</v>
      </c>
      <c r="C4" s="6" t="str">
        <f>VLOOKUP(LEFT(B4,2),$I$4:$K$8,2,0)</f>
        <v>MILO</v>
      </c>
      <c r="D4" s="114">
        <f>VLOOKUP(LEFT(B4,2),$I$4:$K$8,3,0)</f>
        <v>25000</v>
      </c>
      <c r="E4" s="7">
        <v>63</v>
      </c>
      <c r="F4" s="8">
        <f>D4*E4</f>
        <v>1575000</v>
      </c>
      <c r="G4" s="8" t="str">
        <f>VLOOKUP(RIGHT(B4,2),I11:$K$15,3,0)</f>
        <v>MADU</v>
      </c>
      <c r="I4" s="5" t="s">
        <v>104</v>
      </c>
      <c r="J4" s="3" t="s">
        <v>207</v>
      </c>
      <c r="K4" s="16">
        <v>25000</v>
      </c>
    </row>
    <row r="5" spans="1:11">
      <c r="A5" s="11">
        <v>43106</v>
      </c>
      <c r="B5" s="5" t="s">
        <v>115</v>
      </c>
      <c r="C5" s="6" t="str">
        <f t="shared" ref="C5:C44" si="0">VLOOKUP(LEFT(B5,2),$I$4:$K$8,2,0)</f>
        <v>OVALTINE</v>
      </c>
      <c r="D5" s="114">
        <f t="shared" ref="D5:D44" si="1">VLOOKUP(LEFT(B5,2),$I$4:$K$8,3,0)</f>
        <v>39800</v>
      </c>
      <c r="E5" s="7">
        <v>86</v>
      </c>
      <c r="F5" s="8">
        <f t="shared" ref="F5:F44" si="2">D5*E5</f>
        <v>3422800</v>
      </c>
      <c r="G5" s="8" t="str">
        <f>VLOOKUP(RIGHT(B5,2),I12:$K$15,3,0)</f>
        <v>COKLAT</v>
      </c>
      <c r="I5" s="5" t="s">
        <v>105</v>
      </c>
      <c r="J5" s="3" t="s">
        <v>208</v>
      </c>
      <c r="K5" s="16">
        <v>27500</v>
      </c>
    </row>
    <row r="6" spans="1:11">
      <c r="A6" s="11">
        <v>43107</v>
      </c>
      <c r="B6" s="5" t="s">
        <v>116</v>
      </c>
      <c r="C6" s="6" t="str">
        <f t="shared" si="0"/>
        <v>BENDERA</v>
      </c>
      <c r="D6" s="114">
        <f t="shared" si="1"/>
        <v>27500</v>
      </c>
      <c r="E6" s="7">
        <v>45</v>
      </c>
      <c r="F6" s="8">
        <f t="shared" si="2"/>
        <v>1237500</v>
      </c>
      <c r="G6" s="8" t="str">
        <f>VLOOKUP(RIGHT(B6,2),I13:$K$15,3,0)</f>
        <v>MANGGA</v>
      </c>
      <c r="I6" s="5" t="s">
        <v>106</v>
      </c>
      <c r="J6" s="3" t="s">
        <v>209</v>
      </c>
      <c r="K6" s="16">
        <v>39800</v>
      </c>
    </row>
    <row r="7" spans="1:11">
      <c r="A7" s="11">
        <v>43108</v>
      </c>
      <c r="B7" s="5" t="s">
        <v>117</v>
      </c>
      <c r="C7" s="6" t="str">
        <f t="shared" si="0"/>
        <v>SUSTAGEN</v>
      </c>
      <c r="D7" s="114">
        <f t="shared" si="1"/>
        <v>35700</v>
      </c>
      <c r="E7" s="7">
        <v>94</v>
      </c>
      <c r="F7" s="8">
        <f t="shared" si="2"/>
        <v>3355800</v>
      </c>
      <c r="G7" s="8" t="str">
        <f>VLOOKUP(RIGHT(B7,2),$I$11:$K$15,3,0)</f>
        <v>STROBERI</v>
      </c>
      <c r="I7" s="5" t="s">
        <v>107</v>
      </c>
      <c r="J7" s="3" t="s">
        <v>210</v>
      </c>
      <c r="K7" s="16">
        <v>52500</v>
      </c>
    </row>
    <row r="8" spans="1:11">
      <c r="A8" s="11">
        <v>43109</v>
      </c>
      <c r="B8" s="5" t="s">
        <v>118</v>
      </c>
      <c r="C8" s="6" t="str">
        <f t="shared" si="0"/>
        <v>HI LO</v>
      </c>
      <c r="D8" s="114">
        <f t="shared" si="1"/>
        <v>52500</v>
      </c>
      <c r="E8" s="7">
        <v>52</v>
      </c>
      <c r="F8" s="8">
        <f t="shared" si="2"/>
        <v>2730000</v>
      </c>
      <c r="G8" s="8" t="str">
        <f t="shared" ref="G8:G27" si="3">VLOOKUP(RIGHT(B8,2),$I$11:$K$15,3,0)</f>
        <v>MADU</v>
      </c>
      <c r="I8" s="5" t="s">
        <v>108</v>
      </c>
      <c r="J8" s="3" t="s">
        <v>211</v>
      </c>
      <c r="K8" s="16">
        <v>35700</v>
      </c>
    </row>
    <row r="9" spans="1:11">
      <c r="A9" s="11">
        <v>43110</v>
      </c>
      <c r="B9" s="5" t="s">
        <v>119</v>
      </c>
      <c r="C9" s="6" t="str">
        <f t="shared" si="0"/>
        <v>OVALTINE</v>
      </c>
      <c r="D9" s="114">
        <f t="shared" si="1"/>
        <v>39800</v>
      </c>
      <c r="E9" s="7">
        <v>39</v>
      </c>
      <c r="F9" s="8">
        <f t="shared" si="2"/>
        <v>1552200</v>
      </c>
      <c r="G9" s="8" t="str">
        <f t="shared" si="3"/>
        <v>VANILA</v>
      </c>
      <c r="I9"/>
      <c r="J9"/>
      <c r="K9"/>
    </row>
    <row r="10" spans="1:11">
      <c r="A10" s="11">
        <v>43111</v>
      </c>
      <c r="B10" s="5" t="s">
        <v>120</v>
      </c>
      <c r="C10" s="6" t="str">
        <f t="shared" si="0"/>
        <v>SUSTAGEN</v>
      </c>
      <c r="D10" s="114">
        <f t="shared" si="1"/>
        <v>35700</v>
      </c>
      <c r="E10" s="7">
        <v>93</v>
      </c>
      <c r="F10" s="8">
        <f t="shared" si="2"/>
        <v>3320100</v>
      </c>
      <c r="G10" s="8" t="str">
        <f t="shared" si="3"/>
        <v>MANGGA</v>
      </c>
      <c r="I10" s="96" t="s">
        <v>11</v>
      </c>
      <c r="J10" s="96" t="s">
        <v>19</v>
      </c>
      <c r="K10" s="96" t="s">
        <v>212</v>
      </c>
    </row>
    <row r="11" spans="1:11">
      <c r="A11" s="11">
        <v>43112</v>
      </c>
      <c r="B11" s="5" t="s">
        <v>121</v>
      </c>
      <c r="C11" s="6" t="str">
        <f t="shared" si="0"/>
        <v>MILO</v>
      </c>
      <c r="D11" s="114">
        <f t="shared" si="1"/>
        <v>25000</v>
      </c>
      <c r="E11" s="7">
        <v>46</v>
      </c>
      <c r="F11" s="8">
        <f t="shared" si="2"/>
        <v>1150000</v>
      </c>
      <c r="G11" s="8" t="str">
        <f t="shared" si="3"/>
        <v>STROBERI</v>
      </c>
      <c r="I11" s="5" t="s">
        <v>109</v>
      </c>
      <c r="J11" s="14">
        <v>0.15</v>
      </c>
      <c r="K11" s="16" t="s">
        <v>216</v>
      </c>
    </row>
    <row r="12" spans="1:11">
      <c r="A12" s="11">
        <v>43113</v>
      </c>
      <c r="B12" s="5" t="s">
        <v>122</v>
      </c>
      <c r="C12" s="6" t="str">
        <f t="shared" si="0"/>
        <v>BENDERA</v>
      </c>
      <c r="D12" s="114">
        <f t="shared" si="1"/>
        <v>27500</v>
      </c>
      <c r="E12" s="7">
        <v>82</v>
      </c>
      <c r="F12" s="8">
        <f t="shared" si="2"/>
        <v>2255000</v>
      </c>
      <c r="G12" s="8" t="str">
        <f t="shared" si="3"/>
        <v>COKLAT</v>
      </c>
      <c r="I12" s="5" t="s">
        <v>110</v>
      </c>
      <c r="J12" s="14">
        <v>7.0000000000000007E-2</v>
      </c>
      <c r="K12" s="16" t="s">
        <v>213</v>
      </c>
    </row>
    <row r="13" spans="1:11">
      <c r="A13" s="11">
        <v>43114</v>
      </c>
      <c r="B13" s="5" t="s">
        <v>123</v>
      </c>
      <c r="C13" s="6" t="str">
        <f t="shared" si="0"/>
        <v>HI LO</v>
      </c>
      <c r="D13" s="114">
        <f t="shared" si="1"/>
        <v>52500</v>
      </c>
      <c r="E13" s="7">
        <v>63</v>
      </c>
      <c r="F13" s="8">
        <f t="shared" si="2"/>
        <v>3307500</v>
      </c>
      <c r="G13" s="8" t="str">
        <f t="shared" si="3"/>
        <v>STROBERI</v>
      </c>
      <c r="I13" s="5" t="s">
        <v>111</v>
      </c>
      <c r="J13" s="14">
        <v>0.11</v>
      </c>
      <c r="K13" s="16" t="s">
        <v>214</v>
      </c>
    </row>
    <row r="14" spans="1:11">
      <c r="A14" s="11">
        <v>43115</v>
      </c>
      <c r="B14" s="5" t="s">
        <v>124</v>
      </c>
      <c r="C14" s="6" t="str">
        <f t="shared" si="0"/>
        <v>MILO</v>
      </c>
      <c r="D14" s="114">
        <f t="shared" si="1"/>
        <v>25000</v>
      </c>
      <c r="E14" s="7">
        <v>53</v>
      </c>
      <c r="F14" s="8">
        <f t="shared" si="2"/>
        <v>1325000</v>
      </c>
      <c r="G14" s="8" t="str">
        <f t="shared" si="3"/>
        <v>VANILA</v>
      </c>
      <c r="I14" s="5" t="s">
        <v>112</v>
      </c>
      <c r="J14" s="14">
        <v>0.03</v>
      </c>
      <c r="K14" s="16" t="s">
        <v>217</v>
      </c>
    </row>
    <row r="15" spans="1:11">
      <c r="A15" s="11">
        <v>43116</v>
      </c>
      <c r="B15" s="5" t="s">
        <v>125</v>
      </c>
      <c r="C15" s="6" t="str">
        <f t="shared" si="0"/>
        <v>BENDERA</v>
      </c>
      <c r="D15" s="114">
        <f t="shared" si="1"/>
        <v>27500</v>
      </c>
      <c r="E15" s="7">
        <v>64</v>
      </c>
      <c r="F15" s="8">
        <f t="shared" si="2"/>
        <v>1760000</v>
      </c>
      <c r="G15" s="8" t="str">
        <f t="shared" si="3"/>
        <v>VANILA</v>
      </c>
      <c r="I15" s="5" t="s">
        <v>113</v>
      </c>
      <c r="J15" s="14">
        <v>0.05</v>
      </c>
      <c r="K15" s="16" t="s">
        <v>215</v>
      </c>
    </row>
    <row r="16" spans="1:11">
      <c r="A16" s="11">
        <v>43117</v>
      </c>
      <c r="B16" s="5" t="s">
        <v>115</v>
      </c>
      <c r="C16" s="6" t="str">
        <f t="shared" si="0"/>
        <v>OVALTINE</v>
      </c>
      <c r="D16" s="114">
        <f t="shared" si="1"/>
        <v>39800</v>
      </c>
      <c r="E16" s="7">
        <v>65</v>
      </c>
      <c r="F16" s="8">
        <f t="shared" si="2"/>
        <v>2587000</v>
      </c>
      <c r="G16" s="8" t="str">
        <f t="shared" si="3"/>
        <v>COKLAT</v>
      </c>
    </row>
    <row r="17" spans="1:12">
      <c r="A17" s="11">
        <v>43118</v>
      </c>
      <c r="B17" s="5" t="s">
        <v>123</v>
      </c>
      <c r="C17" s="6" t="str">
        <f t="shared" si="0"/>
        <v>HI LO</v>
      </c>
      <c r="D17" s="114">
        <f t="shared" si="1"/>
        <v>52500</v>
      </c>
      <c r="E17" s="7">
        <v>50</v>
      </c>
      <c r="F17" s="8">
        <f t="shared" si="2"/>
        <v>2625000</v>
      </c>
      <c r="G17" s="8" t="str">
        <f t="shared" si="3"/>
        <v>STROBERI</v>
      </c>
    </row>
    <row r="18" spans="1:12">
      <c r="A18" s="11">
        <v>43119</v>
      </c>
      <c r="B18" s="5" t="s">
        <v>126</v>
      </c>
      <c r="C18" s="6" t="str">
        <f t="shared" si="0"/>
        <v>SUSTAGEN</v>
      </c>
      <c r="D18" s="114">
        <f t="shared" si="1"/>
        <v>35700</v>
      </c>
      <c r="E18" s="7">
        <v>47</v>
      </c>
      <c r="F18" s="8">
        <f t="shared" si="2"/>
        <v>1677900</v>
      </c>
      <c r="G18" s="8" t="str">
        <f t="shared" si="3"/>
        <v>COKLAT</v>
      </c>
      <c r="J18" s="96" t="s">
        <v>127</v>
      </c>
      <c r="K18" s="96" t="s">
        <v>24</v>
      </c>
      <c r="L18" s="96" t="s">
        <v>72</v>
      </c>
    </row>
    <row r="19" spans="1:12">
      <c r="A19" s="11">
        <v>43120</v>
      </c>
      <c r="B19" s="5" t="s">
        <v>124</v>
      </c>
      <c r="C19" s="6" t="str">
        <f t="shared" si="0"/>
        <v>MILO</v>
      </c>
      <c r="D19" s="114">
        <f t="shared" si="1"/>
        <v>25000</v>
      </c>
      <c r="E19" s="7">
        <v>75</v>
      </c>
      <c r="F19" s="8">
        <f t="shared" si="2"/>
        <v>1875000</v>
      </c>
      <c r="G19" s="8" t="str">
        <f t="shared" si="3"/>
        <v>VANILA</v>
      </c>
      <c r="J19" s="3" t="s">
        <v>207</v>
      </c>
      <c r="K19" s="3">
        <f>SUMIF($C$4:$C$44,J19,$E$4:$E$44)</f>
        <v>524</v>
      </c>
      <c r="L19" s="115">
        <f>K19/$K$24</f>
        <v>0.19878603945371776</v>
      </c>
    </row>
    <row r="20" spans="1:12">
      <c r="A20" s="11">
        <v>43121</v>
      </c>
      <c r="B20" s="5" t="s">
        <v>114</v>
      </c>
      <c r="C20" s="6" t="str">
        <f t="shared" si="0"/>
        <v>MILO</v>
      </c>
      <c r="D20" s="114">
        <f t="shared" si="1"/>
        <v>25000</v>
      </c>
      <c r="E20" s="7">
        <v>40</v>
      </c>
      <c r="F20" s="8">
        <f t="shared" si="2"/>
        <v>1000000</v>
      </c>
      <c r="G20" s="8" t="str">
        <f t="shared" si="3"/>
        <v>MADU</v>
      </c>
      <c r="J20" s="3" t="s">
        <v>208</v>
      </c>
      <c r="K20" s="3">
        <f t="shared" ref="K20:K23" si="4">SUMIF($C$4:$C$44,J20,$E$4:$E$44)</f>
        <v>484</v>
      </c>
      <c r="L20" s="115">
        <f t="shared" ref="L20:L24" si="5">K20/$K$24</f>
        <v>0.18361153262518967</v>
      </c>
    </row>
    <row r="21" spans="1:12">
      <c r="A21" s="11">
        <v>43122</v>
      </c>
      <c r="B21" s="5" t="s">
        <v>115</v>
      </c>
      <c r="C21" s="6" t="str">
        <f t="shared" si="0"/>
        <v>OVALTINE</v>
      </c>
      <c r="D21" s="114">
        <f t="shared" si="1"/>
        <v>39800</v>
      </c>
      <c r="E21" s="7">
        <v>36</v>
      </c>
      <c r="F21" s="8">
        <f t="shared" si="2"/>
        <v>1432800</v>
      </c>
      <c r="G21" s="8" t="str">
        <f t="shared" si="3"/>
        <v>COKLAT</v>
      </c>
      <c r="H21"/>
      <c r="J21" s="3" t="s">
        <v>209</v>
      </c>
      <c r="K21" s="3">
        <f t="shared" si="4"/>
        <v>531</v>
      </c>
      <c r="L21" s="115">
        <f t="shared" si="5"/>
        <v>0.20144157814871017</v>
      </c>
    </row>
    <row r="22" spans="1:12">
      <c r="A22" s="11">
        <v>43123</v>
      </c>
      <c r="B22" s="5" t="s">
        <v>116</v>
      </c>
      <c r="C22" s="6" t="str">
        <f t="shared" si="0"/>
        <v>BENDERA</v>
      </c>
      <c r="D22" s="114">
        <f t="shared" si="1"/>
        <v>27500</v>
      </c>
      <c r="E22" s="7">
        <v>30</v>
      </c>
      <c r="F22" s="8">
        <f t="shared" si="2"/>
        <v>825000</v>
      </c>
      <c r="G22" s="8" t="str">
        <f t="shared" si="3"/>
        <v>MANGGA</v>
      </c>
      <c r="H22"/>
      <c r="J22" s="3" t="s">
        <v>210</v>
      </c>
      <c r="K22" s="3">
        <f t="shared" si="4"/>
        <v>533</v>
      </c>
      <c r="L22" s="115">
        <f t="shared" si="5"/>
        <v>0.20220030349013657</v>
      </c>
    </row>
    <row r="23" spans="1:12">
      <c r="A23" s="11">
        <v>43124</v>
      </c>
      <c r="B23" s="5" t="s">
        <v>117</v>
      </c>
      <c r="C23" s="6" t="str">
        <f t="shared" si="0"/>
        <v>SUSTAGEN</v>
      </c>
      <c r="D23" s="114">
        <f t="shared" si="1"/>
        <v>35700</v>
      </c>
      <c r="E23" s="7">
        <v>90</v>
      </c>
      <c r="F23" s="8">
        <f t="shared" si="2"/>
        <v>3213000</v>
      </c>
      <c r="G23" s="8" t="str">
        <f t="shared" si="3"/>
        <v>STROBERI</v>
      </c>
      <c r="J23" s="3" t="s">
        <v>211</v>
      </c>
      <c r="K23" s="3">
        <f t="shared" si="4"/>
        <v>564</v>
      </c>
      <c r="L23" s="115">
        <f t="shared" si="5"/>
        <v>0.21396054628224584</v>
      </c>
    </row>
    <row r="24" spans="1:12">
      <c r="A24" s="11">
        <v>43125</v>
      </c>
      <c r="B24" s="5" t="s">
        <v>118</v>
      </c>
      <c r="C24" s="6" t="str">
        <f t="shared" si="0"/>
        <v>HI LO</v>
      </c>
      <c r="D24" s="114">
        <f t="shared" si="1"/>
        <v>52500</v>
      </c>
      <c r="E24" s="7">
        <v>40</v>
      </c>
      <c r="F24" s="8">
        <f t="shared" si="2"/>
        <v>2100000</v>
      </c>
      <c r="G24" s="8" t="str">
        <f t="shared" si="3"/>
        <v>MADU</v>
      </c>
      <c r="J24" s="5" t="s">
        <v>1</v>
      </c>
      <c r="K24" s="16">
        <f>SUM(K19:K23)</f>
        <v>2636</v>
      </c>
      <c r="L24" s="115">
        <f t="shared" si="5"/>
        <v>1</v>
      </c>
    </row>
    <row r="25" spans="1:12">
      <c r="A25" s="11">
        <v>43126</v>
      </c>
      <c r="B25" s="5" t="s">
        <v>119</v>
      </c>
      <c r="C25" s="6" t="str">
        <f t="shared" si="0"/>
        <v>OVALTINE</v>
      </c>
      <c r="D25" s="114">
        <f t="shared" si="1"/>
        <v>39800</v>
      </c>
      <c r="E25" s="7">
        <v>34</v>
      </c>
      <c r="F25" s="8">
        <f t="shared" si="2"/>
        <v>1353200</v>
      </c>
      <c r="G25" s="8" t="str">
        <f t="shared" si="3"/>
        <v>VANILA</v>
      </c>
    </row>
    <row r="26" spans="1:12">
      <c r="A26" s="11">
        <v>43127</v>
      </c>
      <c r="B26" s="5" t="s">
        <v>120</v>
      </c>
      <c r="C26" s="6" t="str">
        <f t="shared" si="0"/>
        <v>SUSTAGEN</v>
      </c>
      <c r="D26" s="114">
        <f t="shared" si="1"/>
        <v>35700</v>
      </c>
      <c r="E26" s="7">
        <v>59</v>
      </c>
      <c r="F26" s="8">
        <f t="shared" si="2"/>
        <v>2106300</v>
      </c>
      <c r="G26" s="8" t="str">
        <f t="shared" si="3"/>
        <v>MANGGA</v>
      </c>
      <c r="J26" s="96" t="s">
        <v>127</v>
      </c>
      <c r="K26" s="97" t="s">
        <v>36</v>
      </c>
      <c r="L26" s="96" t="s">
        <v>72</v>
      </c>
    </row>
    <row r="27" spans="1:12">
      <c r="A27" s="11">
        <v>43128</v>
      </c>
      <c r="B27" s="5" t="s">
        <v>121</v>
      </c>
      <c r="C27" s="6" t="str">
        <f t="shared" si="0"/>
        <v>MILO</v>
      </c>
      <c r="D27" s="114">
        <f t="shared" si="1"/>
        <v>25000</v>
      </c>
      <c r="E27" s="7">
        <v>36</v>
      </c>
      <c r="F27" s="8">
        <f t="shared" si="2"/>
        <v>900000</v>
      </c>
      <c r="G27" s="8" t="str">
        <f t="shared" si="3"/>
        <v>STROBERI</v>
      </c>
      <c r="J27" s="3" t="s">
        <v>207</v>
      </c>
      <c r="K27" s="16">
        <f>SUMIF($C$4:$C$44,J27,$F$4:$F$44)</f>
        <v>13100000</v>
      </c>
      <c r="L27" s="115">
        <f>K27/$K$32</f>
        <v>0.13694176629789956</v>
      </c>
    </row>
    <row r="28" spans="1:12">
      <c r="A28" s="11">
        <v>43129</v>
      </c>
      <c r="B28" s="5" t="s">
        <v>122</v>
      </c>
      <c r="C28" s="6" t="str">
        <f t="shared" si="0"/>
        <v>BENDERA</v>
      </c>
      <c r="D28" s="114">
        <f t="shared" si="1"/>
        <v>27500</v>
      </c>
      <c r="E28" s="7">
        <v>39</v>
      </c>
      <c r="F28" s="8">
        <f t="shared" si="2"/>
        <v>1072500</v>
      </c>
      <c r="G28" s="8" t="str">
        <f>VLOOKUP(RIGHT(B28,2),$I$11:$K$15,3,0)</f>
        <v>COKLAT</v>
      </c>
      <c r="J28" s="3" t="s">
        <v>208</v>
      </c>
      <c r="K28" s="16">
        <f t="shared" ref="K28:K31" si="6">SUMIF($C$4:$C$44,J28,$F$4:$F$44)</f>
        <v>13310000</v>
      </c>
      <c r="L28" s="115">
        <f t="shared" ref="L28:L32" si="7">K28/$K$32</f>
        <v>0.13913701598664452</v>
      </c>
    </row>
    <row r="29" spans="1:12">
      <c r="A29" s="11">
        <v>43130</v>
      </c>
      <c r="B29" s="5" t="s">
        <v>123</v>
      </c>
      <c r="C29" s="6" t="str">
        <f t="shared" si="0"/>
        <v>HI LO</v>
      </c>
      <c r="D29" s="114">
        <f t="shared" si="1"/>
        <v>52500</v>
      </c>
      <c r="E29" s="7">
        <v>82</v>
      </c>
      <c r="F29" s="8">
        <f t="shared" si="2"/>
        <v>4305000</v>
      </c>
      <c r="G29" s="8" t="str">
        <f>VLOOKUP(RIGHT(B29,2),$I$11:$K$15,3,0)</f>
        <v>STROBERI</v>
      </c>
      <c r="J29" s="3" t="s">
        <v>209</v>
      </c>
      <c r="K29" s="16">
        <f t="shared" si="6"/>
        <v>21133800</v>
      </c>
      <c r="L29" s="115">
        <f t="shared" si="7"/>
        <v>0.22092365653332441</v>
      </c>
    </row>
    <row r="30" spans="1:12">
      <c r="A30" s="11">
        <v>43131</v>
      </c>
      <c r="B30" s="5" t="s">
        <v>124</v>
      </c>
      <c r="C30" s="6" t="str">
        <f t="shared" si="0"/>
        <v>MILO</v>
      </c>
      <c r="D30" s="114">
        <f t="shared" si="1"/>
        <v>25000</v>
      </c>
      <c r="E30" s="7">
        <v>78</v>
      </c>
      <c r="F30" s="8">
        <f t="shared" si="2"/>
        <v>1950000</v>
      </c>
      <c r="G30" s="8" t="str">
        <f t="shared" ref="G30:G44" si="8">VLOOKUP(RIGHT(B30,2),$I$11:$K$15,3,0)</f>
        <v>VANILA</v>
      </c>
      <c r="J30" s="3" t="s">
        <v>210</v>
      </c>
      <c r="K30" s="16">
        <f t="shared" si="6"/>
        <v>27982500</v>
      </c>
      <c r="L30" s="115">
        <f t="shared" si="7"/>
        <v>0.29251702102526522</v>
      </c>
    </row>
    <row r="31" spans="1:12">
      <c r="A31" s="11">
        <v>43132</v>
      </c>
      <c r="B31" s="5" t="s">
        <v>125</v>
      </c>
      <c r="C31" s="6" t="str">
        <f t="shared" si="0"/>
        <v>BENDERA</v>
      </c>
      <c r="D31" s="114">
        <f t="shared" si="1"/>
        <v>27500</v>
      </c>
      <c r="E31" s="7">
        <v>53</v>
      </c>
      <c r="F31" s="8">
        <f t="shared" si="2"/>
        <v>1457500</v>
      </c>
      <c r="G31" s="8" t="str">
        <f t="shared" si="8"/>
        <v>VANILA</v>
      </c>
      <c r="J31" s="3" t="s">
        <v>211</v>
      </c>
      <c r="K31" s="16">
        <f t="shared" si="6"/>
        <v>20134800</v>
      </c>
      <c r="L31" s="115">
        <f t="shared" si="7"/>
        <v>0.21048054015686626</v>
      </c>
    </row>
    <row r="32" spans="1:12">
      <c r="A32" s="11">
        <v>43133</v>
      </c>
      <c r="B32" s="5" t="s">
        <v>115</v>
      </c>
      <c r="C32" s="6" t="str">
        <f t="shared" si="0"/>
        <v>OVALTINE</v>
      </c>
      <c r="D32" s="114">
        <f t="shared" si="1"/>
        <v>39800</v>
      </c>
      <c r="E32" s="7">
        <v>56</v>
      </c>
      <c r="F32" s="8">
        <f t="shared" si="2"/>
        <v>2228800</v>
      </c>
      <c r="G32" s="8" t="str">
        <f t="shared" si="8"/>
        <v>COKLAT</v>
      </c>
      <c r="J32" s="5" t="s">
        <v>1</v>
      </c>
      <c r="K32" s="16">
        <f>SUM(K27:K31)</f>
        <v>95661100</v>
      </c>
      <c r="L32" s="115">
        <f t="shared" si="7"/>
        <v>1</v>
      </c>
    </row>
    <row r="33" spans="1:7">
      <c r="A33" s="11">
        <v>43134</v>
      </c>
      <c r="B33" s="5" t="s">
        <v>118</v>
      </c>
      <c r="C33" s="6" t="str">
        <f t="shared" si="0"/>
        <v>HI LO</v>
      </c>
      <c r="D33" s="114">
        <f t="shared" si="1"/>
        <v>52500</v>
      </c>
      <c r="E33" s="7">
        <v>95</v>
      </c>
      <c r="F33" s="8">
        <f t="shared" si="2"/>
        <v>4987500</v>
      </c>
      <c r="G33" s="8" t="str">
        <f t="shared" si="8"/>
        <v>MADU</v>
      </c>
    </row>
    <row r="34" spans="1:7">
      <c r="A34" s="11">
        <v>43135</v>
      </c>
      <c r="B34" s="5" t="s">
        <v>119</v>
      </c>
      <c r="C34" s="6" t="str">
        <f t="shared" si="0"/>
        <v>OVALTINE</v>
      </c>
      <c r="D34" s="114">
        <f t="shared" si="1"/>
        <v>39800</v>
      </c>
      <c r="E34" s="7">
        <v>76</v>
      </c>
      <c r="F34" s="8">
        <f t="shared" si="2"/>
        <v>3024800</v>
      </c>
      <c r="G34" s="8" t="str">
        <f t="shared" si="8"/>
        <v>VANILA</v>
      </c>
    </row>
    <row r="35" spans="1:7">
      <c r="A35" s="11">
        <v>43136</v>
      </c>
      <c r="B35" s="5" t="s">
        <v>120</v>
      </c>
      <c r="C35" s="6" t="str">
        <f t="shared" si="0"/>
        <v>SUSTAGEN</v>
      </c>
      <c r="D35" s="114">
        <f t="shared" si="1"/>
        <v>35700</v>
      </c>
      <c r="E35" s="7">
        <v>94</v>
      </c>
      <c r="F35" s="8">
        <f t="shared" si="2"/>
        <v>3355800</v>
      </c>
      <c r="G35" s="8" t="str">
        <f t="shared" si="8"/>
        <v>MANGGA</v>
      </c>
    </row>
    <row r="36" spans="1:7">
      <c r="A36" s="11">
        <v>43137</v>
      </c>
      <c r="B36" s="5" t="s">
        <v>121</v>
      </c>
      <c r="C36" s="6" t="str">
        <f t="shared" si="0"/>
        <v>MILO</v>
      </c>
      <c r="D36" s="114">
        <f t="shared" si="1"/>
        <v>25000</v>
      </c>
      <c r="E36" s="7">
        <v>64</v>
      </c>
      <c r="F36" s="8">
        <f t="shared" si="2"/>
        <v>1600000</v>
      </c>
      <c r="G36" s="8" t="str">
        <f t="shared" si="8"/>
        <v>STROBERI</v>
      </c>
    </row>
    <row r="37" spans="1:7">
      <c r="A37" s="11">
        <v>43138</v>
      </c>
      <c r="B37" s="5" t="s">
        <v>122</v>
      </c>
      <c r="C37" s="6" t="str">
        <f t="shared" si="0"/>
        <v>BENDERA</v>
      </c>
      <c r="D37" s="114">
        <f t="shared" si="1"/>
        <v>27500</v>
      </c>
      <c r="E37" s="7">
        <v>89</v>
      </c>
      <c r="F37" s="8">
        <f t="shared" si="2"/>
        <v>2447500</v>
      </c>
      <c r="G37" s="8" t="str">
        <f t="shared" si="8"/>
        <v>COKLAT</v>
      </c>
    </row>
    <row r="38" spans="1:7">
      <c r="A38" s="11">
        <v>43139</v>
      </c>
      <c r="B38" s="5" t="s">
        <v>123</v>
      </c>
      <c r="C38" s="6" t="str">
        <f t="shared" si="0"/>
        <v>HI LO</v>
      </c>
      <c r="D38" s="114">
        <f t="shared" si="1"/>
        <v>52500</v>
      </c>
      <c r="E38" s="7">
        <v>56</v>
      </c>
      <c r="F38" s="8">
        <f t="shared" si="2"/>
        <v>2940000</v>
      </c>
      <c r="G38" s="8" t="str">
        <f t="shared" si="8"/>
        <v>STROBERI</v>
      </c>
    </row>
    <row r="39" spans="1:7">
      <c r="A39" s="11">
        <v>43140</v>
      </c>
      <c r="B39" s="5" t="s">
        <v>124</v>
      </c>
      <c r="C39" s="6" t="str">
        <f t="shared" si="0"/>
        <v>MILO</v>
      </c>
      <c r="D39" s="114">
        <f t="shared" si="1"/>
        <v>25000</v>
      </c>
      <c r="E39" s="7">
        <v>69</v>
      </c>
      <c r="F39" s="8">
        <f t="shared" si="2"/>
        <v>1725000</v>
      </c>
      <c r="G39" s="8" t="str">
        <f t="shared" si="8"/>
        <v>VANILA</v>
      </c>
    </row>
    <row r="40" spans="1:7">
      <c r="A40" s="11">
        <v>43141</v>
      </c>
      <c r="B40" s="5" t="s">
        <v>125</v>
      </c>
      <c r="C40" s="6" t="str">
        <f t="shared" si="0"/>
        <v>BENDERA</v>
      </c>
      <c r="D40" s="114">
        <f t="shared" si="1"/>
        <v>27500</v>
      </c>
      <c r="E40" s="7">
        <v>82</v>
      </c>
      <c r="F40" s="8">
        <f t="shared" si="2"/>
        <v>2255000</v>
      </c>
      <c r="G40" s="8" t="str">
        <f t="shared" si="8"/>
        <v>VANILA</v>
      </c>
    </row>
    <row r="41" spans="1:7">
      <c r="A41" s="11">
        <v>43142</v>
      </c>
      <c r="B41" s="5" t="s">
        <v>115</v>
      </c>
      <c r="C41" s="6" t="str">
        <f t="shared" si="0"/>
        <v>OVALTINE</v>
      </c>
      <c r="D41" s="114">
        <f t="shared" si="1"/>
        <v>39800</v>
      </c>
      <c r="E41" s="7">
        <v>68</v>
      </c>
      <c r="F41" s="8">
        <f t="shared" si="2"/>
        <v>2706400</v>
      </c>
      <c r="G41" s="8" t="str">
        <f t="shared" si="8"/>
        <v>COKLAT</v>
      </c>
    </row>
    <row r="42" spans="1:7">
      <c r="A42" s="11">
        <v>43143</v>
      </c>
      <c r="B42" s="5" t="s">
        <v>118</v>
      </c>
      <c r="C42" s="6" t="str">
        <f t="shared" si="0"/>
        <v>HI LO</v>
      </c>
      <c r="D42" s="114">
        <f t="shared" si="1"/>
        <v>52500</v>
      </c>
      <c r="E42" s="7">
        <v>95</v>
      </c>
      <c r="F42" s="8">
        <f t="shared" si="2"/>
        <v>4987500</v>
      </c>
      <c r="G42" s="8" t="str">
        <f t="shared" si="8"/>
        <v>MADU</v>
      </c>
    </row>
    <row r="43" spans="1:7">
      <c r="A43" s="11">
        <v>43144</v>
      </c>
      <c r="B43" s="5" t="s">
        <v>119</v>
      </c>
      <c r="C43" s="6" t="str">
        <f t="shared" si="0"/>
        <v>OVALTINE</v>
      </c>
      <c r="D43" s="114">
        <f t="shared" si="1"/>
        <v>39800</v>
      </c>
      <c r="E43" s="7">
        <v>71</v>
      </c>
      <c r="F43" s="8">
        <f t="shared" si="2"/>
        <v>2825800</v>
      </c>
      <c r="G43" s="8" t="str">
        <f t="shared" si="8"/>
        <v>VANILA</v>
      </c>
    </row>
    <row r="44" spans="1:7">
      <c r="A44" s="11">
        <v>43145</v>
      </c>
      <c r="B44" s="5" t="s">
        <v>120</v>
      </c>
      <c r="C44" s="6" t="str">
        <f t="shared" si="0"/>
        <v>SUSTAGEN</v>
      </c>
      <c r="D44" s="114">
        <f t="shared" si="1"/>
        <v>35700</v>
      </c>
      <c r="E44" s="7">
        <v>87</v>
      </c>
      <c r="F44" s="8">
        <f t="shared" si="2"/>
        <v>3105900</v>
      </c>
      <c r="G44" s="8" t="str">
        <f t="shared" si="8"/>
        <v>MANGGA</v>
      </c>
    </row>
    <row r="45" spans="1:7">
      <c r="A45" s="135" t="s">
        <v>1</v>
      </c>
      <c r="B45" s="136"/>
      <c r="C45" s="136"/>
      <c r="D45" s="137"/>
      <c r="E45" s="7">
        <f t="shared" ref="E45:F45" si="9">SUM(E4:E44)</f>
        <v>2636</v>
      </c>
      <c r="F45" s="9">
        <f t="shared" si="9"/>
        <v>95661100</v>
      </c>
      <c r="G45" s="101"/>
    </row>
    <row r="46" spans="1:7">
      <c r="A46" s="135" t="s">
        <v>218</v>
      </c>
      <c r="B46" s="136"/>
      <c r="C46" s="136"/>
      <c r="D46" s="137"/>
      <c r="E46" s="7">
        <f>AVERAGE(E4:E44)</f>
        <v>64.292682926829272</v>
      </c>
      <c r="F46" s="9">
        <f>AVERAGE(F4:F44)</f>
        <v>2333197.5609756098</v>
      </c>
      <c r="G46" s="101"/>
    </row>
  </sheetData>
  <mergeCells count="2">
    <mergeCell ref="A45:D45"/>
    <mergeCell ref="A46:D4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O32"/>
  <sheetViews>
    <sheetView zoomScale="85" zoomScaleNormal="85" workbookViewId="0">
      <selection activeCell="N32" sqref="N32"/>
    </sheetView>
  </sheetViews>
  <sheetFormatPr defaultRowHeight="15"/>
  <cols>
    <col min="1" max="1" width="9.140625" style="28"/>
    <col min="2" max="2" width="15.42578125" style="28" customWidth="1"/>
    <col min="3" max="5" width="9.140625" style="28"/>
    <col min="6" max="6" width="10.140625" style="28" customWidth="1"/>
    <col min="7" max="13" width="9.140625" style="28"/>
    <col min="14" max="14" width="9.7109375" style="28" bestFit="1" customWidth="1"/>
    <col min="15" max="15" width="12.7109375" style="28" customWidth="1"/>
    <col min="16" max="16384" width="9.140625" style="28"/>
  </cols>
  <sheetData>
    <row r="1" spans="2:15" ht="23.25" customHeight="1">
      <c r="F1" s="139" t="s">
        <v>69</v>
      </c>
      <c r="G1" s="139"/>
      <c r="H1" s="139"/>
    </row>
    <row r="3" spans="2:15">
      <c r="B3" s="138" t="s">
        <v>35</v>
      </c>
      <c r="C3" s="140" t="s">
        <v>23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38" t="s">
        <v>9</v>
      </c>
      <c r="O3" s="138" t="s">
        <v>71</v>
      </c>
    </row>
    <row r="4" spans="2:15">
      <c r="B4" s="138"/>
      <c r="C4" s="95">
        <v>2007</v>
      </c>
      <c r="D4" s="95">
        <v>2008</v>
      </c>
      <c r="E4" s="95">
        <v>2009</v>
      </c>
      <c r="F4" s="95">
        <v>2010</v>
      </c>
      <c r="G4" s="95">
        <v>2011</v>
      </c>
      <c r="H4" s="95">
        <v>2012</v>
      </c>
      <c r="I4" s="95">
        <v>2013</v>
      </c>
      <c r="J4" s="95">
        <v>2014</v>
      </c>
      <c r="K4" s="95">
        <v>2015</v>
      </c>
      <c r="L4" s="95">
        <v>2016</v>
      </c>
      <c r="M4" s="95">
        <v>2017</v>
      </c>
      <c r="N4" s="138"/>
      <c r="O4" s="138"/>
    </row>
    <row r="5" spans="2:15">
      <c r="B5" s="37" t="s">
        <v>8</v>
      </c>
      <c r="C5" s="15">
        <v>310</v>
      </c>
      <c r="D5" s="38">
        <v>364</v>
      </c>
      <c r="E5" s="38">
        <v>480</v>
      </c>
      <c r="F5" s="38">
        <v>487</v>
      </c>
      <c r="G5" s="15">
        <v>645</v>
      </c>
      <c r="H5" s="38">
        <v>333</v>
      </c>
      <c r="I5" s="38">
        <v>462</v>
      </c>
      <c r="J5" s="15">
        <v>365</v>
      </c>
      <c r="K5" s="15">
        <v>397</v>
      </c>
      <c r="L5" s="15">
        <v>125</v>
      </c>
      <c r="M5" s="15">
        <v>110</v>
      </c>
      <c r="N5" s="39">
        <f t="shared" ref="N5:N30" si="0">SUM(C5:M5)</f>
        <v>4078</v>
      </c>
      <c r="O5" s="116">
        <f>C5/$N$5</f>
        <v>7.6017655713585097E-2</v>
      </c>
    </row>
    <row r="6" spans="2:15">
      <c r="B6" s="37" t="s">
        <v>7</v>
      </c>
      <c r="C6" s="15">
        <v>100</v>
      </c>
      <c r="D6" s="38">
        <v>263</v>
      </c>
      <c r="E6" s="38">
        <v>543</v>
      </c>
      <c r="F6" s="38">
        <v>431</v>
      </c>
      <c r="G6" s="15">
        <v>266</v>
      </c>
      <c r="H6" s="38">
        <v>453</v>
      </c>
      <c r="I6" s="38">
        <v>107</v>
      </c>
      <c r="J6" s="15">
        <v>636</v>
      </c>
      <c r="K6" s="15">
        <v>339</v>
      </c>
      <c r="L6" s="15">
        <v>561</v>
      </c>
      <c r="M6" s="15">
        <v>602</v>
      </c>
      <c r="N6" s="39">
        <f t="shared" si="0"/>
        <v>4301</v>
      </c>
      <c r="O6" s="116">
        <f t="shared" ref="O6:O30" si="1">C6/$N$5</f>
        <v>2.4521824423737126E-2</v>
      </c>
    </row>
    <row r="7" spans="2:15">
      <c r="B7" s="37" t="s">
        <v>6</v>
      </c>
      <c r="C7" s="15">
        <v>117</v>
      </c>
      <c r="D7" s="38">
        <v>349</v>
      </c>
      <c r="E7" s="38">
        <v>431</v>
      </c>
      <c r="F7" s="38">
        <v>157</v>
      </c>
      <c r="G7" s="15">
        <v>632</v>
      </c>
      <c r="H7" s="38">
        <v>270</v>
      </c>
      <c r="I7" s="38">
        <v>178</v>
      </c>
      <c r="J7" s="15">
        <v>241</v>
      </c>
      <c r="K7" s="15">
        <v>132</v>
      </c>
      <c r="L7" s="15">
        <v>698</v>
      </c>
      <c r="M7" s="15">
        <v>113</v>
      </c>
      <c r="N7" s="39">
        <f t="shared" si="0"/>
        <v>3318</v>
      </c>
      <c r="O7" s="116">
        <f t="shared" si="1"/>
        <v>2.8690534575772437E-2</v>
      </c>
    </row>
    <row r="8" spans="2:15">
      <c r="B8" s="37" t="s">
        <v>5</v>
      </c>
      <c r="C8" s="15">
        <v>161</v>
      </c>
      <c r="D8" s="38">
        <v>119</v>
      </c>
      <c r="E8" s="38">
        <v>427</v>
      </c>
      <c r="F8" s="38">
        <v>643</v>
      </c>
      <c r="G8" s="15">
        <v>354</v>
      </c>
      <c r="H8" s="38">
        <v>251</v>
      </c>
      <c r="I8" s="38">
        <v>628</v>
      </c>
      <c r="J8" s="15">
        <v>608</v>
      </c>
      <c r="K8" s="15">
        <v>643</v>
      </c>
      <c r="L8" s="15">
        <v>554</v>
      </c>
      <c r="M8" s="15">
        <v>482</v>
      </c>
      <c r="N8" s="39">
        <f t="shared" si="0"/>
        <v>4870</v>
      </c>
      <c r="O8" s="116">
        <f t="shared" si="1"/>
        <v>3.9480137322216773E-2</v>
      </c>
    </row>
    <row r="9" spans="2:15">
      <c r="B9" s="37" t="s">
        <v>4</v>
      </c>
      <c r="C9" s="15">
        <v>263</v>
      </c>
      <c r="D9" s="38">
        <v>109</v>
      </c>
      <c r="E9" s="38">
        <v>394</v>
      </c>
      <c r="F9" s="38">
        <v>680</v>
      </c>
      <c r="G9" s="15">
        <v>198</v>
      </c>
      <c r="H9" s="38">
        <v>582</v>
      </c>
      <c r="I9" s="38">
        <v>146</v>
      </c>
      <c r="J9" s="15">
        <v>126</v>
      </c>
      <c r="K9" s="15">
        <v>334</v>
      </c>
      <c r="L9" s="15">
        <v>365</v>
      </c>
      <c r="M9" s="15">
        <v>123</v>
      </c>
      <c r="N9" s="39">
        <f t="shared" si="0"/>
        <v>3320</v>
      </c>
      <c r="O9" s="116">
        <f t="shared" si="1"/>
        <v>6.4492398234428636E-2</v>
      </c>
    </row>
    <row r="10" spans="2:15">
      <c r="B10" s="37" t="s">
        <v>14</v>
      </c>
      <c r="C10" s="15">
        <v>171</v>
      </c>
      <c r="D10" s="38">
        <v>423</v>
      </c>
      <c r="E10" s="38">
        <v>454</v>
      </c>
      <c r="F10" s="38">
        <v>444</v>
      </c>
      <c r="G10" s="15">
        <v>468</v>
      </c>
      <c r="H10" s="38">
        <v>195</v>
      </c>
      <c r="I10" s="38">
        <v>380</v>
      </c>
      <c r="J10" s="15">
        <v>279</v>
      </c>
      <c r="K10" s="15">
        <v>142</v>
      </c>
      <c r="L10" s="15">
        <v>362</v>
      </c>
      <c r="M10" s="15">
        <v>159</v>
      </c>
      <c r="N10" s="39">
        <f t="shared" si="0"/>
        <v>3477</v>
      </c>
      <c r="O10" s="116">
        <f t="shared" si="1"/>
        <v>4.1932319764590484E-2</v>
      </c>
    </row>
    <row r="11" spans="2:15">
      <c r="B11" s="37" t="s">
        <v>48</v>
      </c>
      <c r="C11" s="15">
        <v>687</v>
      </c>
      <c r="D11" s="38">
        <v>480</v>
      </c>
      <c r="E11" s="38">
        <v>580</v>
      </c>
      <c r="F11" s="38">
        <v>514</v>
      </c>
      <c r="G11" s="15">
        <v>321</v>
      </c>
      <c r="H11" s="38">
        <v>395</v>
      </c>
      <c r="I11" s="38">
        <v>632</v>
      </c>
      <c r="J11" s="15">
        <v>362</v>
      </c>
      <c r="K11" s="15">
        <v>645</v>
      </c>
      <c r="L11" s="15">
        <v>481</v>
      </c>
      <c r="M11" s="15">
        <v>464</v>
      </c>
      <c r="N11" s="39">
        <f t="shared" si="0"/>
        <v>5561</v>
      </c>
      <c r="O11" s="116">
        <f t="shared" si="1"/>
        <v>0.16846493379107405</v>
      </c>
    </row>
    <row r="12" spans="2:15">
      <c r="B12" s="37" t="s">
        <v>49</v>
      </c>
      <c r="C12" s="15">
        <v>357</v>
      </c>
      <c r="D12" s="38">
        <v>499</v>
      </c>
      <c r="E12" s="38">
        <v>375</v>
      </c>
      <c r="F12" s="38">
        <v>413</v>
      </c>
      <c r="G12" s="15">
        <v>179</v>
      </c>
      <c r="H12" s="38">
        <v>218</v>
      </c>
      <c r="I12" s="38">
        <v>446</v>
      </c>
      <c r="J12" s="15">
        <v>281</v>
      </c>
      <c r="K12" s="15">
        <v>207</v>
      </c>
      <c r="L12" s="15">
        <v>249</v>
      </c>
      <c r="M12" s="15">
        <v>623</v>
      </c>
      <c r="N12" s="39">
        <f t="shared" si="0"/>
        <v>3847</v>
      </c>
      <c r="O12" s="116">
        <f t="shared" si="1"/>
        <v>8.7542913192741545E-2</v>
      </c>
    </row>
    <row r="13" spans="2:15">
      <c r="B13" s="37" t="s">
        <v>50</v>
      </c>
      <c r="C13" s="38">
        <v>272</v>
      </c>
      <c r="D13" s="38">
        <v>436</v>
      </c>
      <c r="E13" s="38">
        <v>596</v>
      </c>
      <c r="F13" s="38">
        <v>241</v>
      </c>
      <c r="G13" s="38">
        <v>215</v>
      </c>
      <c r="H13" s="38">
        <v>125</v>
      </c>
      <c r="I13" s="38">
        <v>269</v>
      </c>
      <c r="J13" s="38">
        <v>336</v>
      </c>
      <c r="K13" s="38">
        <v>311</v>
      </c>
      <c r="L13" s="38">
        <v>251</v>
      </c>
      <c r="M13" s="38">
        <v>520</v>
      </c>
      <c r="N13" s="39">
        <f t="shared" si="0"/>
        <v>3572</v>
      </c>
      <c r="O13" s="116">
        <f t="shared" si="1"/>
        <v>6.6699362432564982E-2</v>
      </c>
    </row>
    <row r="14" spans="2:15">
      <c r="B14" s="37" t="s">
        <v>51</v>
      </c>
      <c r="C14" s="38">
        <v>378</v>
      </c>
      <c r="D14" s="38">
        <v>644</v>
      </c>
      <c r="E14" s="38">
        <v>483</v>
      </c>
      <c r="F14" s="38">
        <v>328</v>
      </c>
      <c r="G14" s="38">
        <v>177</v>
      </c>
      <c r="H14" s="38">
        <v>112</v>
      </c>
      <c r="I14" s="38">
        <v>266</v>
      </c>
      <c r="J14" s="38">
        <v>677</v>
      </c>
      <c r="K14" s="38">
        <v>659</v>
      </c>
      <c r="L14" s="38">
        <v>165</v>
      </c>
      <c r="M14" s="38">
        <v>188</v>
      </c>
      <c r="N14" s="39">
        <f t="shared" si="0"/>
        <v>4077</v>
      </c>
      <c r="O14" s="116">
        <f t="shared" si="1"/>
        <v>9.2692496321726339E-2</v>
      </c>
    </row>
    <row r="15" spans="2:15">
      <c r="B15" s="37" t="s">
        <v>52</v>
      </c>
      <c r="C15" s="38">
        <v>522</v>
      </c>
      <c r="D15" s="38">
        <v>195</v>
      </c>
      <c r="E15" s="38">
        <v>338</v>
      </c>
      <c r="F15" s="38">
        <v>124</v>
      </c>
      <c r="G15" s="38">
        <v>486</v>
      </c>
      <c r="H15" s="38">
        <v>276</v>
      </c>
      <c r="I15" s="38">
        <v>569</v>
      </c>
      <c r="J15" s="38">
        <v>293</v>
      </c>
      <c r="K15" s="38">
        <v>320</v>
      </c>
      <c r="L15" s="38">
        <v>443</v>
      </c>
      <c r="M15" s="38">
        <v>186</v>
      </c>
      <c r="N15" s="39">
        <f t="shared" si="0"/>
        <v>3752</v>
      </c>
      <c r="O15" s="116">
        <f t="shared" si="1"/>
        <v>0.12800392349190781</v>
      </c>
    </row>
    <row r="16" spans="2:15">
      <c r="B16" s="37" t="s">
        <v>53</v>
      </c>
      <c r="C16" s="38">
        <v>573</v>
      </c>
      <c r="D16" s="38">
        <v>693</v>
      </c>
      <c r="E16" s="38">
        <v>535</v>
      </c>
      <c r="F16" s="38">
        <v>238</v>
      </c>
      <c r="G16" s="38">
        <v>189</v>
      </c>
      <c r="H16" s="38">
        <v>197</v>
      </c>
      <c r="I16" s="38">
        <v>282</v>
      </c>
      <c r="J16" s="38">
        <v>111</v>
      </c>
      <c r="K16" s="38">
        <v>243</v>
      </c>
      <c r="L16" s="38">
        <v>362</v>
      </c>
      <c r="M16" s="38">
        <v>582</v>
      </c>
      <c r="N16" s="39">
        <f t="shared" si="0"/>
        <v>4005</v>
      </c>
      <c r="O16" s="116">
        <f t="shared" si="1"/>
        <v>0.14051005394801372</v>
      </c>
    </row>
    <row r="17" spans="2:15">
      <c r="B17" s="37" t="s">
        <v>54</v>
      </c>
      <c r="C17" s="38">
        <v>448</v>
      </c>
      <c r="D17" s="38">
        <v>395</v>
      </c>
      <c r="E17" s="38">
        <v>143</v>
      </c>
      <c r="F17" s="38">
        <v>486</v>
      </c>
      <c r="G17" s="38">
        <v>120</v>
      </c>
      <c r="H17" s="38">
        <v>415</v>
      </c>
      <c r="I17" s="38">
        <v>147</v>
      </c>
      <c r="J17" s="38">
        <v>244</v>
      </c>
      <c r="K17" s="38">
        <v>575</v>
      </c>
      <c r="L17" s="38">
        <v>256</v>
      </c>
      <c r="M17" s="38">
        <v>213</v>
      </c>
      <c r="N17" s="39">
        <f t="shared" si="0"/>
        <v>3442</v>
      </c>
      <c r="O17" s="116">
        <f t="shared" si="1"/>
        <v>0.10985777341834232</v>
      </c>
    </row>
    <row r="18" spans="2:15">
      <c r="B18" s="37" t="s">
        <v>55</v>
      </c>
      <c r="C18" s="38">
        <v>560</v>
      </c>
      <c r="D18" s="38">
        <v>140</v>
      </c>
      <c r="E18" s="38">
        <v>637</v>
      </c>
      <c r="F18" s="38">
        <v>535</v>
      </c>
      <c r="G18" s="38">
        <v>680</v>
      </c>
      <c r="H18" s="38">
        <v>193</v>
      </c>
      <c r="I18" s="38">
        <v>427</v>
      </c>
      <c r="J18" s="38">
        <v>504</v>
      </c>
      <c r="K18" s="38">
        <v>268</v>
      </c>
      <c r="L18" s="38">
        <v>387</v>
      </c>
      <c r="M18" s="38">
        <v>399</v>
      </c>
      <c r="N18" s="39">
        <f t="shared" si="0"/>
        <v>4730</v>
      </c>
      <c r="O18" s="116">
        <f t="shared" si="1"/>
        <v>0.13732221677292791</v>
      </c>
    </row>
    <row r="19" spans="2:15">
      <c r="B19" s="37" t="s">
        <v>56</v>
      </c>
      <c r="C19" s="38">
        <v>619</v>
      </c>
      <c r="D19" s="38">
        <v>137</v>
      </c>
      <c r="E19" s="38">
        <v>436</v>
      </c>
      <c r="F19" s="38">
        <v>182</v>
      </c>
      <c r="G19" s="38">
        <v>656</v>
      </c>
      <c r="H19" s="38">
        <v>603</v>
      </c>
      <c r="I19" s="38">
        <v>228</v>
      </c>
      <c r="J19" s="38">
        <v>298</v>
      </c>
      <c r="K19" s="38">
        <v>468</v>
      </c>
      <c r="L19" s="38">
        <v>534</v>
      </c>
      <c r="M19" s="38">
        <v>479</v>
      </c>
      <c r="N19" s="39">
        <f t="shared" si="0"/>
        <v>4640</v>
      </c>
      <c r="O19" s="116">
        <f t="shared" si="1"/>
        <v>0.15179009318293282</v>
      </c>
    </row>
    <row r="20" spans="2:15">
      <c r="B20" s="37" t="s">
        <v>57</v>
      </c>
      <c r="C20" s="38">
        <v>159</v>
      </c>
      <c r="D20" s="38">
        <v>576</v>
      </c>
      <c r="E20" s="38">
        <v>180</v>
      </c>
      <c r="F20" s="38">
        <v>389</v>
      </c>
      <c r="G20" s="38">
        <v>513</v>
      </c>
      <c r="H20" s="38">
        <v>380</v>
      </c>
      <c r="I20" s="38">
        <v>496</v>
      </c>
      <c r="J20" s="38">
        <v>311</v>
      </c>
      <c r="K20" s="38">
        <v>320</v>
      </c>
      <c r="L20" s="38">
        <v>279</v>
      </c>
      <c r="M20" s="38">
        <v>400</v>
      </c>
      <c r="N20" s="39">
        <f t="shared" si="0"/>
        <v>4003</v>
      </c>
      <c r="O20" s="116">
        <f t="shared" si="1"/>
        <v>3.8989700833742029E-2</v>
      </c>
    </row>
    <row r="21" spans="2:15">
      <c r="B21" s="37" t="s">
        <v>58</v>
      </c>
      <c r="C21" s="38">
        <v>231</v>
      </c>
      <c r="D21" s="38">
        <v>629</v>
      </c>
      <c r="E21" s="38">
        <v>259</v>
      </c>
      <c r="F21" s="38">
        <v>348</v>
      </c>
      <c r="G21" s="38">
        <v>221</v>
      </c>
      <c r="H21" s="38">
        <v>127</v>
      </c>
      <c r="I21" s="38">
        <v>637</v>
      </c>
      <c r="J21" s="38">
        <v>290</v>
      </c>
      <c r="K21" s="38">
        <v>537</v>
      </c>
      <c r="L21" s="38">
        <v>663</v>
      </c>
      <c r="M21" s="38">
        <v>323</v>
      </c>
      <c r="N21" s="39">
        <f t="shared" si="0"/>
        <v>4265</v>
      </c>
      <c r="O21" s="116">
        <f t="shared" si="1"/>
        <v>5.6645414418832758E-2</v>
      </c>
    </row>
    <row r="22" spans="2:15">
      <c r="B22" s="37" t="s">
        <v>59</v>
      </c>
      <c r="C22" s="38">
        <v>627</v>
      </c>
      <c r="D22" s="38">
        <v>539</v>
      </c>
      <c r="E22" s="38">
        <v>616</v>
      </c>
      <c r="F22" s="38">
        <v>476</v>
      </c>
      <c r="G22" s="38">
        <v>378</v>
      </c>
      <c r="H22" s="38">
        <v>683</v>
      </c>
      <c r="I22" s="38">
        <v>300</v>
      </c>
      <c r="J22" s="38">
        <v>338</v>
      </c>
      <c r="K22" s="38">
        <v>227</v>
      </c>
      <c r="L22" s="38">
        <v>215</v>
      </c>
      <c r="M22" s="38">
        <v>565</v>
      </c>
      <c r="N22" s="39">
        <f t="shared" si="0"/>
        <v>4964</v>
      </c>
      <c r="O22" s="116">
        <f t="shared" si="1"/>
        <v>0.15375183913683177</v>
      </c>
    </row>
    <row r="23" spans="2:15">
      <c r="B23" s="37" t="s">
        <v>60</v>
      </c>
      <c r="C23" s="38">
        <v>569</v>
      </c>
      <c r="D23" s="38">
        <v>105</v>
      </c>
      <c r="E23" s="38">
        <v>419</v>
      </c>
      <c r="F23" s="38">
        <v>546</v>
      </c>
      <c r="G23" s="38">
        <v>477</v>
      </c>
      <c r="H23" s="38">
        <v>683</v>
      </c>
      <c r="I23" s="38">
        <v>605</v>
      </c>
      <c r="J23" s="38">
        <v>179</v>
      </c>
      <c r="K23" s="38">
        <v>176</v>
      </c>
      <c r="L23" s="38">
        <v>292</v>
      </c>
      <c r="M23" s="38">
        <v>224</v>
      </c>
      <c r="N23" s="39">
        <f t="shared" si="0"/>
        <v>4275</v>
      </c>
      <c r="O23" s="116">
        <f t="shared" si="1"/>
        <v>0.13952918097106426</v>
      </c>
    </row>
    <row r="24" spans="2:15">
      <c r="B24" s="37" t="s">
        <v>61</v>
      </c>
      <c r="C24" s="38">
        <v>234</v>
      </c>
      <c r="D24" s="38">
        <v>471</v>
      </c>
      <c r="E24" s="38">
        <v>474</v>
      </c>
      <c r="F24" s="38">
        <v>365</v>
      </c>
      <c r="G24" s="38">
        <v>678</v>
      </c>
      <c r="H24" s="38">
        <v>487</v>
      </c>
      <c r="I24" s="38">
        <v>139</v>
      </c>
      <c r="J24" s="38">
        <v>485</v>
      </c>
      <c r="K24" s="38">
        <v>402</v>
      </c>
      <c r="L24" s="38">
        <v>523</v>
      </c>
      <c r="M24" s="38">
        <v>512</v>
      </c>
      <c r="N24" s="39">
        <f t="shared" si="0"/>
        <v>4770</v>
      </c>
      <c r="O24" s="116">
        <f t="shared" si="1"/>
        <v>5.7381069151544874E-2</v>
      </c>
    </row>
    <row r="25" spans="2:15">
      <c r="B25" s="37" t="s">
        <v>62</v>
      </c>
      <c r="C25" s="38">
        <v>424</v>
      </c>
      <c r="D25" s="38">
        <v>271</v>
      </c>
      <c r="E25" s="38">
        <v>470</v>
      </c>
      <c r="F25" s="38">
        <v>644</v>
      </c>
      <c r="G25" s="38">
        <v>661</v>
      </c>
      <c r="H25" s="38">
        <v>496</v>
      </c>
      <c r="I25" s="38">
        <v>243</v>
      </c>
      <c r="J25" s="38">
        <v>239</v>
      </c>
      <c r="K25" s="38">
        <v>446</v>
      </c>
      <c r="L25" s="38">
        <v>457</v>
      </c>
      <c r="M25" s="38">
        <v>418</v>
      </c>
      <c r="N25" s="39">
        <f t="shared" si="0"/>
        <v>4769</v>
      </c>
      <c r="O25" s="116">
        <f t="shared" si="1"/>
        <v>0.10397253555664542</v>
      </c>
    </row>
    <row r="26" spans="2:15">
      <c r="B26" s="37" t="s">
        <v>63</v>
      </c>
      <c r="C26" s="38">
        <v>619</v>
      </c>
      <c r="D26" s="38">
        <v>474</v>
      </c>
      <c r="E26" s="38">
        <v>437</v>
      </c>
      <c r="F26" s="38">
        <v>299</v>
      </c>
      <c r="G26" s="38">
        <v>382</v>
      </c>
      <c r="H26" s="38">
        <v>674</v>
      </c>
      <c r="I26" s="38">
        <v>254</v>
      </c>
      <c r="J26" s="38">
        <v>280</v>
      </c>
      <c r="K26" s="38">
        <v>602</v>
      </c>
      <c r="L26" s="38">
        <v>429</v>
      </c>
      <c r="M26" s="38">
        <v>196</v>
      </c>
      <c r="N26" s="39">
        <f t="shared" si="0"/>
        <v>4646</v>
      </c>
      <c r="O26" s="116">
        <f t="shared" si="1"/>
        <v>0.15179009318293282</v>
      </c>
    </row>
    <row r="27" spans="2:15">
      <c r="B27" s="37" t="s">
        <v>64</v>
      </c>
      <c r="C27" s="38">
        <v>400</v>
      </c>
      <c r="D27" s="38">
        <v>289</v>
      </c>
      <c r="E27" s="38">
        <v>466</v>
      </c>
      <c r="F27" s="38">
        <v>608</v>
      </c>
      <c r="G27" s="38">
        <v>149</v>
      </c>
      <c r="H27" s="38">
        <v>390</v>
      </c>
      <c r="I27" s="38">
        <v>180</v>
      </c>
      <c r="J27" s="38">
        <v>686</v>
      </c>
      <c r="K27" s="38">
        <v>573</v>
      </c>
      <c r="L27" s="38">
        <v>205</v>
      </c>
      <c r="M27" s="38">
        <v>591</v>
      </c>
      <c r="N27" s="39">
        <f t="shared" si="0"/>
        <v>4537</v>
      </c>
      <c r="O27" s="116">
        <f t="shared" si="1"/>
        <v>9.8087297694948505E-2</v>
      </c>
    </row>
    <row r="28" spans="2:15">
      <c r="B28" s="37" t="s">
        <v>65</v>
      </c>
      <c r="C28" s="38">
        <v>226</v>
      </c>
      <c r="D28" s="38">
        <v>345</v>
      </c>
      <c r="E28" s="38">
        <v>336</v>
      </c>
      <c r="F28" s="38">
        <v>413</v>
      </c>
      <c r="G28" s="38">
        <v>584</v>
      </c>
      <c r="H28" s="38">
        <v>628</v>
      </c>
      <c r="I28" s="38">
        <v>404</v>
      </c>
      <c r="J28" s="38">
        <v>228</v>
      </c>
      <c r="K28" s="38">
        <v>435</v>
      </c>
      <c r="L28" s="38">
        <v>322</v>
      </c>
      <c r="M28" s="38">
        <v>254</v>
      </c>
      <c r="N28" s="39">
        <f t="shared" si="0"/>
        <v>4175</v>
      </c>
      <c r="O28" s="116">
        <f t="shared" si="1"/>
        <v>5.5419323197645906E-2</v>
      </c>
    </row>
    <row r="29" spans="2:15">
      <c r="B29" s="37" t="s">
        <v>66</v>
      </c>
      <c r="C29" s="38">
        <v>566</v>
      </c>
      <c r="D29" s="38">
        <v>408</v>
      </c>
      <c r="E29" s="38">
        <v>355</v>
      </c>
      <c r="F29" s="38">
        <v>218</v>
      </c>
      <c r="G29" s="38">
        <v>117</v>
      </c>
      <c r="H29" s="38">
        <v>366</v>
      </c>
      <c r="I29" s="38">
        <v>323</v>
      </c>
      <c r="J29" s="38">
        <v>563</v>
      </c>
      <c r="K29" s="38">
        <v>140</v>
      </c>
      <c r="L29" s="38">
        <v>340</v>
      </c>
      <c r="M29" s="38">
        <v>625</v>
      </c>
      <c r="N29" s="39">
        <f t="shared" si="0"/>
        <v>4021</v>
      </c>
      <c r="O29" s="116">
        <f t="shared" si="1"/>
        <v>0.13879352623835214</v>
      </c>
    </row>
    <row r="30" spans="2:15">
      <c r="B30" s="37" t="s">
        <v>67</v>
      </c>
      <c r="C30" s="38">
        <v>631</v>
      </c>
      <c r="D30" s="38">
        <v>423</v>
      </c>
      <c r="E30" s="38">
        <v>438</v>
      </c>
      <c r="F30" s="38">
        <v>679</v>
      </c>
      <c r="G30" s="38">
        <v>223</v>
      </c>
      <c r="H30" s="38">
        <v>158</v>
      </c>
      <c r="I30" s="38">
        <v>243</v>
      </c>
      <c r="J30" s="38">
        <v>127</v>
      </c>
      <c r="K30" s="38">
        <v>235</v>
      </c>
      <c r="L30" s="38">
        <v>454</v>
      </c>
      <c r="M30" s="38">
        <v>114</v>
      </c>
      <c r="N30" s="39">
        <f t="shared" si="0"/>
        <v>3725</v>
      </c>
      <c r="O30" s="116">
        <f t="shared" si="1"/>
        <v>0.15473271211378126</v>
      </c>
    </row>
    <row r="31" spans="2:15">
      <c r="B31" s="40" t="s">
        <v>9</v>
      </c>
      <c r="C31" s="4">
        <f t="shared" ref="C31:N31" si="2">SUM(C4:C30)</f>
        <v>12231</v>
      </c>
      <c r="D31" s="4">
        <f t="shared" si="2"/>
        <v>11784</v>
      </c>
      <c r="E31" s="4">
        <f t="shared" si="2"/>
        <v>13311</v>
      </c>
      <c r="F31" s="4">
        <f t="shared" si="2"/>
        <v>12898</v>
      </c>
      <c r="G31" s="4">
        <f t="shared" si="2"/>
        <v>11980</v>
      </c>
      <c r="H31" s="4">
        <f t="shared" si="2"/>
        <v>11702</v>
      </c>
      <c r="I31" s="4">
        <f t="shared" si="2"/>
        <v>11004</v>
      </c>
      <c r="J31" s="4">
        <f t="shared" si="2"/>
        <v>11101</v>
      </c>
      <c r="K31" s="4">
        <f t="shared" si="2"/>
        <v>11791</v>
      </c>
      <c r="L31" s="4">
        <f t="shared" si="2"/>
        <v>11988</v>
      </c>
      <c r="M31" s="4">
        <f t="shared" si="2"/>
        <v>11482</v>
      </c>
      <c r="N31" s="39">
        <f t="shared" si="2"/>
        <v>109140</v>
      </c>
      <c r="O31" s="116">
        <f>C31/$N$31</f>
        <v>0.11206706981858164</v>
      </c>
    </row>
    <row r="32" spans="2:15">
      <c r="B32" s="40" t="s">
        <v>71</v>
      </c>
      <c r="C32" s="117">
        <f>C5/$C$31</f>
        <v>2.5345433733954707E-2</v>
      </c>
      <c r="D32" s="117">
        <f t="shared" ref="D32:N32" si="3">D5/$C$31</f>
        <v>2.9760444771482299E-2</v>
      </c>
      <c r="E32" s="117">
        <f t="shared" si="3"/>
        <v>3.9244542555800836E-2</v>
      </c>
      <c r="F32" s="117">
        <f t="shared" si="3"/>
        <v>3.9816858801406264E-2</v>
      </c>
      <c r="G32" s="117">
        <f t="shared" si="3"/>
        <v>5.2734854059357371E-2</v>
      </c>
      <c r="H32" s="117">
        <f t="shared" si="3"/>
        <v>2.7225901398086828E-2</v>
      </c>
      <c r="I32" s="117">
        <f t="shared" si="3"/>
        <v>3.77728722099583E-2</v>
      </c>
      <c r="J32" s="117">
        <f t="shared" si="3"/>
        <v>2.9842204235140217E-2</v>
      </c>
      <c r="K32" s="117">
        <f t="shared" si="3"/>
        <v>3.245850707219361E-2</v>
      </c>
      <c r="L32" s="117">
        <f t="shared" si="3"/>
        <v>1.0219932957239801E-2</v>
      </c>
      <c r="M32" s="117">
        <f t="shared" si="3"/>
        <v>8.9935410023710242E-3</v>
      </c>
      <c r="N32" s="117">
        <f t="shared" si="3"/>
        <v>0.33341509279699127</v>
      </c>
      <c r="O32" s="117">
        <f>C32/$N$32</f>
        <v>7.6017655713585083E-2</v>
      </c>
    </row>
  </sheetData>
  <mergeCells count="5">
    <mergeCell ref="O3:O4"/>
    <mergeCell ref="F1:H1"/>
    <mergeCell ref="B3:B4"/>
    <mergeCell ref="C3:M3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topLeftCell="C15" workbookViewId="0">
      <selection activeCell="J36" sqref="J36"/>
    </sheetView>
  </sheetViews>
  <sheetFormatPr defaultRowHeight="15"/>
  <cols>
    <col min="1" max="1" width="12.140625" style="2" customWidth="1"/>
    <col min="2" max="2" width="15.85546875" style="2" customWidth="1"/>
    <col min="3" max="3" width="20" style="2" customWidth="1"/>
    <col min="4" max="4" width="19" style="2" customWidth="1"/>
    <col min="5" max="5" width="16.42578125" style="2" customWidth="1"/>
    <col min="6" max="8" width="21.5703125" style="2" customWidth="1"/>
    <col min="9" max="9" width="5.140625" style="2" customWidth="1"/>
    <col min="10" max="10" width="9.140625" style="2"/>
    <col min="11" max="11" width="15.7109375" style="2" customWidth="1"/>
    <col min="12" max="12" width="15.42578125" style="2" customWidth="1"/>
    <col min="13" max="16384" width="9.140625" style="2"/>
  </cols>
  <sheetData>
    <row r="1" spans="1:12">
      <c r="C1" s="13" t="s">
        <v>233</v>
      </c>
    </row>
    <row r="3" spans="1:12">
      <c r="A3" s="95" t="s">
        <v>17</v>
      </c>
      <c r="B3" s="95" t="s">
        <v>2</v>
      </c>
      <c r="C3" s="96" t="s">
        <v>127</v>
      </c>
      <c r="D3" s="95" t="s">
        <v>10</v>
      </c>
      <c r="E3" s="95" t="s">
        <v>9</v>
      </c>
      <c r="F3" s="95" t="s">
        <v>1</v>
      </c>
      <c r="G3" s="96" t="s">
        <v>212</v>
      </c>
      <c r="H3" s="96" t="s">
        <v>18</v>
      </c>
      <c r="I3" s="19"/>
      <c r="J3" s="96" t="s">
        <v>11</v>
      </c>
      <c r="K3" s="96" t="s">
        <v>127</v>
      </c>
      <c r="L3" s="96" t="s">
        <v>13</v>
      </c>
    </row>
    <row r="4" spans="1:12">
      <c r="A4" s="23">
        <v>43112</v>
      </c>
      <c r="B4" s="18" t="s">
        <v>154</v>
      </c>
      <c r="C4" s="17" t="str">
        <f>VLOOKUP(LEFT(B4,2),$J$4:$L$8,2,0)</f>
        <v>OVALTINE</v>
      </c>
      <c r="D4" s="22">
        <f>VLOOKUP(LEFT(B4,2),$J$4:$L$8,3,0)</f>
        <v>39800</v>
      </c>
      <c r="E4" s="21">
        <v>71</v>
      </c>
      <c r="F4" s="20">
        <f>D4*E4</f>
        <v>2825800</v>
      </c>
      <c r="G4" s="20" t="str">
        <f>VLOOKUP(VALUE(RIGHT(B4,1)),$J$11:$L$15,3)</f>
        <v>VANILA</v>
      </c>
      <c r="H4" s="20" t="str">
        <f>VLOOKUP(VALUE(RIGHT(B4,1)),$J$11:$L$15,2)</f>
        <v>VOUCHER</v>
      </c>
      <c r="I4" s="19"/>
      <c r="J4" s="18" t="s">
        <v>135</v>
      </c>
      <c r="K4" s="3" t="s">
        <v>207</v>
      </c>
      <c r="L4" s="16">
        <v>25000</v>
      </c>
    </row>
    <row r="5" spans="1:12">
      <c r="A5" s="23">
        <v>43113</v>
      </c>
      <c r="B5" s="18" t="s">
        <v>141</v>
      </c>
      <c r="C5" s="17" t="str">
        <f t="shared" ref="C5:C36" si="0">VLOOKUP(LEFT(B5,2),$J$4:$L$8,2,0)</f>
        <v>BENDERA</v>
      </c>
      <c r="D5" s="22">
        <f t="shared" ref="D5:D36" si="1">VLOOKUP(LEFT(B5,2),$J$4:$L$8,3,0)</f>
        <v>27500</v>
      </c>
      <c r="E5" s="21">
        <v>46</v>
      </c>
      <c r="F5" s="20">
        <f t="shared" ref="F5:F36" si="2">D5*E5</f>
        <v>1265000</v>
      </c>
      <c r="G5" s="20" t="str">
        <f t="shared" ref="G5:G36" si="3">VLOOKUP(VALUE(RIGHT(B5,1)),$J$11:$L$15,3)</f>
        <v>MANGGA</v>
      </c>
      <c r="H5" s="20" t="str">
        <f t="shared" ref="H5:H36" si="4">VLOOKUP(VALUE(RIGHT(B5,1)),$J$11:$L$15,2)</f>
        <v>BONEKA</v>
      </c>
      <c r="I5" s="19"/>
      <c r="J5" s="18" t="s">
        <v>136</v>
      </c>
      <c r="K5" s="3" t="s">
        <v>208</v>
      </c>
      <c r="L5" s="16">
        <v>27500</v>
      </c>
    </row>
    <row r="6" spans="1:12">
      <c r="A6" s="23">
        <v>43114</v>
      </c>
      <c r="B6" s="18" t="s">
        <v>148</v>
      </c>
      <c r="C6" s="17" t="str">
        <f t="shared" si="0"/>
        <v>SUSTAGEN</v>
      </c>
      <c r="D6" s="22">
        <f t="shared" si="1"/>
        <v>35700</v>
      </c>
      <c r="E6" s="7">
        <v>37</v>
      </c>
      <c r="F6" s="20">
        <f t="shared" si="2"/>
        <v>1320900</v>
      </c>
      <c r="G6" s="20" t="str">
        <f t="shared" si="3"/>
        <v>MADU</v>
      </c>
      <c r="H6" s="20" t="str">
        <f t="shared" si="4"/>
        <v>KAOS</v>
      </c>
      <c r="J6" s="18" t="s">
        <v>137</v>
      </c>
      <c r="K6" s="3" t="s">
        <v>209</v>
      </c>
      <c r="L6" s="16">
        <v>39800</v>
      </c>
    </row>
    <row r="7" spans="1:12">
      <c r="A7" s="23">
        <v>43115</v>
      </c>
      <c r="B7" s="18" t="s">
        <v>142</v>
      </c>
      <c r="C7" s="17" t="str">
        <f t="shared" si="0"/>
        <v>HI LO</v>
      </c>
      <c r="D7" s="22">
        <f t="shared" si="1"/>
        <v>52500</v>
      </c>
      <c r="E7" s="7">
        <v>65</v>
      </c>
      <c r="F7" s="20">
        <f t="shared" si="2"/>
        <v>3412500</v>
      </c>
      <c r="G7" s="20" t="str">
        <f t="shared" si="3"/>
        <v>COKLAT</v>
      </c>
      <c r="H7" s="20" t="str">
        <f t="shared" si="4"/>
        <v>MUG</v>
      </c>
      <c r="J7" s="18" t="s">
        <v>138</v>
      </c>
      <c r="K7" s="3" t="s">
        <v>210</v>
      </c>
      <c r="L7" s="16">
        <v>52500</v>
      </c>
    </row>
    <row r="8" spans="1:12">
      <c r="A8" s="23">
        <v>43116</v>
      </c>
      <c r="B8" s="18" t="s">
        <v>224</v>
      </c>
      <c r="C8" s="17" t="str">
        <f t="shared" si="0"/>
        <v>MILO</v>
      </c>
      <c r="D8" s="22">
        <f t="shared" si="1"/>
        <v>25000</v>
      </c>
      <c r="E8" s="7">
        <v>92</v>
      </c>
      <c r="F8" s="20">
        <f t="shared" si="2"/>
        <v>2300000</v>
      </c>
      <c r="G8" s="20" t="str">
        <f t="shared" si="3"/>
        <v>STROBERI</v>
      </c>
      <c r="H8" s="20" t="str">
        <f t="shared" si="4"/>
        <v>GELAS</v>
      </c>
      <c r="J8" s="18" t="s">
        <v>139</v>
      </c>
      <c r="K8" s="3" t="s">
        <v>211</v>
      </c>
      <c r="L8" s="16">
        <v>35700</v>
      </c>
    </row>
    <row r="9" spans="1:12">
      <c r="A9" s="23">
        <v>43117</v>
      </c>
      <c r="B9" s="18" t="s">
        <v>144</v>
      </c>
      <c r="C9" s="17" t="str">
        <f t="shared" si="0"/>
        <v>MILO</v>
      </c>
      <c r="D9" s="22">
        <f t="shared" si="1"/>
        <v>25000</v>
      </c>
      <c r="E9" s="7">
        <v>78</v>
      </c>
      <c r="F9" s="20">
        <f t="shared" si="2"/>
        <v>1950000</v>
      </c>
      <c r="G9" s="20" t="str">
        <f t="shared" si="3"/>
        <v>MANGGA</v>
      </c>
      <c r="H9" s="20" t="str">
        <f t="shared" si="4"/>
        <v>BONEKA</v>
      </c>
      <c r="J9"/>
      <c r="K9"/>
      <c r="L9"/>
    </row>
    <row r="10" spans="1:12">
      <c r="A10" s="23">
        <v>43118</v>
      </c>
      <c r="B10" s="18" t="s">
        <v>145</v>
      </c>
      <c r="C10" s="17" t="str">
        <f t="shared" si="0"/>
        <v>BENDERA</v>
      </c>
      <c r="D10" s="22">
        <f t="shared" si="1"/>
        <v>27500</v>
      </c>
      <c r="E10" s="7">
        <v>68</v>
      </c>
      <c r="F10" s="20">
        <f t="shared" si="2"/>
        <v>1870000</v>
      </c>
      <c r="G10" s="20" t="str">
        <f t="shared" si="3"/>
        <v>MADU</v>
      </c>
      <c r="H10" s="20" t="str">
        <f t="shared" si="4"/>
        <v>KAOS</v>
      </c>
      <c r="J10" s="96" t="s">
        <v>11</v>
      </c>
      <c r="K10" s="96" t="s">
        <v>18</v>
      </c>
      <c r="L10" s="96" t="s">
        <v>212</v>
      </c>
    </row>
    <row r="11" spans="1:12">
      <c r="A11" s="23">
        <v>43119</v>
      </c>
      <c r="B11" s="18" t="s">
        <v>146</v>
      </c>
      <c r="C11" s="17" t="str">
        <f t="shared" si="0"/>
        <v>OVALTINE</v>
      </c>
      <c r="D11" s="22">
        <f t="shared" si="1"/>
        <v>39800</v>
      </c>
      <c r="E11" s="7">
        <v>11</v>
      </c>
      <c r="F11" s="20">
        <f t="shared" si="2"/>
        <v>437800</v>
      </c>
      <c r="G11" s="20" t="str">
        <f t="shared" si="3"/>
        <v>COKLAT</v>
      </c>
      <c r="H11" s="20" t="str">
        <f t="shared" si="4"/>
        <v>MUG</v>
      </c>
      <c r="J11" s="18">
        <v>1</v>
      </c>
      <c r="K11" s="17" t="s">
        <v>219</v>
      </c>
      <c r="L11" s="16" t="s">
        <v>213</v>
      </c>
    </row>
    <row r="12" spans="1:12">
      <c r="A12" s="23">
        <v>43120</v>
      </c>
      <c r="B12" s="18" t="s">
        <v>147</v>
      </c>
      <c r="C12" s="17" t="str">
        <f t="shared" si="0"/>
        <v>HI LO</v>
      </c>
      <c r="D12" s="22">
        <f t="shared" si="1"/>
        <v>52500</v>
      </c>
      <c r="E12" s="7">
        <v>27</v>
      </c>
      <c r="F12" s="20">
        <f t="shared" si="2"/>
        <v>1417500</v>
      </c>
      <c r="G12" s="20" t="str">
        <f t="shared" si="3"/>
        <v>STROBERI</v>
      </c>
      <c r="H12" s="20" t="str">
        <f t="shared" si="4"/>
        <v>GELAS</v>
      </c>
      <c r="J12" s="18">
        <v>2</v>
      </c>
      <c r="K12" s="17" t="s">
        <v>220</v>
      </c>
      <c r="L12" s="16" t="s">
        <v>214</v>
      </c>
    </row>
    <row r="13" spans="1:12">
      <c r="A13" s="23">
        <v>43121</v>
      </c>
      <c r="B13" s="18" t="s">
        <v>148</v>
      </c>
      <c r="C13" s="17" t="str">
        <f t="shared" si="0"/>
        <v>SUSTAGEN</v>
      </c>
      <c r="D13" s="22">
        <f t="shared" si="1"/>
        <v>35700</v>
      </c>
      <c r="E13" s="7">
        <v>79</v>
      </c>
      <c r="F13" s="20">
        <f t="shared" si="2"/>
        <v>2820300</v>
      </c>
      <c r="G13" s="20" t="str">
        <f t="shared" si="3"/>
        <v>MADU</v>
      </c>
      <c r="H13" s="20" t="str">
        <f t="shared" si="4"/>
        <v>KAOS</v>
      </c>
      <c r="J13" s="18">
        <v>3</v>
      </c>
      <c r="K13" s="3" t="s">
        <v>221</v>
      </c>
      <c r="L13" s="16" t="s">
        <v>215</v>
      </c>
    </row>
    <row r="14" spans="1:12">
      <c r="A14" s="23">
        <v>43122</v>
      </c>
      <c r="B14" s="18" t="s">
        <v>140</v>
      </c>
      <c r="C14" s="17" t="str">
        <f t="shared" si="0"/>
        <v>MILO</v>
      </c>
      <c r="D14" s="22">
        <f t="shared" si="1"/>
        <v>25000</v>
      </c>
      <c r="E14" s="7">
        <v>79</v>
      </c>
      <c r="F14" s="20">
        <f t="shared" si="2"/>
        <v>1975000</v>
      </c>
      <c r="G14" s="20" t="str">
        <f t="shared" si="3"/>
        <v>VANILA</v>
      </c>
      <c r="H14" s="20" t="str">
        <f t="shared" si="4"/>
        <v>VOUCHER</v>
      </c>
      <c r="J14" s="18">
        <v>4</v>
      </c>
      <c r="K14" s="3" t="s">
        <v>222</v>
      </c>
      <c r="L14" s="16" t="s">
        <v>216</v>
      </c>
    </row>
    <row r="15" spans="1:12">
      <c r="A15" s="23">
        <v>43123</v>
      </c>
      <c r="B15" s="18" t="s">
        <v>149</v>
      </c>
      <c r="C15" s="17" t="str">
        <f t="shared" si="0"/>
        <v>BENDERA</v>
      </c>
      <c r="D15" s="22">
        <f t="shared" si="1"/>
        <v>27500</v>
      </c>
      <c r="E15" s="7">
        <v>74</v>
      </c>
      <c r="F15" s="20">
        <f t="shared" si="2"/>
        <v>2035000</v>
      </c>
      <c r="G15" s="20" t="str">
        <f t="shared" si="3"/>
        <v>COKLAT</v>
      </c>
      <c r="H15" s="20" t="str">
        <f t="shared" si="4"/>
        <v>MUG</v>
      </c>
      <c r="J15" s="18">
        <v>5</v>
      </c>
      <c r="K15" s="3" t="s">
        <v>223</v>
      </c>
      <c r="L15" s="16" t="s">
        <v>217</v>
      </c>
    </row>
    <row r="16" spans="1:12">
      <c r="A16" s="23">
        <v>43124</v>
      </c>
      <c r="B16" s="18" t="s">
        <v>144</v>
      </c>
      <c r="C16" s="17" t="str">
        <f t="shared" si="0"/>
        <v>MILO</v>
      </c>
      <c r="D16" s="22">
        <f t="shared" si="1"/>
        <v>25000</v>
      </c>
      <c r="E16" s="7">
        <v>55</v>
      </c>
      <c r="F16" s="20">
        <f t="shared" si="2"/>
        <v>1375000</v>
      </c>
      <c r="G16" s="20" t="str">
        <f t="shared" si="3"/>
        <v>MANGGA</v>
      </c>
      <c r="H16" s="20" t="str">
        <f t="shared" si="4"/>
        <v>BONEKA</v>
      </c>
    </row>
    <row r="17" spans="1:13">
      <c r="A17" s="23">
        <v>43125</v>
      </c>
      <c r="B17" s="18" t="s">
        <v>147</v>
      </c>
      <c r="C17" s="17" t="str">
        <f t="shared" si="0"/>
        <v>HI LO</v>
      </c>
      <c r="D17" s="22">
        <f t="shared" si="1"/>
        <v>52500</v>
      </c>
      <c r="E17" s="7">
        <v>76</v>
      </c>
      <c r="F17" s="20">
        <f t="shared" si="2"/>
        <v>3990000</v>
      </c>
      <c r="G17" s="20" t="str">
        <f t="shared" si="3"/>
        <v>STROBERI</v>
      </c>
      <c r="H17" s="20" t="str">
        <f t="shared" si="4"/>
        <v>GELAS</v>
      </c>
    </row>
    <row r="18" spans="1:13">
      <c r="A18" s="23">
        <v>43126</v>
      </c>
      <c r="B18" s="18" t="s">
        <v>225</v>
      </c>
      <c r="C18" s="17" t="str">
        <f t="shared" si="0"/>
        <v>SUSTAGEN</v>
      </c>
      <c r="D18" s="22">
        <f t="shared" si="1"/>
        <v>35700</v>
      </c>
      <c r="E18" s="7">
        <v>91</v>
      </c>
      <c r="F18" s="20">
        <f t="shared" si="2"/>
        <v>3248700</v>
      </c>
      <c r="G18" s="20" t="str">
        <f t="shared" si="3"/>
        <v>COKLAT</v>
      </c>
      <c r="H18" s="20" t="str">
        <f t="shared" si="4"/>
        <v>MUG</v>
      </c>
      <c r="K18" s="96" t="s">
        <v>127</v>
      </c>
      <c r="L18" s="96" t="s">
        <v>24</v>
      </c>
      <c r="M18" s="96" t="s">
        <v>72</v>
      </c>
    </row>
    <row r="19" spans="1:13">
      <c r="A19" s="23">
        <v>43127</v>
      </c>
      <c r="B19" s="18" t="s">
        <v>152</v>
      </c>
      <c r="C19" s="17" t="str">
        <f t="shared" si="0"/>
        <v>MILO</v>
      </c>
      <c r="D19" s="22">
        <f t="shared" si="1"/>
        <v>25000</v>
      </c>
      <c r="E19" s="7">
        <v>18</v>
      </c>
      <c r="F19" s="20">
        <f t="shared" si="2"/>
        <v>450000</v>
      </c>
      <c r="G19" s="20" t="str">
        <f t="shared" si="3"/>
        <v>MADU</v>
      </c>
      <c r="H19" s="20" t="str">
        <f t="shared" si="4"/>
        <v>KAOS</v>
      </c>
      <c r="K19" s="3" t="s">
        <v>207</v>
      </c>
      <c r="L19" s="3">
        <f>SUMIF($C$4:$C$36,K19,$E$4:$E$36)</f>
        <v>563</v>
      </c>
      <c r="M19" s="115">
        <f>L19/$L$24</f>
        <v>0.32006822057987494</v>
      </c>
    </row>
    <row r="20" spans="1:13">
      <c r="A20" s="23">
        <v>43128</v>
      </c>
      <c r="B20" s="18" t="s">
        <v>140</v>
      </c>
      <c r="C20" s="17" t="str">
        <f t="shared" si="0"/>
        <v>MILO</v>
      </c>
      <c r="D20" s="22">
        <f t="shared" si="1"/>
        <v>25000</v>
      </c>
      <c r="E20" s="7">
        <v>17</v>
      </c>
      <c r="F20" s="20">
        <f t="shared" si="2"/>
        <v>425000</v>
      </c>
      <c r="G20" s="20" t="str">
        <f t="shared" si="3"/>
        <v>VANILA</v>
      </c>
      <c r="H20" s="20" t="str">
        <f t="shared" si="4"/>
        <v>VOUCHER</v>
      </c>
      <c r="K20" s="3" t="s">
        <v>208</v>
      </c>
      <c r="L20" s="3">
        <f t="shared" ref="L20:L23" si="5">SUMIF($C$4:$C$36,K20,$E$4:$E$36)</f>
        <v>425</v>
      </c>
      <c r="M20" s="115">
        <f t="shared" ref="M20:M24" si="6">L20/$L$24</f>
        <v>0.24161455372370666</v>
      </c>
    </row>
    <row r="21" spans="1:13">
      <c r="A21" s="23">
        <v>43129</v>
      </c>
      <c r="B21" s="18" t="s">
        <v>149</v>
      </c>
      <c r="C21" s="17" t="str">
        <f t="shared" si="0"/>
        <v>BENDERA</v>
      </c>
      <c r="D21" s="22">
        <f t="shared" si="1"/>
        <v>27500</v>
      </c>
      <c r="E21" s="7">
        <v>27</v>
      </c>
      <c r="F21" s="20">
        <f t="shared" si="2"/>
        <v>742500</v>
      </c>
      <c r="G21" s="20" t="str">
        <f t="shared" si="3"/>
        <v>COKLAT</v>
      </c>
      <c r="H21" s="20" t="str">
        <f t="shared" si="4"/>
        <v>MUG</v>
      </c>
      <c r="K21" s="3" t="s">
        <v>209</v>
      </c>
      <c r="L21" s="3">
        <f t="shared" si="5"/>
        <v>196</v>
      </c>
      <c r="M21" s="115">
        <f t="shared" si="6"/>
        <v>0.1114269471290506</v>
      </c>
    </row>
    <row r="22" spans="1:13">
      <c r="A22" s="23">
        <v>43130</v>
      </c>
      <c r="B22" s="18" t="s">
        <v>152</v>
      </c>
      <c r="C22" s="17" t="str">
        <f t="shared" si="0"/>
        <v>MILO</v>
      </c>
      <c r="D22" s="22">
        <f t="shared" si="1"/>
        <v>25000</v>
      </c>
      <c r="E22" s="7">
        <v>60</v>
      </c>
      <c r="F22" s="20">
        <f t="shared" si="2"/>
        <v>1500000</v>
      </c>
      <c r="G22" s="20" t="str">
        <f t="shared" si="3"/>
        <v>MADU</v>
      </c>
      <c r="H22" s="20" t="str">
        <f t="shared" si="4"/>
        <v>KAOS</v>
      </c>
      <c r="K22" s="3" t="s">
        <v>210</v>
      </c>
      <c r="L22" s="3">
        <f t="shared" si="5"/>
        <v>261</v>
      </c>
      <c r="M22" s="115">
        <f t="shared" si="6"/>
        <v>0.14837976122797045</v>
      </c>
    </row>
    <row r="23" spans="1:13">
      <c r="A23" s="23">
        <v>43131</v>
      </c>
      <c r="B23" s="18" t="s">
        <v>154</v>
      </c>
      <c r="C23" s="17" t="str">
        <f t="shared" si="0"/>
        <v>OVALTINE</v>
      </c>
      <c r="D23" s="22">
        <f t="shared" si="1"/>
        <v>39800</v>
      </c>
      <c r="E23" s="7">
        <v>45</v>
      </c>
      <c r="F23" s="20">
        <f t="shared" si="2"/>
        <v>1791000</v>
      </c>
      <c r="G23" s="20" t="str">
        <f t="shared" si="3"/>
        <v>VANILA</v>
      </c>
      <c r="H23" s="20" t="str">
        <f t="shared" si="4"/>
        <v>VOUCHER</v>
      </c>
      <c r="K23" s="3" t="s">
        <v>211</v>
      </c>
      <c r="L23" s="3">
        <f t="shared" si="5"/>
        <v>314</v>
      </c>
      <c r="M23" s="115">
        <f t="shared" si="6"/>
        <v>0.17851051733939738</v>
      </c>
    </row>
    <row r="24" spans="1:13">
      <c r="A24" s="23">
        <v>43132</v>
      </c>
      <c r="B24" s="18" t="s">
        <v>141</v>
      </c>
      <c r="C24" s="17" t="str">
        <f t="shared" si="0"/>
        <v>BENDERA</v>
      </c>
      <c r="D24" s="22">
        <f t="shared" si="1"/>
        <v>27500</v>
      </c>
      <c r="E24" s="7">
        <v>82</v>
      </c>
      <c r="F24" s="20">
        <f t="shared" si="2"/>
        <v>2255000</v>
      </c>
      <c r="G24" s="20" t="str">
        <f t="shared" si="3"/>
        <v>MANGGA</v>
      </c>
      <c r="H24" s="20" t="str">
        <f t="shared" si="4"/>
        <v>BONEKA</v>
      </c>
      <c r="K24" s="5" t="s">
        <v>1</v>
      </c>
      <c r="L24" s="16">
        <f>SUM(L19:L23)</f>
        <v>1759</v>
      </c>
      <c r="M24" s="115">
        <f t="shared" si="6"/>
        <v>1</v>
      </c>
    </row>
    <row r="25" spans="1:13">
      <c r="A25" s="23">
        <v>43133</v>
      </c>
      <c r="B25" s="18" t="s">
        <v>148</v>
      </c>
      <c r="C25" s="17" t="str">
        <f t="shared" si="0"/>
        <v>SUSTAGEN</v>
      </c>
      <c r="D25" s="22">
        <f t="shared" si="1"/>
        <v>35700</v>
      </c>
      <c r="E25" s="7">
        <v>12</v>
      </c>
      <c r="F25" s="20">
        <f t="shared" si="2"/>
        <v>428400</v>
      </c>
      <c r="G25" s="20" t="str">
        <f t="shared" si="3"/>
        <v>MADU</v>
      </c>
      <c r="H25" s="20" t="str">
        <f t="shared" si="4"/>
        <v>KAOS</v>
      </c>
    </row>
    <row r="26" spans="1:13">
      <c r="A26" s="23">
        <v>43134</v>
      </c>
      <c r="B26" s="18" t="s">
        <v>142</v>
      </c>
      <c r="C26" s="17" t="str">
        <f t="shared" si="0"/>
        <v>HI LO</v>
      </c>
      <c r="D26" s="22">
        <f t="shared" si="1"/>
        <v>52500</v>
      </c>
      <c r="E26" s="7">
        <v>37</v>
      </c>
      <c r="F26" s="20">
        <f t="shared" si="2"/>
        <v>1942500</v>
      </c>
      <c r="G26" s="20" t="str">
        <f t="shared" si="3"/>
        <v>COKLAT</v>
      </c>
      <c r="H26" s="20" t="str">
        <f t="shared" si="4"/>
        <v>MUG</v>
      </c>
      <c r="K26" s="98" t="s">
        <v>127</v>
      </c>
      <c r="L26" s="100" t="s">
        <v>36</v>
      </c>
      <c r="M26" s="99" t="s">
        <v>72</v>
      </c>
    </row>
    <row r="27" spans="1:13">
      <c r="A27" s="23">
        <v>43135</v>
      </c>
      <c r="B27" s="18" t="s">
        <v>224</v>
      </c>
      <c r="C27" s="17" t="str">
        <f t="shared" si="0"/>
        <v>MILO</v>
      </c>
      <c r="D27" s="22">
        <f t="shared" si="1"/>
        <v>25000</v>
      </c>
      <c r="E27" s="7">
        <v>75</v>
      </c>
      <c r="F27" s="20">
        <f t="shared" si="2"/>
        <v>1875000</v>
      </c>
      <c r="G27" s="20" t="str">
        <f t="shared" si="3"/>
        <v>STROBERI</v>
      </c>
      <c r="H27" s="20" t="str">
        <f t="shared" si="4"/>
        <v>GELAS</v>
      </c>
      <c r="K27" s="3" t="s">
        <v>207</v>
      </c>
      <c r="L27" s="16">
        <f>SUMIF($C$4:$C$36,K27,$F$4:$F$36)</f>
        <v>14075000</v>
      </c>
      <c r="M27" s="115">
        <f>L27/$L$32</f>
        <v>0.24069868457955113</v>
      </c>
    </row>
    <row r="28" spans="1:13">
      <c r="A28" s="23">
        <v>43136</v>
      </c>
      <c r="B28" s="18" t="s">
        <v>144</v>
      </c>
      <c r="C28" s="17" t="str">
        <f t="shared" si="0"/>
        <v>MILO</v>
      </c>
      <c r="D28" s="22">
        <f t="shared" si="1"/>
        <v>25000</v>
      </c>
      <c r="E28" s="7">
        <v>36</v>
      </c>
      <c r="F28" s="20">
        <f t="shared" si="2"/>
        <v>900000</v>
      </c>
      <c r="G28" s="20" t="str">
        <f t="shared" si="3"/>
        <v>MANGGA</v>
      </c>
      <c r="H28" s="20" t="str">
        <f t="shared" si="4"/>
        <v>BONEKA</v>
      </c>
      <c r="K28" s="3" t="s">
        <v>208</v>
      </c>
      <c r="L28" s="16">
        <f t="shared" ref="L28:L31" si="7">SUMIF($C$4:$C$36,K28,$F$4:$F$36)</f>
        <v>11687500</v>
      </c>
      <c r="M28" s="115">
        <f t="shared" ref="M28:M32" si="8">L28/$L$32</f>
        <v>0.19986968923790435</v>
      </c>
    </row>
    <row r="29" spans="1:13">
      <c r="A29" s="23">
        <v>43137</v>
      </c>
      <c r="B29" s="18" t="s">
        <v>145</v>
      </c>
      <c r="C29" s="17" t="str">
        <f t="shared" si="0"/>
        <v>BENDERA</v>
      </c>
      <c r="D29" s="22">
        <f t="shared" si="1"/>
        <v>27500</v>
      </c>
      <c r="E29" s="7">
        <v>51</v>
      </c>
      <c r="F29" s="20">
        <f t="shared" si="2"/>
        <v>1402500</v>
      </c>
      <c r="G29" s="20" t="str">
        <f t="shared" si="3"/>
        <v>MADU</v>
      </c>
      <c r="H29" s="20" t="str">
        <f t="shared" si="4"/>
        <v>KAOS</v>
      </c>
      <c r="K29" s="3" t="s">
        <v>209</v>
      </c>
      <c r="L29" s="16">
        <f t="shared" si="7"/>
        <v>7800800</v>
      </c>
      <c r="M29" s="115">
        <f t="shared" si="8"/>
        <v>0.13340264999418561</v>
      </c>
    </row>
    <row r="30" spans="1:13">
      <c r="A30" s="23">
        <v>43138</v>
      </c>
      <c r="B30" s="18" t="s">
        <v>154</v>
      </c>
      <c r="C30" s="17" t="str">
        <f t="shared" si="0"/>
        <v>OVALTINE</v>
      </c>
      <c r="D30" s="22">
        <f t="shared" si="1"/>
        <v>39800</v>
      </c>
      <c r="E30" s="7">
        <v>69</v>
      </c>
      <c r="F30" s="20">
        <f t="shared" si="2"/>
        <v>2746200</v>
      </c>
      <c r="G30" s="20" t="str">
        <f t="shared" si="3"/>
        <v>VANILA</v>
      </c>
      <c r="H30" s="20" t="str">
        <f t="shared" si="4"/>
        <v>VOUCHER</v>
      </c>
      <c r="K30" s="3" t="s">
        <v>210</v>
      </c>
      <c r="L30" s="16">
        <f t="shared" si="7"/>
        <v>13702500</v>
      </c>
      <c r="M30" s="115">
        <f t="shared" si="8"/>
        <v>0.23432850624876017</v>
      </c>
    </row>
    <row r="31" spans="1:13">
      <c r="A31" s="23">
        <v>43139</v>
      </c>
      <c r="B31" s="18" t="s">
        <v>141</v>
      </c>
      <c r="C31" s="17" t="str">
        <f t="shared" si="0"/>
        <v>BENDERA</v>
      </c>
      <c r="D31" s="22">
        <f t="shared" si="1"/>
        <v>27500</v>
      </c>
      <c r="E31" s="7">
        <v>77</v>
      </c>
      <c r="F31" s="20">
        <f t="shared" si="2"/>
        <v>2117500</v>
      </c>
      <c r="G31" s="20" t="str">
        <f t="shared" si="3"/>
        <v>MANGGA</v>
      </c>
      <c r="H31" s="20" t="str">
        <f t="shared" si="4"/>
        <v>BONEKA</v>
      </c>
      <c r="K31" s="3" t="s">
        <v>211</v>
      </c>
      <c r="L31" s="16">
        <f t="shared" si="7"/>
        <v>11209800</v>
      </c>
      <c r="M31" s="115">
        <f t="shared" si="8"/>
        <v>0.19170046993959874</v>
      </c>
    </row>
    <row r="32" spans="1:13">
      <c r="A32" s="23">
        <v>43140</v>
      </c>
      <c r="B32" s="18" t="s">
        <v>143</v>
      </c>
      <c r="C32" s="17" t="str">
        <f t="shared" si="0"/>
        <v>SUSTAGEN</v>
      </c>
      <c r="D32" s="22">
        <f t="shared" si="1"/>
        <v>35700</v>
      </c>
      <c r="E32" s="7">
        <v>41</v>
      </c>
      <c r="F32" s="20">
        <f t="shared" si="2"/>
        <v>1463700</v>
      </c>
      <c r="G32" s="20" t="str">
        <f t="shared" si="3"/>
        <v>STROBERI</v>
      </c>
      <c r="H32" s="20" t="str">
        <f t="shared" si="4"/>
        <v>GELAS</v>
      </c>
      <c r="K32" s="5" t="s">
        <v>1</v>
      </c>
      <c r="L32" s="16">
        <f>SUM(L27:L31)</f>
        <v>58475600</v>
      </c>
      <c r="M32" s="115">
        <f t="shared" si="8"/>
        <v>1</v>
      </c>
    </row>
    <row r="33" spans="1:8">
      <c r="A33" s="23">
        <v>43141</v>
      </c>
      <c r="B33" s="18" t="s">
        <v>142</v>
      </c>
      <c r="C33" s="17" t="str">
        <f t="shared" si="0"/>
        <v>HI LO</v>
      </c>
      <c r="D33" s="22">
        <f t="shared" si="1"/>
        <v>52500</v>
      </c>
      <c r="E33" s="7">
        <v>56</v>
      </c>
      <c r="F33" s="20">
        <f t="shared" si="2"/>
        <v>2940000</v>
      </c>
      <c r="G33" s="20" t="str">
        <f t="shared" si="3"/>
        <v>COKLAT</v>
      </c>
      <c r="H33" s="20" t="str">
        <f t="shared" si="4"/>
        <v>MUG</v>
      </c>
    </row>
    <row r="34" spans="1:8">
      <c r="A34" s="23">
        <v>43142</v>
      </c>
      <c r="B34" s="18" t="s">
        <v>224</v>
      </c>
      <c r="C34" s="17" t="str">
        <f t="shared" si="0"/>
        <v>MILO</v>
      </c>
      <c r="D34" s="22">
        <f t="shared" si="1"/>
        <v>25000</v>
      </c>
      <c r="E34" s="7">
        <v>16</v>
      </c>
      <c r="F34" s="20">
        <f t="shared" si="2"/>
        <v>400000</v>
      </c>
      <c r="G34" s="20" t="str">
        <f t="shared" si="3"/>
        <v>STROBERI</v>
      </c>
      <c r="H34" s="20" t="str">
        <f t="shared" si="4"/>
        <v>GELAS</v>
      </c>
    </row>
    <row r="35" spans="1:8">
      <c r="A35" s="23">
        <v>43143</v>
      </c>
      <c r="B35" s="18" t="s">
        <v>144</v>
      </c>
      <c r="C35" s="17" t="str">
        <f t="shared" si="0"/>
        <v>MILO</v>
      </c>
      <c r="D35" s="22">
        <f t="shared" si="1"/>
        <v>25000</v>
      </c>
      <c r="E35" s="7">
        <v>37</v>
      </c>
      <c r="F35" s="20">
        <f t="shared" si="2"/>
        <v>925000</v>
      </c>
      <c r="G35" s="20" t="str">
        <f t="shared" si="3"/>
        <v>MANGGA</v>
      </c>
      <c r="H35" s="20" t="str">
        <f t="shared" si="4"/>
        <v>BONEKA</v>
      </c>
    </row>
    <row r="36" spans="1:8">
      <c r="A36" s="23">
        <v>43144</v>
      </c>
      <c r="B36" s="18" t="s">
        <v>148</v>
      </c>
      <c r="C36" s="17" t="str">
        <f t="shared" si="0"/>
        <v>SUSTAGEN</v>
      </c>
      <c r="D36" s="22">
        <f t="shared" si="1"/>
        <v>35700</v>
      </c>
      <c r="E36" s="7">
        <v>54</v>
      </c>
      <c r="F36" s="20">
        <f t="shared" si="2"/>
        <v>1927800</v>
      </c>
      <c r="G36" s="20" t="str">
        <f t="shared" si="3"/>
        <v>MADU</v>
      </c>
      <c r="H36" s="20" t="str">
        <f t="shared" si="4"/>
        <v>KAOS</v>
      </c>
    </row>
    <row r="37" spans="1:8">
      <c r="A37" s="141" t="s">
        <v>1</v>
      </c>
      <c r="B37" s="141"/>
      <c r="C37" s="141"/>
      <c r="D37" s="141"/>
      <c r="E37" s="7">
        <f t="shared" ref="E37:F37" si="9">SUM(E4:E36)</f>
        <v>1759</v>
      </c>
      <c r="F37" s="9">
        <f t="shared" si="9"/>
        <v>58475600</v>
      </c>
      <c r="G37" s="20">
        <f>COUNTA(G4:G36)</f>
        <v>33</v>
      </c>
      <c r="H37" s="20">
        <f>COUNTA(H4:H36)</f>
        <v>33</v>
      </c>
    </row>
  </sheetData>
  <mergeCells count="1">
    <mergeCell ref="A37:D37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L42"/>
  <sheetViews>
    <sheetView topLeftCell="A13" workbookViewId="0">
      <selection activeCell="J29" sqref="J29"/>
    </sheetView>
  </sheetViews>
  <sheetFormatPr defaultRowHeight="15"/>
  <cols>
    <col min="3" max="3" width="19.28515625" customWidth="1"/>
    <col min="4" max="4" width="18.140625" customWidth="1"/>
    <col min="5" max="5" width="17.5703125" customWidth="1"/>
    <col min="6" max="6" width="15.85546875" customWidth="1"/>
    <col min="8" max="8" width="16.42578125" customWidth="1"/>
    <col min="9" max="9" width="14.140625" customWidth="1"/>
    <col min="10" max="10" width="17.85546875" customWidth="1"/>
    <col min="11" max="11" width="12.85546875" customWidth="1"/>
    <col min="12" max="12" width="14" customWidth="1"/>
  </cols>
  <sheetData>
    <row r="1" spans="2:12" ht="18">
      <c r="B1" s="30" t="s">
        <v>70</v>
      </c>
      <c r="C1" s="31"/>
      <c r="D1" s="31"/>
      <c r="E1" s="32"/>
      <c r="F1" s="32"/>
      <c r="G1" s="32"/>
      <c r="H1" s="32"/>
      <c r="I1" s="32"/>
      <c r="J1" s="32"/>
    </row>
    <row r="2" spans="2:12">
      <c r="B2" s="33"/>
      <c r="C2" s="33"/>
      <c r="D2" s="33"/>
      <c r="E2" s="33"/>
      <c r="F2" s="33"/>
      <c r="G2" s="33"/>
      <c r="H2" s="33"/>
      <c r="I2" s="33"/>
      <c r="J2" s="33"/>
    </row>
    <row r="3" spans="2:12">
      <c r="B3" s="102" t="s">
        <v>0</v>
      </c>
      <c r="C3" s="102" t="s">
        <v>44</v>
      </c>
      <c r="D3" s="102" t="s">
        <v>2</v>
      </c>
      <c r="E3" s="102" t="s">
        <v>16</v>
      </c>
      <c r="F3" s="102" t="s">
        <v>45</v>
      </c>
      <c r="G3" s="102" t="s">
        <v>46</v>
      </c>
      <c r="H3" s="102" t="s">
        <v>1</v>
      </c>
      <c r="I3" s="103" t="s">
        <v>19</v>
      </c>
      <c r="J3" s="102" t="s">
        <v>47</v>
      </c>
      <c r="K3" s="103" t="s">
        <v>18</v>
      </c>
      <c r="L3" s="103" t="s">
        <v>212</v>
      </c>
    </row>
    <row r="4" spans="2:12">
      <c r="B4" s="34">
        <v>1</v>
      </c>
      <c r="C4" s="24" t="s">
        <v>74</v>
      </c>
      <c r="D4" s="18" t="s">
        <v>152</v>
      </c>
      <c r="E4" s="1" t="str">
        <f>VLOOKUP(VALUE(RIGHT(D4,1)),$B$31:$E$35,2)</f>
        <v>MILO</v>
      </c>
      <c r="F4" s="118">
        <f>VLOOKUP(LEFT(D4,2),$B$38:$D$42,3)</f>
        <v>25000</v>
      </c>
      <c r="G4" s="10">
        <v>74</v>
      </c>
      <c r="H4" s="25">
        <f>F4*G4</f>
        <v>1850000</v>
      </c>
      <c r="I4" s="118">
        <f>VLOOKUP(VALUE(RIGHT(D4,1)),$B$31:$E$35,4)</f>
        <v>3000</v>
      </c>
      <c r="J4" s="25">
        <f>H4-I4</f>
        <v>1847000</v>
      </c>
      <c r="K4" s="1" t="str">
        <f>VLOOKUP(LEFT(D4,2),$B$38:$D$42,2)</f>
        <v>BONEKA</v>
      </c>
      <c r="L4" s="1" t="str">
        <f>VLOOKUP(VALUE(RIGHT(D4,1)),$B$31:$E$35,3)</f>
        <v>STROBERI</v>
      </c>
    </row>
    <row r="5" spans="2:12">
      <c r="B5" s="34">
        <v>2</v>
      </c>
      <c r="C5" s="24" t="s">
        <v>75</v>
      </c>
      <c r="D5" s="18" t="s">
        <v>153</v>
      </c>
      <c r="E5" s="1" t="str">
        <f t="shared" ref="E5:E27" si="0">VLOOKUP(VALUE(RIGHT(D5,1)),$B$31:$E$35,2)</f>
        <v>HI LO</v>
      </c>
      <c r="F5" s="118">
        <f t="shared" ref="F5:F27" si="1">VLOOKUP(LEFT(D5,2),$B$38:$D$42,3)</f>
        <v>27500</v>
      </c>
      <c r="G5" s="10">
        <v>56</v>
      </c>
      <c r="H5" s="25">
        <f t="shared" ref="H5:H27" si="2">F5*G5</f>
        <v>1540000</v>
      </c>
      <c r="I5" s="118">
        <f t="shared" ref="I5:I27" si="3">VLOOKUP(VALUE(RIGHT(D5,1)),$B$31:$E$35,4)</f>
        <v>4500</v>
      </c>
      <c r="J5" s="25">
        <f t="shared" ref="J5:J27" si="4">H5-I5</f>
        <v>1535500</v>
      </c>
      <c r="K5" s="1" t="str">
        <f t="shared" ref="K5:K27" si="5">VLOOKUP(LEFT(D5,2),$B$38:$D$42,2)</f>
        <v>MUG</v>
      </c>
      <c r="L5" s="1" t="str">
        <f t="shared" ref="L5:L27" si="6">VLOOKUP(VALUE(RIGHT(D5,1)),$B$31:$E$35,3)</f>
        <v>MANGGA</v>
      </c>
    </row>
    <row r="6" spans="2:12">
      <c r="B6" s="34">
        <v>3</v>
      </c>
      <c r="C6" s="24" t="s">
        <v>76</v>
      </c>
      <c r="D6" s="18" t="s">
        <v>154</v>
      </c>
      <c r="E6" s="1" t="str">
        <f t="shared" si="0"/>
        <v>BENDERA</v>
      </c>
      <c r="F6" s="118">
        <f t="shared" si="1"/>
        <v>39800</v>
      </c>
      <c r="G6" s="10">
        <v>81</v>
      </c>
      <c r="H6" s="25">
        <f t="shared" si="2"/>
        <v>3223800</v>
      </c>
      <c r="I6" s="118">
        <f t="shared" si="3"/>
        <v>3500</v>
      </c>
      <c r="J6" s="25">
        <f t="shared" si="4"/>
        <v>3220300</v>
      </c>
      <c r="K6" s="1" t="str">
        <f t="shared" si="5"/>
        <v>KAOS</v>
      </c>
      <c r="L6" s="1" t="str">
        <f t="shared" si="6"/>
        <v>MADU</v>
      </c>
    </row>
    <row r="7" spans="2:12">
      <c r="B7" s="34">
        <v>4</v>
      </c>
      <c r="C7" s="24" t="s">
        <v>77</v>
      </c>
      <c r="D7" s="18" t="s">
        <v>142</v>
      </c>
      <c r="E7" s="1" t="str">
        <f t="shared" si="0"/>
        <v>OVALTINE</v>
      </c>
      <c r="F7" s="118">
        <f t="shared" si="1"/>
        <v>52500</v>
      </c>
      <c r="G7" s="10">
        <v>72</v>
      </c>
      <c r="H7" s="25">
        <f t="shared" si="2"/>
        <v>3780000</v>
      </c>
      <c r="I7" s="118">
        <f t="shared" si="3"/>
        <v>4000</v>
      </c>
      <c r="J7" s="25">
        <f t="shared" si="4"/>
        <v>3776000</v>
      </c>
      <c r="K7" s="1" t="str">
        <f t="shared" si="5"/>
        <v>VOUCHER</v>
      </c>
      <c r="L7" s="1" t="str">
        <f t="shared" si="6"/>
        <v>VANILA</v>
      </c>
    </row>
    <row r="8" spans="2:12">
      <c r="B8" s="34">
        <v>5</v>
      </c>
      <c r="C8" s="24" t="s">
        <v>78</v>
      </c>
      <c r="D8" s="18" t="s">
        <v>143</v>
      </c>
      <c r="E8" s="1" t="str">
        <f t="shared" si="0"/>
        <v>HI LO</v>
      </c>
      <c r="F8" s="118">
        <f t="shared" si="1"/>
        <v>35700</v>
      </c>
      <c r="G8" s="10">
        <v>55</v>
      </c>
      <c r="H8" s="25">
        <f t="shared" si="2"/>
        <v>1963500</v>
      </c>
      <c r="I8" s="118">
        <f t="shared" si="3"/>
        <v>4500</v>
      </c>
      <c r="J8" s="25">
        <f t="shared" si="4"/>
        <v>1959000</v>
      </c>
      <c r="K8" s="1" t="str">
        <f t="shared" si="5"/>
        <v>GELAS</v>
      </c>
      <c r="L8" s="1" t="str">
        <f t="shared" si="6"/>
        <v>MANGGA</v>
      </c>
    </row>
    <row r="9" spans="2:12">
      <c r="B9" s="34">
        <v>6</v>
      </c>
      <c r="C9" s="24" t="s">
        <v>79</v>
      </c>
      <c r="D9" s="18" t="s">
        <v>144</v>
      </c>
      <c r="E9" s="1" t="str">
        <f t="shared" si="0"/>
        <v>SUSTAGEN</v>
      </c>
      <c r="F9" s="118">
        <f t="shared" si="1"/>
        <v>25000</v>
      </c>
      <c r="G9" s="10">
        <v>73</v>
      </c>
      <c r="H9" s="25">
        <f t="shared" si="2"/>
        <v>1825000</v>
      </c>
      <c r="I9" s="118">
        <f t="shared" si="3"/>
        <v>5000</v>
      </c>
      <c r="J9" s="25">
        <f t="shared" si="4"/>
        <v>1820000</v>
      </c>
      <c r="K9" s="1" t="str">
        <f t="shared" si="5"/>
        <v>BONEKA</v>
      </c>
      <c r="L9" s="1" t="str">
        <f t="shared" si="6"/>
        <v>COKLAT</v>
      </c>
    </row>
    <row r="10" spans="2:12">
      <c r="B10" s="34">
        <v>7</v>
      </c>
      <c r="C10" s="24" t="s">
        <v>80</v>
      </c>
      <c r="D10" s="18" t="s">
        <v>145</v>
      </c>
      <c r="E10" s="1" t="str">
        <f t="shared" si="0"/>
        <v>MILO</v>
      </c>
      <c r="F10" s="118">
        <f t="shared" si="1"/>
        <v>27500</v>
      </c>
      <c r="G10" s="10">
        <v>92</v>
      </c>
      <c r="H10" s="25">
        <f t="shared" si="2"/>
        <v>2530000</v>
      </c>
      <c r="I10" s="118">
        <f t="shared" si="3"/>
        <v>3000</v>
      </c>
      <c r="J10" s="25">
        <f t="shared" si="4"/>
        <v>2527000</v>
      </c>
      <c r="K10" s="1" t="str">
        <f t="shared" si="5"/>
        <v>MUG</v>
      </c>
      <c r="L10" s="1" t="str">
        <f t="shared" si="6"/>
        <v>STROBERI</v>
      </c>
    </row>
    <row r="11" spans="2:12">
      <c r="B11" s="34">
        <v>8</v>
      </c>
      <c r="C11" s="24" t="s">
        <v>81</v>
      </c>
      <c r="D11" s="18" t="s">
        <v>146</v>
      </c>
      <c r="E11" s="1" t="str">
        <f t="shared" si="0"/>
        <v>OVALTINE</v>
      </c>
      <c r="F11" s="118">
        <f t="shared" si="1"/>
        <v>39800</v>
      </c>
      <c r="G11" s="10">
        <v>89</v>
      </c>
      <c r="H11" s="25">
        <f t="shared" si="2"/>
        <v>3542200</v>
      </c>
      <c r="I11" s="118">
        <f t="shared" si="3"/>
        <v>4000</v>
      </c>
      <c r="J11" s="25">
        <f t="shared" si="4"/>
        <v>3538200</v>
      </c>
      <c r="K11" s="1" t="str">
        <f t="shared" si="5"/>
        <v>KAOS</v>
      </c>
      <c r="L11" s="1" t="str">
        <f t="shared" si="6"/>
        <v>VANILA</v>
      </c>
    </row>
    <row r="12" spans="2:12">
      <c r="B12" s="34">
        <v>9</v>
      </c>
      <c r="C12" s="24" t="s">
        <v>82</v>
      </c>
      <c r="D12" s="18" t="s">
        <v>147</v>
      </c>
      <c r="E12" s="1" t="str">
        <f t="shared" si="0"/>
        <v>HI LO</v>
      </c>
      <c r="F12" s="118">
        <f t="shared" si="1"/>
        <v>52500</v>
      </c>
      <c r="G12" s="10">
        <v>53</v>
      </c>
      <c r="H12" s="25">
        <f t="shared" si="2"/>
        <v>2782500</v>
      </c>
      <c r="I12" s="118">
        <f t="shared" si="3"/>
        <v>4500</v>
      </c>
      <c r="J12" s="25">
        <f t="shared" si="4"/>
        <v>2778000</v>
      </c>
      <c r="K12" s="1" t="str">
        <f t="shared" si="5"/>
        <v>VOUCHER</v>
      </c>
      <c r="L12" s="1" t="str">
        <f t="shared" si="6"/>
        <v>MANGGA</v>
      </c>
    </row>
    <row r="13" spans="2:12">
      <c r="B13" s="34">
        <v>10</v>
      </c>
      <c r="C13" s="24" t="s">
        <v>83</v>
      </c>
      <c r="D13" s="18" t="s">
        <v>148</v>
      </c>
      <c r="E13" s="1" t="str">
        <f t="shared" si="0"/>
        <v>MILO</v>
      </c>
      <c r="F13" s="118">
        <f t="shared" si="1"/>
        <v>35700</v>
      </c>
      <c r="G13" s="10">
        <v>54</v>
      </c>
      <c r="H13" s="25">
        <f t="shared" si="2"/>
        <v>1927800</v>
      </c>
      <c r="I13" s="118">
        <f t="shared" si="3"/>
        <v>3000</v>
      </c>
      <c r="J13" s="25">
        <f t="shared" si="4"/>
        <v>1924800</v>
      </c>
      <c r="K13" s="1" t="str">
        <f t="shared" si="5"/>
        <v>GELAS</v>
      </c>
      <c r="L13" s="1" t="str">
        <f t="shared" si="6"/>
        <v>STROBERI</v>
      </c>
    </row>
    <row r="14" spans="2:12">
      <c r="B14" s="34">
        <v>11</v>
      </c>
      <c r="C14" s="24" t="s">
        <v>84</v>
      </c>
      <c r="D14" s="18" t="s">
        <v>140</v>
      </c>
      <c r="E14" s="1" t="str">
        <f t="shared" si="0"/>
        <v>BENDERA</v>
      </c>
      <c r="F14" s="118">
        <f t="shared" si="1"/>
        <v>25000</v>
      </c>
      <c r="G14" s="10">
        <v>58</v>
      </c>
      <c r="H14" s="25">
        <f t="shared" si="2"/>
        <v>1450000</v>
      </c>
      <c r="I14" s="118">
        <f t="shared" si="3"/>
        <v>3500</v>
      </c>
      <c r="J14" s="25">
        <f t="shared" si="4"/>
        <v>1446500</v>
      </c>
      <c r="K14" s="1" t="str">
        <f t="shared" si="5"/>
        <v>BONEKA</v>
      </c>
      <c r="L14" s="1" t="str">
        <f t="shared" si="6"/>
        <v>MADU</v>
      </c>
    </row>
    <row r="15" spans="2:12">
      <c r="B15" s="34">
        <v>12</v>
      </c>
      <c r="C15" s="24" t="s">
        <v>85</v>
      </c>
      <c r="D15" s="18" t="s">
        <v>149</v>
      </c>
      <c r="E15" s="1" t="str">
        <f t="shared" si="0"/>
        <v>OVALTINE</v>
      </c>
      <c r="F15" s="118">
        <f t="shared" si="1"/>
        <v>27500</v>
      </c>
      <c r="G15" s="10">
        <v>60</v>
      </c>
      <c r="H15" s="25">
        <f t="shared" si="2"/>
        <v>1650000</v>
      </c>
      <c r="I15" s="118">
        <f t="shared" si="3"/>
        <v>4000</v>
      </c>
      <c r="J15" s="25">
        <f t="shared" si="4"/>
        <v>1646000</v>
      </c>
      <c r="K15" s="1" t="str">
        <f t="shared" si="5"/>
        <v>MUG</v>
      </c>
      <c r="L15" s="1" t="str">
        <f t="shared" si="6"/>
        <v>VANILA</v>
      </c>
    </row>
    <row r="16" spans="2:12">
      <c r="B16" s="34">
        <v>13</v>
      </c>
      <c r="C16" s="24" t="s">
        <v>86</v>
      </c>
      <c r="D16" s="18" t="s">
        <v>150</v>
      </c>
      <c r="E16" s="1" t="str">
        <f t="shared" si="0"/>
        <v>SUSTAGEN</v>
      </c>
      <c r="F16" s="118">
        <f t="shared" si="1"/>
        <v>39800</v>
      </c>
      <c r="G16" s="10">
        <v>51</v>
      </c>
      <c r="H16" s="25">
        <f t="shared" si="2"/>
        <v>2029800</v>
      </c>
      <c r="I16" s="118">
        <f t="shared" si="3"/>
        <v>5000</v>
      </c>
      <c r="J16" s="25">
        <f t="shared" si="4"/>
        <v>2024800</v>
      </c>
      <c r="K16" s="1" t="str">
        <f t="shared" si="5"/>
        <v>KAOS</v>
      </c>
      <c r="L16" s="1" t="str">
        <f t="shared" si="6"/>
        <v>COKLAT</v>
      </c>
    </row>
    <row r="17" spans="2:12">
      <c r="B17" s="34">
        <v>14</v>
      </c>
      <c r="C17" s="24" t="s">
        <v>87</v>
      </c>
      <c r="D17" s="18" t="s">
        <v>147</v>
      </c>
      <c r="E17" s="1" t="str">
        <f t="shared" si="0"/>
        <v>HI LO</v>
      </c>
      <c r="F17" s="118">
        <f t="shared" si="1"/>
        <v>52500</v>
      </c>
      <c r="G17" s="10">
        <v>76</v>
      </c>
      <c r="H17" s="25">
        <f t="shared" si="2"/>
        <v>3990000</v>
      </c>
      <c r="I17" s="118">
        <f t="shared" si="3"/>
        <v>4500</v>
      </c>
      <c r="J17" s="25">
        <f t="shared" si="4"/>
        <v>3985500</v>
      </c>
      <c r="K17" s="1" t="str">
        <f t="shared" si="5"/>
        <v>VOUCHER</v>
      </c>
      <c r="L17" s="1" t="str">
        <f t="shared" si="6"/>
        <v>MANGGA</v>
      </c>
    </row>
    <row r="18" spans="2:12">
      <c r="B18" s="34">
        <v>15</v>
      </c>
      <c r="C18" s="24" t="s">
        <v>88</v>
      </c>
      <c r="D18" s="18" t="s">
        <v>151</v>
      </c>
      <c r="E18" s="1" t="str">
        <f t="shared" si="0"/>
        <v>SUSTAGEN</v>
      </c>
      <c r="F18" s="118">
        <f t="shared" si="1"/>
        <v>35700</v>
      </c>
      <c r="G18" s="10">
        <v>95</v>
      </c>
      <c r="H18" s="25">
        <f t="shared" si="2"/>
        <v>3391500</v>
      </c>
      <c r="I18" s="118">
        <f t="shared" si="3"/>
        <v>5000</v>
      </c>
      <c r="J18" s="25">
        <f t="shared" si="4"/>
        <v>3386500</v>
      </c>
      <c r="K18" s="1" t="str">
        <f t="shared" si="5"/>
        <v>GELAS</v>
      </c>
      <c r="L18" s="1" t="str">
        <f t="shared" si="6"/>
        <v>COKLAT</v>
      </c>
    </row>
    <row r="19" spans="2:12" ht="15" customHeight="1">
      <c r="B19" s="34">
        <v>16</v>
      </c>
      <c r="C19" s="24" t="s">
        <v>89</v>
      </c>
      <c r="D19" s="18" t="s">
        <v>152</v>
      </c>
      <c r="E19" s="1" t="str">
        <f t="shared" si="0"/>
        <v>MILO</v>
      </c>
      <c r="F19" s="118">
        <f t="shared" si="1"/>
        <v>25000</v>
      </c>
      <c r="G19" s="10">
        <v>90</v>
      </c>
      <c r="H19" s="25">
        <f t="shared" si="2"/>
        <v>2250000</v>
      </c>
      <c r="I19" s="118">
        <f t="shared" si="3"/>
        <v>3000</v>
      </c>
      <c r="J19" s="25">
        <f t="shared" si="4"/>
        <v>2247000</v>
      </c>
      <c r="K19" s="1" t="str">
        <f t="shared" si="5"/>
        <v>BONEKA</v>
      </c>
      <c r="L19" s="1" t="str">
        <f t="shared" si="6"/>
        <v>STROBERI</v>
      </c>
    </row>
    <row r="20" spans="2:12" ht="15" customHeight="1">
      <c r="B20" s="34">
        <v>17</v>
      </c>
      <c r="C20" s="24" t="s">
        <v>90</v>
      </c>
      <c r="D20" s="18" t="s">
        <v>140</v>
      </c>
      <c r="E20" s="1" t="str">
        <f t="shared" si="0"/>
        <v>BENDERA</v>
      </c>
      <c r="F20" s="118">
        <f t="shared" si="1"/>
        <v>25000</v>
      </c>
      <c r="G20" s="10">
        <v>90</v>
      </c>
      <c r="H20" s="25">
        <f t="shared" si="2"/>
        <v>2250000</v>
      </c>
      <c r="I20" s="118">
        <f t="shared" si="3"/>
        <v>3500</v>
      </c>
      <c r="J20" s="25">
        <f t="shared" si="4"/>
        <v>2246500</v>
      </c>
      <c r="K20" s="1" t="str">
        <f t="shared" si="5"/>
        <v>BONEKA</v>
      </c>
      <c r="L20" s="1" t="str">
        <f t="shared" si="6"/>
        <v>MADU</v>
      </c>
    </row>
    <row r="21" spans="2:12">
      <c r="B21" s="34">
        <v>18</v>
      </c>
      <c r="C21" s="24" t="s">
        <v>91</v>
      </c>
      <c r="D21" s="18" t="s">
        <v>141</v>
      </c>
      <c r="E21" s="1" t="str">
        <f t="shared" si="0"/>
        <v>SUSTAGEN</v>
      </c>
      <c r="F21" s="118">
        <f t="shared" si="1"/>
        <v>27500</v>
      </c>
      <c r="G21" s="10">
        <v>89</v>
      </c>
      <c r="H21" s="25">
        <f t="shared" si="2"/>
        <v>2447500</v>
      </c>
      <c r="I21" s="118">
        <f t="shared" si="3"/>
        <v>5000</v>
      </c>
      <c r="J21" s="25">
        <f t="shared" si="4"/>
        <v>2442500</v>
      </c>
      <c r="K21" s="1" t="str">
        <f t="shared" si="5"/>
        <v>MUG</v>
      </c>
      <c r="L21" s="1" t="str">
        <f t="shared" si="6"/>
        <v>COKLAT</v>
      </c>
    </row>
    <row r="22" spans="2:12">
      <c r="B22" s="34">
        <v>19</v>
      </c>
      <c r="C22" s="24" t="s">
        <v>92</v>
      </c>
      <c r="D22" s="18" t="s">
        <v>150</v>
      </c>
      <c r="E22" s="1" t="str">
        <f t="shared" si="0"/>
        <v>SUSTAGEN</v>
      </c>
      <c r="F22" s="118">
        <f t="shared" si="1"/>
        <v>39800</v>
      </c>
      <c r="G22" s="10">
        <v>82</v>
      </c>
      <c r="H22" s="25">
        <f t="shared" si="2"/>
        <v>3263600</v>
      </c>
      <c r="I22" s="118">
        <f t="shared" si="3"/>
        <v>5000</v>
      </c>
      <c r="J22" s="25">
        <f t="shared" si="4"/>
        <v>3258600</v>
      </c>
      <c r="K22" s="1" t="str">
        <f t="shared" si="5"/>
        <v>KAOS</v>
      </c>
      <c r="L22" s="1" t="str">
        <f t="shared" si="6"/>
        <v>COKLAT</v>
      </c>
    </row>
    <row r="23" spans="2:12">
      <c r="B23" s="34">
        <v>20</v>
      </c>
      <c r="C23" s="24" t="s">
        <v>93</v>
      </c>
      <c r="D23" s="18" t="s">
        <v>142</v>
      </c>
      <c r="E23" s="1" t="str">
        <f t="shared" si="0"/>
        <v>OVALTINE</v>
      </c>
      <c r="F23" s="118">
        <f t="shared" si="1"/>
        <v>52500</v>
      </c>
      <c r="G23" s="10">
        <v>51</v>
      </c>
      <c r="H23" s="25">
        <f t="shared" si="2"/>
        <v>2677500</v>
      </c>
      <c r="I23" s="118">
        <f t="shared" si="3"/>
        <v>4000</v>
      </c>
      <c r="J23" s="25">
        <f t="shared" si="4"/>
        <v>2673500</v>
      </c>
      <c r="K23" s="1" t="str">
        <f t="shared" si="5"/>
        <v>VOUCHER</v>
      </c>
      <c r="L23" s="1" t="str">
        <f t="shared" si="6"/>
        <v>VANILA</v>
      </c>
    </row>
    <row r="24" spans="2:12">
      <c r="B24" s="34">
        <v>21</v>
      </c>
      <c r="C24" s="24" t="s">
        <v>94</v>
      </c>
      <c r="D24" s="18" t="s">
        <v>143</v>
      </c>
      <c r="E24" s="1" t="str">
        <f t="shared" si="0"/>
        <v>HI LO</v>
      </c>
      <c r="F24" s="118">
        <f t="shared" si="1"/>
        <v>35700</v>
      </c>
      <c r="G24" s="10">
        <v>63</v>
      </c>
      <c r="H24" s="25">
        <f t="shared" si="2"/>
        <v>2249100</v>
      </c>
      <c r="I24" s="118">
        <f t="shared" si="3"/>
        <v>4500</v>
      </c>
      <c r="J24" s="25">
        <f t="shared" si="4"/>
        <v>2244600</v>
      </c>
      <c r="K24" s="1" t="str">
        <f t="shared" si="5"/>
        <v>GELAS</v>
      </c>
      <c r="L24" s="1" t="str">
        <f t="shared" si="6"/>
        <v>MANGGA</v>
      </c>
    </row>
    <row r="25" spans="2:12">
      <c r="B25" s="34">
        <v>22</v>
      </c>
      <c r="C25" s="24" t="s">
        <v>95</v>
      </c>
      <c r="D25" s="18" t="s">
        <v>144</v>
      </c>
      <c r="E25" s="1" t="str">
        <f t="shared" si="0"/>
        <v>SUSTAGEN</v>
      </c>
      <c r="F25" s="118">
        <f t="shared" si="1"/>
        <v>25000</v>
      </c>
      <c r="G25" s="10">
        <v>74</v>
      </c>
      <c r="H25" s="25">
        <f t="shared" si="2"/>
        <v>1850000</v>
      </c>
      <c r="I25" s="118">
        <f t="shared" si="3"/>
        <v>5000</v>
      </c>
      <c r="J25" s="25">
        <f t="shared" si="4"/>
        <v>1845000</v>
      </c>
      <c r="K25" s="1" t="str">
        <f t="shared" si="5"/>
        <v>BONEKA</v>
      </c>
      <c r="L25" s="1" t="str">
        <f t="shared" si="6"/>
        <v>COKLAT</v>
      </c>
    </row>
    <row r="26" spans="2:12">
      <c r="B26" s="34">
        <v>23</v>
      </c>
      <c r="C26" s="24" t="s">
        <v>96</v>
      </c>
      <c r="D26" s="18" t="s">
        <v>145</v>
      </c>
      <c r="E26" s="1" t="str">
        <f t="shared" si="0"/>
        <v>MILO</v>
      </c>
      <c r="F26" s="118">
        <f t="shared" si="1"/>
        <v>27500</v>
      </c>
      <c r="G26" s="10">
        <v>57</v>
      </c>
      <c r="H26" s="25">
        <f t="shared" si="2"/>
        <v>1567500</v>
      </c>
      <c r="I26" s="118">
        <f t="shared" si="3"/>
        <v>3000</v>
      </c>
      <c r="J26" s="25">
        <f t="shared" si="4"/>
        <v>1564500</v>
      </c>
      <c r="K26" s="1" t="str">
        <f t="shared" si="5"/>
        <v>MUG</v>
      </c>
      <c r="L26" s="1" t="str">
        <f t="shared" si="6"/>
        <v>STROBERI</v>
      </c>
    </row>
    <row r="27" spans="2:12">
      <c r="B27" s="34">
        <v>24</v>
      </c>
      <c r="C27" s="24" t="s">
        <v>97</v>
      </c>
      <c r="D27" s="18" t="s">
        <v>146</v>
      </c>
      <c r="E27" s="1" t="str">
        <f t="shared" si="0"/>
        <v>OVALTINE</v>
      </c>
      <c r="F27" s="118">
        <f t="shared" si="1"/>
        <v>39800</v>
      </c>
      <c r="G27" s="10">
        <v>92</v>
      </c>
      <c r="H27" s="25">
        <f t="shared" si="2"/>
        <v>3661600</v>
      </c>
      <c r="I27" s="118">
        <f t="shared" si="3"/>
        <v>4000</v>
      </c>
      <c r="J27" s="25">
        <f t="shared" si="4"/>
        <v>3657600</v>
      </c>
      <c r="K27" s="1" t="str">
        <f t="shared" si="5"/>
        <v>KAOS</v>
      </c>
      <c r="L27" s="1" t="str">
        <f t="shared" si="6"/>
        <v>VANILA</v>
      </c>
    </row>
    <row r="28" spans="2:12">
      <c r="B28" s="142" t="s">
        <v>15</v>
      </c>
      <c r="C28" s="143"/>
      <c r="D28" s="143"/>
      <c r="E28" s="143"/>
      <c r="F28" s="144"/>
      <c r="G28" s="119">
        <f t="shared" ref="G28:J28" si="7">SUM(G4:G27)</f>
        <v>1727</v>
      </c>
      <c r="H28" s="119">
        <f t="shared" si="7"/>
        <v>59692900</v>
      </c>
      <c r="I28" s="119">
        <f t="shared" si="7"/>
        <v>98000</v>
      </c>
      <c r="J28" s="119">
        <f t="shared" si="7"/>
        <v>59594900</v>
      </c>
      <c r="K28" s="93"/>
      <c r="L28" s="93"/>
    </row>
    <row r="30" spans="2:12">
      <c r="B30" s="104" t="s">
        <v>2</v>
      </c>
      <c r="C30" s="104" t="s">
        <v>16</v>
      </c>
      <c r="D30" s="96" t="s">
        <v>212</v>
      </c>
      <c r="E30" s="104" t="s">
        <v>19</v>
      </c>
    </row>
    <row r="31" spans="2:12">
      <c r="B31" s="35">
        <v>1</v>
      </c>
      <c r="C31" s="3" t="s">
        <v>207</v>
      </c>
      <c r="D31" s="16" t="s">
        <v>216</v>
      </c>
      <c r="E31" s="36">
        <v>3000</v>
      </c>
    </row>
    <row r="32" spans="2:12">
      <c r="B32" s="35">
        <v>2</v>
      </c>
      <c r="C32" s="3" t="s">
        <v>208</v>
      </c>
      <c r="D32" s="16" t="s">
        <v>213</v>
      </c>
      <c r="E32" s="36">
        <v>3500</v>
      </c>
    </row>
    <row r="33" spans="2:5">
      <c r="B33" s="35">
        <v>3</v>
      </c>
      <c r="C33" s="3" t="s">
        <v>209</v>
      </c>
      <c r="D33" s="16" t="s">
        <v>214</v>
      </c>
      <c r="E33" s="36">
        <v>4000</v>
      </c>
    </row>
    <row r="34" spans="2:5">
      <c r="B34" s="35">
        <v>4</v>
      </c>
      <c r="C34" s="3" t="s">
        <v>210</v>
      </c>
      <c r="D34" s="16" t="s">
        <v>217</v>
      </c>
      <c r="E34" s="36">
        <v>4500</v>
      </c>
    </row>
    <row r="35" spans="2:5">
      <c r="B35" s="35">
        <v>5</v>
      </c>
      <c r="C35" s="3" t="s">
        <v>211</v>
      </c>
      <c r="D35" s="16" t="s">
        <v>215</v>
      </c>
      <c r="E35" s="36">
        <v>5000</v>
      </c>
    </row>
    <row r="37" spans="2:5">
      <c r="B37" s="104" t="s">
        <v>2</v>
      </c>
      <c r="C37" s="96" t="s">
        <v>18</v>
      </c>
      <c r="D37" s="96" t="s">
        <v>13</v>
      </c>
    </row>
    <row r="38" spans="2:5">
      <c r="B38" s="35" t="s">
        <v>135</v>
      </c>
      <c r="C38" s="3" t="s">
        <v>223</v>
      </c>
      <c r="D38" s="16">
        <v>25000</v>
      </c>
    </row>
    <row r="39" spans="2:5">
      <c r="B39" s="35" t="s">
        <v>136</v>
      </c>
      <c r="C39" s="3" t="s">
        <v>221</v>
      </c>
      <c r="D39" s="16">
        <v>27500</v>
      </c>
    </row>
    <row r="40" spans="2:5">
      <c r="B40" s="35" t="s">
        <v>137</v>
      </c>
      <c r="C40" s="17" t="s">
        <v>219</v>
      </c>
      <c r="D40" s="16">
        <v>39800</v>
      </c>
    </row>
    <row r="41" spans="2:5">
      <c r="B41" s="35" t="s">
        <v>138</v>
      </c>
      <c r="C41" s="17" t="s">
        <v>220</v>
      </c>
      <c r="D41" s="16">
        <v>52500</v>
      </c>
    </row>
    <row r="42" spans="2:5">
      <c r="B42" s="35" t="s">
        <v>139</v>
      </c>
      <c r="C42" s="3" t="s">
        <v>222</v>
      </c>
      <c r="D42" s="16">
        <v>35700</v>
      </c>
    </row>
  </sheetData>
  <mergeCells count="1">
    <mergeCell ref="B28:F28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P44"/>
  <sheetViews>
    <sheetView topLeftCell="D31" workbookViewId="0">
      <selection activeCell="L44" sqref="L44"/>
    </sheetView>
  </sheetViews>
  <sheetFormatPr defaultRowHeight="15"/>
  <cols>
    <col min="3" max="3" width="19.28515625" customWidth="1"/>
    <col min="4" max="4" width="18.140625" customWidth="1"/>
    <col min="5" max="5" width="17.5703125" customWidth="1"/>
    <col min="6" max="6" width="15.85546875" customWidth="1"/>
    <col min="8" max="8" width="16.42578125" customWidth="1"/>
    <col min="9" max="9" width="14.140625" customWidth="1"/>
    <col min="10" max="10" width="17.85546875" customWidth="1"/>
    <col min="11" max="11" width="12.85546875" customWidth="1"/>
    <col min="12" max="12" width="14" customWidth="1"/>
    <col min="15" max="15" width="15.140625" customWidth="1"/>
    <col min="16" max="16" width="18.42578125" customWidth="1"/>
  </cols>
  <sheetData>
    <row r="1" spans="2:16" ht="18">
      <c r="B1" s="30" t="s">
        <v>70</v>
      </c>
      <c r="C1" s="31"/>
      <c r="D1" s="31"/>
      <c r="E1" s="32"/>
      <c r="F1" s="32"/>
      <c r="G1" s="32"/>
      <c r="H1" s="32"/>
      <c r="I1" s="32"/>
      <c r="J1" s="32"/>
    </row>
    <row r="2" spans="2:16">
      <c r="B2" s="33"/>
      <c r="C2" s="33"/>
      <c r="D2" s="33"/>
      <c r="E2" s="33"/>
      <c r="F2" s="33"/>
      <c r="G2" s="33"/>
      <c r="H2" s="33"/>
      <c r="I2" s="33"/>
      <c r="J2" s="33"/>
    </row>
    <row r="3" spans="2:16">
      <c r="B3" s="102" t="s">
        <v>0</v>
      </c>
      <c r="C3" s="102" t="s">
        <v>44</v>
      </c>
      <c r="D3" s="102" t="s">
        <v>2</v>
      </c>
      <c r="E3" s="102" t="s">
        <v>16</v>
      </c>
      <c r="F3" s="102" t="s">
        <v>45</v>
      </c>
      <c r="G3" s="102" t="s">
        <v>46</v>
      </c>
      <c r="H3" s="102" t="s">
        <v>1</v>
      </c>
      <c r="I3" s="103" t="s">
        <v>19</v>
      </c>
      <c r="J3" s="102" t="s">
        <v>47</v>
      </c>
      <c r="K3" s="103" t="s">
        <v>18</v>
      </c>
      <c r="L3" s="103" t="s">
        <v>212</v>
      </c>
      <c r="N3" s="104" t="s">
        <v>2</v>
      </c>
      <c r="O3" s="96" t="s">
        <v>127</v>
      </c>
      <c r="P3" s="96" t="s">
        <v>212</v>
      </c>
    </row>
    <row r="4" spans="2:16">
      <c r="B4" s="34">
        <v>1</v>
      </c>
      <c r="C4" s="24" t="s">
        <v>74</v>
      </c>
      <c r="D4" s="18" t="s">
        <v>160</v>
      </c>
      <c r="E4" s="1" t="str">
        <f>VLOOKUP(LEFT(D4,2),$N$4:$P$8,2)</f>
        <v>MILO</v>
      </c>
      <c r="F4" s="118">
        <f>VLOOKUP(MID(D4,3,5),$N$11:$P$15,3)</f>
        <v>25000</v>
      </c>
      <c r="G4" s="10">
        <v>29</v>
      </c>
      <c r="H4" s="25">
        <f>F4*G4</f>
        <v>725000</v>
      </c>
      <c r="I4" s="118">
        <f>VLOOKUP(VALUE(RIGHT(D4,1)),$N$18:$O$22,2)</f>
        <v>3500</v>
      </c>
      <c r="J4" s="25">
        <f>H4-I4</f>
        <v>721500</v>
      </c>
      <c r="K4" s="105" t="str">
        <f>VLOOKUP(MID(D4,3,5),$N$11:$P$15,2)</f>
        <v>BONEKA</v>
      </c>
      <c r="L4" s="105" t="str">
        <f>VLOOKUP(LEFT(D4,2),$N$4:$P$8,3)</f>
        <v>STROBERI</v>
      </c>
      <c r="N4" s="35" t="s">
        <v>135</v>
      </c>
      <c r="O4" s="3" t="s">
        <v>207</v>
      </c>
      <c r="P4" s="16" t="s">
        <v>216</v>
      </c>
    </row>
    <row r="5" spans="2:16">
      <c r="B5" s="34">
        <v>2</v>
      </c>
      <c r="C5" s="24" t="s">
        <v>75</v>
      </c>
      <c r="D5" s="18" t="s">
        <v>161</v>
      </c>
      <c r="E5" s="1" t="str">
        <f t="shared" ref="E5:E42" si="0">VLOOKUP(LEFT(D5,2),$N$4:$P$8,2)</f>
        <v>BENDERA</v>
      </c>
      <c r="F5" s="118">
        <f t="shared" ref="F5:F42" si="1">VLOOKUP(MID(D5,3,5),$N$11:$P$15,3)</f>
        <v>52500</v>
      </c>
      <c r="G5" s="10">
        <v>50</v>
      </c>
      <c r="H5" s="25">
        <f t="shared" ref="H5:H42" si="2">F5*G5</f>
        <v>2625000</v>
      </c>
      <c r="I5" s="118">
        <f t="shared" ref="I5:I42" si="3">VLOOKUP(VALUE(RIGHT(D5,1)),$N$18:$O$22,2)</f>
        <v>4000</v>
      </c>
      <c r="J5" s="25">
        <f t="shared" ref="J5:J42" si="4">H5-I5</f>
        <v>2621000</v>
      </c>
      <c r="K5" s="105" t="str">
        <f t="shared" ref="K5:K42" si="5">VLOOKUP(MID(D5,3,5),$N$11:$P$15,2)</f>
        <v>VOUCHER</v>
      </c>
      <c r="L5" s="105" t="str">
        <f t="shared" ref="L5:L42" si="6">VLOOKUP(LEFT(D5,2),$N$4:$P$8,3)</f>
        <v>MADU</v>
      </c>
      <c r="N5" s="35" t="s">
        <v>136</v>
      </c>
      <c r="O5" s="3" t="s">
        <v>208</v>
      </c>
      <c r="P5" s="16" t="s">
        <v>213</v>
      </c>
    </row>
    <row r="6" spans="2:16">
      <c r="B6" s="34">
        <v>3</v>
      </c>
      <c r="C6" s="24" t="s">
        <v>76</v>
      </c>
      <c r="D6" s="18" t="s">
        <v>162</v>
      </c>
      <c r="E6" s="1" t="str">
        <f t="shared" si="0"/>
        <v>OVALTINE</v>
      </c>
      <c r="F6" s="118">
        <f t="shared" si="1"/>
        <v>27500</v>
      </c>
      <c r="G6" s="10">
        <v>110</v>
      </c>
      <c r="H6" s="25">
        <f t="shared" si="2"/>
        <v>3025000</v>
      </c>
      <c r="I6" s="118">
        <f t="shared" si="3"/>
        <v>5000</v>
      </c>
      <c r="J6" s="25">
        <f t="shared" si="4"/>
        <v>3020000</v>
      </c>
      <c r="K6" s="105" t="str">
        <f t="shared" si="5"/>
        <v>MUG</v>
      </c>
      <c r="L6" s="105" t="str">
        <f t="shared" si="6"/>
        <v>VANILA</v>
      </c>
      <c r="N6" s="35" t="s">
        <v>137</v>
      </c>
      <c r="O6" s="3" t="s">
        <v>209</v>
      </c>
      <c r="P6" s="16" t="s">
        <v>214</v>
      </c>
    </row>
    <row r="7" spans="2:16">
      <c r="B7" s="34">
        <v>4</v>
      </c>
      <c r="C7" s="24" t="s">
        <v>77</v>
      </c>
      <c r="D7" s="18" t="s">
        <v>163</v>
      </c>
      <c r="E7" s="1" t="str">
        <f t="shared" si="0"/>
        <v>HI LO</v>
      </c>
      <c r="F7" s="118">
        <f t="shared" si="1"/>
        <v>39800</v>
      </c>
      <c r="G7" s="10">
        <v>59</v>
      </c>
      <c r="H7" s="25">
        <f t="shared" si="2"/>
        <v>2348200</v>
      </c>
      <c r="I7" s="118">
        <f t="shared" si="3"/>
        <v>3000</v>
      </c>
      <c r="J7" s="25">
        <f t="shared" si="4"/>
        <v>2345200</v>
      </c>
      <c r="K7" s="105" t="str">
        <f t="shared" si="5"/>
        <v>KAOS</v>
      </c>
      <c r="L7" s="105" t="str">
        <f t="shared" si="6"/>
        <v>MANGGA</v>
      </c>
      <c r="N7" s="35" t="s">
        <v>138</v>
      </c>
      <c r="O7" s="3" t="s">
        <v>210</v>
      </c>
      <c r="P7" s="16" t="s">
        <v>217</v>
      </c>
    </row>
    <row r="8" spans="2:16">
      <c r="B8" s="34">
        <v>5</v>
      </c>
      <c r="C8" s="24" t="s">
        <v>78</v>
      </c>
      <c r="D8" s="18" t="s">
        <v>164</v>
      </c>
      <c r="E8" s="1" t="str">
        <f t="shared" si="0"/>
        <v>SUSTAGEN</v>
      </c>
      <c r="F8" s="118">
        <f t="shared" si="1"/>
        <v>52500</v>
      </c>
      <c r="G8" s="10">
        <v>36</v>
      </c>
      <c r="H8" s="25">
        <f t="shared" si="2"/>
        <v>1890000</v>
      </c>
      <c r="I8" s="118">
        <f t="shared" si="3"/>
        <v>4500</v>
      </c>
      <c r="J8" s="25">
        <f t="shared" si="4"/>
        <v>1885500</v>
      </c>
      <c r="K8" s="105" t="str">
        <f t="shared" si="5"/>
        <v>VOUCHER</v>
      </c>
      <c r="L8" s="105" t="str">
        <f t="shared" si="6"/>
        <v>COKLAT</v>
      </c>
      <c r="N8" s="35" t="s">
        <v>139</v>
      </c>
      <c r="O8" s="3" t="s">
        <v>211</v>
      </c>
      <c r="P8" s="16" t="s">
        <v>215</v>
      </c>
    </row>
    <row r="9" spans="2:16">
      <c r="B9" s="34">
        <v>6</v>
      </c>
      <c r="C9" s="24" t="s">
        <v>79</v>
      </c>
      <c r="D9" s="18" t="s">
        <v>165</v>
      </c>
      <c r="E9" s="1" t="str">
        <f t="shared" si="0"/>
        <v>MILO</v>
      </c>
      <c r="F9" s="118">
        <f t="shared" si="1"/>
        <v>35700</v>
      </c>
      <c r="G9" s="10">
        <v>45</v>
      </c>
      <c r="H9" s="25">
        <f t="shared" si="2"/>
        <v>1606500</v>
      </c>
      <c r="I9" s="118">
        <f t="shared" si="3"/>
        <v>3000</v>
      </c>
      <c r="J9" s="25">
        <f t="shared" si="4"/>
        <v>1603500</v>
      </c>
      <c r="K9" s="105" t="str">
        <f t="shared" si="5"/>
        <v>GELAS</v>
      </c>
      <c r="L9" s="105" t="str">
        <f t="shared" si="6"/>
        <v>STROBERI</v>
      </c>
    </row>
    <row r="10" spans="2:16">
      <c r="B10" s="34">
        <v>7</v>
      </c>
      <c r="C10" s="24" t="s">
        <v>80</v>
      </c>
      <c r="D10" s="18" t="s">
        <v>166</v>
      </c>
      <c r="E10" s="1" t="str">
        <f t="shared" si="0"/>
        <v>BENDERA</v>
      </c>
      <c r="F10" s="118">
        <f t="shared" si="1"/>
        <v>25000</v>
      </c>
      <c r="G10" s="10">
        <v>18</v>
      </c>
      <c r="H10" s="25">
        <f t="shared" si="2"/>
        <v>450000</v>
      </c>
      <c r="I10" s="118">
        <f t="shared" si="3"/>
        <v>3500</v>
      </c>
      <c r="J10" s="25">
        <f t="shared" si="4"/>
        <v>446500</v>
      </c>
      <c r="K10" s="105" t="str">
        <f t="shared" si="5"/>
        <v>BONEKA</v>
      </c>
      <c r="L10" s="105" t="str">
        <f t="shared" si="6"/>
        <v>MADU</v>
      </c>
      <c r="N10" s="104" t="s">
        <v>2</v>
      </c>
      <c r="O10" s="96" t="s">
        <v>18</v>
      </c>
      <c r="P10" s="96" t="s">
        <v>13</v>
      </c>
    </row>
    <row r="11" spans="2:16">
      <c r="B11" s="34">
        <v>8</v>
      </c>
      <c r="C11" s="24" t="s">
        <v>81</v>
      </c>
      <c r="D11" s="18" t="s">
        <v>167</v>
      </c>
      <c r="E11" s="1" t="str">
        <f t="shared" si="0"/>
        <v>OVALTINE</v>
      </c>
      <c r="F11" s="118">
        <f t="shared" si="1"/>
        <v>39800</v>
      </c>
      <c r="G11" s="10">
        <v>85</v>
      </c>
      <c r="H11" s="25">
        <f t="shared" si="2"/>
        <v>3383000</v>
      </c>
      <c r="I11" s="118">
        <f t="shared" si="3"/>
        <v>4000</v>
      </c>
      <c r="J11" s="25">
        <f t="shared" si="4"/>
        <v>3379000</v>
      </c>
      <c r="K11" s="105" t="str">
        <f t="shared" si="5"/>
        <v>KAOS</v>
      </c>
      <c r="L11" s="105" t="str">
        <f t="shared" si="6"/>
        <v>VANILA</v>
      </c>
      <c r="N11" s="35" t="s">
        <v>155</v>
      </c>
      <c r="O11" s="3" t="s">
        <v>223</v>
      </c>
      <c r="P11" s="16">
        <v>25000</v>
      </c>
    </row>
    <row r="12" spans="2:16">
      <c r="B12" s="34">
        <v>9</v>
      </c>
      <c r="C12" s="24" t="s">
        <v>82</v>
      </c>
      <c r="D12" s="18" t="s">
        <v>168</v>
      </c>
      <c r="E12" s="1" t="str">
        <f t="shared" si="0"/>
        <v>HI LO</v>
      </c>
      <c r="F12" s="118">
        <f t="shared" si="1"/>
        <v>52500</v>
      </c>
      <c r="G12" s="10">
        <v>108</v>
      </c>
      <c r="H12" s="25">
        <f t="shared" si="2"/>
        <v>5670000</v>
      </c>
      <c r="I12" s="118">
        <f t="shared" si="3"/>
        <v>5000</v>
      </c>
      <c r="J12" s="25">
        <f t="shared" si="4"/>
        <v>5665000</v>
      </c>
      <c r="K12" s="105" t="str">
        <f t="shared" si="5"/>
        <v>VOUCHER</v>
      </c>
      <c r="L12" s="105" t="str">
        <f t="shared" si="6"/>
        <v>MANGGA</v>
      </c>
      <c r="N12" s="35" t="s">
        <v>156</v>
      </c>
      <c r="O12" s="3" t="s">
        <v>221</v>
      </c>
      <c r="P12" s="16">
        <v>27500</v>
      </c>
    </row>
    <row r="13" spans="2:16">
      <c r="B13" s="34">
        <v>10</v>
      </c>
      <c r="C13" s="24" t="s">
        <v>83</v>
      </c>
      <c r="D13" s="18" t="s">
        <v>169</v>
      </c>
      <c r="E13" s="1" t="str">
        <f t="shared" si="0"/>
        <v>SUSTAGEN</v>
      </c>
      <c r="F13" s="118">
        <f t="shared" si="1"/>
        <v>25000</v>
      </c>
      <c r="G13" s="10">
        <v>105</v>
      </c>
      <c r="H13" s="25">
        <f t="shared" si="2"/>
        <v>2625000</v>
      </c>
      <c r="I13" s="118">
        <f t="shared" si="3"/>
        <v>4500</v>
      </c>
      <c r="J13" s="25">
        <f t="shared" si="4"/>
        <v>2620500</v>
      </c>
      <c r="K13" s="105" t="str">
        <f t="shared" si="5"/>
        <v>BONEKA</v>
      </c>
      <c r="L13" s="105" t="str">
        <f t="shared" si="6"/>
        <v>COKLAT</v>
      </c>
      <c r="N13" s="35" t="s">
        <v>157</v>
      </c>
      <c r="O13" s="17" t="s">
        <v>219</v>
      </c>
      <c r="P13" s="16">
        <v>39800</v>
      </c>
    </row>
    <row r="14" spans="2:16">
      <c r="B14" s="34">
        <v>11</v>
      </c>
      <c r="C14" s="24" t="s">
        <v>84</v>
      </c>
      <c r="D14" s="18" t="s">
        <v>170</v>
      </c>
      <c r="E14" s="1" t="str">
        <f t="shared" si="0"/>
        <v>MILO</v>
      </c>
      <c r="F14" s="118">
        <f t="shared" si="1"/>
        <v>27500</v>
      </c>
      <c r="G14" s="10">
        <v>98</v>
      </c>
      <c r="H14" s="25">
        <f t="shared" si="2"/>
        <v>2695000</v>
      </c>
      <c r="I14" s="118">
        <f t="shared" si="3"/>
        <v>4000</v>
      </c>
      <c r="J14" s="25">
        <f t="shared" si="4"/>
        <v>2691000</v>
      </c>
      <c r="K14" s="105" t="str">
        <f t="shared" si="5"/>
        <v>MUG</v>
      </c>
      <c r="L14" s="105" t="str">
        <f t="shared" si="6"/>
        <v>STROBERI</v>
      </c>
      <c r="N14" s="35" t="s">
        <v>158</v>
      </c>
      <c r="O14" s="17" t="s">
        <v>220</v>
      </c>
      <c r="P14" s="16">
        <v>52500</v>
      </c>
    </row>
    <row r="15" spans="2:16">
      <c r="B15" s="34">
        <v>12</v>
      </c>
      <c r="C15" s="24" t="s">
        <v>85</v>
      </c>
      <c r="D15" s="18" t="s">
        <v>171</v>
      </c>
      <c r="E15" s="1" t="str">
        <f t="shared" si="0"/>
        <v>BENDERA</v>
      </c>
      <c r="F15" s="118">
        <f t="shared" si="1"/>
        <v>39800</v>
      </c>
      <c r="G15" s="10">
        <v>88</v>
      </c>
      <c r="H15" s="25">
        <f t="shared" si="2"/>
        <v>3502400</v>
      </c>
      <c r="I15" s="118">
        <f t="shared" si="3"/>
        <v>3000</v>
      </c>
      <c r="J15" s="25">
        <f t="shared" si="4"/>
        <v>3499400</v>
      </c>
      <c r="K15" s="105" t="str">
        <f t="shared" si="5"/>
        <v>KAOS</v>
      </c>
      <c r="L15" s="105" t="str">
        <f t="shared" si="6"/>
        <v>MADU</v>
      </c>
      <c r="N15" s="35" t="s">
        <v>159</v>
      </c>
      <c r="O15" s="3" t="s">
        <v>222</v>
      </c>
      <c r="P15" s="16">
        <v>35700</v>
      </c>
    </row>
    <row r="16" spans="2:16">
      <c r="B16" s="34">
        <v>13</v>
      </c>
      <c r="C16" s="24" t="s">
        <v>86</v>
      </c>
      <c r="D16" s="18" t="s">
        <v>172</v>
      </c>
      <c r="E16" s="1" t="str">
        <f t="shared" si="0"/>
        <v>OVALTINE</v>
      </c>
      <c r="F16" s="118">
        <f t="shared" si="1"/>
        <v>35700</v>
      </c>
      <c r="G16" s="10">
        <v>60</v>
      </c>
      <c r="H16" s="25">
        <f t="shared" si="2"/>
        <v>2142000</v>
      </c>
      <c r="I16" s="118">
        <f t="shared" si="3"/>
        <v>5000</v>
      </c>
      <c r="J16" s="25">
        <f t="shared" si="4"/>
        <v>2137000</v>
      </c>
      <c r="K16" s="105" t="str">
        <f t="shared" si="5"/>
        <v>GELAS</v>
      </c>
      <c r="L16" s="105" t="str">
        <f t="shared" si="6"/>
        <v>VANILA</v>
      </c>
    </row>
    <row r="17" spans="2:15">
      <c r="B17" s="34">
        <v>14</v>
      </c>
      <c r="C17" s="24" t="s">
        <v>87</v>
      </c>
      <c r="D17" s="18" t="s">
        <v>173</v>
      </c>
      <c r="E17" s="1" t="str">
        <f t="shared" si="0"/>
        <v>HI LO</v>
      </c>
      <c r="F17" s="118">
        <f t="shared" si="1"/>
        <v>25000</v>
      </c>
      <c r="G17" s="10">
        <v>70</v>
      </c>
      <c r="H17" s="25">
        <f t="shared" si="2"/>
        <v>1750000</v>
      </c>
      <c r="I17" s="118">
        <f t="shared" si="3"/>
        <v>3500</v>
      </c>
      <c r="J17" s="25">
        <f t="shared" si="4"/>
        <v>1746500</v>
      </c>
      <c r="K17" s="105" t="str">
        <f t="shared" si="5"/>
        <v>BONEKA</v>
      </c>
      <c r="L17" s="105" t="str">
        <f t="shared" si="6"/>
        <v>MANGGA</v>
      </c>
      <c r="N17" s="104" t="s">
        <v>2</v>
      </c>
      <c r="O17" s="104" t="s">
        <v>19</v>
      </c>
    </row>
    <row r="18" spans="2:15">
      <c r="B18" s="34">
        <v>15</v>
      </c>
      <c r="C18" s="24" t="s">
        <v>88</v>
      </c>
      <c r="D18" s="18" t="s">
        <v>174</v>
      </c>
      <c r="E18" s="1" t="str">
        <f t="shared" si="0"/>
        <v>SUSTAGEN</v>
      </c>
      <c r="F18" s="118">
        <f t="shared" si="1"/>
        <v>35700</v>
      </c>
      <c r="G18" s="10">
        <v>63</v>
      </c>
      <c r="H18" s="25">
        <f t="shared" si="2"/>
        <v>2249100</v>
      </c>
      <c r="I18" s="118">
        <f t="shared" si="3"/>
        <v>4000</v>
      </c>
      <c r="J18" s="25">
        <f t="shared" si="4"/>
        <v>2245100</v>
      </c>
      <c r="K18" s="105" t="str">
        <f t="shared" si="5"/>
        <v>GELAS</v>
      </c>
      <c r="L18" s="105" t="str">
        <f t="shared" si="6"/>
        <v>COKLAT</v>
      </c>
      <c r="N18" s="35">
        <v>1</v>
      </c>
      <c r="O18" s="36">
        <v>3000</v>
      </c>
    </row>
    <row r="19" spans="2:15" ht="15" customHeight="1">
      <c r="B19" s="34">
        <v>16</v>
      </c>
      <c r="C19" s="24" t="s">
        <v>89</v>
      </c>
      <c r="D19" s="18" t="s">
        <v>175</v>
      </c>
      <c r="E19" s="1" t="str">
        <f t="shared" si="0"/>
        <v>MILO</v>
      </c>
      <c r="F19" s="118">
        <f t="shared" si="1"/>
        <v>25000</v>
      </c>
      <c r="G19" s="10">
        <v>59</v>
      </c>
      <c r="H19" s="25">
        <f t="shared" si="2"/>
        <v>1475000</v>
      </c>
      <c r="I19" s="118">
        <f t="shared" si="3"/>
        <v>4500</v>
      </c>
      <c r="J19" s="25">
        <f t="shared" si="4"/>
        <v>1470500</v>
      </c>
      <c r="K19" s="105" t="str">
        <f t="shared" si="5"/>
        <v>BONEKA</v>
      </c>
      <c r="L19" s="105" t="str">
        <f t="shared" si="6"/>
        <v>STROBERI</v>
      </c>
      <c r="N19" s="35">
        <v>2</v>
      </c>
      <c r="O19" s="36">
        <v>3500</v>
      </c>
    </row>
    <row r="20" spans="2:15" ht="15" customHeight="1">
      <c r="B20" s="34">
        <v>17</v>
      </c>
      <c r="C20" s="24" t="s">
        <v>90</v>
      </c>
      <c r="D20" s="18" t="s">
        <v>176</v>
      </c>
      <c r="E20" s="1" t="str">
        <f t="shared" si="0"/>
        <v>MILO</v>
      </c>
      <c r="F20" s="118">
        <f t="shared" si="1"/>
        <v>27500</v>
      </c>
      <c r="G20" s="10">
        <v>99</v>
      </c>
      <c r="H20" s="25">
        <f t="shared" si="2"/>
        <v>2722500</v>
      </c>
      <c r="I20" s="118">
        <f t="shared" si="3"/>
        <v>3000</v>
      </c>
      <c r="J20" s="25">
        <f t="shared" si="4"/>
        <v>2719500</v>
      </c>
      <c r="K20" s="105" t="str">
        <f t="shared" si="5"/>
        <v>MUG</v>
      </c>
      <c r="L20" s="105" t="str">
        <f t="shared" si="6"/>
        <v>STROBERI</v>
      </c>
      <c r="N20" s="35">
        <v>3</v>
      </c>
      <c r="O20" s="36">
        <v>4000</v>
      </c>
    </row>
    <row r="21" spans="2:15">
      <c r="B21" s="34">
        <v>18</v>
      </c>
      <c r="C21" s="24" t="s">
        <v>91</v>
      </c>
      <c r="D21" s="18" t="s">
        <v>177</v>
      </c>
      <c r="E21" s="1" t="str">
        <f t="shared" si="0"/>
        <v>BENDERA</v>
      </c>
      <c r="F21" s="118">
        <f t="shared" si="1"/>
        <v>35700</v>
      </c>
      <c r="G21" s="10">
        <v>66</v>
      </c>
      <c r="H21" s="25">
        <f t="shared" si="2"/>
        <v>2356200</v>
      </c>
      <c r="I21" s="118">
        <f t="shared" si="3"/>
        <v>5000</v>
      </c>
      <c r="J21" s="25">
        <f t="shared" si="4"/>
        <v>2351200</v>
      </c>
      <c r="K21" s="105" t="str">
        <f t="shared" si="5"/>
        <v>GELAS</v>
      </c>
      <c r="L21" s="105" t="str">
        <f t="shared" si="6"/>
        <v>MADU</v>
      </c>
      <c r="N21" s="35">
        <v>4</v>
      </c>
      <c r="O21" s="36">
        <v>4500</v>
      </c>
    </row>
    <row r="22" spans="2:15">
      <c r="B22" s="34">
        <v>19</v>
      </c>
      <c r="C22" s="24" t="s">
        <v>92</v>
      </c>
      <c r="D22" s="18" t="s">
        <v>178</v>
      </c>
      <c r="E22" s="1" t="str">
        <f t="shared" si="0"/>
        <v>OVALTINE</v>
      </c>
      <c r="F22" s="118">
        <f t="shared" si="1"/>
        <v>35700</v>
      </c>
      <c r="G22" s="10">
        <v>55</v>
      </c>
      <c r="H22" s="25">
        <f t="shared" si="2"/>
        <v>1963500</v>
      </c>
      <c r="I22" s="118">
        <f t="shared" si="3"/>
        <v>4500</v>
      </c>
      <c r="J22" s="25">
        <f t="shared" si="4"/>
        <v>1959000</v>
      </c>
      <c r="K22" s="105" t="str">
        <f t="shared" si="5"/>
        <v>GELAS</v>
      </c>
      <c r="L22" s="105" t="str">
        <f t="shared" si="6"/>
        <v>VANILA</v>
      </c>
      <c r="N22" s="35">
        <v>5</v>
      </c>
      <c r="O22" s="36">
        <v>5000</v>
      </c>
    </row>
    <row r="23" spans="2:15">
      <c r="B23" s="34">
        <v>20</v>
      </c>
      <c r="C23" s="24" t="s">
        <v>93</v>
      </c>
      <c r="D23" s="18" t="s">
        <v>179</v>
      </c>
      <c r="E23" s="1" t="str">
        <f t="shared" si="0"/>
        <v>HI LO</v>
      </c>
      <c r="F23" s="118">
        <f t="shared" si="1"/>
        <v>39800</v>
      </c>
      <c r="G23" s="10">
        <v>49</v>
      </c>
      <c r="H23" s="25">
        <f t="shared" si="2"/>
        <v>1950200</v>
      </c>
      <c r="I23" s="118">
        <f t="shared" si="3"/>
        <v>3500</v>
      </c>
      <c r="J23" s="25">
        <f t="shared" si="4"/>
        <v>1946700</v>
      </c>
      <c r="K23" s="105" t="str">
        <f t="shared" si="5"/>
        <v>KAOS</v>
      </c>
      <c r="L23" s="105" t="str">
        <f t="shared" si="6"/>
        <v>MANGGA</v>
      </c>
    </row>
    <row r="24" spans="2:15">
      <c r="B24" s="34">
        <v>21</v>
      </c>
      <c r="C24" s="24" t="s">
        <v>94</v>
      </c>
      <c r="D24" s="18" t="s">
        <v>180</v>
      </c>
      <c r="E24" s="1" t="str">
        <f t="shared" si="0"/>
        <v>SUSTAGEN</v>
      </c>
      <c r="F24" s="118">
        <f t="shared" si="1"/>
        <v>52500</v>
      </c>
      <c r="G24" s="10">
        <v>63</v>
      </c>
      <c r="H24" s="25">
        <f t="shared" si="2"/>
        <v>3307500</v>
      </c>
      <c r="I24" s="118">
        <f t="shared" si="3"/>
        <v>4000</v>
      </c>
      <c r="J24" s="25">
        <f t="shared" si="4"/>
        <v>3303500</v>
      </c>
      <c r="K24" s="105" t="str">
        <f t="shared" si="5"/>
        <v>VOUCHER</v>
      </c>
      <c r="L24" s="105" t="str">
        <f t="shared" si="6"/>
        <v>COKLAT</v>
      </c>
    </row>
    <row r="25" spans="2:15">
      <c r="B25" s="34">
        <v>22</v>
      </c>
      <c r="C25" s="24" t="s">
        <v>95</v>
      </c>
      <c r="D25" s="18" t="s">
        <v>181</v>
      </c>
      <c r="E25" s="1" t="str">
        <f t="shared" si="0"/>
        <v>MILO</v>
      </c>
      <c r="F25" s="118">
        <f t="shared" si="1"/>
        <v>35700</v>
      </c>
      <c r="G25" s="10">
        <v>78</v>
      </c>
      <c r="H25" s="25">
        <f t="shared" si="2"/>
        <v>2784600</v>
      </c>
      <c r="I25" s="118">
        <f t="shared" si="3"/>
        <v>5000</v>
      </c>
      <c r="J25" s="25">
        <f t="shared" si="4"/>
        <v>2779600</v>
      </c>
      <c r="K25" s="105" t="str">
        <f t="shared" si="5"/>
        <v>GELAS</v>
      </c>
      <c r="L25" s="105" t="str">
        <f t="shared" si="6"/>
        <v>STROBERI</v>
      </c>
    </row>
    <row r="26" spans="2:15">
      <c r="B26" s="34">
        <v>23</v>
      </c>
      <c r="C26" s="24" t="s">
        <v>96</v>
      </c>
      <c r="D26" s="18" t="s">
        <v>182</v>
      </c>
      <c r="E26" s="1" t="str">
        <f t="shared" si="0"/>
        <v>BENDERA</v>
      </c>
      <c r="F26" s="118">
        <f t="shared" si="1"/>
        <v>25000</v>
      </c>
      <c r="G26" s="10">
        <v>54</v>
      </c>
      <c r="H26" s="25">
        <f t="shared" si="2"/>
        <v>1350000</v>
      </c>
      <c r="I26" s="118">
        <f t="shared" si="3"/>
        <v>3000</v>
      </c>
      <c r="J26" s="25">
        <f t="shared" si="4"/>
        <v>1347000</v>
      </c>
      <c r="K26" s="105" t="str">
        <f t="shared" si="5"/>
        <v>BONEKA</v>
      </c>
      <c r="L26" s="105" t="str">
        <f t="shared" si="6"/>
        <v>MADU</v>
      </c>
    </row>
    <row r="27" spans="2:15">
      <c r="B27" s="34">
        <v>24</v>
      </c>
      <c r="C27" s="24" t="s">
        <v>97</v>
      </c>
      <c r="D27" s="18" t="s">
        <v>169</v>
      </c>
      <c r="E27" s="1" t="str">
        <f t="shared" si="0"/>
        <v>SUSTAGEN</v>
      </c>
      <c r="F27" s="118">
        <f t="shared" si="1"/>
        <v>25000</v>
      </c>
      <c r="G27" s="10">
        <v>78</v>
      </c>
      <c r="H27" s="25">
        <f t="shared" si="2"/>
        <v>1950000</v>
      </c>
      <c r="I27" s="118">
        <f t="shared" si="3"/>
        <v>4500</v>
      </c>
      <c r="J27" s="25">
        <f t="shared" si="4"/>
        <v>1945500</v>
      </c>
      <c r="K27" s="105" t="str">
        <f t="shared" si="5"/>
        <v>BONEKA</v>
      </c>
      <c r="L27" s="105" t="str">
        <f t="shared" si="6"/>
        <v>COKLAT</v>
      </c>
    </row>
    <row r="28" spans="2:15">
      <c r="B28" s="34">
        <v>25</v>
      </c>
      <c r="C28" s="24" t="s">
        <v>98</v>
      </c>
      <c r="D28" s="18" t="s">
        <v>170</v>
      </c>
      <c r="E28" s="1" t="str">
        <f t="shared" si="0"/>
        <v>MILO</v>
      </c>
      <c r="F28" s="118">
        <f t="shared" si="1"/>
        <v>27500</v>
      </c>
      <c r="G28" s="10">
        <v>70</v>
      </c>
      <c r="H28" s="25">
        <f t="shared" si="2"/>
        <v>1925000</v>
      </c>
      <c r="I28" s="118">
        <f t="shared" si="3"/>
        <v>4000</v>
      </c>
      <c r="J28" s="25">
        <f t="shared" si="4"/>
        <v>1921000</v>
      </c>
      <c r="K28" s="105" t="str">
        <f t="shared" si="5"/>
        <v>MUG</v>
      </c>
      <c r="L28" s="105" t="str">
        <f t="shared" si="6"/>
        <v>STROBERI</v>
      </c>
    </row>
    <row r="29" spans="2:15">
      <c r="B29" s="34">
        <v>26</v>
      </c>
      <c r="C29" s="24" t="s">
        <v>99</v>
      </c>
      <c r="D29" s="18" t="s">
        <v>171</v>
      </c>
      <c r="E29" s="1" t="str">
        <f t="shared" si="0"/>
        <v>BENDERA</v>
      </c>
      <c r="F29" s="118">
        <f t="shared" si="1"/>
        <v>39800</v>
      </c>
      <c r="G29" s="10">
        <v>74</v>
      </c>
      <c r="H29" s="25">
        <f t="shared" si="2"/>
        <v>2945200</v>
      </c>
      <c r="I29" s="118">
        <f t="shared" si="3"/>
        <v>3000</v>
      </c>
      <c r="J29" s="25">
        <f t="shared" si="4"/>
        <v>2942200</v>
      </c>
      <c r="K29" s="105" t="str">
        <f t="shared" si="5"/>
        <v>KAOS</v>
      </c>
      <c r="L29" s="105" t="str">
        <f t="shared" si="6"/>
        <v>MADU</v>
      </c>
    </row>
    <row r="30" spans="2:15">
      <c r="B30" s="34">
        <v>27</v>
      </c>
      <c r="C30" s="24" t="s">
        <v>100</v>
      </c>
      <c r="D30" s="18" t="s">
        <v>178</v>
      </c>
      <c r="E30" s="1" t="str">
        <f t="shared" si="0"/>
        <v>OVALTINE</v>
      </c>
      <c r="F30" s="118">
        <f t="shared" si="1"/>
        <v>35700</v>
      </c>
      <c r="G30" s="10">
        <v>65</v>
      </c>
      <c r="H30" s="25">
        <f t="shared" si="2"/>
        <v>2320500</v>
      </c>
      <c r="I30" s="118">
        <f t="shared" si="3"/>
        <v>4500</v>
      </c>
      <c r="J30" s="25">
        <f t="shared" si="4"/>
        <v>2316000</v>
      </c>
      <c r="K30" s="105" t="str">
        <f t="shared" si="5"/>
        <v>GELAS</v>
      </c>
      <c r="L30" s="105" t="str">
        <f t="shared" si="6"/>
        <v>VANILA</v>
      </c>
    </row>
    <row r="31" spans="2:15">
      <c r="B31" s="34">
        <v>28</v>
      </c>
      <c r="C31" s="24" t="s">
        <v>101</v>
      </c>
      <c r="D31" s="18" t="s">
        <v>173</v>
      </c>
      <c r="E31" s="1" t="str">
        <f t="shared" si="0"/>
        <v>HI LO</v>
      </c>
      <c r="F31" s="118">
        <f t="shared" si="1"/>
        <v>25000</v>
      </c>
      <c r="G31" s="10">
        <v>63</v>
      </c>
      <c r="H31" s="25">
        <f t="shared" si="2"/>
        <v>1575000</v>
      </c>
      <c r="I31" s="118">
        <f t="shared" si="3"/>
        <v>3500</v>
      </c>
      <c r="J31" s="25">
        <f t="shared" si="4"/>
        <v>1571500</v>
      </c>
      <c r="K31" s="105" t="str">
        <f t="shared" si="5"/>
        <v>BONEKA</v>
      </c>
      <c r="L31" s="105" t="str">
        <f t="shared" si="6"/>
        <v>MANGGA</v>
      </c>
    </row>
    <row r="32" spans="2:15">
      <c r="B32" s="34">
        <v>29</v>
      </c>
      <c r="C32" s="24" t="s">
        <v>102</v>
      </c>
      <c r="D32" s="18" t="s">
        <v>174</v>
      </c>
      <c r="E32" s="1" t="str">
        <f t="shared" si="0"/>
        <v>SUSTAGEN</v>
      </c>
      <c r="F32" s="118">
        <f t="shared" si="1"/>
        <v>35700</v>
      </c>
      <c r="G32" s="10">
        <v>78</v>
      </c>
      <c r="H32" s="25">
        <f t="shared" si="2"/>
        <v>2784600</v>
      </c>
      <c r="I32" s="118">
        <f t="shared" si="3"/>
        <v>4000</v>
      </c>
      <c r="J32" s="25">
        <f t="shared" si="4"/>
        <v>2780600</v>
      </c>
      <c r="K32" s="105" t="str">
        <f t="shared" si="5"/>
        <v>GELAS</v>
      </c>
      <c r="L32" s="105" t="str">
        <f t="shared" si="6"/>
        <v>COKLAT</v>
      </c>
    </row>
    <row r="33" spans="2:12">
      <c r="B33" s="34">
        <v>30</v>
      </c>
      <c r="C33" s="24" t="s">
        <v>103</v>
      </c>
      <c r="D33" s="18" t="s">
        <v>175</v>
      </c>
      <c r="E33" s="1" t="str">
        <f t="shared" si="0"/>
        <v>MILO</v>
      </c>
      <c r="F33" s="118">
        <f t="shared" si="1"/>
        <v>25000</v>
      </c>
      <c r="G33" s="10">
        <v>64</v>
      </c>
      <c r="H33" s="25">
        <f t="shared" si="2"/>
        <v>1600000</v>
      </c>
      <c r="I33" s="118">
        <f t="shared" si="3"/>
        <v>4500</v>
      </c>
      <c r="J33" s="25">
        <f t="shared" si="4"/>
        <v>1595500</v>
      </c>
      <c r="K33" s="105" t="str">
        <f t="shared" si="5"/>
        <v>BONEKA</v>
      </c>
      <c r="L33" s="105" t="str">
        <f t="shared" si="6"/>
        <v>STROBERI</v>
      </c>
    </row>
    <row r="34" spans="2:12">
      <c r="B34" s="34">
        <v>31</v>
      </c>
      <c r="C34" s="24" t="s">
        <v>128</v>
      </c>
      <c r="D34" s="18" t="s">
        <v>231</v>
      </c>
      <c r="E34" s="1" t="str">
        <f t="shared" si="0"/>
        <v>OVALTINE</v>
      </c>
      <c r="F34" s="118">
        <f t="shared" si="1"/>
        <v>27500</v>
      </c>
      <c r="G34" s="10">
        <v>96</v>
      </c>
      <c r="H34" s="25">
        <f t="shared" si="2"/>
        <v>2640000</v>
      </c>
      <c r="I34" s="118">
        <f t="shared" si="3"/>
        <v>3000</v>
      </c>
      <c r="J34" s="25">
        <f t="shared" si="4"/>
        <v>2637000</v>
      </c>
      <c r="K34" s="105" t="str">
        <f t="shared" si="5"/>
        <v>MUG</v>
      </c>
      <c r="L34" s="105" t="str">
        <f t="shared" si="6"/>
        <v>VANILA</v>
      </c>
    </row>
    <row r="35" spans="2:12">
      <c r="B35" s="34">
        <v>32</v>
      </c>
      <c r="C35" s="24" t="s">
        <v>129</v>
      </c>
      <c r="D35" s="18" t="s">
        <v>230</v>
      </c>
      <c r="E35" s="1" t="str">
        <f t="shared" si="0"/>
        <v>SUSTAGEN</v>
      </c>
      <c r="F35" s="118">
        <f t="shared" si="1"/>
        <v>35700</v>
      </c>
      <c r="G35" s="10">
        <v>54</v>
      </c>
      <c r="H35" s="25">
        <f t="shared" si="2"/>
        <v>1927800</v>
      </c>
      <c r="I35" s="118">
        <f t="shared" si="3"/>
        <v>5000</v>
      </c>
      <c r="J35" s="25">
        <f t="shared" si="4"/>
        <v>1922800</v>
      </c>
      <c r="K35" s="105" t="str">
        <f t="shared" si="5"/>
        <v>GELAS</v>
      </c>
      <c r="L35" s="105" t="str">
        <f t="shared" si="6"/>
        <v>COKLAT</v>
      </c>
    </row>
    <row r="36" spans="2:12">
      <c r="B36" s="34">
        <v>33</v>
      </c>
      <c r="C36" s="24" t="s">
        <v>130</v>
      </c>
      <c r="D36" s="18" t="s">
        <v>178</v>
      </c>
      <c r="E36" s="1" t="str">
        <f t="shared" si="0"/>
        <v>OVALTINE</v>
      </c>
      <c r="F36" s="118">
        <f t="shared" si="1"/>
        <v>35700</v>
      </c>
      <c r="G36" s="10">
        <v>65</v>
      </c>
      <c r="H36" s="25">
        <f t="shared" si="2"/>
        <v>2320500</v>
      </c>
      <c r="I36" s="118">
        <f t="shared" si="3"/>
        <v>4500</v>
      </c>
      <c r="J36" s="25">
        <f t="shared" si="4"/>
        <v>2316000</v>
      </c>
      <c r="K36" s="105" t="str">
        <f t="shared" si="5"/>
        <v>GELAS</v>
      </c>
      <c r="L36" s="105" t="str">
        <f t="shared" si="6"/>
        <v>VANILA</v>
      </c>
    </row>
    <row r="37" spans="2:12">
      <c r="B37" s="34">
        <v>34</v>
      </c>
      <c r="C37" s="24" t="s">
        <v>131</v>
      </c>
      <c r="D37" s="18" t="s">
        <v>179</v>
      </c>
      <c r="E37" s="1" t="str">
        <f t="shared" si="0"/>
        <v>HI LO</v>
      </c>
      <c r="F37" s="118">
        <f t="shared" si="1"/>
        <v>39800</v>
      </c>
      <c r="G37" s="10">
        <v>69</v>
      </c>
      <c r="H37" s="25">
        <f t="shared" si="2"/>
        <v>2746200</v>
      </c>
      <c r="I37" s="118">
        <f t="shared" si="3"/>
        <v>3500</v>
      </c>
      <c r="J37" s="25">
        <f t="shared" si="4"/>
        <v>2742700</v>
      </c>
      <c r="K37" s="105" t="str">
        <f t="shared" si="5"/>
        <v>KAOS</v>
      </c>
      <c r="L37" s="105" t="str">
        <f t="shared" si="6"/>
        <v>MANGGA</v>
      </c>
    </row>
    <row r="38" spans="2:12">
      <c r="B38" s="34">
        <v>35</v>
      </c>
      <c r="C38" s="24" t="s">
        <v>132</v>
      </c>
      <c r="D38" s="18" t="s">
        <v>180</v>
      </c>
      <c r="E38" s="1" t="str">
        <f t="shared" si="0"/>
        <v>SUSTAGEN</v>
      </c>
      <c r="F38" s="118">
        <f t="shared" si="1"/>
        <v>52500</v>
      </c>
      <c r="G38" s="10">
        <v>82</v>
      </c>
      <c r="H38" s="25">
        <f t="shared" si="2"/>
        <v>4305000</v>
      </c>
      <c r="I38" s="118">
        <f t="shared" si="3"/>
        <v>4000</v>
      </c>
      <c r="J38" s="25">
        <f t="shared" si="4"/>
        <v>4301000</v>
      </c>
      <c r="K38" s="105" t="str">
        <f t="shared" si="5"/>
        <v>VOUCHER</v>
      </c>
      <c r="L38" s="105" t="str">
        <f t="shared" si="6"/>
        <v>COKLAT</v>
      </c>
    </row>
    <row r="39" spans="2:12">
      <c r="B39" s="34">
        <v>36</v>
      </c>
      <c r="C39" s="24" t="s">
        <v>133</v>
      </c>
      <c r="D39" s="18" t="s">
        <v>228</v>
      </c>
      <c r="E39" s="1" t="str">
        <f t="shared" si="0"/>
        <v>MILO</v>
      </c>
      <c r="F39" s="118">
        <f t="shared" si="1"/>
        <v>35700</v>
      </c>
      <c r="G39" s="10">
        <v>97</v>
      </c>
      <c r="H39" s="25">
        <f t="shared" si="2"/>
        <v>3462900</v>
      </c>
      <c r="I39" s="118">
        <f t="shared" si="3"/>
        <v>3500</v>
      </c>
      <c r="J39" s="25">
        <f t="shared" si="4"/>
        <v>3459400</v>
      </c>
      <c r="K39" s="105" t="str">
        <f t="shared" si="5"/>
        <v>GELAS</v>
      </c>
      <c r="L39" s="105" t="str">
        <f t="shared" si="6"/>
        <v>STROBERI</v>
      </c>
    </row>
    <row r="40" spans="2:12">
      <c r="B40" s="34">
        <v>37</v>
      </c>
      <c r="C40" s="24" t="s">
        <v>134</v>
      </c>
      <c r="D40" s="18" t="s">
        <v>182</v>
      </c>
      <c r="E40" s="1" t="str">
        <f t="shared" si="0"/>
        <v>BENDERA</v>
      </c>
      <c r="F40" s="118">
        <f t="shared" si="1"/>
        <v>25000</v>
      </c>
      <c r="G40" s="10">
        <v>49</v>
      </c>
      <c r="H40" s="25">
        <f t="shared" si="2"/>
        <v>1225000</v>
      </c>
      <c r="I40" s="118">
        <f t="shared" si="3"/>
        <v>3000</v>
      </c>
      <c r="J40" s="25">
        <f t="shared" si="4"/>
        <v>1222000</v>
      </c>
      <c r="K40" s="105" t="str">
        <f t="shared" si="5"/>
        <v>BONEKA</v>
      </c>
      <c r="L40" s="105" t="str">
        <f t="shared" si="6"/>
        <v>MADU</v>
      </c>
    </row>
    <row r="41" spans="2:12">
      <c r="B41" s="34">
        <v>38</v>
      </c>
      <c r="C41" s="24" t="s">
        <v>226</v>
      </c>
      <c r="D41" s="18" t="s">
        <v>169</v>
      </c>
      <c r="E41" s="1" t="str">
        <f t="shared" si="0"/>
        <v>SUSTAGEN</v>
      </c>
      <c r="F41" s="118">
        <f t="shared" si="1"/>
        <v>25000</v>
      </c>
      <c r="G41" s="10">
        <v>60</v>
      </c>
      <c r="H41" s="25">
        <f t="shared" si="2"/>
        <v>1500000</v>
      </c>
      <c r="I41" s="118">
        <f t="shared" si="3"/>
        <v>4500</v>
      </c>
      <c r="J41" s="25">
        <f t="shared" si="4"/>
        <v>1495500</v>
      </c>
      <c r="K41" s="105" t="str">
        <f t="shared" si="5"/>
        <v>BONEKA</v>
      </c>
      <c r="L41" s="105" t="str">
        <f t="shared" si="6"/>
        <v>COKLAT</v>
      </c>
    </row>
    <row r="42" spans="2:12">
      <c r="B42" s="34">
        <v>39</v>
      </c>
      <c r="C42" s="24" t="s">
        <v>227</v>
      </c>
      <c r="D42" s="18" t="s">
        <v>229</v>
      </c>
      <c r="E42" s="1" t="str">
        <f t="shared" si="0"/>
        <v>BENDERA</v>
      </c>
      <c r="F42" s="118">
        <f t="shared" si="1"/>
        <v>35700</v>
      </c>
      <c r="G42" s="10">
        <v>88</v>
      </c>
      <c r="H42" s="25">
        <f t="shared" si="2"/>
        <v>3141600</v>
      </c>
      <c r="I42" s="118">
        <f t="shared" si="3"/>
        <v>4000</v>
      </c>
      <c r="J42" s="25">
        <f t="shared" si="4"/>
        <v>3137600</v>
      </c>
      <c r="K42" s="105" t="str">
        <f t="shared" si="5"/>
        <v>GELAS</v>
      </c>
      <c r="L42" s="105" t="str">
        <f t="shared" si="6"/>
        <v>MADU</v>
      </c>
    </row>
    <row r="43" spans="2:12">
      <c r="B43" s="142" t="s">
        <v>15</v>
      </c>
      <c r="C43" s="143"/>
      <c r="D43" s="143"/>
      <c r="E43" s="143"/>
      <c r="F43" s="144"/>
      <c r="G43" s="119">
        <f t="shared" ref="G43:J43" si="7">SUM(G4:G42)</f>
        <v>2699</v>
      </c>
      <c r="H43" s="119">
        <f t="shared" si="7"/>
        <v>92965000</v>
      </c>
      <c r="I43" s="119">
        <f t="shared" si="7"/>
        <v>155000</v>
      </c>
      <c r="J43" s="119">
        <f t="shared" si="7"/>
        <v>92810000</v>
      </c>
      <c r="K43" s="106"/>
      <c r="L43" s="106"/>
    </row>
    <row r="44" spans="2:12">
      <c r="H44" s="107"/>
      <c r="I44" s="107"/>
      <c r="J44" s="107"/>
      <c r="K44" s="107"/>
      <c r="L44" s="107"/>
    </row>
  </sheetData>
  <mergeCells count="1">
    <mergeCell ref="B43:F4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J38"/>
  <sheetViews>
    <sheetView zoomScale="115" zoomScaleNormal="115" workbookViewId="0">
      <selection activeCell="J4" sqref="J4"/>
    </sheetView>
  </sheetViews>
  <sheetFormatPr defaultRowHeight="15"/>
  <cols>
    <col min="2" max="2" width="7.28515625" style="94" customWidth="1"/>
    <col min="3" max="3" width="16.42578125" customWidth="1"/>
    <col min="4" max="4" width="17.7109375" customWidth="1"/>
    <col min="5" max="5" width="15.7109375" customWidth="1"/>
    <col min="6" max="7" width="17.85546875" customWidth="1"/>
    <col min="8" max="8" width="13.42578125" customWidth="1"/>
    <col min="9" max="9" width="17.7109375" customWidth="1"/>
    <col min="10" max="10" width="10" customWidth="1"/>
  </cols>
  <sheetData>
    <row r="1" spans="2:10" ht="21">
      <c r="B1" s="145" t="s">
        <v>26</v>
      </c>
      <c r="C1" s="145"/>
      <c r="D1" s="145"/>
      <c r="E1" s="145"/>
      <c r="F1" s="145"/>
      <c r="G1" s="145"/>
      <c r="H1" s="145"/>
      <c r="I1" s="41"/>
      <c r="J1" s="41"/>
    </row>
    <row r="2" spans="2:10" ht="21">
      <c r="B2" s="145" t="s">
        <v>73</v>
      </c>
      <c r="C2" s="145"/>
      <c r="D2" s="145"/>
      <c r="E2" s="145"/>
      <c r="F2" s="145"/>
      <c r="G2" s="145"/>
      <c r="H2" s="145"/>
      <c r="I2" s="41"/>
      <c r="J2" s="41"/>
    </row>
    <row r="4" spans="2:10">
      <c r="B4" s="96" t="s">
        <v>27</v>
      </c>
      <c r="C4" s="96" t="s">
        <v>28</v>
      </c>
      <c r="D4" s="96" t="s">
        <v>29</v>
      </c>
      <c r="E4" s="96" t="s">
        <v>30</v>
      </c>
      <c r="F4" s="96" t="s">
        <v>68</v>
      </c>
      <c r="G4" s="96" t="s">
        <v>31</v>
      </c>
      <c r="H4" s="96" t="s">
        <v>32</v>
      </c>
      <c r="I4" s="96" t="s">
        <v>33</v>
      </c>
    </row>
    <row r="5" spans="2:10">
      <c r="B5" s="10">
        <v>1</v>
      </c>
      <c r="C5" s="24" t="s">
        <v>74</v>
      </c>
      <c r="D5" s="3" t="s">
        <v>207</v>
      </c>
      <c r="E5" s="16">
        <v>25000</v>
      </c>
      <c r="F5" s="1">
        <v>49</v>
      </c>
      <c r="G5" s="25">
        <f>E5*F5</f>
        <v>1225000</v>
      </c>
      <c r="H5" s="25">
        <f>IF(D5="milo",14.8%,0)*G5</f>
        <v>181300.00000000003</v>
      </c>
      <c r="I5" s="25">
        <f>G5-H5</f>
        <v>1043700</v>
      </c>
    </row>
    <row r="6" spans="2:10">
      <c r="B6" s="10">
        <v>2</v>
      </c>
      <c r="C6" s="24" t="s">
        <v>75</v>
      </c>
      <c r="D6" s="3" t="s">
        <v>208</v>
      </c>
      <c r="E6" s="16">
        <v>27500</v>
      </c>
      <c r="F6" s="1">
        <v>73</v>
      </c>
      <c r="G6" s="25">
        <f t="shared" ref="G6:G33" si="0">E6*F6</f>
        <v>2007500</v>
      </c>
      <c r="H6" s="25">
        <f t="shared" ref="H6:H33" si="1">IF(D6="milo",14.8%,0)*G6</f>
        <v>0</v>
      </c>
      <c r="I6" s="25">
        <f t="shared" ref="I6:I33" si="2">G6-H6</f>
        <v>2007500</v>
      </c>
    </row>
    <row r="7" spans="2:10">
      <c r="B7" s="10">
        <v>3</v>
      </c>
      <c r="C7" s="24" t="s">
        <v>76</v>
      </c>
      <c r="D7" s="3" t="s">
        <v>209</v>
      </c>
      <c r="E7" s="16">
        <v>39800</v>
      </c>
      <c r="F7" s="1">
        <v>80</v>
      </c>
      <c r="G7" s="25">
        <f t="shared" si="0"/>
        <v>3184000</v>
      </c>
      <c r="H7" s="25">
        <f t="shared" si="1"/>
        <v>0</v>
      </c>
      <c r="I7" s="25">
        <f t="shared" si="2"/>
        <v>3184000</v>
      </c>
    </row>
    <row r="8" spans="2:10">
      <c r="B8" s="10">
        <v>4</v>
      </c>
      <c r="C8" s="24" t="s">
        <v>77</v>
      </c>
      <c r="D8" s="3" t="s">
        <v>210</v>
      </c>
      <c r="E8" s="16">
        <v>52500</v>
      </c>
      <c r="F8" s="1">
        <v>96</v>
      </c>
      <c r="G8" s="25">
        <f t="shared" si="0"/>
        <v>5040000</v>
      </c>
      <c r="H8" s="25">
        <f t="shared" si="1"/>
        <v>0</v>
      </c>
      <c r="I8" s="25">
        <f t="shared" si="2"/>
        <v>5040000</v>
      </c>
    </row>
    <row r="9" spans="2:10">
      <c r="B9" s="10">
        <v>5</v>
      </c>
      <c r="C9" s="24" t="s">
        <v>78</v>
      </c>
      <c r="D9" s="3" t="s">
        <v>211</v>
      </c>
      <c r="E9" s="16">
        <v>35700</v>
      </c>
      <c r="F9" s="1">
        <v>65</v>
      </c>
      <c r="G9" s="25">
        <f t="shared" si="0"/>
        <v>2320500</v>
      </c>
      <c r="H9" s="25">
        <f t="shared" si="1"/>
        <v>0</v>
      </c>
      <c r="I9" s="25">
        <f t="shared" si="2"/>
        <v>2320500</v>
      </c>
    </row>
    <row r="10" spans="2:10">
      <c r="B10" s="10">
        <v>6</v>
      </c>
      <c r="C10" s="24" t="s">
        <v>79</v>
      </c>
      <c r="D10" s="3" t="s">
        <v>207</v>
      </c>
      <c r="E10" s="16">
        <v>25000</v>
      </c>
      <c r="F10" s="1">
        <v>40</v>
      </c>
      <c r="G10" s="25">
        <f t="shared" si="0"/>
        <v>1000000</v>
      </c>
      <c r="H10" s="25">
        <f t="shared" si="1"/>
        <v>148000.00000000003</v>
      </c>
      <c r="I10" s="25">
        <f t="shared" si="2"/>
        <v>852000</v>
      </c>
    </row>
    <row r="11" spans="2:10">
      <c r="B11" s="10">
        <v>7</v>
      </c>
      <c r="C11" s="24" t="s">
        <v>80</v>
      </c>
      <c r="D11" s="3" t="s">
        <v>208</v>
      </c>
      <c r="E11" s="16">
        <v>27500</v>
      </c>
      <c r="F11" s="1">
        <v>47</v>
      </c>
      <c r="G11" s="25">
        <f t="shared" si="0"/>
        <v>1292500</v>
      </c>
      <c r="H11" s="25">
        <f t="shared" si="1"/>
        <v>0</v>
      </c>
      <c r="I11" s="25">
        <f t="shared" si="2"/>
        <v>1292500</v>
      </c>
    </row>
    <row r="12" spans="2:10">
      <c r="B12" s="10">
        <v>8</v>
      </c>
      <c r="C12" s="24" t="s">
        <v>81</v>
      </c>
      <c r="D12" s="3" t="s">
        <v>209</v>
      </c>
      <c r="E12" s="16">
        <v>39800</v>
      </c>
      <c r="F12" s="1">
        <v>83</v>
      </c>
      <c r="G12" s="25">
        <f t="shared" si="0"/>
        <v>3303400</v>
      </c>
      <c r="H12" s="25">
        <f t="shared" si="1"/>
        <v>0</v>
      </c>
      <c r="I12" s="25">
        <f t="shared" si="2"/>
        <v>3303400</v>
      </c>
    </row>
    <row r="13" spans="2:10">
      <c r="B13" s="10">
        <v>9</v>
      </c>
      <c r="C13" s="24" t="s">
        <v>82</v>
      </c>
      <c r="D13" s="3" t="s">
        <v>210</v>
      </c>
      <c r="E13" s="16">
        <v>52500</v>
      </c>
      <c r="F13" s="1">
        <v>81</v>
      </c>
      <c r="G13" s="25">
        <f t="shared" si="0"/>
        <v>4252500</v>
      </c>
      <c r="H13" s="25">
        <f t="shared" si="1"/>
        <v>0</v>
      </c>
      <c r="I13" s="25">
        <f t="shared" si="2"/>
        <v>4252500</v>
      </c>
    </row>
    <row r="14" spans="2:10">
      <c r="B14" s="10">
        <v>10</v>
      </c>
      <c r="C14" s="24" t="s">
        <v>83</v>
      </c>
      <c r="D14" s="3" t="s">
        <v>211</v>
      </c>
      <c r="E14" s="16">
        <v>35700</v>
      </c>
      <c r="F14" s="1">
        <v>32</v>
      </c>
      <c r="G14" s="25">
        <f t="shared" si="0"/>
        <v>1142400</v>
      </c>
      <c r="H14" s="25">
        <f t="shared" si="1"/>
        <v>0</v>
      </c>
      <c r="I14" s="25">
        <f t="shared" si="2"/>
        <v>1142400</v>
      </c>
    </row>
    <row r="15" spans="2:10">
      <c r="B15" s="10">
        <v>11</v>
      </c>
      <c r="C15" s="24" t="s">
        <v>84</v>
      </c>
      <c r="D15" s="3" t="s">
        <v>207</v>
      </c>
      <c r="E15" s="16">
        <v>25000</v>
      </c>
      <c r="F15" s="1">
        <v>34</v>
      </c>
      <c r="G15" s="25">
        <f t="shared" si="0"/>
        <v>850000</v>
      </c>
      <c r="H15" s="25">
        <f t="shared" si="1"/>
        <v>125800.00000000001</v>
      </c>
      <c r="I15" s="25">
        <f t="shared" si="2"/>
        <v>724200</v>
      </c>
    </row>
    <row r="16" spans="2:10">
      <c r="B16" s="10">
        <v>12</v>
      </c>
      <c r="C16" s="24" t="s">
        <v>85</v>
      </c>
      <c r="D16" s="3" t="s">
        <v>208</v>
      </c>
      <c r="E16" s="16">
        <v>27500</v>
      </c>
      <c r="F16" s="1">
        <v>26</v>
      </c>
      <c r="G16" s="25">
        <f t="shared" si="0"/>
        <v>715000</v>
      </c>
      <c r="H16" s="25">
        <f t="shared" si="1"/>
        <v>0</v>
      </c>
      <c r="I16" s="25">
        <f t="shared" si="2"/>
        <v>715000</v>
      </c>
    </row>
    <row r="17" spans="2:9">
      <c r="B17" s="10">
        <v>13</v>
      </c>
      <c r="C17" s="24" t="s">
        <v>86</v>
      </c>
      <c r="D17" s="3" t="s">
        <v>207</v>
      </c>
      <c r="E17" s="16">
        <v>39800</v>
      </c>
      <c r="F17" s="1">
        <v>70</v>
      </c>
      <c r="G17" s="25">
        <f t="shared" si="0"/>
        <v>2786000</v>
      </c>
      <c r="H17" s="25">
        <f t="shared" si="1"/>
        <v>412328.00000000006</v>
      </c>
      <c r="I17" s="25">
        <f t="shared" si="2"/>
        <v>2373672</v>
      </c>
    </row>
    <row r="18" spans="2:9">
      <c r="B18" s="10">
        <v>14</v>
      </c>
      <c r="C18" s="24" t="s">
        <v>87</v>
      </c>
      <c r="D18" s="3" t="s">
        <v>210</v>
      </c>
      <c r="E18" s="16">
        <v>52500</v>
      </c>
      <c r="F18" s="1">
        <v>68</v>
      </c>
      <c r="G18" s="25">
        <f t="shared" si="0"/>
        <v>3570000</v>
      </c>
      <c r="H18" s="25">
        <f t="shared" si="1"/>
        <v>0</v>
      </c>
      <c r="I18" s="25">
        <f t="shared" si="2"/>
        <v>3570000</v>
      </c>
    </row>
    <row r="19" spans="2:9">
      <c r="B19" s="10">
        <v>15</v>
      </c>
      <c r="C19" s="24" t="s">
        <v>88</v>
      </c>
      <c r="D19" s="3" t="s">
        <v>211</v>
      </c>
      <c r="E19" s="16">
        <v>35700</v>
      </c>
      <c r="F19" s="1">
        <v>68</v>
      </c>
      <c r="G19" s="25">
        <f t="shared" si="0"/>
        <v>2427600</v>
      </c>
      <c r="H19" s="25">
        <f t="shared" si="1"/>
        <v>0</v>
      </c>
      <c r="I19" s="25">
        <f t="shared" si="2"/>
        <v>2427600</v>
      </c>
    </row>
    <row r="20" spans="2:9">
      <c r="B20" s="10">
        <v>16</v>
      </c>
      <c r="C20" s="24" t="s">
        <v>89</v>
      </c>
      <c r="D20" s="3" t="s">
        <v>207</v>
      </c>
      <c r="E20" s="16">
        <v>25000</v>
      </c>
      <c r="F20" s="1">
        <v>25</v>
      </c>
      <c r="G20" s="25">
        <f t="shared" si="0"/>
        <v>625000</v>
      </c>
      <c r="H20" s="25">
        <f t="shared" si="1"/>
        <v>92500.000000000015</v>
      </c>
      <c r="I20" s="25">
        <f t="shared" si="2"/>
        <v>532500</v>
      </c>
    </row>
    <row r="21" spans="2:9" ht="16.5" customHeight="1">
      <c r="B21" s="10">
        <v>17</v>
      </c>
      <c r="C21" s="24" t="s">
        <v>90</v>
      </c>
      <c r="D21" s="3" t="s">
        <v>208</v>
      </c>
      <c r="E21" s="16">
        <v>27500</v>
      </c>
      <c r="F21" s="1">
        <v>80</v>
      </c>
      <c r="G21" s="25">
        <f t="shared" si="0"/>
        <v>2200000</v>
      </c>
      <c r="H21" s="25">
        <f t="shared" si="1"/>
        <v>0</v>
      </c>
      <c r="I21" s="25">
        <f t="shared" si="2"/>
        <v>2200000</v>
      </c>
    </row>
    <row r="22" spans="2:9">
      <c r="B22" s="10">
        <v>18</v>
      </c>
      <c r="C22" s="24" t="s">
        <v>91</v>
      </c>
      <c r="D22" s="3" t="s">
        <v>209</v>
      </c>
      <c r="E22" s="16">
        <v>39800</v>
      </c>
      <c r="F22" s="1">
        <v>25</v>
      </c>
      <c r="G22" s="25">
        <f t="shared" si="0"/>
        <v>995000</v>
      </c>
      <c r="H22" s="25">
        <f t="shared" si="1"/>
        <v>0</v>
      </c>
      <c r="I22" s="25">
        <f t="shared" si="2"/>
        <v>995000</v>
      </c>
    </row>
    <row r="23" spans="2:9">
      <c r="B23" s="10">
        <v>19</v>
      </c>
      <c r="C23" s="24" t="s">
        <v>92</v>
      </c>
      <c r="D23" s="3" t="s">
        <v>210</v>
      </c>
      <c r="E23" s="16">
        <v>52500</v>
      </c>
      <c r="F23" s="1">
        <v>89</v>
      </c>
      <c r="G23" s="25">
        <f t="shared" si="0"/>
        <v>4672500</v>
      </c>
      <c r="H23" s="25">
        <f t="shared" si="1"/>
        <v>0</v>
      </c>
      <c r="I23" s="25">
        <f t="shared" si="2"/>
        <v>4672500</v>
      </c>
    </row>
    <row r="24" spans="2:9">
      <c r="B24" s="10">
        <v>20</v>
      </c>
      <c r="C24" s="24" t="s">
        <v>93</v>
      </c>
      <c r="D24" s="3" t="s">
        <v>211</v>
      </c>
      <c r="E24" s="16">
        <v>35700</v>
      </c>
      <c r="F24" s="1">
        <v>74</v>
      </c>
      <c r="G24" s="25">
        <f t="shared" si="0"/>
        <v>2641800</v>
      </c>
      <c r="H24" s="25">
        <f t="shared" si="1"/>
        <v>0</v>
      </c>
      <c r="I24" s="25">
        <f t="shared" si="2"/>
        <v>2641800</v>
      </c>
    </row>
    <row r="25" spans="2:9">
      <c r="B25" s="10">
        <v>21</v>
      </c>
      <c r="C25" s="24" t="s">
        <v>94</v>
      </c>
      <c r="D25" s="3" t="s">
        <v>207</v>
      </c>
      <c r="E25" s="16">
        <v>25000</v>
      </c>
      <c r="F25" s="1">
        <v>94</v>
      </c>
      <c r="G25" s="25">
        <f t="shared" si="0"/>
        <v>2350000</v>
      </c>
      <c r="H25" s="25">
        <f t="shared" si="1"/>
        <v>347800.00000000006</v>
      </c>
      <c r="I25" s="25">
        <f t="shared" si="2"/>
        <v>2002200</v>
      </c>
    </row>
    <row r="26" spans="2:9">
      <c r="B26" s="10">
        <v>22</v>
      </c>
      <c r="C26" s="24" t="s">
        <v>95</v>
      </c>
      <c r="D26" s="3" t="s">
        <v>208</v>
      </c>
      <c r="E26" s="16">
        <v>27500</v>
      </c>
      <c r="F26" s="1">
        <v>30</v>
      </c>
      <c r="G26" s="25">
        <f t="shared" si="0"/>
        <v>825000</v>
      </c>
      <c r="H26" s="25">
        <f t="shared" si="1"/>
        <v>0</v>
      </c>
      <c r="I26" s="25">
        <f t="shared" si="2"/>
        <v>825000</v>
      </c>
    </row>
    <row r="27" spans="2:9">
      <c r="B27" s="10">
        <v>23</v>
      </c>
      <c r="C27" s="24" t="s">
        <v>96</v>
      </c>
      <c r="D27" s="3" t="s">
        <v>209</v>
      </c>
      <c r="E27" s="16">
        <v>39800</v>
      </c>
      <c r="F27" s="1">
        <v>84</v>
      </c>
      <c r="G27" s="25">
        <f t="shared" si="0"/>
        <v>3343200</v>
      </c>
      <c r="H27" s="25">
        <f t="shared" si="1"/>
        <v>0</v>
      </c>
      <c r="I27" s="25">
        <f t="shared" si="2"/>
        <v>3343200</v>
      </c>
    </row>
    <row r="28" spans="2:9">
      <c r="B28" s="10">
        <v>24</v>
      </c>
      <c r="C28" s="24" t="s">
        <v>97</v>
      </c>
      <c r="D28" s="3" t="s">
        <v>210</v>
      </c>
      <c r="E28" s="16">
        <v>52500</v>
      </c>
      <c r="F28" s="1">
        <v>28</v>
      </c>
      <c r="G28" s="25">
        <f t="shared" si="0"/>
        <v>1470000</v>
      </c>
      <c r="H28" s="25">
        <f t="shared" si="1"/>
        <v>0</v>
      </c>
      <c r="I28" s="25">
        <f t="shared" si="2"/>
        <v>1470000</v>
      </c>
    </row>
    <row r="29" spans="2:9">
      <c r="B29" s="10">
        <v>25</v>
      </c>
      <c r="C29" s="24" t="s">
        <v>98</v>
      </c>
      <c r="D29" s="3" t="s">
        <v>211</v>
      </c>
      <c r="E29" s="16">
        <v>35700</v>
      </c>
      <c r="F29" s="1">
        <v>88</v>
      </c>
      <c r="G29" s="25">
        <f t="shared" si="0"/>
        <v>3141600</v>
      </c>
      <c r="H29" s="25">
        <f t="shared" si="1"/>
        <v>0</v>
      </c>
      <c r="I29" s="25">
        <f t="shared" si="2"/>
        <v>3141600</v>
      </c>
    </row>
    <row r="30" spans="2:9">
      <c r="B30" s="10">
        <v>26</v>
      </c>
      <c r="C30" s="24" t="s">
        <v>99</v>
      </c>
      <c r="D30" s="3" t="s">
        <v>207</v>
      </c>
      <c r="E30" s="16">
        <v>25000</v>
      </c>
      <c r="F30" s="1">
        <v>33</v>
      </c>
      <c r="G30" s="25">
        <f t="shared" si="0"/>
        <v>825000</v>
      </c>
      <c r="H30" s="25">
        <f t="shared" si="1"/>
        <v>122100.00000000001</v>
      </c>
      <c r="I30" s="25">
        <f t="shared" si="2"/>
        <v>702900</v>
      </c>
    </row>
    <row r="31" spans="2:9">
      <c r="B31" s="10">
        <v>27</v>
      </c>
      <c r="C31" s="24" t="s">
        <v>100</v>
      </c>
      <c r="D31" s="3" t="s">
        <v>208</v>
      </c>
      <c r="E31" s="16">
        <v>27500</v>
      </c>
      <c r="F31" s="1">
        <v>63</v>
      </c>
      <c r="G31" s="25">
        <f t="shared" si="0"/>
        <v>1732500</v>
      </c>
      <c r="H31" s="25">
        <f t="shared" si="1"/>
        <v>0</v>
      </c>
      <c r="I31" s="25">
        <f t="shared" si="2"/>
        <v>1732500</v>
      </c>
    </row>
    <row r="32" spans="2:9">
      <c r="B32" s="10">
        <v>28</v>
      </c>
      <c r="C32" s="24" t="s">
        <v>101</v>
      </c>
      <c r="D32" s="3" t="s">
        <v>209</v>
      </c>
      <c r="E32" s="16">
        <v>39800</v>
      </c>
      <c r="F32" s="1">
        <v>28</v>
      </c>
      <c r="G32" s="25">
        <f t="shared" si="0"/>
        <v>1114400</v>
      </c>
      <c r="H32" s="25">
        <f t="shared" si="1"/>
        <v>0</v>
      </c>
      <c r="I32" s="25">
        <f t="shared" si="2"/>
        <v>1114400</v>
      </c>
    </row>
    <row r="33" spans="2:9">
      <c r="B33" s="10">
        <v>29</v>
      </c>
      <c r="C33" s="24" t="s">
        <v>102</v>
      </c>
      <c r="D33" s="3" t="s">
        <v>207</v>
      </c>
      <c r="E33" s="16">
        <v>52500</v>
      </c>
      <c r="F33" s="1">
        <v>42</v>
      </c>
      <c r="G33" s="25">
        <f t="shared" si="0"/>
        <v>2205000</v>
      </c>
      <c r="H33" s="25">
        <f t="shared" si="1"/>
        <v>326340.00000000006</v>
      </c>
      <c r="I33" s="25">
        <f t="shared" si="2"/>
        <v>1878660</v>
      </c>
    </row>
    <row r="34" spans="2:9">
      <c r="B34" s="146" t="s">
        <v>1</v>
      </c>
      <c r="C34" s="147"/>
      <c r="D34" s="147"/>
      <c r="E34" s="148"/>
      <c r="F34" s="1">
        <f t="shared" ref="F34:I34" si="3">SUM(F5:F33)</f>
        <v>1695</v>
      </c>
      <c r="G34" s="25">
        <f t="shared" si="3"/>
        <v>63257400</v>
      </c>
      <c r="H34" s="25">
        <f t="shared" si="3"/>
        <v>1756168.0000000002</v>
      </c>
      <c r="I34" s="25">
        <f t="shared" si="3"/>
        <v>61501232</v>
      </c>
    </row>
    <row r="36" spans="2:9">
      <c r="C36" s="26" t="s">
        <v>19</v>
      </c>
    </row>
    <row r="37" spans="2:9">
      <c r="C37" t="s">
        <v>232</v>
      </c>
    </row>
    <row r="38" spans="2:9">
      <c r="C38" t="s">
        <v>34</v>
      </c>
    </row>
  </sheetData>
  <sortState ref="C12:C18">
    <sortCondition descending="1" ref="C12"/>
  </sortState>
  <mergeCells count="3">
    <mergeCell ref="B1:H1"/>
    <mergeCell ref="B2:H2"/>
    <mergeCell ref="B34:E3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23"/>
  <sheetViews>
    <sheetView workbookViewId="0">
      <selection activeCell="J3" sqref="J3"/>
    </sheetView>
  </sheetViews>
  <sheetFormatPr defaultRowHeight="15"/>
  <cols>
    <col min="1" max="1" width="3.140625" style="82" customWidth="1"/>
    <col min="2" max="2" width="7" style="83" customWidth="1"/>
    <col min="3" max="3" width="15" style="82" customWidth="1"/>
    <col min="4" max="4" width="11.42578125" style="82" bestFit="1" customWidth="1"/>
    <col min="5" max="5" width="11.5703125" style="82" bestFit="1" customWidth="1"/>
    <col min="6" max="6" width="13.42578125" style="82" customWidth="1"/>
    <col min="7" max="7" width="14" style="82" customWidth="1"/>
    <col min="8" max="8" width="13" style="82" customWidth="1"/>
    <col min="9" max="9" width="16.42578125" style="82" bestFit="1" customWidth="1"/>
    <col min="10" max="16384" width="9.140625" style="82"/>
  </cols>
  <sheetData>
    <row r="1" spans="2:9" ht="18.75">
      <c r="B1" s="149" t="s">
        <v>233</v>
      </c>
      <c r="C1" s="149"/>
      <c r="D1" s="149"/>
      <c r="E1" s="149"/>
      <c r="F1" s="149"/>
      <c r="G1" s="149"/>
    </row>
    <row r="2" spans="2:9" ht="16.5" customHeight="1">
      <c r="H2" s="84" t="s">
        <v>183</v>
      </c>
      <c r="I2" s="85">
        <v>4500</v>
      </c>
    </row>
    <row r="3" spans="2:9" ht="28.5" customHeight="1">
      <c r="B3" s="95" t="s">
        <v>0</v>
      </c>
      <c r="C3" s="95" t="s">
        <v>3</v>
      </c>
      <c r="D3" s="95" t="s">
        <v>184</v>
      </c>
      <c r="E3" s="95" t="s">
        <v>185</v>
      </c>
      <c r="F3" s="108" t="s">
        <v>186</v>
      </c>
      <c r="G3" s="108" t="s">
        <v>187</v>
      </c>
      <c r="H3" s="95" t="s">
        <v>19</v>
      </c>
      <c r="I3" s="95" t="s">
        <v>1</v>
      </c>
    </row>
    <row r="4" spans="2:9" s="91" customFormat="1" ht="17.25" customHeight="1">
      <c r="B4" s="86">
        <v>1</v>
      </c>
      <c r="C4" s="87" t="s">
        <v>188</v>
      </c>
      <c r="D4" s="88">
        <v>0.25833333333333336</v>
      </c>
      <c r="E4" s="88">
        <v>0.57847222222222217</v>
      </c>
      <c r="F4" s="120">
        <f>(E4-D4)*24</f>
        <v>7.6833333333333318</v>
      </c>
      <c r="G4" s="89">
        <f>F4*$I$2</f>
        <v>34574.999999999993</v>
      </c>
      <c r="H4" s="90">
        <f>IF(F4&gt;5,10%,0)*G4</f>
        <v>3457.4999999999995</v>
      </c>
      <c r="I4" s="89">
        <f>G4-H4</f>
        <v>31117.499999999993</v>
      </c>
    </row>
    <row r="5" spans="2:9" s="91" customFormat="1" ht="18.75" customHeight="1">
      <c r="B5" s="86">
        <v>2</v>
      </c>
      <c r="C5" s="87" t="s">
        <v>189</v>
      </c>
      <c r="D5" s="88">
        <v>0.27430555555555552</v>
      </c>
      <c r="E5" s="88">
        <v>0.52083333333333337</v>
      </c>
      <c r="F5" s="120">
        <f t="shared" ref="F5:F22" si="0">(E5-D5)*24</f>
        <v>5.9166666666666679</v>
      </c>
      <c r="G5" s="89">
        <f t="shared" ref="G5:G22" si="1">F5*$I$2</f>
        <v>26625.000000000004</v>
      </c>
      <c r="H5" s="90">
        <f t="shared" ref="H5:H22" si="2">IF(F5&gt;5,10%,0)*G5</f>
        <v>2662.5000000000005</v>
      </c>
      <c r="I5" s="89">
        <f t="shared" ref="I5:I22" si="3">G5-H5</f>
        <v>23962.500000000004</v>
      </c>
    </row>
    <row r="6" spans="2:9" s="91" customFormat="1" ht="13.5" customHeight="1">
      <c r="B6" s="86">
        <v>3</v>
      </c>
      <c r="C6" s="87" t="s">
        <v>190</v>
      </c>
      <c r="D6" s="88">
        <v>0.30208333333333331</v>
      </c>
      <c r="E6" s="88">
        <v>0.59583333333333333</v>
      </c>
      <c r="F6" s="120">
        <f t="shared" si="0"/>
        <v>7.0500000000000007</v>
      </c>
      <c r="G6" s="89">
        <f t="shared" si="1"/>
        <v>31725.000000000004</v>
      </c>
      <c r="H6" s="90">
        <f t="shared" si="2"/>
        <v>3172.5000000000005</v>
      </c>
      <c r="I6" s="89">
        <f t="shared" si="3"/>
        <v>28552.500000000004</v>
      </c>
    </row>
    <row r="7" spans="2:9" s="91" customFormat="1" ht="13.5" customHeight="1">
      <c r="B7" s="86">
        <v>4</v>
      </c>
      <c r="C7" s="87" t="s">
        <v>191</v>
      </c>
      <c r="D7" s="88">
        <v>0.43055555555555558</v>
      </c>
      <c r="E7" s="88">
        <v>0.60416666666666663</v>
      </c>
      <c r="F7" s="120">
        <f t="shared" si="0"/>
        <v>4.1666666666666652</v>
      </c>
      <c r="G7" s="89">
        <f t="shared" si="1"/>
        <v>18749.999999999993</v>
      </c>
      <c r="H7" s="90">
        <f t="shared" si="2"/>
        <v>0</v>
      </c>
      <c r="I7" s="89">
        <f t="shared" si="3"/>
        <v>18749.999999999993</v>
      </c>
    </row>
    <row r="8" spans="2:9" s="91" customFormat="1" ht="13.5" customHeight="1">
      <c r="B8" s="86">
        <v>5</v>
      </c>
      <c r="C8" s="87" t="s">
        <v>192</v>
      </c>
      <c r="D8" s="88">
        <v>0.39305555555555555</v>
      </c>
      <c r="E8" s="88">
        <v>0.87847222222222221</v>
      </c>
      <c r="F8" s="120">
        <f t="shared" si="0"/>
        <v>11.65</v>
      </c>
      <c r="G8" s="89">
        <f t="shared" si="1"/>
        <v>52425</v>
      </c>
      <c r="H8" s="90">
        <f t="shared" si="2"/>
        <v>5242.5</v>
      </c>
      <c r="I8" s="89">
        <f t="shared" si="3"/>
        <v>47182.5</v>
      </c>
    </row>
    <row r="9" spans="2:9" s="91" customFormat="1" ht="13.5" customHeight="1">
      <c r="B9" s="86">
        <v>6</v>
      </c>
      <c r="C9" s="87" t="s">
        <v>193</v>
      </c>
      <c r="D9" s="88">
        <v>0.3972222222222222</v>
      </c>
      <c r="E9" s="88">
        <v>0.61319444444444449</v>
      </c>
      <c r="F9" s="120">
        <f t="shared" si="0"/>
        <v>5.1833333333333353</v>
      </c>
      <c r="G9" s="89">
        <f t="shared" si="1"/>
        <v>23325.000000000007</v>
      </c>
      <c r="H9" s="90">
        <f t="shared" si="2"/>
        <v>2332.5000000000009</v>
      </c>
      <c r="I9" s="89">
        <f t="shared" si="3"/>
        <v>20992.500000000007</v>
      </c>
    </row>
    <row r="10" spans="2:9" s="91" customFormat="1" ht="13.5" customHeight="1">
      <c r="B10" s="86">
        <v>7</v>
      </c>
      <c r="C10" s="87" t="s">
        <v>194</v>
      </c>
      <c r="D10" s="88">
        <v>0.40208333333333335</v>
      </c>
      <c r="E10" s="88">
        <v>0.62916666666666665</v>
      </c>
      <c r="F10" s="120">
        <f t="shared" si="0"/>
        <v>5.4499999999999993</v>
      </c>
      <c r="G10" s="89">
        <f t="shared" si="1"/>
        <v>24524.999999999996</v>
      </c>
      <c r="H10" s="90">
        <f t="shared" si="2"/>
        <v>2452.4999999999995</v>
      </c>
      <c r="I10" s="89">
        <f t="shared" si="3"/>
        <v>22072.499999999996</v>
      </c>
    </row>
    <row r="11" spans="2:9" s="91" customFormat="1" ht="13.5" customHeight="1">
      <c r="B11" s="86">
        <v>8</v>
      </c>
      <c r="C11" s="87" t="s">
        <v>195</v>
      </c>
      <c r="D11" s="88">
        <v>0.40625</v>
      </c>
      <c r="E11" s="88">
        <v>0.64861111111111114</v>
      </c>
      <c r="F11" s="120">
        <f t="shared" si="0"/>
        <v>5.8166666666666673</v>
      </c>
      <c r="G11" s="89">
        <f t="shared" si="1"/>
        <v>26175.000000000004</v>
      </c>
      <c r="H11" s="90">
        <f t="shared" si="2"/>
        <v>2617.5000000000005</v>
      </c>
      <c r="I11" s="89">
        <f t="shared" si="3"/>
        <v>23557.500000000004</v>
      </c>
    </row>
    <row r="12" spans="2:9" s="91" customFormat="1" ht="13.5" customHeight="1">
      <c r="B12" s="86">
        <v>9</v>
      </c>
      <c r="C12" s="87" t="s">
        <v>196</v>
      </c>
      <c r="D12" s="88">
        <v>0.41041666666666665</v>
      </c>
      <c r="E12" s="88">
        <v>0.67222222222222217</v>
      </c>
      <c r="F12" s="120">
        <f t="shared" si="0"/>
        <v>6.2833333333333323</v>
      </c>
      <c r="G12" s="89">
        <f t="shared" si="1"/>
        <v>28274.999999999996</v>
      </c>
      <c r="H12" s="90">
        <f t="shared" si="2"/>
        <v>2827.5</v>
      </c>
      <c r="I12" s="89">
        <f t="shared" si="3"/>
        <v>25447.499999999996</v>
      </c>
    </row>
    <row r="13" spans="2:9" s="91" customFormat="1" ht="13.5" customHeight="1">
      <c r="B13" s="86">
        <v>10</v>
      </c>
      <c r="C13" s="87" t="s">
        <v>197</v>
      </c>
      <c r="D13" s="88">
        <v>0.4291666666666667</v>
      </c>
      <c r="E13" s="88">
        <v>0.7368055555555556</v>
      </c>
      <c r="F13" s="120">
        <f t="shared" si="0"/>
        <v>7.3833333333333337</v>
      </c>
      <c r="G13" s="89">
        <f t="shared" si="1"/>
        <v>33225</v>
      </c>
      <c r="H13" s="90">
        <f t="shared" si="2"/>
        <v>3322.5</v>
      </c>
      <c r="I13" s="89">
        <f t="shared" si="3"/>
        <v>29902.5</v>
      </c>
    </row>
    <row r="14" spans="2:9" s="91" customFormat="1" ht="13.5" customHeight="1">
      <c r="B14" s="86">
        <v>11</v>
      </c>
      <c r="C14" s="87" t="s">
        <v>198</v>
      </c>
      <c r="D14" s="88">
        <v>0.39930555555555558</v>
      </c>
      <c r="E14" s="88">
        <v>0.64444444444444449</v>
      </c>
      <c r="F14" s="120">
        <f t="shared" si="0"/>
        <v>5.8833333333333337</v>
      </c>
      <c r="G14" s="89">
        <f t="shared" si="1"/>
        <v>26475.000000000004</v>
      </c>
      <c r="H14" s="90">
        <f t="shared" si="2"/>
        <v>2647.5000000000005</v>
      </c>
      <c r="I14" s="89">
        <f t="shared" si="3"/>
        <v>23827.500000000004</v>
      </c>
    </row>
    <row r="15" spans="2:9">
      <c r="B15" s="86">
        <v>12</v>
      </c>
      <c r="C15" s="87" t="s">
        <v>199</v>
      </c>
      <c r="D15" s="88">
        <v>0.48333333333333334</v>
      </c>
      <c r="E15" s="88">
        <v>0.76041666666666663</v>
      </c>
      <c r="F15" s="120">
        <f t="shared" si="0"/>
        <v>6.6499999999999986</v>
      </c>
      <c r="G15" s="89">
        <f t="shared" si="1"/>
        <v>29924.999999999993</v>
      </c>
      <c r="H15" s="90">
        <f t="shared" si="2"/>
        <v>2992.4999999999995</v>
      </c>
      <c r="I15" s="89">
        <f t="shared" si="3"/>
        <v>26932.499999999993</v>
      </c>
    </row>
    <row r="16" spans="2:9">
      <c r="B16" s="86">
        <v>13</v>
      </c>
      <c r="C16" s="87" t="s">
        <v>200</v>
      </c>
      <c r="D16" s="88">
        <v>0.48680555555555555</v>
      </c>
      <c r="E16" s="88">
        <v>0.67500000000000004</v>
      </c>
      <c r="F16" s="120">
        <f t="shared" si="0"/>
        <v>4.5166666666666675</v>
      </c>
      <c r="G16" s="89">
        <f t="shared" si="1"/>
        <v>20325.000000000004</v>
      </c>
      <c r="H16" s="90">
        <f t="shared" si="2"/>
        <v>0</v>
      </c>
      <c r="I16" s="89">
        <f t="shared" si="3"/>
        <v>20325.000000000004</v>
      </c>
    </row>
    <row r="17" spans="2:9">
      <c r="B17" s="86">
        <v>14</v>
      </c>
      <c r="C17" s="87" t="s">
        <v>201</v>
      </c>
      <c r="D17" s="88">
        <v>0.53888888888888886</v>
      </c>
      <c r="E17" s="88">
        <v>0.63472222222222219</v>
      </c>
      <c r="F17" s="120">
        <f t="shared" si="0"/>
        <v>2.2999999999999998</v>
      </c>
      <c r="G17" s="89">
        <f t="shared" si="1"/>
        <v>10350</v>
      </c>
      <c r="H17" s="90">
        <f t="shared" si="2"/>
        <v>0</v>
      </c>
      <c r="I17" s="89">
        <f t="shared" si="3"/>
        <v>10350</v>
      </c>
    </row>
    <row r="18" spans="2:9">
      <c r="B18" s="86">
        <v>15</v>
      </c>
      <c r="C18" s="87" t="s">
        <v>202</v>
      </c>
      <c r="D18" s="88">
        <v>0.54999999999999993</v>
      </c>
      <c r="E18" s="88">
        <v>0.69166666666666676</v>
      </c>
      <c r="F18" s="120">
        <f t="shared" si="0"/>
        <v>3.4000000000000039</v>
      </c>
      <c r="G18" s="89">
        <f t="shared" si="1"/>
        <v>15300.000000000018</v>
      </c>
      <c r="H18" s="90">
        <f t="shared" si="2"/>
        <v>0</v>
      </c>
      <c r="I18" s="89">
        <f t="shared" si="3"/>
        <v>15300.000000000018</v>
      </c>
    </row>
    <row r="19" spans="2:9">
      <c r="B19" s="86">
        <v>16</v>
      </c>
      <c r="C19" s="87" t="s">
        <v>203</v>
      </c>
      <c r="D19" s="88">
        <v>0.56458333333333333</v>
      </c>
      <c r="E19" s="88">
        <v>0.8041666666666667</v>
      </c>
      <c r="F19" s="120">
        <f t="shared" si="0"/>
        <v>5.7500000000000009</v>
      </c>
      <c r="G19" s="89">
        <f t="shared" si="1"/>
        <v>25875.000000000004</v>
      </c>
      <c r="H19" s="90">
        <f t="shared" si="2"/>
        <v>2587.5000000000005</v>
      </c>
      <c r="I19" s="89">
        <f t="shared" si="3"/>
        <v>23287.500000000004</v>
      </c>
    </row>
    <row r="20" spans="2:9">
      <c r="B20" s="86">
        <v>17</v>
      </c>
      <c r="C20" s="87" t="s">
        <v>204</v>
      </c>
      <c r="D20" s="88">
        <v>0.6166666666666667</v>
      </c>
      <c r="E20" s="88">
        <v>0.8256944444444444</v>
      </c>
      <c r="F20" s="120">
        <f t="shared" si="0"/>
        <v>5.0166666666666648</v>
      </c>
      <c r="G20" s="89">
        <f t="shared" si="1"/>
        <v>22574.999999999993</v>
      </c>
      <c r="H20" s="90">
        <f t="shared" si="2"/>
        <v>2257.4999999999995</v>
      </c>
      <c r="I20" s="89">
        <f t="shared" si="3"/>
        <v>20317.499999999993</v>
      </c>
    </row>
    <row r="21" spans="2:9">
      <c r="B21" s="86">
        <v>18</v>
      </c>
      <c r="C21" s="87" t="s">
        <v>205</v>
      </c>
      <c r="D21" s="88">
        <v>0.62152777777777779</v>
      </c>
      <c r="E21" s="88">
        <v>0.72361111111111109</v>
      </c>
      <c r="F21" s="120">
        <f t="shared" si="0"/>
        <v>2.4499999999999993</v>
      </c>
      <c r="G21" s="89">
        <f t="shared" si="1"/>
        <v>11024.999999999996</v>
      </c>
      <c r="H21" s="90">
        <f t="shared" si="2"/>
        <v>0</v>
      </c>
      <c r="I21" s="89">
        <f t="shared" si="3"/>
        <v>11024.999999999996</v>
      </c>
    </row>
    <row r="22" spans="2:9">
      <c r="B22" s="86">
        <v>19</v>
      </c>
      <c r="C22" s="87" t="s">
        <v>206</v>
      </c>
      <c r="D22" s="88">
        <v>0.6430555555555556</v>
      </c>
      <c r="E22" s="88">
        <v>0.69166666666666676</v>
      </c>
      <c r="F22" s="120">
        <f t="shared" si="0"/>
        <v>1.1666666666666679</v>
      </c>
      <c r="G22" s="89">
        <f t="shared" si="1"/>
        <v>5250.0000000000055</v>
      </c>
      <c r="H22" s="90">
        <f t="shared" si="2"/>
        <v>0</v>
      </c>
      <c r="I22" s="89">
        <f t="shared" si="3"/>
        <v>5250.0000000000055</v>
      </c>
    </row>
    <row r="23" spans="2:9">
      <c r="B23" s="150" t="s">
        <v>9</v>
      </c>
      <c r="C23" s="150"/>
      <c r="D23" s="150"/>
      <c r="E23" s="150"/>
      <c r="F23" s="121">
        <f t="shared" ref="F23:I23" si="4">SUM(F4:F22)</f>
        <v>103.71666666666668</v>
      </c>
      <c r="G23" s="92">
        <f t="shared" si="4"/>
        <v>466725</v>
      </c>
      <c r="H23" s="92">
        <f t="shared" si="4"/>
        <v>38572.5</v>
      </c>
      <c r="I23" s="92">
        <f t="shared" si="4"/>
        <v>428152.5</v>
      </c>
    </row>
  </sheetData>
  <mergeCells count="2">
    <mergeCell ref="B1:G1"/>
    <mergeCell ref="B23:E23"/>
  </mergeCell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biodata</vt:lpstr>
      <vt:lpstr>kasus 1</vt:lpstr>
      <vt:lpstr>kasus 2</vt:lpstr>
      <vt:lpstr>kasus 3</vt:lpstr>
      <vt:lpstr>kasus 4</vt:lpstr>
      <vt:lpstr>kasus 5</vt:lpstr>
      <vt:lpstr>kasus 6</vt:lpstr>
      <vt:lpstr>kasus 7</vt:lpstr>
      <vt:lpstr>kasus 8</vt:lpstr>
      <vt:lpstr>kasus 9</vt:lpstr>
      <vt:lpstr>kasus 10</vt:lpstr>
      <vt:lpstr>kasus 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kasusx@gmail.com</dc:creator>
  <cp:lastModifiedBy>ilham firnanda</cp:lastModifiedBy>
  <dcterms:created xsi:type="dcterms:W3CDTF">2010-09-22T19:17:24Z</dcterms:created>
  <dcterms:modified xsi:type="dcterms:W3CDTF">2018-03-30T11:28:51Z</dcterms:modified>
</cp:coreProperties>
</file>