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drawings/drawing8.xml" ContentType="application/vnd.openxmlformats-officedocument.drawing+xml"/>
  <Override PartName="/xl/tables/table1.xml" ContentType="application/vnd.openxmlformats-officedocument.spreadsheetml.table+xml"/>
  <Override PartName="/xl/drawings/drawing9.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ilia/Downloads/"/>
    </mc:Choice>
  </mc:AlternateContent>
  <xr:revisionPtr revIDLastSave="0" documentId="13_ncr:1_{A510990B-E264-DA45-9EF9-B51D0DC97CD2}" xr6:coauthVersionLast="47" xr6:coauthVersionMax="47" xr10:uidLastSave="{00000000-0000-0000-0000-000000000000}"/>
  <bookViews>
    <workbookView xWindow="5840" yWindow="1340" windowWidth="26760" windowHeight="17320" xr2:uid="{00000000-000D-0000-FFFF-FFFF00000000}"/>
  </bookViews>
  <sheets>
    <sheet name="Intro" sheetId="7" r:id="rId1"/>
    <sheet name="Legend" sheetId="1" r:id="rId2"/>
    <sheet name="Overview &amp; Results" sheetId="8" r:id="rId3"/>
    <sheet name="Template" sheetId="24" r:id="rId4"/>
    <sheet name="1. Core" sheetId="2" r:id="rId5"/>
    <sheet name="BS" sheetId="9" r:id="rId6"/>
    <sheet name="PL" sheetId="10" r:id="rId7"/>
    <sheet name="CF" sheetId="11" r:id="rId8"/>
    <sheet name="2. Calcs" sheetId="3" r:id="rId9"/>
    <sheet name="EBITDA" sheetId="26" r:id="rId10"/>
    <sheet name="Ratios" sheetId="15" r:id="rId11"/>
    <sheet name="3. Comps" sheetId="4" r:id="rId12"/>
    <sheet name="BMW" sheetId="33" r:id="rId13"/>
    <sheet name="VW" sheetId="34" r:id="rId14"/>
    <sheet name="Porsche" sheetId="35" r:id="rId15"/>
    <sheet name="Relative Valuation" sheetId="36" r:id="rId16"/>
    <sheet name="4. DCF" sheetId="5" r:id="rId17"/>
    <sheet name="Beta" sheetId="19" r:id="rId18"/>
    <sheet name="COE" sheetId="28" r:id="rId19"/>
    <sheet name="COD" sheetId="29" r:id="rId20"/>
    <sheet name="WACC" sheetId="30" r:id="rId21"/>
    <sheet name="DCF" sheetId="21" r:id="rId22"/>
    <sheet name="5. DDM" sheetId="6" r:id="rId23"/>
    <sheet name="Dividend Policy Summary" sheetId="32" r:id="rId24"/>
    <sheet name="Technical Page for DPS" sheetId="31" r:id="rId25"/>
    <sheet name="DDM" sheetId="22" r:id="rId26"/>
    <sheet name="Results" sheetId="37" r:id="rId2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I2" i="30" l="1"/>
  <c r="K49" i="21"/>
  <c r="L49" i="21"/>
  <c r="M49" i="21"/>
  <c r="N49" i="21"/>
  <c r="O49" i="21"/>
  <c r="P49" i="21"/>
  <c r="Q49" i="21"/>
  <c r="R49" i="21"/>
  <c r="S49" i="21"/>
  <c r="T49" i="21"/>
  <c r="K6" i="21"/>
  <c r="D3" i="37"/>
  <c r="D10" i="37"/>
  <c r="D5" i="15"/>
  <c r="F8" i="36"/>
  <c r="N9" i="26"/>
  <c r="N18" i="26"/>
  <c r="B14" i="22"/>
  <c r="B17" i="22" s="1"/>
  <c r="B18" i="22"/>
  <c r="I112" i="35" l="1"/>
  <c r="I114" i="35" s="1"/>
  <c r="G8" i="36"/>
  <c r="G7" i="36"/>
  <c r="E9" i="36"/>
  <c r="G14" i="36"/>
  <c r="G13" i="36"/>
  <c r="I112" i="34"/>
  <c r="I114" i="34"/>
  <c r="E27" i="36"/>
  <c r="I118" i="35"/>
  <c r="D9" i="36"/>
  <c r="I120" i="35"/>
  <c r="D19" i="36"/>
  <c r="F10" i="37"/>
  <c r="D54" i="21"/>
  <c r="E8" i="36"/>
  <c r="D8" i="36"/>
  <c r="I108" i="35"/>
  <c r="I83" i="35"/>
  <c r="G53" i="35"/>
  <c r="G52" i="35"/>
  <c r="I48" i="35"/>
  <c r="G48" i="35"/>
  <c r="G47" i="35"/>
  <c r="I41" i="35"/>
  <c r="G41" i="35"/>
  <c r="G40" i="35"/>
  <c r="G39" i="35"/>
  <c r="G38" i="35"/>
  <c r="G37" i="35"/>
  <c r="G36" i="35"/>
  <c r="G35" i="35"/>
  <c r="G34" i="35"/>
  <c r="G33" i="35"/>
  <c r="G27" i="35"/>
  <c r="G26" i="35"/>
  <c r="G25" i="35"/>
  <c r="G23" i="35"/>
  <c r="I22" i="35"/>
  <c r="G21" i="35"/>
  <c r="G19" i="35"/>
  <c r="I18" i="35"/>
  <c r="G17" i="35"/>
  <c r="G16" i="35"/>
  <c r="G15" i="35"/>
  <c r="I14" i="35"/>
  <c r="G13" i="35"/>
  <c r="G12" i="35"/>
  <c r="G11" i="35"/>
  <c r="I10" i="35"/>
  <c r="G9" i="35"/>
  <c r="G8" i="35"/>
  <c r="G7" i="35"/>
  <c r="I120" i="34"/>
  <c r="I118" i="34"/>
  <c r="I108" i="34"/>
  <c r="F100" i="34"/>
  <c r="I96" i="34"/>
  <c r="I83" i="34"/>
  <c r="G53" i="34"/>
  <c r="G52" i="34"/>
  <c r="I48" i="34"/>
  <c r="G48" i="34"/>
  <c r="G47" i="34"/>
  <c r="I41" i="34"/>
  <c r="G41" i="34"/>
  <c r="I40" i="34"/>
  <c r="G40" i="34"/>
  <c r="G39" i="34"/>
  <c r="G38" i="34"/>
  <c r="G37" i="34"/>
  <c r="G36" i="34"/>
  <c r="G35" i="34"/>
  <c r="I34" i="34"/>
  <c r="G34" i="34"/>
  <c r="G33" i="34"/>
  <c r="G27" i="34"/>
  <c r="G26" i="34"/>
  <c r="G25" i="34"/>
  <c r="G23" i="34"/>
  <c r="G22" i="34"/>
  <c r="G21" i="34"/>
  <c r="G19" i="34"/>
  <c r="G18" i="34"/>
  <c r="G17" i="34"/>
  <c r="G16" i="34"/>
  <c r="G15" i="34"/>
  <c r="I14" i="34"/>
  <c r="G13" i="34"/>
  <c r="I12" i="34"/>
  <c r="G11" i="34"/>
  <c r="I10" i="34"/>
  <c r="G9" i="34"/>
  <c r="G8" i="34"/>
  <c r="G7" i="34"/>
  <c r="I126" i="33"/>
  <c r="G126" i="33" s="1"/>
  <c r="I124" i="33"/>
  <c r="G124" i="33" s="1"/>
  <c r="I102" i="33"/>
  <c r="I114" i="33" s="1"/>
  <c r="I116" i="33" s="1"/>
  <c r="I100" i="33"/>
  <c r="I122" i="33" s="1"/>
  <c r="I88" i="33"/>
  <c r="I78" i="33"/>
  <c r="I75" i="33"/>
  <c r="I66" i="33"/>
  <c r="G53" i="33"/>
  <c r="G52" i="33"/>
  <c r="I48" i="33"/>
  <c r="G48" i="33"/>
  <c r="G47" i="33"/>
  <c r="I41" i="33"/>
  <c r="G41" i="33"/>
  <c r="I40" i="33"/>
  <c r="G40" i="33"/>
  <c r="G39" i="33"/>
  <c r="G38" i="33"/>
  <c r="G37" i="33"/>
  <c r="G36" i="33"/>
  <c r="G35" i="33"/>
  <c r="G34" i="33"/>
  <c r="G33" i="33"/>
  <c r="I28" i="33"/>
  <c r="G28" i="33" s="1"/>
  <c r="G27" i="33"/>
  <c r="I26" i="33"/>
  <c r="G26" i="33" s="1"/>
  <c r="G25" i="33"/>
  <c r="I24" i="33"/>
  <c r="G24" i="33" s="1"/>
  <c r="G23" i="33"/>
  <c r="I22" i="33"/>
  <c r="G21" i="33"/>
  <c r="G19" i="33"/>
  <c r="G18" i="33"/>
  <c r="G17" i="33"/>
  <c r="G16" i="33"/>
  <c r="G15" i="33"/>
  <c r="I14" i="33"/>
  <c r="G13" i="33"/>
  <c r="I12" i="33"/>
  <c r="G12" i="33" s="1"/>
  <c r="G11" i="33"/>
  <c r="G9" i="33"/>
  <c r="I8" i="33"/>
  <c r="G7" i="33"/>
  <c r="G22" i="21"/>
  <c r="H22" i="21"/>
  <c r="I22" i="21"/>
  <c r="J22" i="21"/>
  <c r="F22" i="21"/>
  <c r="B8" i="31"/>
  <c r="B7" i="31"/>
  <c r="B6" i="31"/>
  <c r="B5" i="31"/>
  <c r="D60" i="21"/>
  <c r="B22" i="22"/>
  <c r="D6" i="15"/>
  <c r="D4" i="15"/>
  <c r="G26" i="21"/>
  <c r="H26" i="21"/>
  <c r="I26" i="21"/>
  <c r="J26" i="21"/>
  <c r="F26" i="21"/>
  <c r="G25" i="21"/>
  <c r="H25" i="21"/>
  <c r="I25" i="21"/>
  <c r="J25" i="21"/>
  <c r="F25" i="21"/>
  <c r="G21" i="21"/>
  <c r="H21" i="21"/>
  <c r="I21" i="21"/>
  <c r="J21" i="21"/>
  <c r="F21" i="21"/>
  <c r="J17" i="21"/>
  <c r="I17" i="21"/>
  <c r="H17" i="21"/>
  <c r="G17" i="21"/>
  <c r="G19" i="21" s="1"/>
  <c r="F17" i="21"/>
  <c r="G12" i="21"/>
  <c r="H12" i="21"/>
  <c r="H18" i="21" s="1"/>
  <c r="I12" i="21"/>
  <c r="I18" i="21" s="1"/>
  <c r="J12" i="21"/>
  <c r="F12" i="21"/>
  <c r="J11" i="21"/>
  <c r="I11" i="21"/>
  <c r="H11" i="21"/>
  <c r="G11" i="21"/>
  <c r="F11" i="21"/>
  <c r="K3" i="21"/>
  <c r="G5" i="21"/>
  <c r="G13" i="21" s="1"/>
  <c r="H5" i="21"/>
  <c r="H13" i="21" s="1"/>
  <c r="I5" i="21"/>
  <c r="I13" i="21" s="1"/>
  <c r="J5" i="21"/>
  <c r="F5" i="21"/>
  <c r="L22" i="21"/>
  <c r="M22" i="21" s="1"/>
  <c r="N22" i="21" s="1"/>
  <c r="G3" i="21"/>
  <c r="F25" i="32"/>
  <c r="C25" i="32"/>
  <c r="F24" i="32"/>
  <c r="C24" i="32"/>
  <c r="F23" i="32"/>
  <c r="C23" i="32"/>
  <c r="F22" i="32"/>
  <c r="C22" i="32"/>
  <c r="F21" i="32"/>
  <c r="C21" i="32"/>
  <c r="F20" i="32"/>
  <c r="C20" i="32"/>
  <c r="F19" i="32"/>
  <c r="C19" i="32"/>
  <c r="F18" i="32"/>
  <c r="C18" i="32"/>
  <c r="F17" i="32"/>
  <c r="C17" i="32"/>
  <c r="F16" i="32"/>
  <c r="C16" i="32"/>
  <c r="F15" i="32"/>
  <c r="C15" i="32"/>
  <c r="F14" i="32"/>
  <c r="C14" i="32"/>
  <c r="F13" i="32"/>
  <c r="C13" i="32"/>
  <c r="F12" i="32"/>
  <c r="C12" i="32"/>
  <c r="F11" i="32"/>
  <c r="C11" i="32"/>
  <c r="F10" i="32"/>
  <c r="C10" i="32"/>
  <c r="F9" i="32"/>
  <c r="C9" i="32"/>
  <c r="F8" i="32"/>
  <c r="C8" i="32"/>
  <c r="F7" i="32"/>
  <c r="C7" i="32"/>
  <c r="F6" i="32"/>
  <c r="C6" i="32"/>
  <c r="F5" i="32"/>
  <c r="C5" i="32"/>
  <c r="F4" i="32"/>
  <c r="C4" i="32"/>
  <c r="F3" i="32"/>
  <c r="C3" i="32"/>
  <c r="F2" i="32"/>
  <c r="I8" i="30"/>
  <c r="F1" i="29"/>
  <c r="I4" i="28"/>
  <c r="R42" i="22"/>
  <c r="R43" i="22"/>
  <c r="R44" i="22"/>
  <c r="R45" i="22"/>
  <c r="R46" i="22" s="1"/>
  <c r="R40" i="22"/>
  <c r="R39" i="22" s="1"/>
  <c r="R38" i="22" s="1"/>
  <c r="W37" i="22"/>
  <c r="X37" i="22"/>
  <c r="Y37" i="22"/>
  <c r="Z37" i="22"/>
  <c r="U37" i="22"/>
  <c r="T37" i="22"/>
  <c r="S37" i="22" s="1"/>
  <c r="R26" i="22"/>
  <c r="R27" i="22"/>
  <c r="R28" i="22"/>
  <c r="R29" i="22"/>
  <c r="R30" i="22"/>
  <c r="R24" i="22"/>
  <c r="R23" i="22"/>
  <c r="R22" i="22" s="1"/>
  <c r="W21" i="22"/>
  <c r="X21" i="22"/>
  <c r="Y21" i="22"/>
  <c r="Z21" i="22"/>
  <c r="U21" i="22"/>
  <c r="T21" i="22" s="1"/>
  <c r="S21" i="22" s="1"/>
  <c r="R8" i="22"/>
  <c r="R9" i="22"/>
  <c r="R10" i="22"/>
  <c r="R11" i="22"/>
  <c r="R12" i="22"/>
  <c r="W3" i="22"/>
  <c r="X3" i="22" s="1"/>
  <c r="Y3" i="22" s="1"/>
  <c r="Z3" i="22" s="1"/>
  <c r="B7" i="22"/>
  <c r="I42" i="22"/>
  <c r="H42" i="22"/>
  <c r="G42" i="22"/>
  <c r="F42" i="22"/>
  <c r="G40" i="22"/>
  <c r="F40" i="22"/>
  <c r="E40" i="22"/>
  <c r="I39" i="22"/>
  <c r="I40" i="22"/>
  <c r="H39" i="22"/>
  <c r="H40" i="22"/>
  <c r="K25" i="22"/>
  <c r="L25" i="22"/>
  <c r="M25" i="22"/>
  <c r="N25" i="22"/>
  <c r="J25" i="22"/>
  <c r="I26" i="22"/>
  <c r="H26" i="22"/>
  <c r="G26" i="22"/>
  <c r="F26" i="22"/>
  <c r="G24" i="22"/>
  <c r="F24" i="22"/>
  <c r="E24" i="22"/>
  <c r="I23" i="22"/>
  <c r="I24" i="22"/>
  <c r="H23" i="22"/>
  <c r="H24" i="22"/>
  <c r="U3" i="22"/>
  <c r="T3" i="22" s="1"/>
  <c r="S3" i="22" s="1"/>
  <c r="R6" i="22"/>
  <c r="R5" i="22"/>
  <c r="R4" i="22"/>
  <c r="I7" i="22"/>
  <c r="I8" i="22"/>
  <c r="H7" i="22"/>
  <c r="H8" i="22" s="1"/>
  <c r="K9" i="22"/>
  <c r="L9" i="22"/>
  <c r="L7" i="22" s="1"/>
  <c r="M9" i="22"/>
  <c r="M7" i="22" s="1"/>
  <c r="N9" i="22"/>
  <c r="J9" i="22"/>
  <c r="J10" i="22" s="1"/>
  <c r="F8" i="22"/>
  <c r="G8" i="22"/>
  <c r="E8" i="22"/>
  <c r="G10" i="22"/>
  <c r="H10" i="22"/>
  <c r="I10" i="22"/>
  <c r="F10" i="22"/>
  <c r="K7" i="22"/>
  <c r="G67" i="10"/>
  <c r="G65" i="10"/>
  <c r="N16" i="26"/>
  <c r="N15" i="26"/>
  <c r="N14" i="26"/>
  <c r="N13" i="26"/>
  <c r="K23" i="26"/>
  <c r="L23" i="26"/>
  <c r="M23" i="26"/>
  <c r="G23" i="26"/>
  <c r="N23" i="26"/>
  <c r="J23" i="26"/>
  <c r="K22" i="26"/>
  <c r="L22" i="26"/>
  <c r="M22" i="26"/>
  <c r="G22" i="26" s="1"/>
  <c r="N22" i="26"/>
  <c r="J22" i="26"/>
  <c r="K8" i="26"/>
  <c r="K18" i="26" s="1"/>
  <c r="G8" i="21" s="1"/>
  <c r="L8" i="26"/>
  <c r="L18" i="26" s="1"/>
  <c r="H8" i="21" s="1"/>
  <c r="M8" i="26"/>
  <c r="M18" i="26" s="1"/>
  <c r="I8" i="21" s="1"/>
  <c r="N8" i="26"/>
  <c r="J8" i="26"/>
  <c r="J18" i="26" s="1"/>
  <c r="F8" i="21" s="1"/>
  <c r="G9" i="26"/>
  <c r="G10" i="26"/>
  <c r="G11" i="26"/>
  <c r="G12" i="26"/>
  <c r="G13" i="26"/>
  <c r="G14" i="26"/>
  <c r="G15" i="26"/>
  <c r="G16" i="26"/>
  <c r="G6" i="19"/>
  <c r="G7" i="19"/>
  <c r="G8" i="19"/>
  <c r="G9" i="19"/>
  <c r="G10" i="19"/>
  <c r="G11" i="19"/>
  <c r="G12" i="19"/>
  <c r="G13" i="19"/>
  <c r="G14" i="19"/>
  <c r="G15" i="19"/>
  <c r="G16" i="19"/>
  <c r="G17" i="19"/>
  <c r="G18" i="19"/>
  <c r="G19" i="19"/>
  <c r="G20" i="19"/>
  <c r="G21" i="19"/>
  <c r="G22" i="19"/>
  <c r="G23" i="19"/>
  <c r="G24" i="19"/>
  <c r="G25" i="19"/>
  <c r="G26" i="19"/>
  <c r="G27" i="19"/>
  <c r="G28" i="19"/>
  <c r="G29" i="19"/>
  <c r="G30" i="19"/>
  <c r="G31" i="19"/>
  <c r="G32" i="19"/>
  <c r="G33" i="19"/>
  <c r="G34" i="19"/>
  <c r="G35" i="19"/>
  <c r="G36" i="19"/>
  <c r="G37" i="19"/>
  <c r="G38" i="19"/>
  <c r="G39" i="19"/>
  <c r="G40" i="19"/>
  <c r="G41" i="19"/>
  <c r="G42" i="19"/>
  <c r="G43" i="19"/>
  <c r="G44" i="19"/>
  <c r="G45" i="19"/>
  <c r="G46" i="19"/>
  <c r="G47" i="19"/>
  <c r="G48" i="19"/>
  <c r="G49" i="19"/>
  <c r="G50" i="19"/>
  <c r="G51" i="19"/>
  <c r="G52" i="19"/>
  <c r="G53" i="19"/>
  <c r="G54" i="19"/>
  <c r="G55" i="19"/>
  <c r="G56" i="19"/>
  <c r="G57" i="19"/>
  <c r="G58" i="19"/>
  <c r="G59" i="19"/>
  <c r="G60" i="19"/>
  <c r="G61" i="19"/>
  <c r="G62" i="19"/>
  <c r="G63" i="19"/>
  <c r="G64" i="19"/>
  <c r="G65" i="19"/>
  <c r="G66" i="19"/>
  <c r="G67" i="19"/>
  <c r="G68" i="19"/>
  <c r="G69" i="19"/>
  <c r="G70" i="19"/>
  <c r="G71" i="19"/>
  <c r="G72" i="19"/>
  <c r="G73" i="19"/>
  <c r="G74" i="19"/>
  <c r="G75" i="19"/>
  <c r="G76" i="19"/>
  <c r="G77" i="19"/>
  <c r="G78" i="19"/>
  <c r="G79" i="19"/>
  <c r="G80" i="19"/>
  <c r="G81" i="19"/>
  <c r="G82" i="19"/>
  <c r="G83" i="19"/>
  <c r="G84" i="19"/>
  <c r="G85" i="19"/>
  <c r="G86" i="19"/>
  <c r="G87" i="19"/>
  <c r="G88" i="19"/>
  <c r="G89" i="19"/>
  <c r="G90" i="19"/>
  <c r="G91" i="19"/>
  <c r="G92" i="19"/>
  <c r="G93" i="19"/>
  <c r="G94" i="19"/>
  <c r="G95" i="19"/>
  <c r="G96" i="19"/>
  <c r="G97" i="19"/>
  <c r="G98" i="19"/>
  <c r="G99" i="19"/>
  <c r="G100" i="19"/>
  <c r="G101" i="19"/>
  <c r="G102" i="19"/>
  <c r="G103" i="19"/>
  <c r="G104" i="19"/>
  <c r="G105" i="19"/>
  <c r="G106" i="19"/>
  <c r="G107" i="19"/>
  <c r="G108" i="19"/>
  <c r="G109" i="19"/>
  <c r="G110" i="19"/>
  <c r="G111" i="19"/>
  <c r="G112" i="19"/>
  <c r="G113" i="19"/>
  <c r="G114" i="19"/>
  <c r="G115" i="19"/>
  <c r="G116" i="19"/>
  <c r="G117" i="19"/>
  <c r="G118" i="19"/>
  <c r="G119" i="19"/>
  <c r="G120" i="19"/>
  <c r="G121" i="19"/>
  <c r="G122" i="19"/>
  <c r="G123" i="19"/>
  <c r="G124" i="19"/>
  <c r="G125" i="19"/>
  <c r="G126" i="19"/>
  <c r="G127" i="19"/>
  <c r="G128" i="19"/>
  <c r="G129" i="19"/>
  <c r="G130" i="19"/>
  <c r="G131" i="19"/>
  <c r="G132" i="19"/>
  <c r="G133" i="19"/>
  <c r="G134" i="19"/>
  <c r="G135" i="19"/>
  <c r="G136" i="19"/>
  <c r="G137" i="19"/>
  <c r="G138" i="19"/>
  <c r="G139" i="19"/>
  <c r="G140" i="19"/>
  <c r="G141" i="19"/>
  <c r="G142" i="19"/>
  <c r="G143" i="19"/>
  <c r="G144" i="19"/>
  <c r="G145" i="19"/>
  <c r="G146" i="19"/>
  <c r="G147" i="19"/>
  <c r="G148" i="19"/>
  <c r="G149" i="19"/>
  <c r="G150" i="19"/>
  <c r="G151" i="19"/>
  <c r="G152" i="19"/>
  <c r="G153" i="19"/>
  <c r="G154" i="19"/>
  <c r="G155" i="19"/>
  <c r="G156" i="19"/>
  <c r="G157" i="19"/>
  <c r="G158" i="19"/>
  <c r="G159" i="19"/>
  <c r="G160" i="19"/>
  <c r="G161" i="19"/>
  <c r="G162" i="19"/>
  <c r="G163" i="19"/>
  <c r="G164" i="19"/>
  <c r="G165" i="19"/>
  <c r="G166" i="19"/>
  <c r="G167" i="19"/>
  <c r="G168" i="19"/>
  <c r="G169" i="19"/>
  <c r="G170" i="19"/>
  <c r="G171" i="19"/>
  <c r="G172" i="19"/>
  <c r="G173" i="19"/>
  <c r="G174" i="19"/>
  <c r="G175" i="19"/>
  <c r="G176" i="19"/>
  <c r="G177" i="19"/>
  <c r="G178" i="19"/>
  <c r="G179" i="19"/>
  <c r="G180" i="19"/>
  <c r="G181" i="19"/>
  <c r="G182" i="19"/>
  <c r="G183" i="19"/>
  <c r="G184" i="19"/>
  <c r="G185" i="19"/>
  <c r="G186" i="19"/>
  <c r="G187" i="19"/>
  <c r="G188" i="19"/>
  <c r="G189" i="19"/>
  <c r="G190" i="19"/>
  <c r="G191" i="19"/>
  <c r="G192" i="19"/>
  <c r="G193" i="19"/>
  <c r="G194" i="19"/>
  <c r="G195" i="19"/>
  <c r="G196" i="19"/>
  <c r="G197" i="19"/>
  <c r="G198" i="19"/>
  <c r="G199" i="19"/>
  <c r="G200" i="19"/>
  <c r="G201" i="19"/>
  <c r="G202" i="19"/>
  <c r="G203" i="19"/>
  <c r="G204" i="19"/>
  <c r="G205" i="19"/>
  <c r="G206" i="19"/>
  <c r="G207" i="19"/>
  <c r="G208" i="19"/>
  <c r="G209" i="19"/>
  <c r="G210" i="19"/>
  <c r="G211" i="19"/>
  <c r="G212" i="19"/>
  <c r="G213" i="19"/>
  <c r="G214" i="19"/>
  <c r="G215" i="19"/>
  <c r="G216" i="19"/>
  <c r="G217" i="19"/>
  <c r="G218" i="19"/>
  <c r="G219" i="19"/>
  <c r="G220" i="19"/>
  <c r="G221" i="19"/>
  <c r="G222" i="19"/>
  <c r="G223" i="19"/>
  <c r="G224" i="19"/>
  <c r="G225" i="19"/>
  <c r="G226" i="19"/>
  <c r="G227" i="19"/>
  <c r="G228" i="19"/>
  <c r="G229" i="19"/>
  <c r="G230" i="19"/>
  <c r="G231" i="19"/>
  <c r="G232" i="19"/>
  <c r="G233" i="19"/>
  <c r="G234" i="19"/>
  <c r="G235" i="19"/>
  <c r="G236" i="19"/>
  <c r="G237" i="19"/>
  <c r="G238" i="19"/>
  <c r="G239" i="19"/>
  <c r="G240" i="19"/>
  <c r="G241" i="19"/>
  <c r="G242" i="19"/>
  <c r="G243" i="19"/>
  <c r="G244" i="19"/>
  <c r="G245" i="19"/>
  <c r="G246" i="19"/>
  <c r="G247" i="19"/>
  <c r="G248" i="19"/>
  <c r="G249" i="19"/>
  <c r="G250" i="19"/>
  <c r="G251" i="19"/>
  <c r="G252" i="19"/>
  <c r="G253" i="19"/>
  <c r="G254" i="19"/>
  <c r="G255" i="19"/>
  <c r="G256" i="19"/>
  <c r="G257" i="19"/>
  <c r="G258" i="19"/>
  <c r="G259" i="19"/>
  <c r="G260" i="19"/>
  <c r="G261" i="19"/>
  <c r="G262" i="19"/>
  <c r="G263" i="19"/>
  <c r="G264" i="19"/>
  <c r="G265" i="19"/>
  <c r="G266" i="19"/>
  <c r="G267" i="19"/>
  <c r="G268" i="19"/>
  <c r="G269" i="19"/>
  <c r="G270" i="19"/>
  <c r="G271" i="19"/>
  <c r="G272" i="19"/>
  <c r="G273" i="19"/>
  <c r="G274" i="19"/>
  <c r="G275" i="19"/>
  <c r="G276" i="19"/>
  <c r="G277" i="19"/>
  <c r="G278" i="19"/>
  <c r="G279" i="19"/>
  <c r="G280" i="19"/>
  <c r="G281" i="19"/>
  <c r="G282" i="19"/>
  <c r="G283" i="19"/>
  <c r="G284" i="19"/>
  <c r="G285" i="19"/>
  <c r="G286" i="19"/>
  <c r="G287" i="19"/>
  <c r="G288" i="19"/>
  <c r="G289" i="19"/>
  <c r="G290" i="19"/>
  <c r="G291" i="19"/>
  <c r="G292" i="19"/>
  <c r="G293" i="19"/>
  <c r="G294" i="19"/>
  <c r="G295" i="19"/>
  <c r="G296" i="19"/>
  <c r="G297" i="19"/>
  <c r="G298" i="19"/>
  <c r="G299" i="19"/>
  <c r="G300" i="19"/>
  <c r="G301" i="19"/>
  <c r="G302" i="19"/>
  <c r="G303" i="19"/>
  <c r="G304" i="19"/>
  <c r="G305" i="19"/>
  <c r="G306" i="19"/>
  <c r="G307" i="19"/>
  <c r="G308" i="19"/>
  <c r="G309" i="19"/>
  <c r="G310" i="19"/>
  <c r="G311" i="19"/>
  <c r="G312" i="19"/>
  <c r="G313" i="19"/>
  <c r="G314" i="19"/>
  <c r="G315" i="19"/>
  <c r="G316" i="19"/>
  <c r="G317" i="19"/>
  <c r="G318" i="19"/>
  <c r="G319" i="19"/>
  <c r="G320" i="19"/>
  <c r="G321" i="19"/>
  <c r="G322" i="19"/>
  <c r="G323" i="19"/>
  <c r="G324" i="19"/>
  <c r="G325" i="19"/>
  <c r="G326" i="19"/>
  <c r="G327" i="19"/>
  <c r="G328" i="19"/>
  <c r="G329" i="19"/>
  <c r="G330" i="19"/>
  <c r="G331" i="19"/>
  <c r="G332" i="19"/>
  <c r="G333" i="19"/>
  <c r="G334" i="19"/>
  <c r="G335" i="19"/>
  <c r="G336" i="19"/>
  <c r="G337" i="19"/>
  <c r="G338" i="19"/>
  <c r="G339" i="19"/>
  <c r="G340" i="19"/>
  <c r="G341" i="19"/>
  <c r="G342" i="19"/>
  <c r="G343" i="19"/>
  <c r="G344" i="19"/>
  <c r="G345" i="19"/>
  <c r="G346" i="19"/>
  <c r="G347" i="19"/>
  <c r="G348" i="19"/>
  <c r="G349" i="19"/>
  <c r="G350" i="19"/>
  <c r="G351" i="19"/>
  <c r="G352" i="19"/>
  <c r="G353" i="19"/>
  <c r="G354" i="19"/>
  <c r="G355" i="19"/>
  <c r="G356" i="19"/>
  <c r="G357" i="19"/>
  <c r="G358" i="19"/>
  <c r="G359" i="19"/>
  <c r="G360" i="19"/>
  <c r="G5" i="19"/>
  <c r="E6" i="19"/>
  <c r="E7" i="19"/>
  <c r="E8" i="19"/>
  <c r="E9" i="19"/>
  <c r="E10" i="19"/>
  <c r="E11" i="19"/>
  <c r="E12" i="19"/>
  <c r="E13" i="19"/>
  <c r="E14" i="19"/>
  <c r="E15" i="19"/>
  <c r="E16" i="19"/>
  <c r="E17" i="19"/>
  <c r="E18" i="19"/>
  <c r="E19" i="19"/>
  <c r="E20" i="19"/>
  <c r="E21" i="19"/>
  <c r="E22" i="19"/>
  <c r="E23" i="19"/>
  <c r="E24" i="19"/>
  <c r="E25" i="19"/>
  <c r="E26" i="19"/>
  <c r="E27" i="19"/>
  <c r="E28" i="19"/>
  <c r="E29" i="19"/>
  <c r="E30" i="19"/>
  <c r="E31" i="19"/>
  <c r="E32" i="19"/>
  <c r="E33" i="19"/>
  <c r="E34" i="19"/>
  <c r="E35" i="19"/>
  <c r="E36" i="19"/>
  <c r="E37" i="19"/>
  <c r="E38" i="19"/>
  <c r="E39" i="19"/>
  <c r="E40" i="19"/>
  <c r="E41" i="19"/>
  <c r="E42" i="19"/>
  <c r="E43" i="19"/>
  <c r="E44" i="19"/>
  <c r="E45" i="19"/>
  <c r="E46" i="19"/>
  <c r="E47" i="19"/>
  <c r="E48" i="19"/>
  <c r="E49" i="19"/>
  <c r="E50" i="19"/>
  <c r="E51" i="19"/>
  <c r="E52" i="19"/>
  <c r="E53" i="19"/>
  <c r="E54" i="19"/>
  <c r="E55" i="19"/>
  <c r="E56" i="19"/>
  <c r="E57" i="19"/>
  <c r="E58" i="19"/>
  <c r="E59" i="19"/>
  <c r="E60" i="19"/>
  <c r="E61" i="19"/>
  <c r="E62" i="19"/>
  <c r="E63" i="19"/>
  <c r="E64" i="19"/>
  <c r="E65" i="19"/>
  <c r="E66" i="19"/>
  <c r="E67" i="19"/>
  <c r="E68" i="19"/>
  <c r="E69" i="19"/>
  <c r="E70" i="19"/>
  <c r="E71" i="19"/>
  <c r="E72" i="19"/>
  <c r="E73" i="19"/>
  <c r="E74" i="19"/>
  <c r="E75" i="19"/>
  <c r="E76" i="19"/>
  <c r="E77" i="19"/>
  <c r="E78" i="19"/>
  <c r="E79" i="19"/>
  <c r="E80" i="19"/>
  <c r="E81" i="19"/>
  <c r="E82" i="19"/>
  <c r="E83" i="19"/>
  <c r="E84" i="19"/>
  <c r="E85" i="19"/>
  <c r="E86" i="19"/>
  <c r="E87" i="19"/>
  <c r="E88" i="19"/>
  <c r="E89" i="19"/>
  <c r="E90" i="19"/>
  <c r="E91" i="19"/>
  <c r="E92" i="19"/>
  <c r="E93" i="19"/>
  <c r="E94" i="19"/>
  <c r="E95" i="19"/>
  <c r="E96" i="19"/>
  <c r="E97" i="19"/>
  <c r="E98" i="19"/>
  <c r="E99" i="19"/>
  <c r="E100" i="19"/>
  <c r="E101" i="19"/>
  <c r="E102" i="19"/>
  <c r="E103" i="19"/>
  <c r="E104" i="19"/>
  <c r="E105" i="19"/>
  <c r="E106" i="19"/>
  <c r="E107" i="19"/>
  <c r="E108" i="19"/>
  <c r="E109" i="19"/>
  <c r="E110" i="19"/>
  <c r="E111" i="19"/>
  <c r="E112" i="19"/>
  <c r="E113" i="19"/>
  <c r="E114" i="19"/>
  <c r="E115" i="19"/>
  <c r="E116" i="19"/>
  <c r="E117" i="19"/>
  <c r="E118" i="19"/>
  <c r="E119" i="19"/>
  <c r="E120" i="19"/>
  <c r="E121" i="19"/>
  <c r="E122" i="19"/>
  <c r="E123" i="19"/>
  <c r="E124" i="19"/>
  <c r="E125" i="19"/>
  <c r="E126" i="19"/>
  <c r="E127" i="19"/>
  <c r="E128" i="19"/>
  <c r="E129" i="19"/>
  <c r="E130" i="19"/>
  <c r="E131" i="19"/>
  <c r="E132" i="19"/>
  <c r="E133" i="19"/>
  <c r="E134" i="19"/>
  <c r="E135" i="19"/>
  <c r="E136" i="19"/>
  <c r="E137" i="19"/>
  <c r="E138" i="19"/>
  <c r="E139" i="19"/>
  <c r="E140" i="19"/>
  <c r="E141" i="19"/>
  <c r="E142" i="19"/>
  <c r="E143" i="19"/>
  <c r="E144" i="19"/>
  <c r="E145" i="19"/>
  <c r="E146" i="19"/>
  <c r="E147" i="19"/>
  <c r="E148" i="19"/>
  <c r="E149" i="19"/>
  <c r="E150" i="19"/>
  <c r="E151" i="19"/>
  <c r="E152" i="19"/>
  <c r="E153" i="19"/>
  <c r="E154" i="19"/>
  <c r="E155" i="19"/>
  <c r="E156" i="19"/>
  <c r="E157" i="19"/>
  <c r="E158" i="19"/>
  <c r="E159" i="19"/>
  <c r="E160" i="19"/>
  <c r="E161" i="19"/>
  <c r="E162" i="19"/>
  <c r="E163" i="19"/>
  <c r="E164" i="19"/>
  <c r="E165" i="19"/>
  <c r="E166" i="19"/>
  <c r="E167" i="19"/>
  <c r="E168" i="19"/>
  <c r="E169" i="19"/>
  <c r="E170" i="19"/>
  <c r="E171" i="19"/>
  <c r="E172" i="19"/>
  <c r="E173" i="19"/>
  <c r="E174" i="19"/>
  <c r="E175" i="19"/>
  <c r="E176" i="19"/>
  <c r="E177" i="19"/>
  <c r="E178" i="19"/>
  <c r="E179" i="19"/>
  <c r="E180" i="19"/>
  <c r="E181" i="19"/>
  <c r="E182" i="19"/>
  <c r="E183" i="19"/>
  <c r="E184" i="19"/>
  <c r="E185" i="19"/>
  <c r="E186" i="19"/>
  <c r="E187" i="19"/>
  <c r="E188" i="19"/>
  <c r="E189" i="19"/>
  <c r="E190" i="19"/>
  <c r="E191" i="19"/>
  <c r="E192" i="19"/>
  <c r="E193" i="19"/>
  <c r="E194" i="19"/>
  <c r="E195" i="19"/>
  <c r="E196" i="19"/>
  <c r="E197" i="19"/>
  <c r="E198" i="19"/>
  <c r="E199" i="19"/>
  <c r="E200" i="19"/>
  <c r="E201" i="19"/>
  <c r="E202" i="19"/>
  <c r="E203" i="19"/>
  <c r="E204" i="19"/>
  <c r="E205" i="19"/>
  <c r="E206" i="19"/>
  <c r="E207" i="19"/>
  <c r="E208" i="19"/>
  <c r="E209" i="19"/>
  <c r="E210" i="19"/>
  <c r="E211" i="19"/>
  <c r="E212" i="19"/>
  <c r="E213" i="19"/>
  <c r="E214" i="19"/>
  <c r="E215" i="19"/>
  <c r="E216" i="19"/>
  <c r="E217" i="19"/>
  <c r="E218" i="19"/>
  <c r="E219" i="19"/>
  <c r="E220" i="19"/>
  <c r="E221" i="19"/>
  <c r="E222" i="19"/>
  <c r="E223" i="19"/>
  <c r="E224" i="19"/>
  <c r="E225" i="19"/>
  <c r="E226" i="19"/>
  <c r="E227" i="19"/>
  <c r="E228" i="19"/>
  <c r="E229" i="19"/>
  <c r="E230" i="19"/>
  <c r="E231" i="19"/>
  <c r="E232" i="19"/>
  <c r="E233" i="19"/>
  <c r="E234" i="19"/>
  <c r="E235" i="19"/>
  <c r="E236" i="19"/>
  <c r="E237" i="19"/>
  <c r="E238" i="19"/>
  <c r="E239" i="19"/>
  <c r="E240" i="19"/>
  <c r="E241" i="19"/>
  <c r="E242" i="19"/>
  <c r="E243" i="19"/>
  <c r="E244" i="19"/>
  <c r="E245" i="19"/>
  <c r="E246" i="19"/>
  <c r="E247" i="19"/>
  <c r="E248" i="19"/>
  <c r="E249" i="19"/>
  <c r="E250" i="19"/>
  <c r="E251" i="19"/>
  <c r="E252" i="19"/>
  <c r="E253" i="19"/>
  <c r="E254" i="19"/>
  <c r="E255" i="19"/>
  <c r="E256" i="19"/>
  <c r="E257" i="19"/>
  <c r="E258" i="19"/>
  <c r="E259" i="19"/>
  <c r="E260" i="19"/>
  <c r="E261" i="19"/>
  <c r="E262" i="19"/>
  <c r="E263" i="19"/>
  <c r="E264" i="19"/>
  <c r="E265" i="19"/>
  <c r="E266" i="19"/>
  <c r="E267" i="19"/>
  <c r="E268" i="19"/>
  <c r="E269" i="19"/>
  <c r="E270" i="19"/>
  <c r="E271" i="19"/>
  <c r="E272" i="19"/>
  <c r="E273" i="19"/>
  <c r="E274" i="19"/>
  <c r="E275" i="19"/>
  <c r="E276" i="19"/>
  <c r="E277" i="19"/>
  <c r="E278" i="19"/>
  <c r="E279" i="19"/>
  <c r="E280" i="19"/>
  <c r="E281" i="19"/>
  <c r="E282" i="19"/>
  <c r="E283" i="19"/>
  <c r="E284" i="19"/>
  <c r="E285" i="19"/>
  <c r="E286" i="19"/>
  <c r="E287" i="19"/>
  <c r="E288" i="19"/>
  <c r="E289" i="19"/>
  <c r="E290" i="19"/>
  <c r="E291" i="19"/>
  <c r="E292" i="19"/>
  <c r="E293" i="19"/>
  <c r="E294" i="19"/>
  <c r="E295" i="19"/>
  <c r="E296" i="19"/>
  <c r="E297" i="19"/>
  <c r="E298" i="19"/>
  <c r="E299" i="19"/>
  <c r="E300" i="19"/>
  <c r="E301" i="19"/>
  <c r="E302" i="19"/>
  <c r="E303" i="19"/>
  <c r="E304" i="19"/>
  <c r="E305" i="19"/>
  <c r="E306" i="19"/>
  <c r="E307" i="19"/>
  <c r="E308" i="19"/>
  <c r="E309" i="19"/>
  <c r="E310" i="19"/>
  <c r="E311" i="19"/>
  <c r="E312" i="19"/>
  <c r="E313" i="19"/>
  <c r="E314" i="19"/>
  <c r="E315" i="19"/>
  <c r="E316" i="19"/>
  <c r="E317" i="19"/>
  <c r="E318" i="19"/>
  <c r="E319" i="19"/>
  <c r="E320" i="19"/>
  <c r="E321" i="19"/>
  <c r="E322" i="19"/>
  <c r="E323" i="19"/>
  <c r="E324" i="19"/>
  <c r="E325" i="19"/>
  <c r="E326" i="19"/>
  <c r="E327" i="19"/>
  <c r="E328" i="19"/>
  <c r="E329" i="19"/>
  <c r="E330" i="19"/>
  <c r="E331" i="19"/>
  <c r="E332" i="19"/>
  <c r="E333" i="19"/>
  <c r="E334" i="19"/>
  <c r="E335" i="19"/>
  <c r="E336" i="19"/>
  <c r="E337" i="19"/>
  <c r="E338" i="19"/>
  <c r="E339" i="19"/>
  <c r="E340" i="19"/>
  <c r="E341" i="19"/>
  <c r="E342" i="19"/>
  <c r="E343" i="19"/>
  <c r="E344" i="19"/>
  <c r="E345" i="19"/>
  <c r="E346" i="19"/>
  <c r="E347" i="19"/>
  <c r="E348" i="19"/>
  <c r="E349" i="19"/>
  <c r="E350" i="19"/>
  <c r="E351" i="19"/>
  <c r="E352" i="19"/>
  <c r="E353" i="19"/>
  <c r="E354" i="19"/>
  <c r="E355" i="19"/>
  <c r="E356" i="19"/>
  <c r="E357" i="19"/>
  <c r="E358" i="19"/>
  <c r="E359" i="19"/>
  <c r="E360" i="19"/>
  <c r="E5" i="19"/>
  <c r="G12" i="11"/>
  <c r="G13" i="11"/>
  <c r="G14" i="11"/>
  <c r="G15" i="11"/>
  <c r="G17" i="11"/>
  <c r="G19" i="11"/>
  <c r="G20" i="11"/>
  <c r="G21" i="11"/>
  <c r="G22" i="11"/>
  <c r="G23" i="11"/>
  <c r="G24" i="11"/>
  <c r="G26" i="11"/>
  <c r="G27" i="11"/>
  <c r="G28" i="11"/>
  <c r="G29" i="11"/>
  <c r="G30" i="11"/>
  <c r="G31" i="11"/>
  <c r="G32" i="11"/>
  <c r="G33" i="11"/>
  <c r="G34" i="11"/>
  <c r="G35" i="11"/>
  <c r="G37" i="11"/>
  <c r="G38" i="11"/>
  <c r="G39" i="11"/>
  <c r="G43" i="11"/>
  <c r="G44" i="11"/>
  <c r="G45" i="11"/>
  <c r="G46" i="11"/>
  <c r="G47" i="11"/>
  <c r="G48" i="11"/>
  <c r="G49" i="11"/>
  <c r="G50" i="11"/>
  <c r="G51" i="11"/>
  <c r="G52" i="11"/>
  <c r="G54" i="11"/>
  <c r="G55" i="11"/>
  <c r="G56" i="11"/>
  <c r="G60" i="11"/>
  <c r="G61" i="11"/>
  <c r="G62" i="11"/>
  <c r="G63" i="11"/>
  <c r="G64" i="11"/>
  <c r="G65" i="11"/>
  <c r="G66" i="11"/>
  <c r="G67" i="11"/>
  <c r="G68" i="11"/>
  <c r="G70" i="11"/>
  <c r="G71" i="11"/>
  <c r="G72" i="11"/>
  <c r="G74" i="11"/>
  <c r="G76" i="11"/>
  <c r="G77" i="11"/>
  <c r="G78" i="11"/>
  <c r="G79" i="11"/>
  <c r="G80" i="11"/>
  <c r="G81" i="11"/>
  <c r="G82" i="11"/>
  <c r="G83" i="11"/>
  <c r="G11" i="11"/>
  <c r="K84" i="11"/>
  <c r="L84" i="11"/>
  <c r="M84" i="11"/>
  <c r="G84" i="11" s="1"/>
  <c r="N84" i="11"/>
  <c r="J84" i="11"/>
  <c r="K54" i="10"/>
  <c r="L54" i="10"/>
  <c r="M54" i="10"/>
  <c r="N54" i="10"/>
  <c r="J54" i="10"/>
  <c r="K41" i="10"/>
  <c r="L41" i="10"/>
  <c r="M41" i="10"/>
  <c r="G41" i="10" s="1"/>
  <c r="N41" i="10"/>
  <c r="J41" i="10"/>
  <c r="K19" i="10"/>
  <c r="L19" i="10"/>
  <c r="M19" i="10"/>
  <c r="N19" i="10"/>
  <c r="J19" i="10"/>
  <c r="G13" i="10"/>
  <c r="G14" i="10"/>
  <c r="G16" i="10"/>
  <c r="G17" i="10"/>
  <c r="G20" i="10"/>
  <c r="G21" i="10"/>
  <c r="G23" i="10"/>
  <c r="G24" i="10"/>
  <c r="G26" i="10"/>
  <c r="G27" i="10"/>
  <c r="G29" i="10"/>
  <c r="G30" i="10"/>
  <c r="G32" i="10"/>
  <c r="G33" i="10"/>
  <c r="G35" i="10"/>
  <c r="G36" i="10"/>
  <c r="G38" i="10"/>
  <c r="G39" i="10"/>
  <c r="G42" i="10"/>
  <c r="G43" i="10"/>
  <c r="G45" i="10"/>
  <c r="G46" i="10"/>
  <c r="G48" i="10"/>
  <c r="G49" i="10"/>
  <c r="G51" i="10"/>
  <c r="G52" i="10"/>
  <c r="G55" i="10"/>
  <c r="G56" i="10"/>
  <c r="G58" i="10"/>
  <c r="G59" i="10"/>
  <c r="G11" i="10"/>
  <c r="L60" i="10"/>
  <c r="M60" i="10"/>
  <c r="N60" i="10"/>
  <c r="L57" i="10"/>
  <c r="M57" i="10"/>
  <c r="N57" i="10"/>
  <c r="L53" i="10"/>
  <c r="M53" i="10"/>
  <c r="G53" i="10" s="1"/>
  <c r="N53" i="10"/>
  <c r="L50" i="10"/>
  <c r="M50" i="10"/>
  <c r="G50" i="10"/>
  <c r="N50" i="10"/>
  <c r="L47" i="10"/>
  <c r="M47" i="10"/>
  <c r="G47" i="10"/>
  <c r="N47" i="10"/>
  <c r="L44" i="10"/>
  <c r="M44" i="10"/>
  <c r="G44" i="10"/>
  <c r="N44" i="10"/>
  <c r="L40" i="10"/>
  <c r="M40" i="10"/>
  <c r="G40" i="10"/>
  <c r="N40" i="10"/>
  <c r="L37" i="10"/>
  <c r="M37" i="10"/>
  <c r="G37" i="10"/>
  <c r="N37" i="10"/>
  <c r="L34" i="10"/>
  <c r="M34" i="10"/>
  <c r="G34" i="10"/>
  <c r="N34" i="10"/>
  <c r="L31" i="10"/>
  <c r="M31" i="10"/>
  <c r="G31" i="10"/>
  <c r="N31" i="10"/>
  <c r="L28" i="10"/>
  <c r="M28" i="10"/>
  <c r="G28" i="10"/>
  <c r="N28" i="10"/>
  <c r="L25" i="10"/>
  <c r="M25" i="10"/>
  <c r="G25" i="10"/>
  <c r="N25" i="10"/>
  <c r="L22" i="10"/>
  <c r="M22" i="10"/>
  <c r="G22" i="10"/>
  <c r="N22" i="10"/>
  <c r="L18" i="10"/>
  <c r="M18" i="10"/>
  <c r="G18" i="10"/>
  <c r="N18" i="10"/>
  <c r="K60" i="10"/>
  <c r="K57" i="10"/>
  <c r="K53" i="10"/>
  <c r="K50" i="10"/>
  <c r="K47" i="10"/>
  <c r="K44" i="10"/>
  <c r="K40" i="10"/>
  <c r="K37" i="10"/>
  <c r="K34" i="10"/>
  <c r="K31" i="10"/>
  <c r="K28" i="10"/>
  <c r="K25" i="10"/>
  <c r="K22" i="10"/>
  <c r="K18" i="10"/>
  <c r="L15" i="10"/>
  <c r="M15" i="10"/>
  <c r="G15" i="10" s="1"/>
  <c r="N15" i="10"/>
  <c r="K15" i="10"/>
  <c r="L12" i="10"/>
  <c r="M12" i="10"/>
  <c r="G12" i="10"/>
  <c r="N12" i="10"/>
  <c r="K12" i="10"/>
  <c r="N187" i="9"/>
  <c r="N181" i="9"/>
  <c r="N191" i="9" s="1"/>
  <c r="N177" i="9"/>
  <c r="N174" i="9"/>
  <c r="N171" i="9"/>
  <c r="N168" i="9"/>
  <c r="N165" i="9"/>
  <c r="N152" i="9"/>
  <c r="N148" i="9"/>
  <c r="N145" i="9"/>
  <c r="N142" i="9"/>
  <c r="N139" i="9"/>
  <c r="N136" i="9"/>
  <c r="N133" i="9"/>
  <c r="N130" i="9"/>
  <c r="N127" i="9"/>
  <c r="N124" i="9"/>
  <c r="N118" i="9"/>
  <c r="N114" i="9"/>
  <c r="N111" i="9"/>
  <c r="N108" i="9"/>
  <c r="N105" i="9"/>
  <c r="N102" i="9"/>
  <c r="N99" i="9"/>
  <c r="N96" i="9"/>
  <c r="N93" i="9"/>
  <c r="N90" i="9"/>
  <c r="N77" i="9"/>
  <c r="N78" i="9" s="1"/>
  <c r="N73" i="9"/>
  <c r="N70" i="9"/>
  <c r="N67" i="9"/>
  <c r="N64" i="9"/>
  <c r="N61" i="9"/>
  <c r="N58" i="9"/>
  <c r="N55" i="9"/>
  <c r="N52" i="9"/>
  <c r="N49" i="9"/>
  <c r="N43" i="9"/>
  <c r="N44" i="9" s="1"/>
  <c r="N39" i="9"/>
  <c r="N36" i="9"/>
  <c r="N33" i="9"/>
  <c r="N30" i="9"/>
  <c r="N27" i="9"/>
  <c r="N24" i="9"/>
  <c r="N21" i="9"/>
  <c r="N18" i="9"/>
  <c r="N15" i="9"/>
  <c r="N12" i="9"/>
  <c r="G115" i="9"/>
  <c r="G116" i="9"/>
  <c r="G117" i="9"/>
  <c r="G120" i="9"/>
  <c r="G121" i="9"/>
  <c r="G122" i="9"/>
  <c r="G123" i="9"/>
  <c r="G125" i="9"/>
  <c r="G126" i="9"/>
  <c r="G128" i="9"/>
  <c r="G129" i="9"/>
  <c r="G131" i="9"/>
  <c r="G132" i="9"/>
  <c r="G134" i="9"/>
  <c r="G135" i="9"/>
  <c r="G137" i="9"/>
  <c r="G138" i="9"/>
  <c r="G140" i="9"/>
  <c r="G141" i="9"/>
  <c r="G143" i="9"/>
  <c r="G144" i="9"/>
  <c r="G146" i="9"/>
  <c r="G147" i="9"/>
  <c r="G149" i="9"/>
  <c r="G150" i="9"/>
  <c r="G151" i="9"/>
  <c r="G154" i="9"/>
  <c r="G155" i="9"/>
  <c r="G156" i="9"/>
  <c r="G159" i="9"/>
  <c r="G160" i="9"/>
  <c r="G161" i="9"/>
  <c r="G162" i="9"/>
  <c r="G163" i="9"/>
  <c r="G164" i="9"/>
  <c r="G166" i="9"/>
  <c r="G167" i="9"/>
  <c r="G169" i="9"/>
  <c r="G170" i="9"/>
  <c r="G172" i="9"/>
  <c r="G173" i="9"/>
  <c r="G175" i="9"/>
  <c r="G176" i="9"/>
  <c r="G178" i="9"/>
  <c r="G179" i="9"/>
  <c r="G180" i="9"/>
  <c r="G183" i="9"/>
  <c r="G184" i="9"/>
  <c r="G185" i="9"/>
  <c r="G186" i="9"/>
  <c r="G188" i="9"/>
  <c r="G189" i="9"/>
  <c r="G190" i="9"/>
  <c r="G193" i="9"/>
  <c r="G194" i="9"/>
  <c r="G195" i="9"/>
  <c r="G196" i="9"/>
  <c r="G197" i="9"/>
  <c r="G91" i="9"/>
  <c r="G92" i="9"/>
  <c r="G94" i="9"/>
  <c r="G95" i="9"/>
  <c r="G97" i="9"/>
  <c r="G98" i="9"/>
  <c r="G100" i="9"/>
  <c r="G101" i="9"/>
  <c r="G103" i="9"/>
  <c r="G104" i="9"/>
  <c r="G106" i="9"/>
  <c r="G107" i="9"/>
  <c r="G109" i="9"/>
  <c r="G110" i="9"/>
  <c r="G112" i="9"/>
  <c r="G113" i="9"/>
  <c r="G89" i="9"/>
  <c r="G50" i="9"/>
  <c r="G51" i="9"/>
  <c r="G53" i="9"/>
  <c r="G54" i="9"/>
  <c r="G56" i="9"/>
  <c r="G57" i="9"/>
  <c r="G59" i="9"/>
  <c r="G60" i="9"/>
  <c r="G62" i="9"/>
  <c r="G63" i="9"/>
  <c r="G65" i="9"/>
  <c r="G66" i="9"/>
  <c r="G68" i="9"/>
  <c r="G69" i="9"/>
  <c r="G71" i="9"/>
  <c r="G72" i="9"/>
  <c r="G48" i="9"/>
  <c r="G13" i="9"/>
  <c r="G14" i="9"/>
  <c r="G16" i="9"/>
  <c r="G17" i="9"/>
  <c r="G19" i="9"/>
  <c r="G20" i="9"/>
  <c r="G22" i="9"/>
  <c r="G23" i="9"/>
  <c r="G25" i="9"/>
  <c r="G26" i="9"/>
  <c r="G28" i="9"/>
  <c r="G29" i="9"/>
  <c r="G31" i="9"/>
  <c r="G32" i="9"/>
  <c r="G34" i="9"/>
  <c r="G35" i="9"/>
  <c r="G37" i="9"/>
  <c r="G38" i="9"/>
  <c r="G11" i="9"/>
  <c r="L90" i="9"/>
  <c r="M90" i="9"/>
  <c r="G90" i="9"/>
  <c r="L93" i="9"/>
  <c r="M93" i="9"/>
  <c r="G93" i="9" s="1"/>
  <c r="L96" i="9"/>
  <c r="M96" i="9"/>
  <c r="G96" i="9"/>
  <c r="L99" i="9"/>
  <c r="M99" i="9"/>
  <c r="G99" i="9"/>
  <c r="L102" i="9"/>
  <c r="M102" i="9"/>
  <c r="G102" i="9"/>
  <c r="L105" i="9"/>
  <c r="M105" i="9"/>
  <c r="G105" i="9"/>
  <c r="L108" i="9"/>
  <c r="M108" i="9"/>
  <c r="G108" i="9"/>
  <c r="L111" i="9"/>
  <c r="M111" i="9"/>
  <c r="G111" i="9" s="1"/>
  <c r="L114" i="9"/>
  <c r="M114" i="9"/>
  <c r="G114" i="9"/>
  <c r="L124" i="9"/>
  <c r="M124" i="9"/>
  <c r="G124" i="9" s="1"/>
  <c r="L127" i="9"/>
  <c r="M127" i="9"/>
  <c r="G127" i="9"/>
  <c r="L130" i="9"/>
  <c r="M130" i="9"/>
  <c r="G130" i="9"/>
  <c r="L133" i="9"/>
  <c r="M133" i="9"/>
  <c r="G133" i="9"/>
  <c r="L136" i="9"/>
  <c r="M136" i="9"/>
  <c r="G136" i="9"/>
  <c r="L139" i="9"/>
  <c r="M139" i="9"/>
  <c r="L142" i="9"/>
  <c r="M142" i="9"/>
  <c r="L145" i="9"/>
  <c r="M145" i="9"/>
  <c r="G145" i="9"/>
  <c r="L148" i="9"/>
  <c r="M148" i="9"/>
  <c r="G148" i="9" s="1"/>
  <c r="L165" i="9"/>
  <c r="M165" i="9"/>
  <c r="G165" i="9" s="1"/>
  <c r="L168" i="9"/>
  <c r="M168" i="9"/>
  <c r="G168" i="9" s="1"/>
  <c r="L171" i="9"/>
  <c r="M171" i="9"/>
  <c r="L174" i="9"/>
  <c r="M174" i="9"/>
  <c r="L177" i="9"/>
  <c r="M177" i="9"/>
  <c r="G177" i="9" s="1"/>
  <c r="L187" i="9"/>
  <c r="M187" i="9"/>
  <c r="G187" i="9" s="1"/>
  <c r="K187" i="9"/>
  <c r="K177" i="9"/>
  <c r="K174" i="9"/>
  <c r="K171" i="9"/>
  <c r="K168" i="9"/>
  <c r="K165" i="9"/>
  <c r="K148" i="9"/>
  <c r="K145" i="9"/>
  <c r="K142" i="9"/>
  <c r="K139" i="9"/>
  <c r="K136" i="9"/>
  <c r="K133" i="9"/>
  <c r="K130" i="9"/>
  <c r="K127" i="9"/>
  <c r="K124" i="9"/>
  <c r="K114" i="9"/>
  <c r="K111" i="9"/>
  <c r="K108" i="9"/>
  <c r="K105" i="9"/>
  <c r="K102" i="9"/>
  <c r="K99" i="9"/>
  <c r="K96" i="9"/>
  <c r="K93" i="9"/>
  <c r="K90" i="9"/>
  <c r="L73" i="9"/>
  <c r="M73" i="9"/>
  <c r="L70" i="9"/>
  <c r="M70" i="9"/>
  <c r="G70" i="9" s="1"/>
  <c r="L67" i="9"/>
  <c r="M67" i="9"/>
  <c r="L64" i="9"/>
  <c r="M64" i="9"/>
  <c r="G64" i="9" s="1"/>
  <c r="L61" i="9"/>
  <c r="M61" i="9"/>
  <c r="L58" i="9"/>
  <c r="M58" i="9"/>
  <c r="L55" i="9"/>
  <c r="M55" i="9"/>
  <c r="G55" i="9" s="1"/>
  <c r="L52" i="9"/>
  <c r="M52" i="9"/>
  <c r="G52" i="9" s="1"/>
  <c r="L49" i="9"/>
  <c r="M49" i="9"/>
  <c r="K73" i="9"/>
  <c r="K70" i="9"/>
  <c r="K67" i="9"/>
  <c r="K64" i="9"/>
  <c r="K61" i="9"/>
  <c r="K58" i="9"/>
  <c r="K55" i="9"/>
  <c r="K52" i="9"/>
  <c r="K49" i="9"/>
  <c r="L39" i="9"/>
  <c r="M39" i="9"/>
  <c r="G39" i="9" s="1"/>
  <c r="L36" i="9"/>
  <c r="M36" i="9"/>
  <c r="L33" i="9"/>
  <c r="M33" i="9"/>
  <c r="G33" i="9"/>
  <c r="L30" i="9"/>
  <c r="M30" i="9"/>
  <c r="G30" i="9"/>
  <c r="L27" i="9"/>
  <c r="M27" i="9"/>
  <c r="G27" i="9"/>
  <c r="L24" i="9"/>
  <c r="M24" i="9"/>
  <c r="G24" i="9"/>
  <c r="K39" i="9"/>
  <c r="K36" i="9"/>
  <c r="K33" i="9"/>
  <c r="K30" i="9"/>
  <c r="K27" i="9"/>
  <c r="K24" i="9"/>
  <c r="L21" i="9"/>
  <c r="M21" i="9"/>
  <c r="G21" i="9"/>
  <c r="K21" i="9"/>
  <c r="L18" i="9"/>
  <c r="M18" i="9"/>
  <c r="G18" i="9"/>
  <c r="L15" i="9"/>
  <c r="M15" i="9"/>
  <c r="G15" i="9"/>
  <c r="K18" i="9"/>
  <c r="K15" i="9"/>
  <c r="L12" i="9"/>
  <c r="M12" i="9"/>
  <c r="G12" i="9"/>
  <c r="K12" i="9"/>
  <c r="K181" i="9"/>
  <c r="K191" i="9"/>
  <c r="L181" i="9"/>
  <c r="L182" i="9" s="1"/>
  <c r="L191" i="9"/>
  <c r="L192" i="9" s="1"/>
  <c r="M181" i="9"/>
  <c r="M191" i="9" s="1"/>
  <c r="J181" i="9"/>
  <c r="J191" i="9" s="1"/>
  <c r="K192" i="9" s="1"/>
  <c r="K152" i="9"/>
  <c r="L152" i="9"/>
  <c r="M152" i="9"/>
  <c r="M153" i="9" s="1"/>
  <c r="G153" i="9" s="1"/>
  <c r="J152" i="9"/>
  <c r="J157" i="9" s="1"/>
  <c r="K118" i="9"/>
  <c r="K119" i="9" s="1"/>
  <c r="L118" i="9"/>
  <c r="M118" i="9"/>
  <c r="G118" i="9" s="1"/>
  <c r="J118" i="9"/>
  <c r="K77" i="9"/>
  <c r="L77" i="9"/>
  <c r="L78" i="9" s="1"/>
  <c r="M77" i="9"/>
  <c r="G77" i="9" s="1"/>
  <c r="J77" i="9"/>
  <c r="J82" i="9" s="1"/>
  <c r="K43" i="9"/>
  <c r="K82" i="9" s="1"/>
  <c r="L43" i="9"/>
  <c r="M44" i="9" s="1"/>
  <c r="G44" i="9" s="1"/>
  <c r="M43" i="9"/>
  <c r="J43" i="9"/>
  <c r="N153" i="9"/>
  <c r="L82" i="9"/>
  <c r="K28" i="26"/>
  <c r="N28" i="26"/>
  <c r="G8" i="26"/>
  <c r="M28" i="26"/>
  <c r="G28" i="26" s="1"/>
  <c r="J28" i="26"/>
  <c r="G54" i="10"/>
  <c r="G19" i="10"/>
  <c r="G57" i="10"/>
  <c r="G60" i="10"/>
  <c r="G139" i="9"/>
  <c r="G142" i="9"/>
  <c r="G152" i="9"/>
  <c r="G171" i="9"/>
  <c r="G174" i="9"/>
  <c r="G181" i="9"/>
  <c r="G43" i="9"/>
  <c r="G58" i="9"/>
  <c r="G61" i="9"/>
  <c r="G73" i="9"/>
  <c r="G49" i="9"/>
  <c r="G67" i="9"/>
  <c r="K153" i="9"/>
  <c r="K78" i="9"/>
  <c r="K44" i="9"/>
  <c r="G36" i="9"/>
  <c r="M119" i="9"/>
  <c r="G119" i="9" s="1"/>
  <c r="L153" i="9"/>
  <c r="K157" i="9"/>
  <c r="K198" i="9" s="1"/>
  <c r="L157" i="9"/>
  <c r="L158" i="9" s="1"/>
  <c r="L44" i="9"/>
  <c r="F13" i="21" l="1"/>
  <c r="J13" i="21"/>
  <c r="L10" i="19"/>
  <c r="L12" i="19"/>
  <c r="D7" i="15"/>
  <c r="J7" i="22"/>
  <c r="N192" i="9"/>
  <c r="I1" i="30"/>
  <c r="F19" i="36"/>
  <c r="J8" i="21"/>
  <c r="M192" i="9"/>
  <c r="G192" i="9" s="1"/>
  <c r="G191" i="9"/>
  <c r="K83" i="9"/>
  <c r="L83" i="9"/>
  <c r="J198" i="9"/>
  <c r="K199" i="9" s="1"/>
  <c r="D15" i="36"/>
  <c r="M182" i="9"/>
  <c r="G182" i="9" s="1"/>
  <c r="N82" i="9"/>
  <c r="N83" i="9" s="1"/>
  <c r="K158" i="9"/>
  <c r="L28" i="26"/>
  <c r="G18" i="21"/>
  <c r="F9" i="36"/>
  <c r="L119" i="9"/>
  <c r="L198" i="9"/>
  <c r="L199" i="9" s="1"/>
  <c r="M78" i="9"/>
  <c r="G78" i="9" s="1"/>
  <c r="G15" i="36"/>
  <c r="M157" i="9"/>
  <c r="L11" i="19"/>
  <c r="J18" i="21"/>
  <c r="M82" i="9"/>
  <c r="N182" i="9"/>
  <c r="K182" i="9"/>
  <c r="G9" i="36"/>
  <c r="I83" i="33"/>
  <c r="I93" i="33" s="1"/>
  <c r="I95" i="33" s="1"/>
  <c r="N10" i="22"/>
  <c r="N7" i="22"/>
  <c r="K10" i="22"/>
  <c r="O9" i="22"/>
  <c r="M10" i="22"/>
  <c r="L10" i="22"/>
  <c r="O22" i="21"/>
  <c r="P22" i="21" s="1"/>
  <c r="J24" i="21"/>
  <c r="J27" i="21" s="1"/>
  <c r="J9" i="21"/>
  <c r="J6" i="21"/>
  <c r="K11" i="21"/>
  <c r="J28" i="21"/>
  <c r="K5" i="21"/>
  <c r="K12" i="21" s="1"/>
  <c r="I110" i="35"/>
  <c r="I93" i="35"/>
  <c r="I95" i="35" s="1"/>
  <c r="I40" i="35"/>
  <c r="G22" i="35"/>
  <c r="I120" i="33"/>
  <c r="G18" i="35"/>
  <c r="D14" i="36"/>
  <c r="F102" i="34"/>
  <c r="I93" i="34"/>
  <c r="I95" i="34" s="1"/>
  <c r="I39" i="34"/>
  <c r="G22" i="33"/>
  <c r="I10" i="33"/>
  <c r="I20" i="35"/>
  <c r="G10" i="35"/>
  <c r="D7" i="36"/>
  <c r="G8" i="33"/>
  <c r="E7" i="36"/>
  <c r="I20" i="34"/>
  <c r="G12" i="34"/>
  <c r="G10" i="34"/>
  <c r="I47" i="33"/>
  <c r="B6" i="22"/>
  <c r="D46" i="21"/>
  <c r="N157" i="9"/>
  <c r="N158" i="9" s="1"/>
  <c r="N119" i="9"/>
  <c r="J19" i="21"/>
  <c r="J16" i="21"/>
  <c r="G24" i="21"/>
  <c r="H24" i="21"/>
  <c r="I16" i="21"/>
  <c r="H16" i="21"/>
  <c r="G16" i="21"/>
  <c r="I24" i="21"/>
  <c r="J23" i="22"/>
  <c r="N23" i="22"/>
  <c r="L3" i="21"/>
  <c r="M3" i="21" s="1"/>
  <c r="I19" i="21"/>
  <c r="F24" i="21"/>
  <c r="H19" i="21"/>
  <c r="I28" i="21"/>
  <c r="I9" i="21"/>
  <c r="H9" i="21"/>
  <c r="G9" i="21"/>
  <c r="F9" i="21"/>
  <c r="I6" i="21"/>
  <c r="H6" i="21"/>
  <c r="G6" i="21"/>
  <c r="H3" i="21"/>
  <c r="I3" i="21" s="1"/>
  <c r="H28" i="21"/>
  <c r="G28" i="21"/>
  <c r="K26" i="22"/>
  <c r="L26" i="22"/>
  <c r="N26" i="22"/>
  <c r="K23" i="22"/>
  <c r="L23" i="22"/>
  <c r="M26" i="22"/>
  <c r="J26" i="22"/>
  <c r="K27" i="26"/>
  <c r="M27" i="26"/>
  <c r="G27" i="26" s="1"/>
  <c r="L27" i="26"/>
  <c r="N27" i="26"/>
  <c r="J27" i="26"/>
  <c r="K4" i="28"/>
  <c r="F6" i="29"/>
  <c r="I5" i="30" s="1"/>
  <c r="J41" i="22"/>
  <c r="M23" i="22"/>
  <c r="L13" i="19" l="1"/>
  <c r="D44" i="21"/>
  <c r="N198" i="9"/>
  <c r="I3" i="30"/>
  <c r="G82" i="9"/>
  <c r="M83" i="9"/>
  <c r="G83" i="9" s="1"/>
  <c r="M158" i="9"/>
  <c r="G158" i="9" s="1"/>
  <c r="M198" i="9"/>
  <c r="G157" i="9"/>
  <c r="F7" i="36"/>
  <c r="F10" i="36" s="1"/>
  <c r="E19" i="36" s="1"/>
  <c r="D13" i="36"/>
  <c r="O25" i="22"/>
  <c r="Q22" i="21"/>
  <c r="G10" i="33"/>
  <c r="I20" i="33"/>
  <c r="I24" i="35"/>
  <c r="I33" i="35"/>
  <c r="G20" i="35"/>
  <c r="I24" i="34"/>
  <c r="I33" i="34"/>
  <c r="I43" i="34" s="1"/>
  <c r="G20" i="34"/>
  <c r="N199" i="9"/>
  <c r="D58" i="21"/>
  <c r="H27" i="21"/>
  <c r="I27" i="21"/>
  <c r="G27" i="21"/>
  <c r="N3" i="21"/>
  <c r="O3" i="21" s="1"/>
  <c r="P3" i="21" s="1"/>
  <c r="Q3" i="21" s="1"/>
  <c r="R3" i="21" s="1"/>
  <c r="S3" i="21" s="1"/>
  <c r="T3" i="21" s="1"/>
  <c r="F27" i="21"/>
  <c r="K32" i="21"/>
  <c r="L5" i="21"/>
  <c r="L12" i="21" s="1"/>
  <c r="K8" i="21"/>
  <c r="K18" i="21"/>
  <c r="K17" i="21" s="1"/>
  <c r="J39" i="22"/>
  <c r="J42" i="22"/>
  <c r="K41" i="22"/>
  <c r="L14" i="19" l="1"/>
  <c r="B4" i="22"/>
  <c r="B5" i="22" s="1"/>
  <c r="I7" i="28"/>
  <c r="I10" i="28" s="1"/>
  <c r="D51" i="21" s="1"/>
  <c r="K52" i="21" s="1"/>
  <c r="L52" i="21" s="1"/>
  <c r="M52" i="21" s="1"/>
  <c r="N52" i="21" s="1"/>
  <c r="O52" i="21" s="1"/>
  <c r="P52" i="21" s="1"/>
  <c r="Q52" i="21" s="1"/>
  <c r="R52" i="21" s="1"/>
  <c r="S52" i="21" s="1"/>
  <c r="T52" i="21" s="1"/>
  <c r="J11" i="22"/>
  <c r="J12" i="22" s="1"/>
  <c r="K27" i="22"/>
  <c r="K28" i="22" s="1"/>
  <c r="J27" i="22"/>
  <c r="J28" i="22" s="1"/>
  <c r="J43" i="22"/>
  <c r="N43" i="22"/>
  <c r="K11" i="22"/>
  <c r="K12" i="22" s="1"/>
  <c r="N11" i="22"/>
  <c r="N12" i="22" s="1"/>
  <c r="K27" i="21"/>
  <c r="L27" i="21" s="1"/>
  <c r="G198" i="9"/>
  <c r="M199" i="9"/>
  <c r="G199" i="9" s="1"/>
  <c r="F3" i="37"/>
  <c r="R22" i="21"/>
  <c r="S22" i="21" s="1"/>
  <c r="T22" i="21" s="1"/>
  <c r="K19" i="21"/>
  <c r="K15" i="21"/>
  <c r="G20" i="33"/>
  <c r="I33" i="33"/>
  <c r="I43" i="33" s="1"/>
  <c r="I128" i="33" s="1"/>
  <c r="I28" i="35"/>
  <c r="G24" i="35"/>
  <c r="I43" i="35"/>
  <c r="I53" i="35"/>
  <c r="I28" i="34"/>
  <c r="G24" i="34"/>
  <c r="E14" i="36"/>
  <c r="F14" i="36" s="1"/>
  <c r="I53" i="34"/>
  <c r="L11" i="21"/>
  <c r="M5" i="21"/>
  <c r="M12" i="21" s="1"/>
  <c r="L8" i="21"/>
  <c r="K31" i="21"/>
  <c r="K34" i="21"/>
  <c r="K42" i="22"/>
  <c r="K39" i="22"/>
  <c r="L41" i="22"/>
  <c r="M27" i="22" l="1"/>
  <c r="M28" i="22" s="1"/>
  <c r="B26" i="22"/>
  <c r="M11" i="22"/>
  <c r="M12" i="22" s="1"/>
  <c r="I4" i="30"/>
  <c r="N27" i="22"/>
  <c r="N28" i="22" s="1"/>
  <c r="N30" i="22"/>
  <c r="J31" i="22" s="1"/>
  <c r="L11" i="22"/>
  <c r="L12" i="22" s="1"/>
  <c r="L27" i="22"/>
  <c r="L28" i="22" s="1"/>
  <c r="K43" i="22"/>
  <c r="K44" i="22" s="1"/>
  <c r="L43" i="22"/>
  <c r="M43" i="22"/>
  <c r="N14" i="22"/>
  <c r="J15" i="22" s="1"/>
  <c r="J44" i="22"/>
  <c r="M27" i="21"/>
  <c r="N27" i="21" s="1"/>
  <c r="O27" i="21" s="1"/>
  <c r="P27" i="21" s="1"/>
  <c r="Q27" i="21" s="1"/>
  <c r="R27" i="21" s="1"/>
  <c r="S27" i="21" s="1"/>
  <c r="T27" i="21" s="1"/>
  <c r="L24" i="21"/>
  <c r="K24" i="21"/>
  <c r="K28" i="21" s="1"/>
  <c r="K33" i="21" s="1"/>
  <c r="E15" i="36"/>
  <c r="F15" i="36" s="1"/>
  <c r="I126" i="35"/>
  <c r="E13" i="36"/>
  <c r="F13" i="36" s="1"/>
  <c r="F16" i="36" s="1"/>
  <c r="I53" i="33"/>
  <c r="I47" i="35"/>
  <c r="G28" i="35"/>
  <c r="I52" i="35"/>
  <c r="I47" i="34"/>
  <c r="G28" i="34"/>
  <c r="I126" i="34"/>
  <c r="I52" i="34"/>
  <c r="K35" i="21"/>
  <c r="L32" i="21"/>
  <c r="N5" i="21"/>
  <c r="N12" i="21" s="1"/>
  <c r="M8" i="21"/>
  <c r="L31" i="21"/>
  <c r="L34" i="21"/>
  <c r="L18" i="21"/>
  <c r="K21" i="21"/>
  <c r="M11" i="21"/>
  <c r="L39" i="22"/>
  <c r="L42" i="22"/>
  <c r="M41" i="22"/>
  <c r="L28" i="21" l="1"/>
  <c r="L33" i="21" s="1"/>
  <c r="I11" i="30"/>
  <c r="D37" i="21" s="1"/>
  <c r="K38" i="21" s="1"/>
  <c r="L38" i="21" s="1"/>
  <c r="M38" i="21" s="1"/>
  <c r="N38" i="21" s="1"/>
  <c r="O38" i="21" s="1"/>
  <c r="P38" i="21" s="1"/>
  <c r="Q38" i="21" s="1"/>
  <c r="R38" i="21" s="1"/>
  <c r="S38" i="21" s="1"/>
  <c r="T38" i="21" s="1"/>
  <c r="J13" i="22"/>
  <c r="J16" i="22" s="1"/>
  <c r="J29" i="22"/>
  <c r="L44" i="22"/>
  <c r="B10" i="22"/>
  <c r="G19" i="36"/>
  <c r="H19" i="36" s="1"/>
  <c r="J19" i="36" s="1"/>
  <c r="D23" i="36" s="1"/>
  <c r="M24" i="21"/>
  <c r="M28" i="21" s="1"/>
  <c r="M33" i="21" s="1"/>
  <c r="L17" i="21"/>
  <c r="L19" i="21" s="1"/>
  <c r="I52" i="33"/>
  <c r="O5" i="21"/>
  <c r="O12" i="21" s="1"/>
  <c r="N8" i="21"/>
  <c r="N24" i="21"/>
  <c r="M31" i="21"/>
  <c r="M18" i="21"/>
  <c r="M34" i="21"/>
  <c r="M32" i="21"/>
  <c r="N11" i="21"/>
  <c r="K53" i="21"/>
  <c r="M42" i="22"/>
  <c r="M39" i="22"/>
  <c r="N41" i="22"/>
  <c r="M44" i="22"/>
  <c r="L35" i="21" l="1"/>
  <c r="K39" i="21"/>
  <c r="R3" i="22"/>
  <c r="J32" i="22"/>
  <c r="B23" i="22"/>
  <c r="D6" i="37"/>
  <c r="F6" i="37" s="1"/>
  <c r="N28" i="21"/>
  <c r="N33" i="21" s="1"/>
  <c r="L15" i="21"/>
  <c r="L21" i="21" s="1"/>
  <c r="M17" i="21"/>
  <c r="M19" i="21" s="1"/>
  <c r="P5" i="21"/>
  <c r="P12" i="21" s="1"/>
  <c r="O8" i="21"/>
  <c r="O24" i="21"/>
  <c r="O28" i="21" s="1"/>
  <c r="O33" i="21" s="1"/>
  <c r="N31" i="21"/>
  <c r="N18" i="21"/>
  <c r="N34" i="21"/>
  <c r="O11" i="21"/>
  <c r="N32" i="21"/>
  <c r="M35" i="21"/>
  <c r="N42" i="22"/>
  <c r="N39" i="22"/>
  <c r="O41" i="22"/>
  <c r="N46" i="22" s="1"/>
  <c r="J47" i="22" s="1"/>
  <c r="N44" i="22"/>
  <c r="J45" i="22" s="1"/>
  <c r="L39" i="21" l="1"/>
  <c r="R21" i="22"/>
  <c r="B15" i="22"/>
  <c r="L53" i="21"/>
  <c r="M15" i="21"/>
  <c r="M21" i="21" s="1"/>
  <c r="N17" i="21"/>
  <c r="N19" i="21" s="1"/>
  <c r="Q5" i="21"/>
  <c r="Q12" i="21" s="1"/>
  <c r="P8" i="21"/>
  <c r="P24" i="21"/>
  <c r="P28" i="21" s="1"/>
  <c r="P33" i="21" s="1"/>
  <c r="O31" i="21"/>
  <c r="O18" i="21"/>
  <c r="O34" i="21"/>
  <c r="P11" i="21"/>
  <c r="O32" i="21"/>
  <c r="M39" i="21"/>
  <c r="N35" i="21"/>
  <c r="J48" i="22"/>
  <c r="D7" i="37" l="1"/>
  <c r="B24" i="22"/>
  <c r="M53" i="21"/>
  <c r="N15" i="21"/>
  <c r="N21" i="21" s="1"/>
  <c r="R5" i="21"/>
  <c r="R12" i="21" s="1"/>
  <c r="Q8" i="21"/>
  <c r="Q24" i="21"/>
  <c r="Q28" i="21" s="1"/>
  <c r="Q33" i="21" s="1"/>
  <c r="P31" i="21"/>
  <c r="P18" i="21"/>
  <c r="P34" i="21"/>
  <c r="Q11" i="21"/>
  <c r="P32" i="21"/>
  <c r="N39" i="21"/>
  <c r="O17" i="21"/>
  <c r="O19" i="21" s="1"/>
  <c r="O35" i="21"/>
  <c r="B20" i="22"/>
  <c r="R37" i="22"/>
  <c r="F7" i="37" l="1"/>
  <c r="B25" i="22"/>
  <c r="D8" i="37"/>
  <c r="N53" i="21"/>
  <c r="S5" i="21"/>
  <c r="S12" i="21" s="1"/>
  <c r="R8" i="21"/>
  <c r="R24" i="21"/>
  <c r="R28" i="21" s="1"/>
  <c r="R33" i="21" s="1"/>
  <c r="Q31" i="21"/>
  <c r="Q18" i="21"/>
  <c r="Q34" i="21"/>
  <c r="R11" i="21"/>
  <c r="Q32" i="21"/>
  <c r="O15" i="21"/>
  <c r="O21" i="21" s="1"/>
  <c r="P17" i="21"/>
  <c r="P19" i="21" s="1"/>
  <c r="O39" i="21"/>
  <c r="P35" i="21"/>
  <c r="F8" i="37" l="1"/>
  <c r="T5" i="21"/>
  <c r="T12" i="21" s="1"/>
  <c r="S8" i="21"/>
  <c r="S24" i="21"/>
  <c r="S28" i="21" s="1"/>
  <c r="S33" i="21" s="1"/>
  <c r="R31" i="21"/>
  <c r="R18" i="21"/>
  <c r="R34" i="21"/>
  <c r="S11" i="21"/>
  <c r="R32" i="21"/>
  <c r="Q17" i="21"/>
  <c r="Q19" i="21" s="1"/>
  <c r="P15" i="21"/>
  <c r="P21" i="21" s="1"/>
  <c r="P39" i="21"/>
  <c r="O53" i="21"/>
  <c r="Q35" i="21"/>
  <c r="R35" i="21" l="1"/>
  <c r="T8" i="21"/>
  <c r="T24" i="21"/>
  <c r="T28" i="21" s="1"/>
  <c r="T33" i="21" s="1"/>
  <c r="S31" i="21"/>
  <c r="S18" i="21"/>
  <c r="S34" i="21"/>
  <c r="T11" i="21"/>
  <c r="T32" i="21" s="1"/>
  <c r="S32" i="21"/>
  <c r="Q15" i="21"/>
  <c r="Q21" i="21" s="1"/>
  <c r="R17" i="21"/>
  <c r="R19" i="21" s="1"/>
  <c r="Q39" i="21"/>
  <c r="P53" i="21"/>
  <c r="R39" i="21" l="1"/>
  <c r="Q53" i="21"/>
  <c r="T31" i="21"/>
  <c r="T18" i="21"/>
  <c r="T34" i="21"/>
  <c r="S17" i="21"/>
  <c r="S19" i="21" s="1"/>
  <c r="R15" i="21"/>
  <c r="S35" i="21"/>
  <c r="S15" i="21" l="1"/>
  <c r="S21" i="21" s="1"/>
  <c r="T17" i="21"/>
  <c r="T19" i="21" s="1"/>
  <c r="R53" i="21"/>
  <c r="R21" i="21"/>
  <c r="S39" i="21"/>
  <c r="T35" i="21"/>
  <c r="T15" i="21" l="1"/>
  <c r="T21" i="21" s="1"/>
  <c r="T41" i="21"/>
  <c r="T39" i="21"/>
  <c r="S53" i="21"/>
  <c r="D43" i="21" l="1"/>
  <c r="D45" i="21" s="1"/>
  <c r="D47" i="21" s="1"/>
  <c r="D4" i="37" s="1"/>
  <c r="F4" i="37" l="1"/>
  <c r="T55" i="21"/>
  <c r="T53" i="21"/>
  <c r="D57" i="21" l="1"/>
  <c r="D59" i="21" s="1"/>
  <c r="D61" i="21" l="1"/>
  <c r="D5" i="37"/>
  <c r="F5" i="37" l="1"/>
  <c r="F9" i="37" s="1"/>
  <c r="F11" i="37" s="1"/>
  <c r="D9" i="37"/>
  <c r="D18" i="7" s="1"/>
  <c r="D19"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Григорьев Владимир Алексеевич</author>
  </authors>
  <commentList>
    <comment ref="J52" authorId="0" shapeId="0" xr:uid="{00000000-0006-0000-0600-000001000000}">
      <text>
        <r>
          <rPr>
            <b/>
            <sz val="9"/>
            <color rgb="FF000000"/>
            <rFont val="Tahoma"/>
            <family val="2"/>
          </rPr>
          <t>Григорьев Владимир Алексеевич:</t>
        </r>
        <r>
          <rPr>
            <sz val="9"/>
            <color rgb="FF000000"/>
            <rFont val="Tahoma"/>
            <family val="2"/>
          </rPr>
          <t xml:space="preserve">
</t>
        </r>
        <r>
          <rPr>
            <sz val="9"/>
            <color rgb="FF000000"/>
            <rFont val="Tahoma"/>
            <family val="2"/>
          </rPr>
          <t>Due to profit from discontinued operations after taxes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tc={8445F27F-BED7-1D49-8C9F-7C828C4F6E88}</author>
    <author>tc={9637B670-3F99-DA49-A168-90DBC89CDC4D}</author>
    <author>tc={035634FB-5E6C-6A48-89A4-E75378964961}</author>
    <author>tc={02A2ABE4-1FF3-5144-80E9-E89F57FCFC38}</author>
    <author>tc={E127CD81-4F09-E24B-9496-CDE57ACCDCAC}</author>
    <author>tc={301DDE35-5794-F140-94A6-08094CC40023}</author>
    <author>tc={8ECF6F71-6A0A-F84E-B0F3-383048BD0C0B}</author>
  </authors>
  <commentList>
    <comment ref="K6" authorId="0" shapeId="0" xr:uid="{8445F27F-BED7-1D49-8C9F-7C828C4F6E88}">
      <text>
        <t>[Threaded comment]
Your version of Excel allows you to read this threaded comment; however, any edits to it will get removed if the file is opened in a newer version of Excel. Learn more: https://go.microsoft.com/fwlink/?linkid=870924
Comment:
    -4.9% in 2026Q1, mostly due to dropping sales in China https://group.mercedes-benz.com/documents/investors/reports/interim-reports/q1/mercedes-benz-interim-report-q1-2026.pdf</t>
      </text>
    </comment>
    <comment ref="L6" authorId="1" shapeId="0" xr:uid="{9637B670-3F99-DA49-A168-90DBC89CDC4D}">
      <text>
        <t>[Threaded comment]
Your version of Excel allows you to read this threaded comment; however, any edits to it will get removed if the file is opened in a newer version of Excel. Learn more: https://go.microsoft.com/fwlink/?linkid=870924
Comment:
    Gradual stabilisation of China share and EV segment maturation further on</t>
      </text>
    </comment>
    <comment ref="E15" authorId="2" shapeId="0" xr:uid="{035634FB-5E6C-6A48-89A4-E75378964961}">
      <text>
        <t>[Threaded comment]
Your version of Excel allows you to read this threaded comment; however, any edits to it will get removed if the file is opened in a newer version of Excel. Learn more: https://go.microsoft.com/fwlink/?linkid=870924
Comment:
    Should we keep this comment as-is?</t>
      </text>
    </comment>
    <comment ref="K16" authorId="3" shapeId="0" xr:uid="{02A2ABE4-1FF3-5144-80E9-E89F57FCFC38}">
      <text>
        <t>[Threaded comment]
Your version of Excel allows you to read this threaded comment; however, any edits to it will get removed if the file is opened in a newer version of Excel. Learn more: https://go.microsoft.com/fwlink/?linkid=870924
Comment:
    According to Bundesbank, interest rates are to remain unchanged from 2025, inflation projected to stabilise around 2% https://www.bundesbank.de/en/tasks/topics/ecb-keeps-rates-unchanged-992166</t>
      </text>
    </comment>
    <comment ref="J22" authorId="4" shapeId="0" xr:uid="{E127CD81-4F09-E24B-9496-CDE57ACCDCAC}">
      <text>
        <t>[Threaded comment]
Your version of Excel allows you to read this threaded comment; however, any edits to it will get removed if the file is opened in a newer version of Excel. Learn more: https://go.microsoft.com/fwlink/?linkid=870924
Comment:
    The tax expense declared under income taxes
amounted to €1.0 billion (2024: €3.7 billion). As a result
of the lower profit before income taxes and the law for
an immediate tax investment programme to strengthen
Germany as a business location, tax expense was
below the prior-year level. In particular the afore-
mentioned law led to a decrease in the effective tax
rate for the reporting year to 15.2% (2024: 26.4%).</t>
      </text>
    </comment>
    <comment ref="M22" authorId="5" shapeId="0" xr:uid="{301DDE35-5794-F140-94A6-08094CC40023}">
      <text>
        <t>[Threaded comment]
Your version of Excel allows you to read this threaded comment; however, any edits to it will get removed if the file is opened in a newer version of Excel. Learn more: https://go.microsoft.com/fwlink/?linkid=870924
Comment:
    According to PwC, German corporate tax rate is planned to decrease from 15% to 10% by 1% a year starting in 2028 and completing in 2032 https://taxsummaries.pwc.com/germany/corporate/taxes-on-corporate-income</t>
      </text>
    </comment>
    <comment ref="E40" authorId="6" shapeId="0" xr:uid="{8ECF6F71-6A0A-F84E-B0F3-383048BD0C0B}">
      <text>
        <t>[Threaded comment]
Your version of Excel allows you to read this threaded comment; however, any edits to it will get removed if the file is opened in a newer version of Excel. Learn more: https://go.microsoft.com/fwlink/?linkid=870924
Comment:
    According to European Commission forecast for 2026 https://economy-finance.ec.europa.eu/economic-surveillance-eu-member-states/country-pages/germany/economic-forecast-germany_en</t>
      </text>
    </comment>
  </commentList>
</comments>
</file>

<file path=xl/sharedStrings.xml><?xml version="1.0" encoding="utf-8"?>
<sst xmlns="http://schemas.openxmlformats.org/spreadsheetml/2006/main" count="1294" uniqueCount="455">
  <si>
    <t>Made by:</t>
  </si>
  <si>
    <t>Object of valuation:</t>
  </si>
  <si>
    <t>Grigoryev Vladimir</t>
  </si>
  <si>
    <t>Karaev Nadir</t>
  </si>
  <si>
    <t>Varochka Dmitry</t>
  </si>
  <si>
    <t>Karpushkina Ekaterina</t>
  </si>
  <si>
    <t>Zakharova Elizaveta</t>
  </si>
  <si>
    <t>Uskova Olga</t>
  </si>
  <si>
    <t>Cherniy Nikita</t>
  </si>
  <si>
    <t>Sharafutdinov Ilia</t>
  </si>
  <si>
    <t>Kulikov Igor</t>
  </si>
  <si>
    <t>Smirnova Anastasia</t>
  </si>
  <si>
    <t>Mercedes-Benz Group AG</t>
  </si>
  <si>
    <t>Income approach</t>
  </si>
  <si>
    <t>Methods of valuation:</t>
  </si>
  <si>
    <t>Market approach</t>
  </si>
  <si>
    <t>Legend:</t>
  </si>
  <si>
    <t>Table of contents:</t>
  </si>
  <si>
    <t>xxx</t>
  </si>
  <si>
    <t>Assumptions with source</t>
  </si>
  <si>
    <t>Analysis</t>
  </si>
  <si>
    <t>Change in formula</t>
  </si>
  <si>
    <t>Analytical assumption</t>
  </si>
  <si>
    <t>Link from other sheet</t>
  </si>
  <si>
    <t>Text</t>
  </si>
  <si>
    <t>Heading</t>
  </si>
  <si>
    <t>Subheading</t>
  </si>
  <si>
    <t>Source</t>
  </si>
  <si>
    <t>UoM</t>
  </si>
  <si>
    <t>Const</t>
  </si>
  <si>
    <t>2021A</t>
  </si>
  <si>
    <t>2022A</t>
  </si>
  <si>
    <t>2023A</t>
  </si>
  <si>
    <t>2024A</t>
  </si>
  <si>
    <t>2025A</t>
  </si>
  <si>
    <t>2026F</t>
  </si>
  <si>
    <t>2027F</t>
  </si>
  <si>
    <t>2028F</t>
  </si>
  <si>
    <t>2029F</t>
  </si>
  <si>
    <t>2030F</t>
  </si>
  <si>
    <t>Balance sheet</t>
  </si>
  <si>
    <t>Non-current assets</t>
  </si>
  <si>
    <t>Intangible assets</t>
  </si>
  <si>
    <t>Property, plant and equipment including right-of-use assets</t>
  </si>
  <si>
    <t>Equipment on operating leases</t>
  </si>
  <si>
    <t>Equity-method investments</t>
  </si>
  <si>
    <t>Receivables from financial services</t>
  </si>
  <si>
    <t>Marketable debt securities and similar investments</t>
  </si>
  <si>
    <t>Other financial assets</t>
  </si>
  <si>
    <t>Deferred tax assets</t>
  </si>
  <si>
    <t>Income tax assets</t>
  </si>
  <si>
    <t>Other assets</t>
  </si>
  <si>
    <t>Total non-current assets</t>
  </si>
  <si>
    <t>Current assets</t>
  </si>
  <si>
    <t>Inventories</t>
  </si>
  <si>
    <t>Trade receivables</t>
  </si>
  <si>
    <t>Cash and cash equivalents</t>
  </si>
  <si>
    <t>Assets held for sale</t>
  </si>
  <si>
    <t>Total current assets</t>
  </si>
  <si>
    <t>Total assets</t>
  </si>
  <si>
    <t>Assets</t>
  </si>
  <si>
    <t>Liabilities</t>
  </si>
  <si>
    <t>Non-current liabilities</t>
  </si>
  <si>
    <t>Provisions for pensions and similar obligations</t>
  </si>
  <si>
    <t>Provisions for other risks</t>
  </si>
  <si>
    <t>Financing liabilities</t>
  </si>
  <si>
    <t>Other financial liabilities</t>
  </si>
  <si>
    <t>Deferred tax liabilities</t>
  </si>
  <si>
    <t>Deffered income</t>
  </si>
  <si>
    <t>Contract and refund liabilities</t>
  </si>
  <si>
    <t>Income tax liabilities</t>
  </si>
  <si>
    <t>Other liabilities</t>
  </si>
  <si>
    <t>Total non-current liabilities</t>
  </si>
  <si>
    <t>Current liabilities</t>
  </si>
  <si>
    <t>Trade payables</t>
  </si>
  <si>
    <t>Liabilities held for sale</t>
  </si>
  <si>
    <t>Total liabilities</t>
  </si>
  <si>
    <t>Total current liabilities</t>
  </si>
  <si>
    <t>Equity</t>
  </si>
  <si>
    <t>Equity attributable to shareholders of Mercedes-Benz Group AG</t>
  </si>
  <si>
    <t>Share capital</t>
  </si>
  <si>
    <t>Capital reserves</t>
  </si>
  <si>
    <t>Retained earnings</t>
  </si>
  <si>
    <t>Other reserves</t>
  </si>
  <si>
    <t>Treasury shares</t>
  </si>
  <si>
    <t>Total equity to shareholders</t>
  </si>
  <si>
    <t>Non-controlling interest</t>
  </si>
  <si>
    <t xml:space="preserve">Total equity </t>
  </si>
  <si>
    <t>Liabilities &amp; Equity</t>
  </si>
  <si>
    <t>Total Liabilities &amp; Equity</t>
  </si>
  <si>
    <t>Change YoY</t>
  </si>
  <si>
    <t>Annual statement</t>
  </si>
  <si>
    <t>Analysis %</t>
  </si>
  <si>
    <t>Calcs</t>
  </si>
  <si>
    <t>Income statement (P&amp;L)</t>
  </si>
  <si>
    <t>Income statement</t>
  </si>
  <si>
    <t>Revenue</t>
  </si>
  <si>
    <t>Cost of goods sold</t>
  </si>
  <si>
    <t>Gross profit</t>
  </si>
  <si>
    <t>Selling expenses</t>
  </si>
  <si>
    <t>General administrative expenses</t>
  </si>
  <si>
    <t>Research and non-capitalized development costs</t>
  </si>
  <si>
    <t>Other operating income/expense</t>
  </si>
  <si>
    <t>Gains/losses on equity-method invesments, net</t>
  </si>
  <si>
    <t>Other financial income/expense, net</t>
  </si>
  <si>
    <t>EBIT</t>
  </si>
  <si>
    <t>Interest income</t>
  </si>
  <si>
    <t>Profit before income taxes</t>
  </si>
  <si>
    <t>Income taxes</t>
  </si>
  <si>
    <t>Net profit</t>
  </si>
  <si>
    <t>thereof profit attributable to non-controlling interests</t>
  </si>
  <si>
    <t>thereof profit attributable to shareholders of Mercedes-Benz Group AG</t>
  </si>
  <si>
    <t>Margin</t>
  </si>
  <si>
    <t>Cashflow statement</t>
  </si>
  <si>
    <t>Cashflow from operating activities</t>
  </si>
  <si>
    <t>Cash and cash equivalents ta beginning of period</t>
  </si>
  <si>
    <t>less cash and cash equivalents classified as assets held for sale at beginning of year</t>
  </si>
  <si>
    <t>Cash and cash equivalents at beginning of year (Consolidated Statement of Financial Position)</t>
  </si>
  <si>
    <t>Cash and cash equivalents at beginning of period</t>
  </si>
  <si>
    <t>Profit from continuing operations</t>
  </si>
  <si>
    <t>Depreciation and amortisation/impairments</t>
  </si>
  <si>
    <t>Other non-cash expense and income</t>
  </si>
  <si>
    <t>Gains (-)/losses (+) from disposals of non-current assets</t>
  </si>
  <si>
    <t>Change in operating assets and liabilities</t>
  </si>
  <si>
    <t>Trade receivables and trade liabilities</t>
  </si>
  <si>
    <t>Vehicles on operating leases</t>
  </si>
  <si>
    <t>Other operating assets and liabilities</t>
  </si>
  <si>
    <t>Dividends received from equity-method investments</t>
  </si>
  <si>
    <t>Income taxes paid</t>
  </si>
  <si>
    <t>Cashflow from investing activities</t>
  </si>
  <si>
    <t>Total cashflow from operating activities</t>
  </si>
  <si>
    <t>Additions to property, plant and equipment</t>
  </si>
  <si>
    <t>Additions to intangible assets</t>
  </si>
  <si>
    <t>Investments in shareholdings</t>
  </si>
  <si>
    <t>Cash inflows from disposals of shareholdings and other business operations</t>
  </si>
  <si>
    <t>Acquisition of marketable debt securities and similar investments</t>
  </si>
  <si>
    <t>Cash inflows from sales of marketable debt securities and similar investments</t>
  </si>
  <si>
    <t>Cash inflows from disposals of property, plant and equipment and intangible assets</t>
  </si>
  <si>
    <t>Other</t>
  </si>
  <si>
    <t>Total cashflow from investing activities</t>
  </si>
  <si>
    <t>Cashflow from financing activities</t>
  </si>
  <si>
    <t>Cashflow from financingactivities</t>
  </si>
  <si>
    <t>Change in short-term financing liabilities</t>
  </si>
  <si>
    <t>Additions to long-term financing liabilities</t>
  </si>
  <si>
    <t>Repayment of long-term financing liabilities</t>
  </si>
  <si>
    <t>Dividend paid to shareholders of Mercedes-Benz Group AG</t>
  </si>
  <si>
    <t>Dividends paid to non-controlling interests</t>
  </si>
  <si>
    <t>Acquisition of treasury shares</t>
  </si>
  <si>
    <t>Other cash inflows</t>
  </si>
  <si>
    <t>Total cashflow from financing activities</t>
  </si>
  <si>
    <t>Changes in cash and cash equivalents</t>
  </si>
  <si>
    <t>Cash and cash equivalents the the end of the period</t>
  </si>
  <si>
    <t>thereof cash and cash equivalents classified as assets held for sale at end of period</t>
  </si>
  <si>
    <t>Cash and cash equivalents at end of year (Consolidated Statement of Financial Position)</t>
  </si>
  <si>
    <t>Net change in cash and cash eqivalents</t>
  </si>
  <si>
    <t>Date</t>
  </si>
  <si>
    <t>Mercedes</t>
  </si>
  <si>
    <t>DAX 40</t>
  </si>
  <si>
    <t>Return, %</t>
  </si>
  <si>
    <t>Price, EUR</t>
  </si>
  <si>
    <t>Sources</t>
  </si>
  <si>
    <t>Adj Close</t>
  </si>
  <si>
    <t>https://finance.yahoo.com/quote/%5EGDAXI/history/?frequency=1mo&amp;period1=567849600&amp;period2=1779099298</t>
  </si>
  <si>
    <t>https://finance.yahoo.com/quote/MBG.DE/history/?frequency=1mo&amp;period1=846662400&amp;period2=1779099298</t>
  </si>
  <si>
    <t>n</t>
  </si>
  <si>
    <t>range</t>
  </si>
  <si>
    <t>Calculation</t>
  </si>
  <si>
    <t>Observations</t>
  </si>
  <si>
    <t>DAX Std</t>
  </si>
  <si>
    <t>DAX Var</t>
  </si>
  <si>
    <t>CoVar</t>
  </si>
  <si>
    <t>Beta</t>
  </si>
  <si>
    <t>Link</t>
  </si>
  <si>
    <t>EBIT margin</t>
  </si>
  <si>
    <t>EBITDA margin</t>
  </si>
  <si>
    <t>Margins</t>
  </si>
  <si>
    <t>Net Profit</t>
  </si>
  <si>
    <t>EBITDA</t>
  </si>
  <si>
    <t>(-)Gains and losses on equity-method investments</t>
  </si>
  <si>
    <t>(-)Other financial income/expenses</t>
  </si>
  <si>
    <t>AS Note 7</t>
  </si>
  <si>
    <t>(+)Other operating expense</t>
  </si>
  <si>
    <t>(-)Other operating income</t>
  </si>
  <si>
    <t>Non-operating items</t>
  </si>
  <si>
    <t>AS Note 34</t>
  </si>
  <si>
    <t>+ Depreciation &amp; Amortization</t>
  </si>
  <si>
    <t>EBIT (from the IS)</t>
  </si>
  <si>
    <t>AS Note 6</t>
  </si>
  <si>
    <t>AS Note 13</t>
  </si>
  <si>
    <t>Link: https://www.bmwgroup.com/content/dam/grpw/websites/bmwgroup_com/ir/downloads/en/2026/bericht/BMW-Group-Report-2025-en.pdf</t>
  </si>
  <si>
    <t>mln EUR</t>
  </si>
  <si>
    <t>SGA</t>
  </si>
  <si>
    <t>Basic earnings per ordinary share</t>
  </si>
  <si>
    <t xml:space="preserve">Basic earnings per preferred share </t>
  </si>
  <si>
    <t>AS Note 46, page 349</t>
  </si>
  <si>
    <t>Equity attributable to shareholders of BMW AG</t>
  </si>
  <si>
    <t>PAGE 271</t>
  </si>
  <si>
    <t>https://ru.investing.com/equities/bay-mot-werke</t>
  </si>
  <si>
    <t>EUR</t>
  </si>
  <si>
    <t xml:space="preserve">Stock </t>
  </si>
  <si>
    <t xml:space="preserve">Average number of ordinary shares in circulation number </t>
  </si>
  <si>
    <t>Number</t>
  </si>
  <si>
    <t>Annual statement, page 296</t>
  </si>
  <si>
    <t>Average number of preferred shares in circulation</t>
  </si>
  <si>
    <t>Dividend per ordinary share</t>
  </si>
  <si>
    <t>Dividend per preferred share</t>
  </si>
  <si>
    <t>Multiples</t>
  </si>
  <si>
    <t>P/E</t>
  </si>
  <si>
    <t>Annual statement, page 69</t>
  </si>
  <si>
    <t>Price (31.12.2025)</t>
  </si>
  <si>
    <t>Price (21.05.2026)</t>
  </si>
  <si>
    <t>P/E (21.05.2026)</t>
  </si>
  <si>
    <t>P/E (31.12.2025)</t>
  </si>
  <si>
    <t>Balance Sheet (BS)</t>
  </si>
  <si>
    <t>Total equity and liabilities</t>
  </si>
  <si>
    <t>Total Debt</t>
  </si>
  <si>
    <t xml:space="preserve">Total Debt &amp; Equity </t>
  </si>
  <si>
    <t>Cash &amp; Cash equivalents</t>
  </si>
  <si>
    <t>Market  equity value</t>
  </si>
  <si>
    <t>EV/EBITDA</t>
  </si>
  <si>
    <t>Relative Valuation</t>
  </si>
  <si>
    <t>Peer</t>
  </si>
  <si>
    <t>BMW</t>
  </si>
  <si>
    <t>VW</t>
  </si>
  <si>
    <t xml:space="preserve">EPS, € </t>
  </si>
  <si>
    <t xml:space="preserve">Share Price, € </t>
  </si>
  <si>
    <t>Earnings per share</t>
  </si>
  <si>
    <t>Basic</t>
  </si>
  <si>
    <t>Diluted</t>
  </si>
  <si>
    <t>Real price</t>
  </si>
  <si>
    <t>https://ru.investing.com/equities/daimler</t>
  </si>
  <si>
    <t>Number of shares (million)</t>
  </si>
  <si>
    <t>Last dividend per share (DPS₀)</t>
  </si>
  <si>
    <t>Sustainable growth rate (g)</t>
  </si>
  <si>
    <t>Intrinsic value per share</t>
  </si>
  <si>
    <t>High growth period (years)</t>
  </si>
  <si>
    <t>High growth rate (g₁)</t>
  </si>
  <si>
    <t>Terminal growth rate (g₂)</t>
  </si>
  <si>
    <t>Comparison</t>
  </si>
  <si>
    <t>Current market price</t>
  </si>
  <si>
    <t>Year</t>
  </si>
  <si>
    <t>Rf</t>
  </si>
  <si>
    <t>Market return</t>
  </si>
  <si>
    <t xml:space="preserve">One‑stage DDM </t>
  </si>
  <si>
    <t>Two‑stage DDM</t>
  </si>
  <si>
    <t>EPS</t>
  </si>
  <si>
    <t>Payout</t>
  </si>
  <si>
    <t>Implied upside One-Stage</t>
  </si>
  <si>
    <t>Implied upside Two-Stage</t>
  </si>
  <si>
    <t>Implied growth rate by current price</t>
  </si>
  <si>
    <t>Data</t>
  </si>
  <si>
    <t>H-model</t>
  </si>
  <si>
    <t>Long-term growth rate (gl)</t>
  </si>
  <si>
    <t>Short-term growth rate (gs)</t>
  </si>
  <si>
    <t>High growth period (n)</t>
  </si>
  <si>
    <t>Implied upside H-model</t>
  </si>
  <si>
    <t>Dividends</t>
  </si>
  <si>
    <t>Return on Germany 10Y Bonds</t>
  </si>
  <si>
    <t>DAX 40 avg last 10y return</t>
  </si>
  <si>
    <t>Cost of Equity</t>
  </si>
  <si>
    <t>Period</t>
  </si>
  <si>
    <t>Terminal</t>
  </si>
  <si>
    <t>Discount factor</t>
  </si>
  <si>
    <t>PV of dividends</t>
  </si>
  <si>
    <t>Sum of PV of dividends</t>
  </si>
  <si>
    <t>Terminal Value</t>
  </si>
  <si>
    <t>PV of Terminal Value</t>
  </si>
  <si>
    <t>Total PV</t>
  </si>
  <si>
    <t>Fact</t>
  </si>
  <si>
    <t>Forecast</t>
  </si>
  <si>
    <t>Dividends Growth YoY</t>
  </si>
  <si>
    <t>I. One-Stage DDM (Baseline)</t>
  </si>
  <si>
    <t>VALUATION</t>
  </si>
  <si>
    <t>II. Two-Stage DDM</t>
  </si>
  <si>
    <t>III. H-Model</t>
  </si>
  <si>
    <t>As an auxiliary model for sensitivity testing.</t>
  </si>
  <si>
    <t>For companies whose business and dividends are already very stable and have entered the mature stage.</t>
  </si>
  <si>
    <t>For companies currently experiencing high growth but will return to stable growth in the future, better matching the cyclical nature of the automotive industry.</t>
  </si>
  <si>
    <t>current Cost of Equity</t>
  </si>
  <si>
    <t>terminal Growth</t>
  </si>
  <si>
    <t>High Growth</t>
  </si>
  <si>
    <t>Terminal (low) Growth</t>
  </si>
  <si>
    <t>According to forecasts from the IMF, Germany's real GDP growth rate in 2026 is projected to be between 0.6% and 1.1%, with a similar growth rate for the Eurozone. Therefore, in the model, we will set a perpetual growth rate of 2% - it is a conservative estimate, which corresponds well with the projected 2% inflation and 1.81% market-implied company growth rate (calculated using inverse DDM), and is far lower than the expected long-term nominal GDP growth rate, providing a robust underlying assumption for DDM valuation.</t>
  </si>
  <si>
    <t>SENSITIVITY ANALYSIS</t>
  </si>
  <si>
    <t>(Germany 10Y Bonds)</t>
  </si>
  <si>
    <t>US 10Y Bonds</t>
  </si>
  <si>
    <t>Default spread</t>
  </si>
  <si>
    <t>Inflation premium</t>
  </si>
  <si>
    <t>Ger Inflation</t>
  </si>
  <si>
    <t>US Inflation target</t>
  </si>
  <si>
    <t>Illia's calculation</t>
  </si>
  <si>
    <t>https://curvo.eu/backtest/en/compare-indexes/cac-40-vs-dax?currency=eur</t>
  </si>
  <si>
    <t>Rm</t>
  </si>
  <si>
    <t>DAX 40 avr last 10y return</t>
  </si>
  <si>
    <t>COE</t>
  </si>
  <si>
    <t>Based on credit rating:</t>
  </si>
  <si>
    <t>Credit Spread</t>
  </si>
  <si>
    <t>S&amp;P Rating</t>
  </si>
  <si>
    <t>A</t>
  </si>
  <si>
    <t>Rd = Rf + Credit spread</t>
  </si>
  <si>
    <t xml:space="preserve">COD </t>
  </si>
  <si>
    <t>https://pages.stern.nyu.edu/~adamodar/New_Home_Page/datafile/ctryprem.html</t>
  </si>
  <si>
    <t>mln. EUR</t>
  </si>
  <si>
    <t>Debt</t>
  </si>
  <si>
    <t>D+E</t>
  </si>
  <si>
    <t>COD</t>
  </si>
  <si>
    <t>EBT</t>
  </si>
  <si>
    <t>from PnL</t>
  </si>
  <si>
    <t>T in EUR</t>
  </si>
  <si>
    <t>T in %</t>
  </si>
  <si>
    <t>Inncome tax</t>
  </si>
  <si>
    <t>WACC</t>
  </si>
  <si>
    <t xml:space="preserve">Mercedes-Benz Group AG — Dividend History </t>
  </si>
  <si>
    <t>Metric</t>
  </si>
  <si>
    <t>Value</t>
  </si>
  <si>
    <t>Financial Year</t>
  </si>
  <si>
    <t>Dividend per Share (EUR)</t>
  </si>
  <si>
    <t>Payout Ratio (%)</t>
  </si>
  <si>
    <t>Target Payout Ratio (%)</t>
  </si>
  <si>
    <t>Latest FY in chart</t>
  </si>
  <si>
    <t>Latest dividend per share</t>
  </si>
  <si>
    <t>Max dividend per share</t>
  </si>
  <si>
    <t>Min dividend per share</t>
  </si>
  <si>
    <t>Average dividend per share</t>
  </si>
  <si>
    <t>YoY Change</t>
  </si>
  <si>
    <t>Difference vs Target</t>
  </si>
  <si>
    <t>Event / Note</t>
  </si>
  <si>
    <t xml:space="preserve">Фаза I — «Эра Daimler-Chrysler / ранний Daimler» (2002–2010)
В 2002–2008 годах дивиденд оставался стабильным в диапазоне €1,0–2,0/акц., фактически «замороженным» на €1,50 в 2003–2007 годах. Это классическая политика стабильного номинального дивиденда, характерная для крупных немецких промышленных концернов с более широким периметром бизнеса. В 2009 году, в разгар финансового кризиса, дивиденд рухнул с €2,00 до €0,60 — снижение на 70%. В 2010 году выплачен €1,85 — символичное восстановление на фоне быстрого возврата прибыльности.
​
Фаза II — «Рост и стабилизация» (2011–2018)
В 2011–2018 годах дивиденд восстановился и рос в целом умеренно, достигнув €3,65 в 2017 году — исторического рекорда той эпохи. Payout ratio в этот период находился вблизи 35–45%, что ретроспективно совпадает с нынешним целевым ориентиром ~40%. Политика оставалась предсказуемой и последовательной: дивиденды либо росли, либо оставались на прежнем уровне.
​
Фаза III — «COVID и коллапс» (2019–2020)
Это наиболее показательный кризисный эпизод в новейшей истории. Дивиденд за FY2018 был снижен до €3,25. За FY2019 компания первоначально объявила €3,25, однако в апреле 2020 года, в самый острый момент пандемии, выплата была отменена — беспрецедентное решение. Вместо него в июле 2020 года выплачен уменьшенный дивиденд €0,90/акц. — официальный дивиденд за FY2019. За FY2020 выплачено €1,35.
Фаза IV — «Рекордная прибыль и рекордные дивиденды» (2021–2023)
Выделение Daimler Truck в декабре 2021 года и концентрация бизнеса на люксовом сегменте дали взрывной рост рентабельности. Net income по итогам FY2021 составила €23,4 млрд. Дивиденд за FY2021 был установлен на уровне €5,00/акц. — рост +270%. Несмотря на то что payout ratio при этом составил лишь ~12% (прибыль была исключительно высокой в том числе за счёт разовых эффектов), менеджмент принял решение направить значительный объём прибыли в buyback, а не завышать дивиденд. В 2022–2023 годах дивиденд достиг пика на уровне €5,20 и €5,30 соответственно.
Фаза V — «Цикличный спад» (2024–2025)
В 2024 году прибыль начала снижаться под давлением тарифов, конкуренции китайских производителей и ослабления спроса. Дивиденд за FY2024 снижен до €4,30 (−18,9%), однако payout ratio точно соответствовал ориентиру ~41%. По итогам FY2025, на фоне падения чистой прибыли на 48,8% до €5,33 млрд, дивиденд снижен до €3,50 (−18,6%). При этом payout ratio вырос до ~80%, что свидетельствует о желании менеджмента сохранить абсолютный уровень выплат и не пугать инвесторов резкими сокращениями — сознательное отступление от ориентира в 40%.
</t>
  </si>
  <si>
    <t>Mercedes-Benz Group AG (Frankfurt: MBG) придерживается официально задокументированной гибкой дивидендной политики с целевым ориентиром ~40% от чистой прибыли, атрибутируемой акционерам. 
Политика дополнена систематическими программами выкупа акций, превращая совокупные акционерные выплаты (TSR) в один из ключевых KPI менеджмента. За последние 23 года компания прошла через три ощутимых дивидендных цикла, отражающих глубину и природу кризисов: в 2009 году (финансовый кризис), в 2019–2020 годах (COVID) и в текущем цикле 2024–2025 годов (снижение прибыли под давлением тарифов, конкуренции Китая и цикличности спроса).
Начиная с 2022 года, Mercedes-Benz систематически дополняет дивиденды масштабными программами обратного выкупа акций. Все выкупленные акции аннулируются, что увеличивает EPS для оставшихся акционеров.
В 2025 году совокупный total shareholder return превысил 20%, несмотря на падение прибыли на 48,8%. Это достигнуто за счёт сочетания дивиденда €4,1 млрд (FY2024, выплачен в 2025) и активного buyback</t>
  </si>
  <si>
    <t>Financial crisis</t>
  </si>
  <si>
    <t xml:space="preserve">COVID-19 / weak year </t>
  </si>
  <si>
    <t>COVID-19</t>
  </si>
  <si>
    <t>Post-COVID recovery</t>
  </si>
  <si>
    <t>Rebrand: Mercedes-Benz Group</t>
  </si>
  <si>
    <t>paid in April 2026</t>
  </si>
  <si>
    <t>Free Cash Flow to the Firm Model</t>
  </si>
  <si>
    <t>in mln of euros</t>
  </si>
  <si>
    <t>Comment</t>
  </si>
  <si>
    <t>Growth, %</t>
  </si>
  <si>
    <t>EBITDA margin, %</t>
  </si>
  <si>
    <t>Depreciation &amp; amortization</t>
  </si>
  <si>
    <t>CFS</t>
  </si>
  <si>
    <t>CAPEX (IAS 17)</t>
  </si>
  <si>
    <t>Interest paid</t>
  </si>
  <si>
    <t>Note 29</t>
  </si>
  <si>
    <t>Effective interest rate</t>
  </si>
  <si>
    <t>Bundesbank IR</t>
  </si>
  <si>
    <t>Net change in borrowings</t>
  </si>
  <si>
    <t>Profit before tax</t>
  </si>
  <si>
    <t>Effective tax rate</t>
  </si>
  <si>
    <t>Note 10</t>
  </si>
  <si>
    <t>Net working capital</t>
  </si>
  <si>
    <t xml:space="preserve"> Adj Current assets (operational)</t>
  </si>
  <si>
    <t>Adj Current liabilities (operational)</t>
  </si>
  <si>
    <t>NWC turnover, days</t>
  </si>
  <si>
    <t>Δ NWC</t>
  </si>
  <si>
    <t>EBIT * (1-tax)</t>
  </si>
  <si>
    <t>Depreciation</t>
  </si>
  <si>
    <t>CAPEX</t>
  </si>
  <si>
    <t>Free Cash Flow to the Firm</t>
  </si>
  <si>
    <t>Discount rate (WACC)</t>
  </si>
  <si>
    <t>Discounted FCFF</t>
  </si>
  <si>
    <t>Long-term growth rate</t>
  </si>
  <si>
    <t>Terminal value</t>
  </si>
  <si>
    <t>Enterprise value</t>
  </si>
  <si>
    <t>Net debt</t>
  </si>
  <si>
    <t>Estimated Equity value</t>
  </si>
  <si>
    <t>Number of shares, mln</t>
  </si>
  <si>
    <t>Estimated share value</t>
  </si>
  <si>
    <t>Free Cash Flow to Equity</t>
  </si>
  <si>
    <t>Discount rate (Re)</t>
  </si>
  <si>
    <t>https://group.mercedes-benz.com/investors/share/</t>
  </si>
  <si>
    <t>AS Note 24</t>
  </si>
  <si>
    <t>As of 31/12/25</t>
  </si>
  <si>
    <t>Variable</t>
  </si>
  <si>
    <t>Total Debt (LT Debt + ST Debt + Lease) in mln EUR</t>
  </si>
  <si>
    <t>Net Debt (Total Debt - Cash &amp; Cash Equivalents in mln EUR</t>
  </si>
  <si>
    <t>Number of shares issued as of 30 September 2025 in mln EUR</t>
  </si>
  <si>
    <t>Current share price as of 29 May 2026 in EUR</t>
  </si>
  <si>
    <t>https://finance.yahoo.com/quote/MBG.DE</t>
  </si>
  <si>
    <t>Implied upside</t>
  </si>
  <si>
    <t>Page 271</t>
  </si>
  <si>
    <t>EV - Enterprise Value</t>
  </si>
  <si>
    <t>Link: https://uploads.vw-mms.de/system/production/documents/cws/003/212/file_en/41966a4270c8a0a4185b3ab69eaa433cf6892168/annual-report-2025-volkswagen-group.pdf?1773224256</t>
  </si>
  <si>
    <t>https://finance.yahoo.com/quote/VOW3.DE/history/</t>
  </si>
  <si>
    <t>Annual statement, Note 7, page 503</t>
  </si>
  <si>
    <t>Annual statement, Note 9, page 504</t>
  </si>
  <si>
    <t>Annual statement, Note 8, page 504</t>
  </si>
  <si>
    <t>Annual statement, CF</t>
  </si>
  <si>
    <t>Equity attributable to shareholders of AUDI</t>
  </si>
  <si>
    <t>Annual statement, BS</t>
  </si>
  <si>
    <t>-</t>
  </si>
  <si>
    <t>Total Liabilities</t>
  </si>
  <si>
    <t>Of these, financial liabilities</t>
  </si>
  <si>
    <t>Average number of ordinary shares in circulation</t>
  </si>
  <si>
    <t>AS, Note 11, page 509</t>
  </si>
  <si>
    <t>AS, Note 24, page 522</t>
  </si>
  <si>
    <t>AS Note 11, page 509</t>
  </si>
  <si>
    <t>Link: https://newsroom.porsche.com/en/annual-sustainability-report/consolidated-financial-statements/consolidated-income-statement/</t>
  </si>
  <si>
    <t>https://newsroom.porsche.com/assets/uploads/documents/Notes_to_the_consolidated_financial_statements_2025_Porsche_AG.pdf</t>
  </si>
  <si>
    <t>AS Note, page 351 (25)</t>
  </si>
  <si>
    <t xml:space="preserve">Equity attributable to shareholders of Porsche AG </t>
  </si>
  <si>
    <t>AS Note 28, page 381 (55)</t>
  </si>
  <si>
    <t>https://ru.investing.com/equities/dr-ing-hc-f-porsche-prf</t>
  </si>
  <si>
    <t>AS Note 12, page 360 (34)</t>
  </si>
  <si>
    <t xml:space="preserve">Weight </t>
  </si>
  <si>
    <t>Porsche</t>
  </si>
  <si>
    <t>Weighted</t>
  </si>
  <si>
    <t>EBITDA margin took a hit due to tariffs and China headwinds, but is expected to gradually stabilise.</t>
  </si>
  <si>
    <t>CAPEX (IAS 17) margin, %</t>
  </si>
  <si>
    <t>According to Bundesbank, interest rates are to remain unchanged from 2025, inflation projected to stabilise around 2%. Geopolitical pressure and energy logistics are expected to stabilise further during the later half of the forecast period.</t>
  </si>
  <si>
    <t>In 2024 Mercedes adjusted interest paid for 2023 from 324 to 3068 while not providing notes about the motivation for the adjustment. We accept it and believe that the approach to accounting was changed and will remain the same in the foreseeable future.</t>
  </si>
  <si>
    <t>Calculated based on CAPEX changes.</t>
  </si>
  <si>
    <t>Further expenditures are expected in 2026-28 with the continued EV transition, stabilising further on.</t>
  </si>
  <si>
    <t>2025 saw US tariffs and a 29% decline in China following another 27% decline in deliveries in 2026Q1 due to strong competition, the trend likely to continue in the following year. The company, however, is making progress in the EV sector with the success of the new Mercedes-Benz CLA, MB.OS and VAN.EA in 2026.</t>
  </si>
  <si>
    <t>Expected to increase to fuel CAPEX required for continued EV transition.</t>
  </si>
  <si>
    <t>According to PwC, German corporate tax rate is planned to decrease from 15% to 10% by 1% a year starting in 2028 and completing in 2032. 0.5% decrease is calculated assuming 40% of Mercedes-Benz Group AG profits are subject to German tax.</t>
  </si>
  <si>
    <t>Business Valuation Method</t>
  </si>
  <si>
    <t>Share Value</t>
  </si>
  <si>
    <t>Weight</t>
  </si>
  <si>
    <t>Weighted estimated share value</t>
  </si>
  <si>
    <t>DCF (FCFF)</t>
  </si>
  <si>
    <t>DCF (FCFE)</t>
  </si>
  <si>
    <t>Actual (for info)</t>
  </si>
  <si>
    <t>DDM (1-step)</t>
  </si>
  <si>
    <t>DDM (2-step)</t>
  </si>
  <si>
    <t>DDM (H-model)</t>
  </si>
  <si>
    <t>Adj. Beta</t>
  </si>
  <si>
    <t xml:space="preserve"> </t>
  </si>
  <si>
    <t>With cash and cash equivalents added back</t>
  </si>
  <si>
    <t>Germany GDP growth rate</t>
  </si>
  <si>
    <t>Unadjusted Beta is preferred over adjusted in further analysis to reflect company and market instability and industry EV disruption</t>
  </si>
  <si>
    <t xml:space="preserve">EV, mln € </t>
  </si>
  <si>
    <t xml:space="preserve">EBITDA, mln € </t>
  </si>
  <si>
    <t xml:space="preserve">Earnings per share, € </t>
  </si>
  <si>
    <t xml:space="preserve">Implied EV, mln € </t>
  </si>
  <si>
    <t xml:space="preserve">Implied Equity Value, mln € </t>
  </si>
  <si>
    <t>Number of Shares Outstanding</t>
  </si>
  <si>
    <t xml:space="preserve">Implied Share Price,  € </t>
  </si>
  <si>
    <t>Price of a preffered share  (21.05.2026)</t>
  </si>
  <si>
    <t>https://www.investing.com/equities/bmw-ag-vz</t>
  </si>
  <si>
    <t>As of 21.05.26</t>
  </si>
  <si>
    <t>As of 21.05.2026</t>
  </si>
  <si>
    <t xml:space="preserve">Implied Share Price, € </t>
  </si>
  <si>
    <r>
      <t>FY2025 marked the sharpest profitability decline since the COVID era.</t>
    </r>
    <r>
      <rPr>
        <sz val="11"/>
        <color theme="1"/>
        <rFont val="Calibri"/>
        <family val="2"/>
        <charset val="204"/>
        <scheme val="minor"/>
      </rPr>
      <t xml:space="preserve"> Revenue fell 9.2% year-on-year to €132.2 billion, while EBIT collapsed from €13.6 billion to €5.8 billion — compressing EBIT margin from 9.3% to 4.4%. Net profit dropped 48.8% to €5.3 billion. Three structural headwinds converged simultaneously: US tariff escalation raising cost of sales, a 29% volume decline in China amid intensifying competition from domestic EV players, and €1.6 billion in one-off restructuring charges under the "Next Level Performance" programme launched in April 2025.</t>
    </r>
  </si>
  <si>
    <r>
      <t>The balance sheet remains solid despite earnings pressure.</t>
    </r>
    <r>
      <rPr>
        <sz val="11"/>
        <color theme="1"/>
        <rFont val="Calibri"/>
        <family val="2"/>
        <charset val="204"/>
        <scheme val="minor"/>
      </rPr>
      <t xml:space="preserve"> Total equity stands at €94.2 billion (36.9% of total assets), and operating cash flow of €18.0 billion comfortably covers capital expenditure of €9.7 billion, dividends of €4.3 billion, and share buybacks of €0.4 billion. The group maintains €19.8 billion in liquidity and an undrawn €11 billion syndicated credit facility extended through 2030. Total financial debt of ~€100 billion is structurally elevated but largely attributable to Mercedes-Benz Financial Services — a captive finance arm whose debt is matched by corresponding lease and loan receivables, and should not be conflated with industrial leverage.</t>
    </r>
  </si>
  <si>
    <r>
      <t>Dividend policy reflects management's commitment to shareholder returns even under stress.</t>
    </r>
    <r>
      <rPr>
        <sz val="11"/>
        <color theme="1"/>
        <rFont val="Calibri"/>
        <family val="2"/>
        <charset val="204"/>
        <scheme val="minor"/>
      </rPr>
      <t xml:space="preserve"> The FY2025 dividend of €3.50 per share implies a payout ratio of ~80% — well above the company's stated ~40% target — signalling a deliberate effort to cushion investor sentiment rather than preserve capital. While sustainable in the near term given the cash flow profile, this approach limits balance sheet flexibility if the earnings recovery takes longer than expected.</t>
    </r>
  </si>
  <si>
    <t>Main results of preliminary analysis</t>
  </si>
  <si>
    <t>Dividends reflect unsertanty</t>
  </si>
  <si>
    <t>Main logic implied in valuation</t>
  </si>
  <si>
    <t>Sharp profitablity decline</t>
  </si>
  <si>
    <t xml:space="preserve">Company hold strong in terms of financial endurance </t>
  </si>
  <si>
    <t>Est. price (mln EUR):</t>
  </si>
  <si>
    <t>Est. price per share (EUR):</t>
  </si>
  <si>
    <r>
      <t>Valuation analysis suggests meaningful upside on a normalised earnings basis.</t>
    </r>
    <r>
      <rPr>
        <sz val="11"/>
        <color theme="1"/>
        <rFont val="Calibri"/>
        <family val="2"/>
        <charset val="204"/>
        <scheme val="minor"/>
      </rPr>
      <t xml:space="preserve"> Our weighted blended valuation across six methodologies — Comparables (30%), DCF FCFE (30%), DDM 1-step (15%), DDM H-model (10%), DCF FCFF (10%), and DDM 2-step (5%) — yields an estimated intrinsic value of </t>
    </r>
    <r>
      <rPr>
        <b/>
        <sz val="11"/>
        <color theme="1"/>
        <rFont val="Calibri"/>
        <family val="2"/>
        <charset val="204"/>
        <scheme val="minor"/>
      </rPr>
      <t>€67.16 per share</t>
    </r>
    <r>
      <rPr>
        <sz val="11"/>
        <color theme="1"/>
        <rFont val="Calibri"/>
        <family val="2"/>
        <charset val="204"/>
        <scheme val="minor"/>
      </rPr>
      <t xml:space="preserve">, implying </t>
    </r>
    <r>
      <rPr>
        <b/>
        <sz val="11"/>
        <color theme="1"/>
        <rFont val="Calibri"/>
        <family val="2"/>
        <scheme val="minor"/>
      </rPr>
      <t>28.7%</t>
    </r>
    <r>
      <rPr>
        <b/>
        <sz val="11"/>
        <color theme="1"/>
        <rFont val="Calibri"/>
        <family val="2"/>
        <charset val="204"/>
        <scheme val="minor"/>
      </rPr>
      <t xml:space="preserve"> upside</t>
    </r>
    <r>
      <rPr>
        <sz val="11"/>
        <color theme="1"/>
        <rFont val="Calibri"/>
        <family val="2"/>
        <charset val="204"/>
        <scheme val="minor"/>
      </rPr>
      <t xml:space="preserve"> to the current market price. DDM models, which anchor to the dividend stream, converge around €52–59 and broadly confirm the current market price as fair value at depressed earnings. FCFE and FCFF models price in a recovery of EBITDA margins toward 16–17% by 2028, driven by the ramp-up of the new CLA electric platform, the MB.OS software ecosystem, and gradual tariff normalisation — a scenario achievable but not without execution risk.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</si>
</sst>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
    <numFmt numFmtId="165" formatCode="#,##0.0"/>
    <numFmt numFmtId="166" formatCode="_-[$€-C07]\ * #,##0_-;\-[$€-C07]\ * #,##0_-;_-[$€-C07]\ * &quot;-&quot;_-;_-@_-"/>
    <numFmt numFmtId="167" formatCode="#,##0.00;\(#,##0.00\);\-"/>
    <numFmt numFmtId="168" formatCode="0.0%"/>
    <numFmt numFmtId="169" formatCode="0.000"/>
    <numFmt numFmtId="170" formatCode="0.0"/>
    <numFmt numFmtId="171" formatCode="0.0000"/>
    <numFmt numFmtId="172" formatCode="\€0.00"/>
    <numFmt numFmtId="173" formatCode="_-[$€-C07]\ * #,##0.00_-;\-[$€-C07]\ * #,##0.00_-;_-[$€-C07]\ * &quot;-&quot;??_-;_-@_-"/>
    <numFmt numFmtId="174" formatCode="_(* #,##0_);_(* \(#,##0\);_(* &quot;-&quot;??_);_(@_)"/>
    <numFmt numFmtId="175" formatCode="_-* #,##0.00\ _₽_-;\-* #,##0.00\ _₽_-;_-* &quot;-&quot;??\ _₽_-;_-@_-"/>
  </numFmts>
  <fonts count="45">
    <font>
      <sz val="11"/>
      <color theme="1"/>
      <name val="Calibri"/>
      <family val="2"/>
      <charset val="204"/>
      <scheme val="minor"/>
    </font>
    <font>
      <sz val="12"/>
      <color theme="1"/>
      <name val="Calibri"/>
      <family val="2"/>
      <scheme val="minor"/>
    </font>
    <font>
      <b/>
      <sz val="11"/>
      <color theme="0"/>
      <name val="Calibri"/>
      <family val="2"/>
      <charset val="204"/>
      <scheme val="minor"/>
    </font>
    <font>
      <b/>
      <sz val="10"/>
      <color theme="0"/>
      <name val="Calibri"/>
      <family val="2"/>
      <charset val="204"/>
      <scheme val="minor"/>
    </font>
    <font>
      <sz val="10"/>
      <color theme="1"/>
      <name val="Calibri"/>
      <family val="2"/>
      <charset val="204"/>
      <scheme val="minor"/>
    </font>
    <font>
      <sz val="10"/>
      <color theme="4"/>
      <name val="Calibri"/>
      <family val="2"/>
      <charset val="204"/>
      <scheme val="minor"/>
    </font>
    <font>
      <sz val="10"/>
      <color theme="8"/>
      <name val="Calibri"/>
      <family val="2"/>
      <charset val="204"/>
      <scheme val="minor"/>
    </font>
    <font>
      <sz val="10"/>
      <color rgb="FF7030A0"/>
      <name val="Calibri"/>
      <family val="2"/>
      <charset val="204"/>
      <scheme val="minor"/>
    </font>
    <font>
      <i/>
      <sz val="10"/>
      <color theme="1"/>
      <name val="Calibri"/>
      <family val="2"/>
      <charset val="204"/>
      <scheme val="minor"/>
    </font>
    <font>
      <i/>
      <sz val="10"/>
      <color theme="8"/>
      <name val="Calibri"/>
      <family val="2"/>
      <charset val="204"/>
      <scheme val="minor"/>
    </font>
    <font>
      <b/>
      <sz val="10"/>
      <color theme="1"/>
      <name val="Calibri"/>
      <family val="2"/>
      <charset val="204"/>
      <scheme val="minor"/>
    </font>
    <font>
      <i/>
      <sz val="10"/>
      <color theme="2" tint="-0.24994659260841701"/>
      <name val="Calibri"/>
      <family val="2"/>
      <scheme val="minor"/>
    </font>
    <font>
      <i/>
      <sz val="10"/>
      <color theme="1" tint="0.499984740745262"/>
      <name val="Calibri"/>
      <family val="2"/>
      <charset val="204"/>
      <scheme val="minor"/>
    </font>
    <font>
      <i/>
      <sz val="10"/>
      <color theme="2" tint="-0.24994659260841701"/>
      <name val="Calibri"/>
      <family val="2"/>
      <charset val="204"/>
      <scheme val="minor"/>
    </font>
    <font>
      <b/>
      <sz val="9"/>
      <color rgb="FF000000"/>
      <name val="Tahoma"/>
      <family val="2"/>
    </font>
    <font>
      <sz val="9"/>
      <color rgb="FF000000"/>
      <name val="Tahoma"/>
      <family val="2"/>
    </font>
    <font>
      <sz val="11"/>
      <color theme="1"/>
      <name val="Calibri"/>
      <family val="2"/>
      <charset val="204"/>
      <scheme val="minor"/>
    </font>
    <font>
      <b/>
      <sz val="11"/>
      <color theme="1"/>
      <name val="Calibri"/>
      <family val="2"/>
      <scheme val="minor"/>
    </font>
    <font>
      <u/>
      <sz val="11"/>
      <color theme="10"/>
      <name val="Calibri"/>
      <family val="2"/>
      <charset val="204"/>
      <scheme val="minor"/>
    </font>
    <font>
      <sz val="11"/>
      <color theme="1"/>
      <name val="Calibri"/>
      <family val="2"/>
      <scheme val="minor"/>
    </font>
    <font>
      <b/>
      <sz val="11"/>
      <color theme="1"/>
      <name val="Calibri"/>
      <family val="2"/>
      <charset val="204"/>
      <scheme val="minor"/>
    </font>
    <font>
      <sz val="10"/>
      <color theme="0"/>
      <name val="Calibri"/>
      <family val="2"/>
      <charset val="204"/>
      <scheme val="minor"/>
    </font>
    <font>
      <sz val="8"/>
      <name val="Calibri"/>
      <family val="2"/>
      <charset val="204"/>
      <scheme val="minor"/>
    </font>
    <font>
      <i/>
      <sz val="11"/>
      <color theme="0" tint="-0.34998626667073579"/>
      <name val="Calibri"/>
      <family val="2"/>
      <charset val="204"/>
      <scheme val="minor"/>
    </font>
    <font>
      <i/>
      <sz val="10"/>
      <color rgb="FFFF0000"/>
      <name val="Calibri"/>
      <family val="2"/>
      <charset val="204"/>
      <scheme val="minor"/>
    </font>
    <font>
      <sz val="15"/>
      <color theme="1"/>
      <name val="Helvetica Neue"/>
      <family val="2"/>
    </font>
    <font>
      <i/>
      <sz val="15"/>
      <color theme="1"/>
      <name val="Helvetica Neue"/>
      <family val="2"/>
    </font>
    <font>
      <sz val="10"/>
      <color theme="1"/>
      <name val="Calibri"/>
      <family val="2"/>
      <scheme val="minor"/>
    </font>
    <font>
      <b/>
      <sz val="10"/>
      <color theme="1"/>
      <name val="Calibri"/>
      <family val="2"/>
      <scheme val="minor"/>
    </font>
    <font>
      <sz val="12"/>
      <color theme="1"/>
      <name val="Helvetica Neue"/>
      <family val="2"/>
    </font>
    <font>
      <sz val="10"/>
      <color theme="1"/>
      <name val="Helvetica Neue"/>
      <family val="2"/>
    </font>
    <font>
      <sz val="9"/>
      <color theme="1"/>
      <name val="Helvetica Neue"/>
      <family val="2"/>
    </font>
    <font>
      <b/>
      <sz val="12"/>
      <color theme="1"/>
      <name val="Calibri"/>
      <family val="2"/>
      <scheme val="minor"/>
    </font>
    <font>
      <b/>
      <sz val="14"/>
      <color theme="1"/>
      <name val="Calibri"/>
      <family val="2"/>
      <scheme val="minor"/>
    </font>
    <font>
      <sz val="10"/>
      <color theme="0"/>
      <name val="Calibri"/>
      <family val="2"/>
      <scheme val="minor"/>
    </font>
    <font>
      <sz val="12"/>
      <color theme="1"/>
      <name val="Calibri"/>
      <family val="2"/>
      <charset val="204"/>
      <scheme val="minor"/>
    </font>
    <font>
      <sz val="11"/>
      <name val="Carlito"/>
    </font>
    <font>
      <b/>
      <sz val="14"/>
      <color rgb="FFFFFFFF"/>
      <name val="Carlito"/>
    </font>
    <font>
      <b/>
      <sz val="11"/>
      <name val="Carlito"/>
    </font>
    <font>
      <b/>
      <sz val="11"/>
      <color rgb="FFFFFFFF"/>
      <name val="Carlito"/>
    </font>
    <font>
      <sz val="10"/>
      <name val="Carlito"/>
    </font>
    <font>
      <b/>
      <i/>
      <sz val="10"/>
      <color theme="2" tint="-0.24994659260841701"/>
      <name val="Calibri"/>
      <family val="2"/>
      <scheme val="minor"/>
    </font>
    <font>
      <i/>
      <sz val="12"/>
      <color rgb="FF7F7F7F"/>
      <name val="Calibri"/>
      <family val="2"/>
      <scheme val="minor"/>
    </font>
    <font>
      <sz val="11"/>
      <color theme="0"/>
      <name val="Calibri"/>
      <family val="2"/>
      <charset val="204"/>
      <scheme val="minor"/>
    </font>
    <font>
      <b/>
      <sz val="10"/>
      <color rgb="FFFFFFFF"/>
      <name val="Calibri"/>
      <family val="2"/>
      <charset val="204"/>
      <scheme val="minor"/>
    </font>
  </fonts>
  <fills count="20">
    <fill>
      <patternFill patternType="none"/>
    </fill>
    <fill>
      <patternFill patternType="gray125"/>
    </fill>
    <fill>
      <patternFill patternType="solid">
        <fgColor theme="2"/>
        <bgColor indexed="64"/>
      </patternFill>
    </fill>
    <fill>
      <patternFill patternType="solid">
        <fgColor theme="5" tint="0.79998168889431442"/>
        <bgColor indexed="64"/>
      </patternFill>
    </fill>
    <fill>
      <patternFill patternType="solid">
        <fgColor theme="4" tint="-0.249977111117893"/>
        <bgColor indexed="64"/>
      </patternFill>
    </fill>
    <fill>
      <patternFill patternType="solid">
        <fgColor theme="4" tint="0.39997558519241921"/>
        <bgColor indexed="64"/>
      </patternFill>
    </fill>
    <fill>
      <patternFill patternType="lightUp">
        <fgColor theme="2" tint="-9.9948118533890809E-2"/>
        <bgColor indexed="65"/>
      </patternFill>
    </fill>
    <fill>
      <patternFill patternType="solid">
        <fgColor theme="0"/>
        <bgColor indexed="64"/>
      </patternFill>
    </fill>
    <fill>
      <patternFill patternType="solid">
        <fgColor rgb="FF002060"/>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CCCCFF"/>
        <bgColor indexed="64"/>
      </patternFill>
    </fill>
    <fill>
      <patternFill patternType="solid">
        <fgColor rgb="FFFFC000"/>
        <bgColor indexed="64"/>
      </patternFill>
    </fill>
    <fill>
      <patternFill patternType="solid">
        <fgColor rgb="FF92D050"/>
        <bgColor indexed="64"/>
      </patternFill>
    </fill>
    <fill>
      <patternFill patternType="solid">
        <fgColor rgb="FF1F4E78"/>
      </patternFill>
    </fill>
    <fill>
      <patternFill patternType="solid">
        <fgColor rgb="FFD9EAF7"/>
      </patternFill>
    </fill>
    <fill>
      <patternFill patternType="solid">
        <fgColor rgb="FFFFF2CC"/>
      </patternFill>
    </fill>
    <fill>
      <patternFill patternType="solid">
        <fgColor rgb="FFFFFF00"/>
        <bgColor indexed="64"/>
      </patternFill>
    </fill>
    <fill>
      <patternFill patternType="solid">
        <fgColor rgb="FF2F75B5"/>
        <bgColor rgb="FF000000"/>
      </patternFill>
    </fill>
  </fills>
  <borders count="3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medium">
        <color theme="2" tint="-0.24994659260841701"/>
      </right>
      <top style="medium">
        <color theme="2" tint="-0.24994659260841701"/>
      </top>
      <bottom style="medium">
        <color theme="2" tint="-0.24994659260841701"/>
      </bottom>
      <diagonal/>
    </border>
    <border>
      <left style="medium">
        <color theme="2" tint="-0.24994659260841701"/>
      </left>
      <right/>
      <top/>
      <bottom/>
      <diagonal/>
    </border>
    <border>
      <left style="medium">
        <color theme="2" tint="-0.24994659260841701"/>
      </left>
      <right/>
      <top/>
      <bottom style="medium">
        <color theme="2" tint="-0.24994659260841701"/>
      </bottom>
      <diagonal/>
    </border>
    <border>
      <left/>
      <right/>
      <top/>
      <bottom style="medium">
        <color theme="2" tint="-0.24994659260841701"/>
      </bottom>
      <diagonal/>
    </border>
    <border>
      <left style="thin">
        <color theme="2" tint="-0.24994659260841701"/>
      </left>
      <right/>
      <top/>
      <bottom/>
      <diagonal/>
    </border>
    <border>
      <left style="thin">
        <color theme="2" tint="-0.24994659260841701"/>
      </left>
      <right/>
      <top/>
      <bottom style="medium">
        <color theme="2" tint="-0.24994659260841701"/>
      </bottom>
      <diagonal/>
    </border>
    <border>
      <left/>
      <right style="medium">
        <color theme="2" tint="-0.24994659260841701"/>
      </right>
      <top/>
      <bottom/>
      <diagonal/>
    </border>
    <border>
      <left/>
      <right style="medium">
        <color theme="2" tint="-0.24994659260841701"/>
      </right>
      <top/>
      <bottom style="medium">
        <color theme="2" tint="-0.24994659260841701"/>
      </bottom>
      <diagonal/>
    </border>
    <border>
      <left style="medium">
        <color theme="2" tint="-0.24994659260841701"/>
      </left>
      <right/>
      <top style="medium">
        <color theme="2" tint="-0.24994659260841701"/>
      </top>
      <bottom style="medium">
        <color theme="2" tint="-0.24994659260841701"/>
      </bottom>
      <diagonal/>
    </border>
    <border>
      <left/>
      <right/>
      <top style="medium">
        <color theme="2" tint="-0.24994659260841701"/>
      </top>
      <bottom style="medium">
        <color theme="2" tint="-0.24994659260841701"/>
      </bottom>
      <diagonal/>
    </border>
    <border>
      <left style="thin">
        <color theme="2" tint="-0.24994659260841701"/>
      </left>
      <right/>
      <top style="medium">
        <color theme="2" tint="-0.24994659260841701"/>
      </top>
      <bottom style="medium">
        <color theme="2" tint="-0.24994659260841701"/>
      </bottom>
      <diagonal/>
    </border>
    <border>
      <left style="thin">
        <color theme="2" tint="-0.24994659260841701"/>
      </left>
      <right/>
      <top style="medium">
        <color theme="2" tint="-0.24994659260841701"/>
      </top>
      <bottom/>
      <diagonal/>
    </border>
    <border>
      <left/>
      <right/>
      <top style="medium">
        <color theme="2" tint="-0.24994659260841701"/>
      </top>
      <bottom/>
      <diagonal/>
    </border>
    <border>
      <left/>
      <right style="medium">
        <color theme="2" tint="-0.24994659260841701"/>
      </right>
      <top style="medium">
        <color theme="2" tint="-0.24994659260841701"/>
      </top>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s>
  <cellStyleXfs count="16">
    <xf numFmtId="0" fontId="0" fillId="0" borderId="0"/>
    <xf numFmtId="0" fontId="11" fillId="0" borderId="0"/>
    <xf numFmtId="164" fontId="5" fillId="2" borderId="1">
      <alignment horizontal="center" vertical="center"/>
    </xf>
    <xf numFmtId="164" fontId="6" fillId="0" borderId="1">
      <alignment horizontal="center" vertical="center"/>
    </xf>
    <xf numFmtId="164" fontId="9" fillId="3" borderId="1">
      <alignment horizontal="center" vertical="center"/>
    </xf>
    <xf numFmtId="164" fontId="7" fillId="0" borderId="0">
      <alignment horizontal="center" vertical="center"/>
    </xf>
    <xf numFmtId="9" fontId="12" fillId="0" borderId="0">
      <alignment horizontal="center" vertical="center"/>
    </xf>
    <xf numFmtId="164" fontId="4" fillId="0" borderId="0">
      <alignment horizontal="center" vertical="center"/>
    </xf>
    <xf numFmtId="0" fontId="4" fillId="6" borderId="0"/>
    <xf numFmtId="43" fontId="16" fillId="0" borderId="0" applyFont="0" applyFill="0" applyBorder="0" applyAlignment="0" applyProtection="0"/>
    <xf numFmtId="9" fontId="16" fillId="0" borderId="0" applyFont="0" applyFill="0" applyBorder="0" applyAlignment="0" applyProtection="0"/>
    <xf numFmtId="0" fontId="18" fillId="0" borderId="0" applyNumberFormat="0" applyFill="0" applyBorder="0" applyAlignment="0" applyProtection="0"/>
    <xf numFmtId="0" fontId="35" fillId="0" borderId="0"/>
    <xf numFmtId="9" fontId="35" fillId="0" borderId="0" applyFont="0" applyFill="0" applyBorder="0" applyAlignment="0" applyProtection="0"/>
    <xf numFmtId="0" fontId="36" fillId="0" borderId="0"/>
    <xf numFmtId="0" fontId="42" fillId="0" borderId="0" applyNumberFormat="0" applyFill="0" applyBorder="0" applyAlignment="0" applyProtection="0"/>
  </cellStyleXfs>
  <cellXfs count="290">
    <xf numFmtId="0" fontId="0" fillId="0" borderId="0" xfId="0"/>
    <xf numFmtId="0" fontId="4" fillId="2" borderId="0" xfId="0" applyFont="1" applyFill="1"/>
    <xf numFmtId="0" fontId="4" fillId="0" borderId="0" xfId="0" applyFont="1"/>
    <xf numFmtId="0" fontId="4" fillId="0" borderId="0" xfId="0" applyFont="1" applyAlignment="1">
      <alignment horizontal="center" vertical="center"/>
    </xf>
    <xf numFmtId="0" fontId="7" fillId="0" borderId="0" xfId="0" applyFont="1" applyAlignment="1">
      <alignment horizontal="center" vertical="center"/>
    </xf>
    <xf numFmtId="0" fontId="9" fillId="3" borderId="1" xfId="0" applyFont="1" applyFill="1" applyBorder="1" applyAlignment="1">
      <alignment horizontal="center" vertical="center"/>
    </xf>
    <xf numFmtId="0" fontId="6" fillId="0" borderId="1" xfId="0" applyFont="1" applyBorder="1" applyAlignment="1">
      <alignment horizontal="center" vertical="center"/>
    </xf>
    <xf numFmtId="0" fontId="2" fillId="4" borderId="0" xfId="0" applyFont="1" applyFill="1"/>
    <xf numFmtId="0" fontId="4" fillId="4" borderId="0" xfId="0" applyFont="1" applyFill="1"/>
    <xf numFmtId="0" fontId="3" fillId="4" borderId="0" xfId="0" applyFont="1" applyFill="1" applyAlignment="1">
      <alignment horizontal="left" vertical="center"/>
    </xf>
    <xf numFmtId="0" fontId="4" fillId="5" borderId="0" xfId="0" applyFont="1" applyFill="1"/>
    <xf numFmtId="0" fontId="10" fillId="5" borderId="0" xfId="0" applyFont="1" applyFill="1" applyAlignment="1">
      <alignment horizontal="left" vertical="center"/>
    </xf>
    <xf numFmtId="0" fontId="10" fillId="2" borderId="0" xfId="0" applyFont="1" applyFill="1" applyAlignment="1">
      <alignment horizontal="left" vertical="center"/>
    </xf>
    <xf numFmtId="0" fontId="4" fillId="0" borderId="0" xfId="0" applyFont="1" applyAlignment="1">
      <alignment horizontal="left" vertical="center"/>
    </xf>
    <xf numFmtId="0" fontId="3" fillId="4" borderId="0" xfId="0" applyFont="1" applyFill="1" applyAlignment="1">
      <alignment horizontal="center" vertical="center"/>
    </xf>
    <xf numFmtId="0" fontId="3" fillId="4" borderId="0" xfId="0" applyFont="1" applyFill="1" applyAlignment="1">
      <alignment horizontal="centerContinuous"/>
    </xf>
    <xf numFmtId="0" fontId="4" fillId="4" borderId="0" xfId="0" applyFont="1" applyFill="1" applyAlignment="1">
      <alignment horizontal="centerContinuous"/>
    </xf>
    <xf numFmtId="0" fontId="8" fillId="0" borderId="0" xfId="0" applyFont="1" applyAlignment="1">
      <alignment horizontal="left" vertical="center"/>
    </xf>
    <xf numFmtId="0" fontId="12" fillId="0" borderId="0" xfId="0" applyFont="1" applyAlignment="1">
      <alignment horizontal="left" vertical="center"/>
    </xf>
    <xf numFmtId="0" fontId="13" fillId="0" borderId="0" xfId="1" applyFont="1" applyAlignment="1">
      <alignment horizontal="center" vertical="center"/>
    </xf>
    <xf numFmtId="164" fontId="4" fillId="0" borderId="0" xfId="0" applyNumberFormat="1" applyFont="1"/>
    <xf numFmtId="164" fontId="5" fillId="2" borderId="1" xfId="2">
      <alignment horizontal="center" vertical="center"/>
    </xf>
    <xf numFmtId="0" fontId="11" fillId="0" borderId="0" xfId="1"/>
    <xf numFmtId="9" fontId="12" fillId="0" borderId="0" xfId="6">
      <alignment horizontal="center" vertical="center"/>
    </xf>
    <xf numFmtId="164" fontId="4" fillId="0" borderId="0" xfId="7">
      <alignment horizontal="center" vertical="center"/>
    </xf>
    <xf numFmtId="0" fontId="3" fillId="0" borderId="0" xfId="0" applyFont="1" applyAlignment="1">
      <alignment horizontal="center" vertical="center"/>
    </xf>
    <xf numFmtId="0" fontId="3" fillId="4" borderId="0" xfId="0" applyFont="1" applyFill="1" applyAlignment="1">
      <alignment horizontal="centerContinuous" vertical="center"/>
    </xf>
    <xf numFmtId="0" fontId="10" fillId="0" borderId="0" xfId="0" applyFont="1" applyAlignment="1">
      <alignment horizontal="left" vertical="center"/>
    </xf>
    <xf numFmtId="0" fontId="10" fillId="0" borderId="2" xfId="0" applyFont="1" applyBorder="1"/>
    <xf numFmtId="0" fontId="4" fillId="0" borderId="2" xfId="0" applyFont="1" applyBorder="1"/>
    <xf numFmtId="0" fontId="13" fillId="0" borderId="2" xfId="1" applyFont="1" applyBorder="1" applyAlignment="1">
      <alignment horizontal="center" vertical="center"/>
    </xf>
    <xf numFmtId="0" fontId="4" fillId="6" borderId="0" xfId="0" applyFont="1" applyFill="1"/>
    <xf numFmtId="0" fontId="4" fillId="6" borderId="0" xfId="8"/>
    <xf numFmtId="14" fontId="0" fillId="0" borderId="0" xfId="0" applyNumberFormat="1"/>
    <xf numFmtId="43" fontId="0" fillId="0" borderId="0" xfId="9" applyFont="1"/>
    <xf numFmtId="10" fontId="0" fillId="0" borderId="0" xfId="10" applyNumberFormat="1" applyFont="1"/>
    <xf numFmtId="0" fontId="17" fillId="0" borderId="0" xfId="0" applyFont="1"/>
    <xf numFmtId="0" fontId="18" fillId="0" borderId="0" xfId="11"/>
    <xf numFmtId="0" fontId="19" fillId="0" borderId="0" xfId="0" applyFont="1"/>
    <xf numFmtId="10" fontId="0" fillId="0" borderId="0" xfId="0" applyNumberFormat="1"/>
    <xf numFmtId="0" fontId="0" fillId="7" borderId="0" xfId="0" applyFill="1"/>
    <xf numFmtId="0" fontId="3" fillId="7" borderId="0" xfId="0" applyFont="1" applyFill="1" applyAlignment="1">
      <alignment horizontal="centerContinuous" vertical="center"/>
    </xf>
    <xf numFmtId="0" fontId="3" fillId="7" borderId="0" xfId="0" applyFont="1" applyFill="1" applyAlignment="1">
      <alignment horizontal="center" vertical="center"/>
    </xf>
    <xf numFmtId="0" fontId="10" fillId="7" borderId="0" xfId="0" applyFont="1" applyFill="1" applyAlignment="1">
      <alignment horizontal="left" vertical="center"/>
    </xf>
    <xf numFmtId="0" fontId="4" fillId="7" borderId="0" xfId="0" applyFont="1" applyFill="1"/>
    <xf numFmtId="0" fontId="13" fillId="7" borderId="0" xfId="1" applyFont="1" applyFill="1" applyAlignment="1">
      <alignment horizontal="center" vertical="center"/>
    </xf>
    <xf numFmtId="0" fontId="12" fillId="7" borderId="0" xfId="0" applyFont="1" applyFill="1" applyAlignment="1">
      <alignment horizontal="left" vertical="center"/>
    </xf>
    <xf numFmtId="0" fontId="10" fillId="7" borderId="2" xfId="0" applyFont="1" applyFill="1" applyBorder="1"/>
    <xf numFmtId="0" fontId="4" fillId="7" borderId="2" xfId="0" applyFont="1" applyFill="1" applyBorder="1"/>
    <xf numFmtId="0" fontId="13" fillId="7" borderId="2" xfId="1" applyFont="1" applyFill="1" applyBorder="1" applyAlignment="1">
      <alignment horizontal="center" vertical="center"/>
    </xf>
    <xf numFmtId="0" fontId="0" fillId="7" borderId="0" xfId="0" applyFill="1" applyAlignment="1">
      <alignment horizontal="center"/>
    </xf>
    <xf numFmtId="0" fontId="0" fillId="7" borderId="0" xfId="0" applyFill="1" applyAlignment="1">
      <alignment horizontal="center" vertical="center"/>
    </xf>
    <xf numFmtId="165" fontId="0" fillId="7" borderId="0" xfId="0" applyNumberFormat="1" applyFill="1" applyAlignment="1">
      <alignment horizontal="center" vertical="center"/>
    </xf>
    <xf numFmtId="164" fontId="20" fillId="7" borderId="0" xfId="0" applyNumberFormat="1" applyFont="1" applyFill="1" applyAlignment="1">
      <alignment horizontal="center" vertical="center"/>
    </xf>
    <xf numFmtId="164" fontId="0" fillId="7" borderId="0" xfId="0" applyNumberFormat="1" applyFill="1" applyAlignment="1">
      <alignment horizontal="center" vertical="center"/>
    </xf>
    <xf numFmtId="164" fontId="20" fillId="7" borderId="2" xfId="0" applyNumberFormat="1" applyFont="1" applyFill="1" applyBorder="1" applyAlignment="1">
      <alignment horizontal="center" vertical="center"/>
    </xf>
    <xf numFmtId="4" fontId="20" fillId="7" borderId="0" xfId="0" applyNumberFormat="1" applyFont="1" applyFill="1" applyAlignment="1">
      <alignment horizontal="center" vertical="center"/>
    </xf>
    <xf numFmtId="0" fontId="4" fillId="7" borderId="0" xfId="0" applyFont="1" applyFill="1" applyAlignment="1">
      <alignment horizontal="left" vertical="center"/>
    </xf>
    <xf numFmtId="0" fontId="11" fillId="7" borderId="0" xfId="1" applyFill="1" applyAlignment="1">
      <alignment horizontal="center" vertical="center"/>
    </xf>
    <xf numFmtId="164" fontId="7" fillId="7" borderId="0" xfId="5" applyFill="1">
      <alignment horizontal="center" vertical="center"/>
    </xf>
    <xf numFmtId="164" fontId="5" fillId="7" borderId="1" xfId="2" applyFill="1">
      <alignment horizontal="center" vertical="center"/>
    </xf>
    <xf numFmtId="0" fontId="4" fillId="7" borderId="0" xfId="0" applyFont="1" applyFill="1" applyAlignment="1">
      <alignment horizontal="center" vertical="center"/>
    </xf>
    <xf numFmtId="164" fontId="4" fillId="7" borderId="0" xfId="7" applyFill="1">
      <alignment horizontal="center" vertical="center"/>
    </xf>
    <xf numFmtId="0" fontId="10" fillId="7" borderId="0" xfId="0" applyFont="1" applyFill="1"/>
    <xf numFmtId="164" fontId="4" fillId="7" borderId="0" xfId="0" applyNumberFormat="1" applyFont="1" applyFill="1"/>
    <xf numFmtId="9" fontId="4" fillId="7" borderId="0" xfId="10" applyFont="1" applyFill="1" applyAlignment="1">
      <alignment horizontal="center" vertical="center"/>
    </xf>
    <xf numFmtId="9" fontId="7" fillId="7" borderId="0" xfId="10" applyFont="1" applyFill="1" applyAlignment="1">
      <alignment horizontal="center" vertical="center"/>
    </xf>
    <xf numFmtId="9" fontId="4" fillId="7" borderId="0" xfId="10" applyFont="1" applyFill="1"/>
    <xf numFmtId="0" fontId="3" fillId="8" borderId="0" xfId="0" applyFont="1" applyFill="1" applyAlignment="1">
      <alignment horizontal="left" vertical="center"/>
    </xf>
    <xf numFmtId="0" fontId="21" fillId="8" borderId="0" xfId="0" applyFont="1" applyFill="1"/>
    <xf numFmtId="0" fontId="3" fillId="8" borderId="0" xfId="0" applyFont="1" applyFill="1" applyAlignment="1">
      <alignment horizontal="centerContinuous" vertical="center"/>
    </xf>
    <xf numFmtId="0" fontId="3" fillId="8" borderId="0" xfId="0" applyFont="1" applyFill="1" applyAlignment="1">
      <alignment horizontal="center" vertical="center"/>
    </xf>
    <xf numFmtId="164" fontId="10" fillId="7" borderId="0" xfId="7" applyFont="1" applyFill="1">
      <alignment horizontal="center" vertical="center"/>
    </xf>
    <xf numFmtId="0" fontId="3" fillId="7" borderId="0" xfId="0" applyFont="1" applyFill="1" applyAlignment="1">
      <alignment horizontal="centerContinuous"/>
    </xf>
    <xf numFmtId="0" fontId="4" fillId="8" borderId="0" xfId="0" applyFont="1" applyFill="1" applyAlignment="1">
      <alignment horizontal="centerContinuous"/>
    </xf>
    <xf numFmtId="0" fontId="21" fillId="7" borderId="0" xfId="0" applyFont="1" applyFill="1"/>
    <xf numFmtId="164" fontId="5" fillId="7" borderId="0" xfId="2" applyFill="1" applyBorder="1">
      <alignment horizontal="center" vertical="center"/>
    </xf>
    <xf numFmtId="9" fontId="12" fillId="7" borderId="0" xfId="6" applyFill="1">
      <alignment horizontal="center" vertical="center"/>
    </xf>
    <xf numFmtId="164" fontId="4" fillId="7" borderId="0" xfId="0" applyNumberFormat="1" applyFont="1" applyFill="1" applyAlignment="1">
      <alignment horizontal="center" vertical="center"/>
    </xf>
    <xf numFmtId="164" fontId="10" fillId="7" borderId="0" xfId="0" applyNumberFormat="1" applyFont="1" applyFill="1" applyAlignment="1">
      <alignment horizontal="center" vertical="center"/>
    </xf>
    <xf numFmtId="0" fontId="23" fillId="7" borderId="0" xfId="0" applyFont="1" applyFill="1"/>
    <xf numFmtId="14" fontId="3" fillId="8" borderId="0" xfId="0" applyNumberFormat="1" applyFont="1" applyFill="1" applyAlignment="1">
      <alignment horizontal="center" vertical="center"/>
    </xf>
    <xf numFmtId="9" fontId="24" fillId="7" borderId="0" xfId="6" applyFont="1" applyFill="1">
      <alignment horizontal="center" vertical="center"/>
    </xf>
    <xf numFmtId="2" fontId="20" fillId="7" borderId="0" xfId="0" applyNumberFormat="1" applyFont="1" applyFill="1" applyAlignment="1">
      <alignment horizontal="center"/>
    </xf>
    <xf numFmtId="2" fontId="20" fillId="7" borderId="0" xfId="0" applyNumberFormat="1" applyFont="1" applyFill="1" applyAlignment="1">
      <alignment horizontal="center" vertical="center"/>
    </xf>
    <xf numFmtId="166" fontId="20" fillId="7" borderId="0" xfId="0" applyNumberFormat="1" applyFont="1" applyFill="1"/>
    <xf numFmtId="3" fontId="0" fillId="7" borderId="0" xfId="0" applyNumberFormat="1" applyFill="1" applyAlignment="1">
      <alignment horizontal="center"/>
    </xf>
    <xf numFmtId="3" fontId="20" fillId="7" borderId="0" xfId="0" applyNumberFormat="1" applyFont="1" applyFill="1" applyAlignment="1">
      <alignment horizontal="center"/>
    </xf>
    <xf numFmtId="166" fontId="0" fillId="7" borderId="0" xfId="0" applyNumberFormat="1" applyFill="1"/>
    <xf numFmtId="3" fontId="0" fillId="7" borderId="0" xfId="0" applyNumberFormat="1" applyFill="1" applyAlignment="1">
      <alignment horizontal="center" vertical="center"/>
    </xf>
    <xf numFmtId="2" fontId="0" fillId="7" borderId="0" xfId="0" applyNumberFormat="1" applyFill="1" applyAlignment="1">
      <alignment horizontal="center" vertical="center"/>
    </xf>
    <xf numFmtId="0" fontId="20" fillId="7" borderId="3" xfId="0" applyFont="1" applyFill="1" applyBorder="1" applyAlignment="1">
      <alignment horizontal="center" vertical="center"/>
    </xf>
    <xf numFmtId="0" fontId="2" fillId="8" borderId="0" xfId="0" applyFont="1" applyFill="1" applyAlignment="1">
      <alignment horizontal="center" vertical="center"/>
    </xf>
    <xf numFmtId="4" fontId="0" fillId="7" borderId="0" xfId="0" applyNumberFormat="1" applyFill="1" applyAlignment="1">
      <alignment horizontal="center" vertical="center"/>
    </xf>
    <xf numFmtId="0" fontId="0" fillId="7" borderId="2" xfId="0" applyFill="1" applyBorder="1" applyAlignment="1">
      <alignment horizontal="center" vertical="center"/>
    </xf>
    <xf numFmtId="2" fontId="0" fillId="7" borderId="2" xfId="0" applyNumberFormat="1" applyFill="1" applyBorder="1" applyAlignment="1">
      <alignment horizontal="center" vertical="center"/>
    </xf>
    <xf numFmtId="0" fontId="20" fillId="0" borderId="0" xfId="0" applyFont="1"/>
    <xf numFmtId="167" fontId="5" fillId="2" borderId="1" xfId="2" applyNumberFormat="1">
      <alignment horizontal="center" vertical="center"/>
    </xf>
    <xf numFmtId="0" fontId="27" fillId="0" borderId="0" xfId="0" applyFont="1"/>
    <xf numFmtId="0" fontId="27" fillId="0" borderId="8" xfId="0" applyFont="1" applyBorder="1" applyAlignment="1">
      <alignment vertical="center" wrapText="1"/>
    </xf>
    <xf numFmtId="0" fontId="27" fillId="0" borderId="6" xfId="0" applyFont="1" applyBorder="1" applyAlignment="1">
      <alignment vertical="center" wrapText="1"/>
    </xf>
    <xf numFmtId="0" fontId="26" fillId="0" borderId="0" xfId="0" applyFont="1" applyAlignment="1">
      <alignment vertical="center"/>
    </xf>
    <xf numFmtId="0" fontId="25" fillId="0" borderId="0" xfId="0" applyFont="1"/>
    <xf numFmtId="0" fontId="29" fillId="0" borderId="0" xfId="0" applyFont="1"/>
    <xf numFmtId="0" fontId="30" fillId="0" borderId="0" xfId="0" applyFont="1" applyAlignment="1">
      <alignment wrapText="1"/>
    </xf>
    <xf numFmtId="0" fontId="31" fillId="0" borderId="0" xfId="0" applyFont="1" applyAlignment="1">
      <alignment wrapText="1"/>
    </xf>
    <xf numFmtId="0" fontId="29" fillId="0" borderId="8" xfId="0" applyFont="1" applyBorder="1"/>
    <xf numFmtId="10" fontId="27" fillId="0" borderId="9" xfId="10" applyNumberFormat="1" applyFont="1" applyFill="1" applyBorder="1" applyAlignment="1">
      <alignment vertical="center"/>
    </xf>
    <xf numFmtId="168" fontId="27" fillId="0" borderId="9" xfId="10" applyNumberFormat="1" applyFont="1" applyFill="1" applyBorder="1" applyAlignment="1">
      <alignment vertical="center"/>
    </xf>
    <xf numFmtId="169" fontId="27" fillId="0" borderId="9" xfId="0" applyNumberFormat="1" applyFont="1" applyBorder="1" applyAlignment="1">
      <alignment vertical="center"/>
    </xf>
    <xf numFmtId="170" fontId="27" fillId="0" borderId="9" xfId="0" applyNumberFormat="1" applyFont="1" applyBorder="1" applyAlignment="1">
      <alignment vertical="center"/>
    </xf>
    <xf numFmtId="169" fontId="28" fillId="0" borderId="9" xfId="0" applyNumberFormat="1" applyFont="1" applyBorder="1" applyAlignment="1">
      <alignment vertical="center"/>
    </xf>
    <xf numFmtId="0" fontId="28" fillId="0" borderId="9" xfId="0" applyFont="1" applyBorder="1" applyAlignment="1">
      <alignment vertical="center"/>
    </xf>
    <xf numFmtId="0" fontId="27" fillId="0" borderId="0" xfId="0" applyFont="1" applyAlignment="1">
      <alignment vertical="center"/>
    </xf>
    <xf numFmtId="10" fontId="28" fillId="0" borderId="7" xfId="10" applyNumberFormat="1" applyFont="1" applyFill="1" applyBorder="1" applyAlignment="1">
      <alignment vertical="center"/>
    </xf>
    <xf numFmtId="0" fontId="0" fillId="0" borderId="0" xfId="0" applyAlignment="1">
      <alignment vertical="center"/>
    </xf>
    <xf numFmtId="0" fontId="0" fillId="0" borderId="11" xfId="0" applyBorder="1" applyAlignment="1">
      <alignment vertical="center"/>
    </xf>
    <xf numFmtId="0" fontId="32" fillId="0" borderId="12" xfId="0" applyFont="1" applyBorder="1" applyAlignment="1">
      <alignment vertical="center"/>
    </xf>
    <xf numFmtId="0" fontId="0" fillId="0" borderId="13" xfId="0" applyBorder="1" applyAlignment="1">
      <alignment vertical="center"/>
    </xf>
    <xf numFmtId="0" fontId="0" fillId="0" borderId="14" xfId="0" applyBorder="1" applyAlignment="1">
      <alignment vertical="center"/>
    </xf>
    <xf numFmtId="0" fontId="0" fillId="0" borderId="16" xfId="0" applyBorder="1" applyAlignment="1">
      <alignment vertical="center"/>
    </xf>
    <xf numFmtId="0" fontId="0" fillId="0" borderId="17" xfId="0" applyBorder="1" applyAlignment="1">
      <alignment vertical="center"/>
    </xf>
    <xf numFmtId="0" fontId="32" fillId="0" borderId="18" xfId="0" applyFont="1" applyBorder="1" applyAlignment="1">
      <alignment vertical="center"/>
    </xf>
    <xf numFmtId="0" fontId="17" fillId="0" borderId="19" xfId="0" applyFont="1" applyBorder="1" applyAlignment="1">
      <alignment vertical="center"/>
    </xf>
    <xf numFmtId="0" fontId="17" fillId="0" borderId="20" xfId="0" applyFont="1" applyBorder="1" applyAlignment="1">
      <alignment vertical="center"/>
    </xf>
    <xf numFmtId="0" fontId="17" fillId="0" borderId="10" xfId="0" applyFont="1" applyBorder="1" applyAlignment="1">
      <alignment vertical="center"/>
    </xf>
    <xf numFmtId="168" fontId="0" fillId="0" borderId="0" xfId="10" applyNumberFormat="1" applyFont="1" applyBorder="1" applyAlignment="1">
      <alignment vertical="center"/>
    </xf>
    <xf numFmtId="171" fontId="0" fillId="0" borderId="0" xfId="0" applyNumberFormat="1" applyAlignment="1">
      <alignment vertical="center"/>
    </xf>
    <xf numFmtId="171" fontId="0" fillId="0" borderId="14" xfId="0" applyNumberFormat="1" applyBorder="1" applyAlignment="1">
      <alignment vertical="center"/>
    </xf>
    <xf numFmtId="171" fontId="0" fillId="0" borderId="16" xfId="0" applyNumberFormat="1" applyBorder="1" applyAlignment="1">
      <alignment vertical="center"/>
    </xf>
    <xf numFmtId="169" fontId="0" fillId="0" borderId="0" xfId="0" applyNumberFormat="1" applyAlignment="1">
      <alignment vertical="center"/>
    </xf>
    <xf numFmtId="169" fontId="0" fillId="0" borderId="14" xfId="0" applyNumberFormat="1" applyBorder="1" applyAlignment="1">
      <alignment vertical="center"/>
    </xf>
    <xf numFmtId="169" fontId="0" fillId="0" borderId="16" xfId="0" applyNumberFormat="1" applyBorder="1" applyAlignment="1">
      <alignment vertical="center"/>
    </xf>
    <xf numFmtId="2" fontId="0" fillId="0" borderId="0" xfId="0" applyNumberFormat="1" applyAlignment="1">
      <alignment vertical="center"/>
    </xf>
    <xf numFmtId="169" fontId="0" fillId="0" borderId="21" xfId="0" applyNumberFormat="1" applyBorder="1" applyAlignment="1">
      <alignment vertical="center"/>
    </xf>
    <xf numFmtId="169" fontId="0" fillId="0" borderId="22" xfId="0" applyNumberFormat="1" applyBorder="1" applyAlignment="1">
      <alignment vertical="center"/>
    </xf>
    <xf numFmtId="169" fontId="0" fillId="0" borderId="23" xfId="0" applyNumberFormat="1" applyBorder="1" applyAlignment="1">
      <alignment vertical="center"/>
    </xf>
    <xf numFmtId="0" fontId="33" fillId="0" borderId="0" xfId="0" applyFont="1"/>
    <xf numFmtId="168" fontId="34" fillId="12" borderId="9" xfId="0" applyNumberFormat="1" applyFont="1" applyFill="1" applyBorder="1" applyAlignment="1">
      <alignment vertical="center"/>
    </xf>
    <xf numFmtId="1" fontId="34" fillId="12" borderId="9" xfId="0" applyNumberFormat="1" applyFont="1" applyFill="1" applyBorder="1" applyAlignment="1">
      <alignment vertical="center"/>
    </xf>
    <xf numFmtId="168" fontId="0" fillId="0" borderId="14" xfId="10" applyNumberFormat="1" applyFont="1" applyBorder="1" applyAlignment="1">
      <alignment vertical="center"/>
    </xf>
    <xf numFmtId="168" fontId="0" fillId="0" borderId="0" xfId="0" applyNumberFormat="1" applyAlignment="1">
      <alignment vertical="center"/>
    </xf>
    <xf numFmtId="169" fontId="17" fillId="0" borderId="15" xfId="0" applyNumberFormat="1" applyFont="1" applyBorder="1" applyAlignment="1">
      <alignment vertical="center"/>
    </xf>
    <xf numFmtId="0" fontId="0" fillId="0" borderId="0" xfId="0" applyAlignment="1">
      <alignment vertical="center" wrapText="1"/>
    </xf>
    <xf numFmtId="0" fontId="27" fillId="0" borderId="8" xfId="0" applyFont="1" applyBorder="1" applyAlignment="1">
      <alignment vertical="center"/>
    </xf>
    <xf numFmtId="1" fontId="27" fillId="0" borderId="8" xfId="0" applyNumberFormat="1" applyFont="1" applyBorder="1" applyAlignment="1">
      <alignment vertical="center"/>
    </xf>
    <xf numFmtId="2" fontId="0" fillId="0" borderId="1" xfId="10" applyNumberFormat="1" applyFont="1" applyFill="1" applyBorder="1" applyAlignment="1">
      <alignment vertical="center"/>
    </xf>
    <xf numFmtId="10" fontId="0" fillId="0" borderId="2" xfId="10" applyNumberFormat="1" applyFont="1" applyFill="1" applyBorder="1" applyAlignment="1">
      <alignment vertical="center"/>
    </xf>
    <xf numFmtId="10" fontId="32" fillId="0" borderId="2" xfId="10" applyNumberFormat="1" applyFont="1" applyFill="1" applyBorder="1" applyAlignment="1">
      <alignment vertical="center"/>
    </xf>
    <xf numFmtId="10" fontId="0" fillId="0" borderId="25" xfId="10" applyNumberFormat="1" applyFont="1" applyFill="1" applyBorder="1" applyAlignment="1">
      <alignment vertical="center"/>
    </xf>
    <xf numFmtId="10" fontId="0" fillId="0" borderId="8" xfId="10" applyNumberFormat="1" applyFont="1" applyFill="1" applyBorder="1" applyAlignment="1">
      <alignment vertical="center"/>
    </xf>
    <xf numFmtId="2" fontId="0" fillId="0" borderId="27" xfId="10" applyNumberFormat="1" applyFont="1" applyFill="1" applyBorder="1" applyAlignment="1">
      <alignment vertical="center"/>
    </xf>
    <xf numFmtId="2" fontId="0" fillId="0" borderId="2" xfId="10" applyNumberFormat="1" applyFont="1" applyFill="1" applyBorder="1" applyAlignment="1">
      <alignment vertical="center"/>
    </xf>
    <xf numFmtId="2" fontId="0" fillId="0" borderId="25" xfId="10" applyNumberFormat="1" applyFont="1" applyFill="1" applyBorder="1" applyAlignment="1">
      <alignment vertical="center"/>
    </xf>
    <xf numFmtId="2" fontId="0" fillId="0" borderId="8" xfId="10" applyNumberFormat="1" applyFont="1" applyFill="1" applyBorder="1" applyAlignment="1">
      <alignment vertical="center"/>
    </xf>
    <xf numFmtId="2" fontId="0" fillId="0" borderId="0" xfId="10" applyNumberFormat="1" applyFont="1" applyFill="1" applyBorder="1" applyAlignment="1">
      <alignment vertical="center"/>
    </xf>
    <xf numFmtId="2" fontId="0" fillId="0" borderId="9" xfId="10" applyNumberFormat="1" applyFont="1" applyFill="1" applyBorder="1" applyAlignment="1">
      <alignment vertical="center"/>
    </xf>
    <xf numFmtId="10" fontId="32" fillId="0" borderId="8" xfId="10" applyNumberFormat="1" applyFont="1" applyFill="1" applyBorder="1" applyAlignment="1">
      <alignment vertical="center"/>
    </xf>
    <xf numFmtId="2" fontId="32" fillId="0" borderId="0" xfId="10" applyNumberFormat="1" applyFont="1" applyFill="1" applyBorder="1" applyAlignment="1">
      <alignment vertical="center"/>
    </xf>
    <xf numFmtId="10" fontId="0" fillId="0" borderId="6" xfId="10" applyNumberFormat="1" applyFont="1" applyFill="1" applyBorder="1" applyAlignment="1">
      <alignment vertical="center"/>
    </xf>
    <xf numFmtId="2" fontId="0" fillId="0" borderId="6" xfId="10" applyNumberFormat="1" applyFont="1" applyFill="1" applyBorder="1" applyAlignment="1">
      <alignment vertical="center"/>
    </xf>
    <xf numFmtId="2" fontId="0" fillId="0" borderId="3" xfId="10" applyNumberFormat="1" applyFont="1" applyFill="1" applyBorder="1" applyAlignment="1">
      <alignment vertical="center"/>
    </xf>
    <xf numFmtId="2" fontId="0" fillId="0" borderId="7" xfId="10" applyNumberFormat="1" applyFont="1" applyFill="1" applyBorder="1" applyAlignment="1">
      <alignment vertical="center"/>
    </xf>
    <xf numFmtId="0" fontId="32" fillId="0" borderId="0" xfId="12" applyFont="1"/>
    <xf numFmtId="10" fontId="35" fillId="0" borderId="0" xfId="12" applyNumberFormat="1"/>
    <xf numFmtId="0" fontId="35" fillId="0" borderId="0" xfId="12"/>
    <xf numFmtId="0" fontId="35" fillId="13" borderId="0" xfId="12" applyFill="1"/>
    <xf numFmtId="0" fontId="32" fillId="14" borderId="0" xfId="12" applyFont="1" applyFill="1"/>
    <xf numFmtId="10" fontId="32" fillId="14" borderId="0" xfId="12" applyNumberFormat="1" applyFont="1" applyFill="1"/>
    <xf numFmtId="10" fontId="35" fillId="14" borderId="0" xfId="12" applyNumberFormat="1" applyFill="1"/>
    <xf numFmtId="3" fontId="35" fillId="0" borderId="0" xfId="12" applyNumberFormat="1"/>
    <xf numFmtId="0" fontId="1" fillId="0" borderId="0" xfId="12" applyFont="1"/>
    <xf numFmtId="10" fontId="0" fillId="0" borderId="0" xfId="13" applyNumberFormat="1" applyFont="1"/>
    <xf numFmtId="9" fontId="35" fillId="0" borderId="0" xfId="12" applyNumberFormat="1"/>
    <xf numFmtId="0" fontId="36" fillId="0" borderId="0" xfId="14"/>
    <xf numFmtId="0" fontId="38" fillId="16" borderId="0" xfId="14" applyFont="1" applyFill="1" applyAlignment="1">
      <alignment horizontal="center"/>
    </xf>
    <xf numFmtId="0" fontId="39" fillId="15" borderId="0" xfId="14" applyFont="1" applyFill="1" applyAlignment="1">
      <alignment horizontal="center"/>
    </xf>
    <xf numFmtId="0" fontId="38" fillId="0" borderId="0" xfId="14" applyFont="1"/>
    <xf numFmtId="1" fontId="36" fillId="0" borderId="0" xfId="14" applyNumberFormat="1"/>
    <xf numFmtId="172" fontId="36" fillId="0" borderId="0" xfId="14" applyNumberFormat="1"/>
    <xf numFmtId="0" fontId="39" fillId="15" borderId="0" xfId="14" applyFont="1" applyFill="1" applyAlignment="1">
      <alignment horizontal="center" vertical="center" wrapText="1"/>
    </xf>
    <xf numFmtId="1" fontId="36" fillId="0" borderId="0" xfId="14" applyNumberFormat="1" applyAlignment="1">
      <alignment vertical="top" wrapText="1"/>
    </xf>
    <xf numFmtId="172" fontId="36" fillId="0" borderId="0" xfId="14" applyNumberFormat="1" applyAlignment="1">
      <alignment vertical="top" wrapText="1"/>
    </xf>
    <xf numFmtId="168" fontId="36" fillId="0" borderId="0" xfId="14" applyNumberFormat="1" applyAlignment="1">
      <alignment vertical="top" wrapText="1"/>
    </xf>
    <xf numFmtId="0" fontId="36" fillId="0" borderId="0" xfId="14" applyAlignment="1">
      <alignment vertical="top" wrapText="1"/>
    </xf>
    <xf numFmtId="4" fontId="17" fillId="0" borderId="0" xfId="0" applyNumberFormat="1" applyFont="1"/>
    <xf numFmtId="1" fontId="0" fillId="0" borderId="0" xfId="0" applyNumberFormat="1"/>
    <xf numFmtId="0" fontId="0" fillId="7" borderId="0" xfId="0" applyFill="1" applyAlignment="1">
      <alignment horizontal="left" indent="4"/>
    </xf>
    <xf numFmtId="0" fontId="18" fillId="7" borderId="0" xfId="11" applyFill="1"/>
    <xf numFmtId="164" fontId="0" fillId="7" borderId="0" xfId="0" applyNumberFormat="1" applyFill="1"/>
    <xf numFmtId="0" fontId="13" fillId="7" borderId="0" xfId="1" applyFont="1" applyFill="1" applyAlignment="1">
      <alignment horizontal="right" vertical="center"/>
    </xf>
    <xf numFmtId="164" fontId="0" fillId="0" borderId="0" xfId="0" applyNumberFormat="1" applyAlignment="1">
      <alignment horizontal="center" vertical="center"/>
    </xf>
    <xf numFmtId="0" fontId="4" fillId="7" borderId="0" xfId="0" applyFont="1" applyFill="1" applyAlignment="1">
      <alignment horizontal="right"/>
    </xf>
    <xf numFmtId="0" fontId="28" fillId="7" borderId="2" xfId="0" applyFont="1" applyFill="1" applyBorder="1"/>
    <xf numFmtId="0" fontId="41" fillId="7" borderId="2" xfId="1" applyFont="1" applyFill="1" applyBorder="1" applyAlignment="1">
      <alignment horizontal="center" vertical="center"/>
    </xf>
    <xf numFmtId="164" fontId="17" fillId="7" borderId="2" xfId="0" applyNumberFormat="1" applyFont="1" applyFill="1" applyBorder="1" applyAlignment="1">
      <alignment horizontal="center" vertical="center"/>
    </xf>
    <xf numFmtId="0" fontId="21" fillId="8" borderId="0" xfId="0" applyFont="1" applyFill="1" applyAlignment="1">
      <alignment horizontal="center"/>
    </xf>
    <xf numFmtId="0" fontId="4" fillId="7" borderId="0" xfId="0" applyFont="1" applyFill="1" applyAlignment="1">
      <alignment horizontal="center"/>
    </xf>
    <xf numFmtId="164" fontId="5" fillId="0" borderId="1" xfId="2" applyFill="1">
      <alignment horizontal="center" vertical="center"/>
    </xf>
    <xf numFmtId="164" fontId="4" fillId="7" borderId="0" xfId="0" applyNumberFormat="1" applyFont="1" applyFill="1" applyAlignment="1">
      <alignment horizontal="center"/>
    </xf>
    <xf numFmtId="3" fontId="4" fillId="7" borderId="0" xfId="0" applyNumberFormat="1" applyFont="1" applyFill="1" applyAlignment="1">
      <alignment horizontal="center"/>
    </xf>
    <xf numFmtId="3" fontId="4" fillId="7" borderId="0" xfId="0" applyNumberFormat="1" applyFont="1" applyFill="1" applyAlignment="1">
      <alignment horizontal="center" vertical="center"/>
    </xf>
    <xf numFmtId="3" fontId="10" fillId="7" borderId="0" xfId="0" applyNumberFormat="1" applyFont="1" applyFill="1" applyAlignment="1">
      <alignment horizontal="center"/>
    </xf>
    <xf numFmtId="0" fontId="4" fillId="7" borderId="0" xfId="0" applyFont="1" applyFill="1" applyAlignment="1">
      <alignment horizontal="left" indent="1"/>
    </xf>
    <xf numFmtId="166" fontId="20" fillId="7" borderId="0" xfId="0" applyNumberFormat="1" applyFont="1" applyFill="1" applyAlignment="1">
      <alignment horizontal="center"/>
    </xf>
    <xf numFmtId="166" fontId="0" fillId="7" borderId="0" xfId="0" applyNumberFormat="1" applyFill="1" applyAlignment="1">
      <alignment horizontal="center"/>
    </xf>
    <xf numFmtId="168" fontId="0" fillId="7" borderId="0" xfId="10" applyNumberFormat="1" applyFont="1" applyFill="1" applyBorder="1" applyAlignment="1">
      <alignment horizontal="center" vertical="center"/>
    </xf>
    <xf numFmtId="168" fontId="0" fillId="7" borderId="3" xfId="10" applyNumberFormat="1" applyFont="1" applyFill="1" applyBorder="1" applyAlignment="1">
      <alignment horizontal="center" vertical="center"/>
    </xf>
    <xf numFmtId="4" fontId="0" fillId="0" borderId="0" xfId="0" applyNumberFormat="1"/>
    <xf numFmtId="9" fontId="0" fillId="0" borderId="0" xfId="0" applyNumberFormat="1"/>
    <xf numFmtId="0" fontId="0" fillId="18" borderId="0" xfId="0" applyFill="1"/>
    <xf numFmtId="173" fontId="0" fillId="7" borderId="0" xfId="0" applyNumberFormat="1" applyFill="1"/>
    <xf numFmtId="168" fontId="43" fillId="7" borderId="0" xfId="10" applyNumberFormat="1" applyFont="1" applyFill="1" applyBorder="1" applyAlignment="1">
      <alignment horizontal="center" vertical="center"/>
    </xf>
    <xf numFmtId="0" fontId="2" fillId="7" borderId="0" xfId="0" applyFont="1" applyFill="1" applyAlignment="1">
      <alignment horizontal="center" vertical="center"/>
    </xf>
    <xf numFmtId="4" fontId="43" fillId="7" borderId="0" xfId="0" applyNumberFormat="1" applyFont="1" applyFill="1" applyAlignment="1">
      <alignment horizontal="center" vertical="center"/>
    </xf>
    <xf numFmtId="0" fontId="43" fillId="7" borderId="0" xfId="0" applyFont="1" applyFill="1" applyAlignment="1">
      <alignment horizontal="center" vertical="center"/>
    </xf>
    <xf numFmtId="2" fontId="43" fillId="7" borderId="0" xfId="0" applyNumberFormat="1" applyFont="1" applyFill="1" applyAlignment="1">
      <alignment horizontal="center" vertical="center"/>
    </xf>
    <xf numFmtId="0" fontId="43" fillId="7" borderId="0" xfId="0" applyFont="1" applyFill="1"/>
    <xf numFmtId="0" fontId="20" fillId="7" borderId="3" xfId="0" applyFont="1" applyFill="1" applyBorder="1" applyAlignment="1">
      <alignment horizontal="center"/>
    </xf>
    <xf numFmtId="0" fontId="17" fillId="7" borderId="3" xfId="0" applyFont="1" applyFill="1" applyBorder="1" applyAlignment="1">
      <alignment horizontal="center"/>
    </xf>
    <xf numFmtId="0" fontId="17" fillId="7" borderId="3" xfId="0" applyFont="1" applyFill="1" applyBorder="1" applyAlignment="1">
      <alignment horizontal="center" wrapText="1"/>
    </xf>
    <xf numFmtId="0" fontId="19" fillId="7" borderId="0" xfId="0" applyFont="1" applyFill="1"/>
    <xf numFmtId="2" fontId="19" fillId="7" borderId="0" xfId="0" applyNumberFormat="1" applyFont="1" applyFill="1" applyAlignment="1">
      <alignment horizontal="center" vertical="center"/>
    </xf>
    <xf numFmtId="2" fontId="19" fillId="7" borderId="0" xfId="0" applyNumberFormat="1" applyFont="1" applyFill="1" applyAlignment="1">
      <alignment horizontal="center"/>
    </xf>
    <xf numFmtId="2" fontId="19" fillId="7" borderId="0" xfId="0" applyNumberFormat="1" applyFont="1" applyFill="1"/>
    <xf numFmtId="174" fontId="0" fillId="0" borderId="0" xfId="9" applyNumberFormat="1" applyFont="1"/>
    <xf numFmtId="0" fontId="17" fillId="7" borderId="1" xfId="0" applyFont="1" applyFill="1" applyBorder="1" applyAlignment="1">
      <alignment horizontal="center" wrapText="1"/>
    </xf>
    <xf numFmtId="0" fontId="2" fillId="8" borderId="35" xfId="0" applyFont="1" applyFill="1" applyBorder="1" applyAlignment="1">
      <alignment horizontal="center" vertical="center"/>
    </xf>
    <xf numFmtId="175" fontId="17" fillId="7" borderId="37" xfId="0" applyNumberFormat="1" applyFont="1" applyFill="1" applyBorder="1" applyAlignment="1">
      <alignment horizontal="center" vertical="center"/>
    </xf>
    <xf numFmtId="0" fontId="17" fillId="7" borderId="38" xfId="0" applyFont="1" applyFill="1" applyBorder="1" applyAlignment="1">
      <alignment horizontal="center" wrapText="1"/>
    </xf>
    <xf numFmtId="0" fontId="0" fillId="7" borderId="30" xfId="0" applyFill="1" applyBorder="1" applyAlignment="1">
      <alignment horizontal="center"/>
    </xf>
    <xf numFmtId="2" fontId="19" fillId="7" borderId="29" xfId="0" applyNumberFormat="1" applyFont="1" applyFill="1" applyBorder="1" applyAlignment="1">
      <alignment horizontal="center" vertical="center"/>
    </xf>
    <xf numFmtId="175" fontId="0" fillId="7" borderId="29" xfId="0" applyNumberFormat="1" applyFill="1" applyBorder="1" applyAlignment="1">
      <alignment horizontal="center" vertical="center"/>
    </xf>
    <xf numFmtId="164" fontId="5" fillId="18" borderId="1" xfId="2" applyFill="1">
      <alignment horizontal="center" vertical="center"/>
    </xf>
    <xf numFmtId="0" fontId="3" fillId="4" borderId="0" xfId="0" applyFont="1" applyFill="1"/>
    <xf numFmtId="0" fontId="0" fillId="2" borderId="0" xfId="0" applyFill="1"/>
    <xf numFmtId="0" fontId="4" fillId="2" borderId="0" xfId="0" applyFont="1" applyFill="1" applyAlignment="1">
      <alignment horizontal="right"/>
    </xf>
    <xf numFmtId="4" fontId="4" fillId="2" borderId="0" xfId="0" applyNumberFormat="1" applyFont="1" applyFill="1" applyAlignment="1">
      <alignment horizontal="right"/>
    </xf>
    <xf numFmtId="168" fontId="17" fillId="0" borderId="0" xfId="10" applyNumberFormat="1" applyFont="1"/>
    <xf numFmtId="0" fontId="44" fillId="19" borderId="0" xfId="0" applyFont="1" applyFill="1" applyAlignment="1">
      <alignment horizontal="center" vertical="center"/>
    </xf>
    <xf numFmtId="0" fontId="42" fillId="0" borderId="0" xfId="15" applyBorder="1"/>
    <xf numFmtId="3" fontId="42" fillId="0" borderId="0" xfId="15" applyNumberFormat="1" applyBorder="1"/>
    <xf numFmtId="3" fontId="0" fillId="0" borderId="0" xfId="0" applyNumberFormat="1"/>
    <xf numFmtId="168" fontId="0" fillId="0" borderId="0" xfId="0" applyNumberFormat="1"/>
    <xf numFmtId="168" fontId="0" fillId="0" borderId="0" xfId="10" applyNumberFormat="1" applyFont="1" applyBorder="1"/>
    <xf numFmtId="3" fontId="42" fillId="18" borderId="0" xfId="15" applyNumberFormat="1" applyFill="1" applyBorder="1"/>
    <xf numFmtId="3" fontId="17" fillId="0" borderId="0" xfId="0" applyNumberFormat="1" applyFont="1"/>
    <xf numFmtId="169" fontId="0" fillId="0" borderId="0" xfId="0" applyNumberFormat="1"/>
    <xf numFmtId="0" fontId="28" fillId="2" borderId="0" xfId="0" applyFont="1" applyFill="1"/>
    <xf numFmtId="0" fontId="20" fillId="0" borderId="0" xfId="0" applyFont="1" applyAlignment="1">
      <alignment horizontal="center" vertical="center" wrapText="1"/>
    </xf>
    <xf numFmtId="0" fontId="35" fillId="0" borderId="0" xfId="12" applyAlignment="1">
      <alignment horizontal="center" vertical="center"/>
    </xf>
    <xf numFmtId="0" fontId="40" fillId="0" borderId="30" xfId="14" applyFont="1" applyBorder="1" applyAlignment="1">
      <alignment horizontal="left" vertical="top" wrapText="1"/>
    </xf>
    <xf numFmtId="0" fontId="40" fillId="0" borderId="31" xfId="14" applyFont="1" applyBorder="1" applyAlignment="1">
      <alignment horizontal="left" vertical="top" wrapText="1"/>
    </xf>
    <xf numFmtId="0" fontId="40" fillId="0" borderId="32" xfId="14" applyFont="1" applyBorder="1" applyAlignment="1">
      <alignment horizontal="left" vertical="top" wrapText="1"/>
    </xf>
    <xf numFmtId="0" fontId="40" fillId="0" borderId="33" xfId="14" applyFont="1" applyBorder="1" applyAlignment="1">
      <alignment horizontal="left" vertical="top" wrapText="1"/>
    </xf>
    <xf numFmtId="0" fontId="40" fillId="0" borderId="0" xfId="14" applyFont="1" applyAlignment="1">
      <alignment horizontal="left" vertical="top" wrapText="1"/>
    </xf>
    <xf numFmtId="0" fontId="40" fillId="0" borderId="34" xfId="14" applyFont="1" applyBorder="1" applyAlignment="1">
      <alignment horizontal="left" vertical="top" wrapText="1"/>
    </xf>
    <xf numFmtId="0" fontId="40" fillId="0" borderId="35" xfId="14" applyFont="1" applyBorder="1" applyAlignment="1">
      <alignment horizontal="left" vertical="top" wrapText="1"/>
    </xf>
    <xf numFmtId="0" fontId="40" fillId="0" borderId="36" xfId="14" applyFont="1" applyBorder="1" applyAlignment="1">
      <alignment horizontal="left" vertical="top" wrapText="1"/>
    </xf>
    <xf numFmtId="0" fontId="40" fillId="0" borderId="37" xfId="14" applyFont="1" applyBorder="1" applyAlignment="1">
      <alignment horizontal="left" vertical="top" wrapText="1"/>
    </xf>
    <xf numFmtId="0" fontId="36" fillId="0" borderId="30" xfId="14" applyBorder="1" applyAlignment="1">
      <alignment horizontal="left" vertical="top" wrapText="1"/>
    </xf>
    <xf numFmtId="0" fontId="36" fillId="0" borderId="31" xfId="14" applyBorder="1" applyAlignment="1">
      <alignment horizontal="left" vertical="top" wrapText="1"/>
    </xf>
    <xf numFmtId="0" fontId="36" fillId="0" borderId="32" xfId="14" applyBorder="1" applyAlignment="1">
      <alignment horizontal="left" vertical="top" wrapText="1"/>
    </xf>
    <xf numFmtId="0" fontId="36" fillId="0" borderId="33" xfId="14" applyBorder="1" applyAlignment="1">
      <alignment horizontal="left" vertical="top" wrapText="1"/>
    </xf>
    <xf numFmtId="0" fontId="36" fillId="0" borderId="0" xfId="14" applyAlignment="1">
      <alignment horizontal="left" vertical="top" wrapText="1"/>
    </xf>
    <xf numFmtId="0" fontId="36" fillId="0" borderId="34" xfId="14" applyBorder="1" applyAlignment="1">
      <alignment horizontal="left" vertical="top" wrapText="1"/>
    </xf>
    <xf numFmtId="0" fontId="36" fillId="0" borderId="35" xfId="14" applyBorder="1" applyAlignment="1">
      <alignment horizontal="left" vertical="top" wrapText="1"/>
    </xf>
    <xf numFmtId="0" fontId="36" fillId="0" borderId="36" xfId="14" applyBorder="1" applyAlignment="1">
      <alignment horizontal="left" vertical="top" wrapText="1"/>
    </xf>
    <xf numFmtId="0" fontId="36" fillId="0" borderId="37" xfId="14" applyBorder="1" applyAlignment="1">
      <alignment horizontal="left" vertical="top" wrapText="1"/>
    </xf>
    <xf numFmtId="0" fontId="37" fillId="15" borderId="0" xfId="14" applyFont="1" applyFill="1" applyAlignment="1">
      <alignment horizontal="center" vertical="center"/>
    </xf>
    <xf numFmtId="0" fontId="36" fillId="0" borderId="0" xfId="14"/>
    <xf numFmtId="0" fontId="38" fillId="17" borderId="0" xfId="14" applyFont="1" applyFill="1" applyAlignment="1">
      <alignment wrapText="1"/>
    </xf>
    <xf numFmtId="0" fontId="36" fillId="0" borderId="0" xfId="14" applyAlignment="1">
      <alignment wrapText="1"/>
    </xf>
    <xf numFmtId="0" fontId="32" fillId="0" borderId="26" xfId="0" applyFont="1" applyBorder="1" applyAlignment="1">
      <alignment horizontal="center" vertical="center" textRotation="90" wrapText="1"/>
    </xf>
    <xf numFmtId="0" fontId="32" fillId="0" borderId="28" xfId="0" applyFont="1" applyBorder="1" applyAlignment="1">
      <alignment horizontal="center" vertical="center" textRotation="90" wrapText="1"/>
    </xf>
    <xf numFmtId="0" fontId="32" fillId="0" borderId="29" xfId="0" applyFont="1" applyBorder="1" applyAlignment="1">
      <alignment horizontal="center" vertical="center" textRotation="90" wrapText="1"/>
    </xf>
    <xf numFmtId="0" fontId="17" fillId="9" borderId="4" xfId="0" applyFont="1" applyFill="1" applyBorder="1" applyAlignment="1">
      <alignment horizontal="center" vertical="center"/>
    </xf>
    <xf numFmtId="0" fontId="17" fillId="0" borderId="5" xfId="0" applyFont="1" applyBorder="1" applyAlignment="1">
      <alignment horizontal="center" vertical="center"/>
    </xf>
    <xf numFmtId="0" fontId="17" fillId="9" borderId="4" xfId="0" applyFont="1" applyFill="1" applyBorder="1" applyAlignment="1">
      <alignment horizontal="center"/>
    </xf>
    <xf numFmtId="0" fontId="17" fillId="9" borderId="5" xfId="0" applyFont="1" applyFill="1" applyBorder="1" applyAlignment="1">
      <alignment horizontal="center"/>
    </xf>
    <xf numFmtId="0" fontId="32" fillId="0" borderId="4" xfId="0" applyFont="1" applyBorder="1" applyAlignment="1">
      <alignment horizontal="center"/>
    </xf>
    <xf numFmtId="0" fontId="32" fillId="0" borderId="24" xfId="0" applyFont="1" applyBorder="1" applyAlignment="1">
      <alignment horizontal="center"/>
    </xf>
    <xf numFmtId="0" fontId="32" fillId="0" borderId="5" xfId="0" applyFont="1" applyBorder="1" applyAlignment="1">
      <alignment horizontal="center"/>
    </xf>
    <xf numFmtId="0" fontId="17" fillId="11" borderId="18" xfId="0" applyFont="1" applyFill="1" applyBorder="1" applyAlignment="1">
      <alignment horizontal="center" vertical="center"/>
    </xf>
    <xf numFmtId="0" fontId="17" fillId="11" borderId="19" xfId="0" applyFont="1" applyFill="1" applyBorder="1" applyAlignment="1">
      <alignment horizontal="center" vertical="center"/>
    </xf>
    <xf numFmtId="0" fontId="17" fillId="11" borderId="10" xfId="0" applyFont="1" applyFill="1" applyBorder="1" applyAlignment="1">
      <alignment horizontal="center" vertical="center"/>
    </xf>
    <xf numFmtId="0" fontId="17" fillId="10" borderId="18" xfId="0" applyFont="1" applyFill="1" applyBorder="1" applyAlignment="1">
      <alignment horizontal="center" vertical="center"/>
    </xf>
    <xf numFmtId="0" fontId="17" fillId="10" borderId="19" xfId="0" applyFont="1" applyFill="1" applyBorder="1" applyAlignment="1">
      <alignment horizontal="center" vertical="center"/>
    </xf>
    <xf numFmtId="0" fontId="17" fillId="10" borderId="10" xfId="0" applyFont="1" applyFill="1" applyBorder="1" applyAlignment="1">
      <alignment horizontal="center" vertical="center"/>
    </xf>
    <xf numFmtId="0" fontId="3" fillId="4" borderId="0" xfId="0" applyFont="1" applyFill="1" applyAlignment="1">
      <alignment horizontal="center" vertical="center"/>
    </xf>
  </cellXfs>
  <cellStyles count="16">
    <cellStyle name="An %" xfId="6" xr:uid="{00000000-0005-0000-0000-000000000000}"/>
    <cellStyle name="An Num" xfId="7" xr:uid="{00000000-0005-0000-0000-000001000000}"/>
    <cellStyle name="Comma" xfId="9" builtinId="3"/>
    <cellStyle name="Explanatory Text" xfId="15" builtinId="53"/>
    <cellStyle name="Formula change" xfId="4" xr:uid="{00000000-0005-0000-0000-000002000000}"/>
    <cellStyle name="Hyperlink" xfId="11" builtinId="8"/>
    <cellStyle name="Link" xfId="5" xr:uid="{00000000-0005-0000-0000-000003000000}"/>
    <cellStyle name="Normal" xfId="0" builtinId="0"/>
    <cellStyle name="Normal 2" xfId="12" xr:uid="{10C8BF5E-81FC-0948-B44F-8ABDFC01A46E}"/>
    <cellStyle name="Normal 3" xfId="14" xr:uid="{F67DD1EE-9F3C-5C45-9E1A-089E30F9BF5B}"/>
    <cellStyle name="Number An As" xfId="3" xr:uid="{00000000-0005-0000-0000-000005000000}"/>
    <cellStyle name="Numbers Source" xfId="2" xr:uid="{00000000-0005-0000-0000-000006000000}"/>
    <cellStyle name="Percent" xfId="10" builtinId="5"/>
    <cellStyle name="Percent 2" xfId="13" xr:uid="{4F84F6DB-6015-B54E-85BC-7977CD7A5D8B}"/>
    <cellStyle name="Source" xfId="1" xr:uid="{00000000-0005-0000-0000-000007000000}"/>
    <cellStyle name="Zaglushka" xfId="8" xr:uid="{00000000-0005-0000-0000-000008000000}"/>
  </cellStyles>
  <dxfs count="5">
    <dxf>
      <font>
        <color rgb="FF9C0006"/>
      </font>
    </dxf>
    <dxf>
      <font>
        <color rgb="FF9C0006"/>
      </font>
    </dxf>
    <dxf>
      <font>
        <color rgb="FF9C0006"/>
      </font>
    </dxf>
    <dxf>
      <font>
        <color rgb="FFC00000"/>
      </font>
    </dxf>
    <dxf>
      <font>
        <color rgb="FFC00000"/>
      </font>
    </dxf>
  </dxfs>
  <tableStyles count="0" defaultTableStyle="TableStyleMedium2" defaultPivotStyle="PivotStyleLight16"/>
  <colors>
    <mruColors>
      <color rgb="FFFFCC99"/>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US"/>
              <a:t>Dividend per Share (EUR), FY2002–FY2025</a:t>
            </a:r>
          </a:p>
        </c:rich>
      </c:tx>
      <c:overlay val="0"/>
    </c:title>
    <c:autoTitleDeleted val="0"/>
    <c:plotArea>
      <c:layout/>
      <c:barChart>
        <c:barDir val="col"/>
        <c:grouping val="clustered"/>
        <c:varyColors val="0"/>
        <c:ser>
          <c:idx val="0"/>
          <c:order val="0"/>
          <c:tx>
            <c:v>Dividend per Share (EUR)</c:v>
          </c:tx>
          <c:invertIfNegative val="1"/>
          <c:cat>
            <c:numRef>
              <c:f>'Technical Page for DPS'!$J$4:$J$27</c:f>
              <c:numCache>
                <c:formatCode>0</c:formatCode>
                <c:ptCount val="24"/>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numCache>
            </c:numRef>
          </c:cat>
          <c:val>
            <c:numRef>
              <c:f>'Technical Page for DPS'!$K$4:$K$27</c:f>
              <c:numCache>
                <c:formatCode>\€0.00</c:formatCode>
                <c:ptCount val="24"/>
                <c:pt idx="0">
                  <c:v>1</c:v>
                </c:pt>
                <c:pt idx="1">
                  <c:v>1.5</c:v>
                </c:pt>
                <c:pt idx="2">
                  <c:v>1.5</c:v>
                </c:pt>
                <c:pt idx="3">
                  <c:v>1.5</c:v>
                </c:pt>
                <c:pt idx="4">
                  <c:v>1.5</c:v>
                </c:pt>
                <c:pt idx="5">
                  <c:v>1.5</c:v>
                </c:pt>
                <c:pt idx="6">
                  <c:v>2</c:v>
                </c:pt>
                <c:pt idx="7">
                  <c:v>0.6</c:v>
                </c:pt>
                <c:pt idx="8">
                  <c:v>1.85</c:v>
                </c:pt>
                <c:pt idx="9">
                  <c:v>2.2000000000000002</c:v>
                </c:pt>
                <c:pt idx="10">
                  <c:v>2.2000000000000002</c:v>
                </c:pt>
                <c:pt idx="11">
                  <c:v>2.25</c:v>
                </c:pt>
                <c:pt idx="12">
                  <c:v>2.4500000000000002</c:v>
                </c:pt>
                <c:pt idx="13">
                  <c:v>3.25</c:v>
                </c:pt>
                <c:pt idx="14">
                  <c:v>3.25</c:v>
                </c:pt>
                <c:pt idx="15">
                  <c:v>3.65</c:v>
                </c:pt>
                <c:pt idx="16">
                  <c:v>3.25</c:v>
                </c:pt>
                <c:pt idx="17">
                  <c:v>0.9</c:v>
                </c:pt>
                <c:pt idx="18">
                  <c:v>1.35</c:v>
                </c:pt>
                <c:pt idx="19">
                  <c:v>5</c:v>
                </c:pt>
                <c:pt idx="20">
                  <c:v>5.2</c:v>
                </c:pt>
                <c:pt idx="21">
                  <c:v>5.3</c:v>
                </c:pt>
                <c:pt idx="22">
                  <c:v>4.3</c:v>
                </c:pt>
                <c:pt idx="23">
                  <c:v>3.5</c:v>
                </c:pt>
              </c:numCache>
            </c:numRef>
          </c:val>
          <c:extLst>
            <c:ext xmlns:c16="http://schemas.microsoft.com/office/drawing/2014/chart" uri="{C3380CC4-5D6E-409C-BE32-E72D297353CC}">
              <c16:uniqueId val="{00000000-0085-ED46-A4A4-FBC72959131F}"/>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0"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US"/>
              <a:t>Payout Ratio vs 40% Target</a:t>
            </a:r>
          </a:p>
        </c:rich>
      </c:tx>
      <c:overlay val="0"/>
    </c:title>
    <c:autoTitleDeleted val="0"/>
    <c:plotArea>
      <c:layout/>
      <c:lineChart>
        <c:grouping val="standard"/>
        <c:varyColors val="1"/>
        <c:ser>
          <c:idx val="0"/>
          <c:order val="0"/>
          <c:tx>
            <c:v>Dividend per Share (EUR)</c:v>
          </c:tx>
          <c:cat>
            <c:numRef>
              <c:f>'Technical Page for DPS'!$J$4:$J$27</c:f>
              <c:numCache>
                <c:formatCode>0</c:formatCode>
                <c:ptCount val="24"/>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numCache>
            </c:numRef>
          </c:cat>
          <c:val>
            <c:numRef>
              <c:f>'Technical Page for DPS'!$K$4:$K$27</c:f>
              <c:numCache>
                <c:formatCode>\€0.00</c:formatCode>
                <c:ptCount val="24"/>
                <c:pt idx="0">
                  <c:v>1</c:v>
                </c:pt>
                <c:pt idx="1">
                  <c:v>1.5</c:v>
                </c:pt>
                <c:pt idx="2">
                  <c:v>1.5</c:v>
                </c:pt>
                <c:pt idx="3">
                  <c:v>1.5</c:v>
                </c:pt>
                <c:pt idx="4">
                  <c:v>1.5</c:v>
                </c:pt>
                <c:pt idx="5">
                  <c:v>1.5</c:v>
                </c:pt>
                <c:pt idx="6">
                  <c:v>2</c:v>
                </c:pt>
                <c:pt idx="7">
                  <c:v>0.6</c:v>
                </c:pt>
                <c:pt idx="8">
                  <c:v>1.85</c:v>
                </c:pt>
                <c:pt idx="9">
                  <c:v>2.2000000000000002</c:v>
                </c:pt>
                <c:pt idx="10">
                  <c:v>2.2000000000000002</c:v>
                </c:pt>
                <c:pt idx="11">
                  <c:v>2.25</c:v>
                </c:pt>
                <c:pt idx="12">
                  <c:v>2.4500000000000002</c:v>
                </c:pt>
                <c:pt idx="13">
                  <c:v>3.25</c:v>
                </c:pt>
                <c:pt idx="14">
                  <c:v>3.25</c:v>
                </c:pt>
                <c:pt idx="15">
                  <c:v>3.65</c:v>
                </c:pt>
                <c:pt idx="16">
                  <c:v>3.25</c:v>
                </c:pt>
                <c:pt idx="17">
                  <c:v>0.9</c:v>
                </c:pt>
                <c:pt idx="18">
                  <c:v>1.35</c:v>
                </c:pt>
                <c:pt idx="19">
                  <c:v>5</c:v>
                </c:pt>
                <c:pt idx="20">
                  <c:v>5.2</c:v>
                </c:pt>
                <c:pt idx="21">
                  <c:v>5.3</c:v>
                </c:pt>
                <c:pt idx="22">
                  <c:v>4.3</c:v>
                </c:pt>
                <c:pt idx="23">
                  <c:v>3.5</c:v>
                </c:pt>
              </c:numCache>
            </c:numRef>
          </c:val>
          <c:smooth val="0"/>
          <c:extLst>
            <c:ext xmlns:c16="http://schemas.microsoft.com/office/drawing/2014/chart" uri="{C3380CC4-5D6E-409C-BE32-E72D297353CC}">
              <c16:uniqueId val="{00000000-7CAD-0B40-B7A3-D3037FCFD1CA}"/>
            </c:ext>
          </c:extLst>
        </c:ser>
        <c:ser>
          <c:idx val="1"/>
          <c:order val="1"/>
          <c:tx>
            <c:v>Payout Ratio (%)</c:v>
          </c:tx>
          <c:cat>
            <c:numRef>
              <c:f>'Technical Page for DPS'!$J$4:$J$27</c:f>
              <c:numCache>
                <c:formatCode>0</c:formatCode>
                <c:ptCount val="24"/>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numCache>
            </c:numRef>
          </c:cat>
          <c:val>
            <c:numRef>
              <c:f>'Technical Page for DPS'!$L$4:$L$27</c:f>
              <c:numCache>
                <c:formatCode>0</c:formatCode>
                <c:ptCount val="24"/>
                <c:pt idx="15">
                  <c:v>37</c:v>
                </c:pt>
                <c:pt idx="16">
                  <c:v>43</c:v>
                </c:pt>
                <c:pt idx="20">
                  <c:v>42</c:v>
                </c:pt>
                <c:pt idx="21">
                  <c:v>50</c:v>
                </c:pt>
                <c:pt idx="22">
                  <c:v>41</c:v>
                </c:pt>
                <c:pt idx="23">
                  <c:v>80</c:v>
                </c:pt>
              </c:numCache>
            </c:numRef>
          </c:val>
          <c:smooth val="0"/>
          <c:extLst>
            <c:ext xmlns:c16="http://schemas.microsoft.com/office/drawing/2014/chart" uri="{C3380CC4-5D6E-409C-BE32-E72D297353CC}">
              <c16:uniqueId val="{00000001-7CAD-0B40-B7A3-D3037FCFD1CA}"/>
            </c:ext>
          </c:extLst>
        </c:ser>
        <c:ser>
          <c:idx val="2"/>
          <c:order val="2"/>
          <c:tx>
            <c:v>Target Payout Ratio (%)</c:v>
          </c:tx>
          <c:cat>
            <c:numRef>
              <c:f>'Technical Page for DPS'!$J$4:$J$27</c:f>
              <c:numCache>
                <c:formatCode>0</c:formatCode>
                <c:ptCount val="24"/>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numCache>
            </c:numRef>
          </c:cat>
          <c:val>
            <c:numRef>
              <c:f>'Technical Page for DPS'!$M$4:$M$27</c:f>
              <c:numCache>
                <c:formatCode>0</c:formatCode>
                <c:ptCount val="24"/>
                <c:pt idx="0">
                  <c:v>40</c:v>
                </c:pt>
                <c:pt idx="1">
                  <c:v>40</c:v>
                </c:pt>
                <c:pt idx="2">
                  <c:v>40</c:v>
                </c:pt>
                <c:pt idx="3">
                  <c:v>40</c:v>
                </c:pt>
                <c:pt idx="4">
                  <c:v>40</c:v>
                </c:pt>
                <c:pt idx="5">
                  <c:v>40</c:v>
                </c:pt>
                <c:pt idx="6">
                  <c:v>40</c:v>
                </c:pt>
                <c:pt idx="7">
                  <c:v>40</c:v>
                </c:pt>
                <c:pt idx="8">
                  <c:v>40</c:v>
                </c:pt>
                <c:pt idx="9">
                  <c:v>40</c:v>
                </c:pt>
                <c:pt idx="10">
                  <c:v>40</c:v>
                </c:pt>
                <c:pt idx="11">
                  <c:v>40</c:v>
                </c:pt>
                <c:pt idx="12">
                  <c:v>40</c:v>
                </c:pt>
                <c:pt idx="13">
                  <c:v>40</c:v>
                </c:pt>
                <c:pt idx="14">
                  <c:v>40</c:v>
                </c:pt>
                <c:pt idx="15">
                  <c:v>40</c:v>
                </c:pt>
                <c:pt idx="16">
                  <c:v>40</c:v>
                </c:pt>
                <c:pt idx="17">
                  <c:v>40</c:v>
                </c:pt>
                <c:pt idx="18">
                  <c:v>40</c:v>
                </c:pt>
                <c:pt idx="19">
                  <c:v>40</c:v>
                </c:pt>
                <c:pt idx="20">
                  <c:v>40</c:v>
                </c:pt>
                <c:pt idx="21">
                  <c:v>40</c:v>
                </c:pt>
                <c:pt idx="22">
                  <c:v>40</c:v>
                </c:pt>
                <c:pt idx="23">
                  <c:v>40</c:v>
                </c:pt>
              </c:numCache>
            </c:numRef>
          </c:val>
          <c:smooth val="0"/>
          <c:extLst>
            <c:ext xmlns:c16="http://schemas.microsoft.com/office/drawing/2014/chart" uri="{C3380CC4-5D6E-409C-BE32-E72D297353CC}">
              <c16:uniqueId val="{00000002-7CAD-0B40-B7A3-D3037FCFD1CA}"/>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0"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 Id="rId9" Type="http://schemas.openxmlformats.org/officeDocument/2006/relationships/image" Target="../media/image1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7.png"/><Relationship Id="rId1" Type="http://schemas.openxmlformats.org/officeDocument/2006/relationships/image" Target="../media/image1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8.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9.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29</xdr:col>
      <xdr:colOff>128030</xdr:colOff>
      <xdr:row>8</xdr:row>
      <xdr:rowOff>183080</xdr:rowOff>
    </xdr:from>
    <xdr:to>
      <xdr:col>37</xdr:col>
      <xdr:colOff>104281</xdr:colOff>
      <xdr:row>31</xdr:row>
      <xdr:rowOff>153436</xdr:rowOff>
    </xdr:to>
    <xdr:pic>
      <xdr:nvPicPr>
        <xdr:cNvPr id="2" name="Picture 1" descr="Picture background">
          <a:extLst>
            <a:ext uri="{FF2B5EF4-FFF2-40B4-BE49-F238E27FC236}">
              <a16:creationId xmlns:a16="http://schemas.microsoft.com/office/drawing/2014/main" id="{00000000-0008-0000-01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963" t="20201" r="3003" b="32589"/>
        <a:stretch/>
      </xdr:blipFill>
      <xdr:spPr bwMode="auto">
        <a:xfrm>
          <a:off x="17705985" y="1707080"/>
          <a:ext cx="4825341" cy="43289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304799</xdr:colOff>
      <xdr:row>1</xdr:row>
      <xdr:rowOff>17628</xdr:rowOff>
    </xdr:from>
    <xdr:to>
      <xdr:col>24</xdr:col>
      <xdr:colOff>36285</xdr:colOff>
      <xdr:row>11</xdr:row>
      <xdr:rowOff>33134</xdr:rowOff>
    </xdr:to>
    <xdr:pic>
      <xdr:nvPicPr>
        <xdr:cNvPr id="2" name="Рисунок 1">
          <a:extLst>
            <a:ext uri="{FF2B5EF4-FFF2-40B4-BE49-F238E27FC236}">
              <a16:creationId xmlns:a16="http://schemas.microsoft.com/office/drawing/2014/main" id="{FB620A1B-DA17-EF0E-3546-238E7CBD4CE6}"/>
            </a:ext>
          </a:extLst>
        </xdr:cNvPr>
        <xdr:cNvPicPr>
          <a:picLocks noChangeAspect="1"/>
        </xdr:cNvPicPr>
      </xdr:nvPicPr>
      <xdr:blipFill>
        <a:blip xmlns:r="http://schemas.openxmlformats.org/officeDocument/2006/relationships" r:embed="rId1"/>
        <a:stretch>
          <a:fillRect/>
        </a:stretch>
      </xdr:blipFill>
      <xdr:spPr>
        <a:xfrm>
          <a:off x="10022113" y="199057"/>
          <a:ext cx="6698343" cy="182979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26276</xdr:colOff>
      <xdr:row>129</xdr:row>
      <xdr:rowOff>8758</xdr:rowOff>
    </xdr:from>
    <xdr:to>
      <xdr:col>3</xdr:col>
      <xdr:colOff>2566277</xdr:colOff>
      <xdr:row>135</xdr:row>
      <xdr:rowOff>157656</xdr:rowOff>
    </xdr:to>
    <xdr:sp macro="" textlink="">
      <xdr:nvSpPr>
        <xdr:cNvPr id="2" name="TextBox 1">
          <a:extLst>
            <a:ext uri="{FF2B5EF4-FFF2-40B4-BE49-F238E27FC236}">
              <a16:creationId xmlns:a16="http://schemas.microsoft.com/office/drawing/2014/main" id="{5C4C21F8-E74A-2849-BF1F-6921AE705710}"/>
            </a:ext>
          </a:extLst>
        </xdr:cNvPr>
        <xdr:cNvSpPr txBox="1"/>
      </xdr:nvSpPr>
      <xdr:spPr>
        <a:xfrm>
          <a:off x="700690" y="24865724"/>
          <a:ext cx="3888828" cy="13050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 b="1"/>
            <a:t>Note:</a:t>
          </a:r>
          <a:r>
            <a:rPr lang="en"/>
            <a:t> Only Porsche AG preferred shares are publicly traded. Therefore, the preferred share price was used as a proxy to calculate total market equity value, including both ordinary and preferred shares. Preferred shares are therefore already included in Market Equity Value and are not added separately in EV. The P/E multiple was calculated using the preferred share price and earnings per preferred share.</a:t>
          </a:r>
          <a:endParaRPr lang="ru-RU"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56865</xdr:colOff>
      <xdr:row>20</xdr:row>
      <xdr:rowOff>331716</xdr:rowOff>
    </xdr:from>
    <xdr:to>
      <xdr:col>10</xdr:col>
      <xdr:colOff>473879</xdr:colOff>
      <xdr:row>37</xdr:row>
      <xdr:rowOff>56866</xdr:rowOff>
    </xdr:to>
    <xdr:sp macro="" textlink="">
      <xdr:nvSpPr>
        <xdr:cNvPr id="2" name="TextBox 1">
          <a:extLst>
            <a:ext uri="{FF2B5EF4-FFF2-40B4-BE49-F238E27FC236}">
              <a16:creationId xmlns:a16="http://schemas.microsoft.com/office/drawing/2014/main" id="{6DA74280-37EF-3945-90DC-F01ED48685CB}"/>
            </a:ext>
          </a:extLst>
        </xdr:cNvPr>
        <xdr:cNvSpPr txBox="1"/>
      </xdr:nvSpPr>
      <xdr:spPr>
        <a:xfrm>
          <a:off x="5127387" y="4340746"/>
          <a:ext cx="6217313" cy="3355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
            <a:t>The valuation is based on two relative valuation multiples: P/E and EV/EBITDA. </a:t>
          </a:r>
          <a:endParaRPr lang="ru-RU"/>
        </a:p>
        <a:p>
          <a:endParaRPr lang="ru-RU"/>
        </a:p>
        <a:p>
          <a:r>
            <a:rPr lang="en"/>
            <a:t>For the P/E approach, the highest weight was assigned to BMW, as it is the closest peer to Mercedes-Benz in terms of premium positioning, product portfolio and business model. Volkswagen was assigned a lower but still significant weight due to its scale and relevance as a major German automotive group, although its broader mass-market exposure makes it less directly comparable. Porsche received only a 5% weight in the P/E valuation because its P/E multiple is an outlier due to relatively low earnings per share.</a:t>
          </a:r>
          <a:endParaRPr lang="ru-RU"/>
        </a:p>
        <a:p>
          <a:endParaRPr lang="en"/>
        </a:p>
        <a:p>
          <a:r>
            <a:rPr lang="en"/>
            <a:t>For the EV/EBITDA approach, BMW also received the highest weight, but Porsche was assigned a higher weight than in the P/E approach. This is because EV/EBITDA is less affected by temporary fluctuations in net income and better captures operating business value. Porsche was therefore included with a 20% weight to reflect Mercedes-Benz’s premium and luxury positioning. At the same time, Volkswagen was kept at 30% as a broader industry benchmark.</a:t>
          </a:r>
          <a:endParaRPr lang="ru-RU"/>
        </a:p>
        <a:p>
          <a:endParaRPr lang="en"/>
        </a:p>
        <a:p>
          <a:r>
            <a:rPr lang="en"/>
            <a:t>The final valuation assigns 70% weight to EV/EBITDA and 30% to P/E. EV/EBITDA was given the higher weight because it is less sensitive to capital structure, tax effects and short-term earnings volatility. P/E was retained as a supplementary equity-based method. Based on these weights, the final implied Mercedes-Benz share price is €51.17, slightly above the current market price of €49.76, suggesting moderate undervaluation.</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660090</xdr:colOff>
      <xdr:row>10</xdr:row>
      <xdr:rowOff>12700</xdr:rowOff>
    </xdr:to>
    <xdr:pic>
      <xdr:nvPicPr>
        <xdr:cNvPr id="2" name="Рисунок 1">
          <a:extLst>
            <a:ext uri="{FF2B5EF4-FFF2-40B4-BE49-F238E27FC236}">
              <a16:creationId xmlns:a16="http://schemas.microsoft.com/office/drawing/2014/main" id="{70D4C611-8B78-C148-803C-A34650523CD2}"/>
            </a:ext>
          </a:extLst>
        </xdr:cNvPr>
        <xdr:cNvPicPr>
          <a:picLocks noChangeAspect="1"/>
        </xdr:cNvPicPr>
      </xdr:nvPicPr>
      <xdr:blipFill>
        <a:blip xmlns:r="http://schemas.openxmlformats.org/officeDocument/2006/relationships" r:embed="rId1"/>
        <a:stretch>
          <a:fillRect/>
        </a:stretch>
      </xdr:blipFill>
      <xdr:spPr>
        <a:xfrm>
          <a:off x="0" y="0"/>
          <a:ext cx="4787590" cy="2044700"/>
        </a:xfrm>
        <a:prstGeom prst="rect">
          <a:avLst/>
        </a:prstGeom>
      </xdr:spPr>
    </xdr:pic>
    <xdr:clientData/>
  </xdr:twoCellAnchor>
  <xdr:twoCellAnchor editAs="oneCell">
    <xdr:from>
      <xdr:col>0</xdr:col>
      <xdr:colOff>279400</xdr:colOff>
      <xdr:row>21</xdr:row>
      <xdr:rowOff>139700</xdr:rowOff>
    </xdr:from>
    <xdr:to>
      <xdr:col>9</xdr:col>
      <xdr:colOff>127000</xdr:colOff>
      <xdr:row>30</xdr:row>
      <xdr:rowOff>200520</xdr:rowOff>
    </xdr:to>
    <xdr:pic>
      <xdr:nvPicPr>
        <xdr:cNvPr id="3" name="Рисунок 3">
          <a:extLst>
            <a:ext uri="{FF2B5EF4-FFF2-40B4-BE49-F238E27FC236}">
              <a16:creationId xmlns:a16="http://schemas.microsoft.com/office/drawing/2014/main" id="{EC12429B-3E02-E54A-906B-7642E41D645C}"/>
            </a:ext>
          </a:extLst>
        </xdr:cNvPr>
        <xdr:cNvPicPr>
          <a:picLocks noChangeAspect="1"/>
        </xdr:cNvPicPr>
      </xdr:nvPicPr>
      <xdr:blipFill>
        <a:blip xmlns:r="http://schemas.openxmlformats.org/officeDocument/2006/relationships" r:embed="rId2"/>
        <a:stretch>
          <a:fillRect/>
        </a:stretch>
      </xdr:blipFill>
      <xdr:spPr>
        <a:xfrm>
          <a:off x="279400" y="4406900"/>
          <a:ext cx="7772400" cy="1889620"/>
        </a:xfrm>
        <a:prstGeom prst="rect">
          <a:avLst/>
        </a:prstGeom>
      </xdr:spPr>
    </xdr:pic>
    <xdr:clientData/>
  </xdr:twoCellAnchor>
  <xdr:twoCellAnchor editAs="oneCell">
    <xdr:from>
      <xdr:col>12</xdr:col>
      <xdr:colOff>805366</xdr:colOff>
      <xdr:row>1</xdr:row>
      <xdr:rowOff>10422</xdr:rowOff>
    </xdr:from>
    <xdr:to>
      <xdr:col>16</xdr:col>
      <xdr:colOff>455961</xdr:colOff>
      <xdr:row>23</xdr:row>
      <xdr:rowOff>0</xdr:rowOff>
    </xdr:to>
    <xdr:pic>
      <xdr:nvPicPr>
        <xdr:cNvPr id="4" name="Рисунок 4">
          <a:extLst>
            <a:ext uri="{FF2B5EF4-FFF2-40B4-BE49-F238E27FC236}">
              <a16:creationId xmlns:a16="http://schemas.microsoft.com/office/drawing/2014/main" id="{64EA0380-E9F4-4942-B42E-9B2655A3699E}"/>
            </a:ext>
          </a:extLst>
        </xdr:cNvPr>
        <xdr:cNvPicPr>
          <a:picLocks noChangeAspect="1"/>
        </xdr:cNvPicPr>
      </xdr:nvPicPr>
      <xdr:blipFill>
        <a:blip xmlns:r="http://schemas.openxmlformats.org/officeDocument/2006/relationships" r:embed="rId3"/>
        <a:stretch>
          <a:fillRect/>
        </a:stretch>
      </xdr:blipFill>
      <xdr:spPr>
        <a:xfrm>
          <a:off x="11206666" y="213622"/>
          <a:ext cx="2952595" cy="4459978"/>
        </a:xfrm>
        <a:prstGeom prst="rect">
          <a:avLst/>
        </a:prstGeom>
      </xdr:spPr>
    </xdr:pic>
    <xdr:clientData/>
  </xdr:twoCellAnchor>
  <xdr:twoCellAnchor editAs="oneCell">
    <xdr:from>
      <xdr:col>16</xdr:col>
      <xdr:colOff>619512</xdr:colOff>
      <xdr:row>7</xdr:row>
      <xdr:rowOff>185854</xdr:rowOff>
    </xdr:from>
    <xdr:to>
      <xdr:col>26</xdr:col>
      <xdr:colOff>183375</xdr:colOff>
      <xdr:row>24</xdr:row>
      <xdr:rowOff>193813</xdr:rowOff>
    </xdr:to>
    <xdr:pic>
      <xdr:nvPicPr>
        <xdr:cNvPr id="5" name="Рисунок 6">
          <a:extLst>
            <a:ext uri="{FF2B5EF4-FFF2-40B4-BE49-F238E27FC236}">
              <a16:creationId xmlns:a16="http://schemas.microsoft.com/office/drawing/2014/main" id="{5C8F35C8-13B1-614C-9092-8C5C974CA865}"/>
            </a:ext>
          </a:extLst>
        </xdr:cNvPr>
        <xdr:cNvPicPr>
          <a:picLocks noChangeAspect="1"/>
        </xdr:cNvPicPr>
      </xdr:nvPicPr>
      <xdr:blipFill>
        <a:blip xmlns:r="http://schemas.openxmlformats.org/officeDocument/2006/relationships" r:embed="rId4"/>
        <a:stretch>
          <a:fillRect/>
        </a:stretch>
      </xdr:blipFill>
      <xdr:spPr>
        <a:xfrm>
          <a:off x="14322812" y="1608254"/>
          <a:ext cx="7818863" cy="3462359"/>
        </a:xfrm>
        <a:prstGeom prst="rect">
          <a:avLst/>
        </a:prstGeom>
      </xdr:spPr>
    </xdr:pic>
    <xdr:clientData/>
  </xdr:twoCellAnchor>
  <xdr:twoCellAnchor editAs="oneCell">
    <xdr:from>
      <xdr:col>13</xdr:col>
      <xdr:colOff>619513</xdr:colOff>
      <xdr:row>26</xdr:row>
      <xdr:rowOff>61952</xdr:rowOff>
    </xdr:from>
    <xdr:to>
      <xdr:col>19</xdr:col>
      <xdr:colOff>736291</xdr:colOff>
      <xdr:row>58</xdr:row>
      <xdr:rowOff>83325</xdr:rowOff>
    </xdr:to>
    <xdr:pic>
      <xdr:nvPicPr>
        <xdr:cNvPr id="6" name="Рисунок 7">
          <a:extLst>
            <a:ext uri="{FF2B5EF4-FFF2-40B4-BE49-F238E27FC236}">
              <a16:creationId xmlns:a16="http://schemas.microsoft.com/office/drawing/2014/main" id="{1AEF4602-925F-B74F-8D0F-3076444D3394}"/>
            </a:ext>
          </a:extLst>
        </xdr:cNvPr>
        <xdr:cNvPicPr>
          <a:picLocks noChangeAspect="1"/>
        </xdr:cNvPicPr>
      </xdr:nvPicPr>
      <xdr:blipFill>
        <a:blip xmlns:r="http://schemas.openxmlformats.org/officeDocument/2006/relationships" r:embed="rId5"/>
        <a:stretch>
          <a:fillRect/>
        </a:stretch>
      </xdr:blipFill>
      <xdr:spPr>
        <a:xfrm>
          <a:off x="11846313" y="5345152"/>
          <a:ext cx="5069778" cy="6523773"/>
        </a:xfrm>
        <a:prstGeom prst="rect">
          <a:avLst/>
        </a:prstGeom>
      </xdr:spPr>
    </xdr:pic>
    <xdr:clientData/>
  </xdr:twoCellAnchor>
  <xdr:twoCellAnchor editAs="oneCell">
    <xdr:from>
      <xdr:col>20</xdr:col>
      <xdr:colOff>15488</xdr:colOff>
      <xdr:row>30</xdr:row>
      <xdr:rowOff>123903</xdr:rowOff>
    </xdr:from>
    <xdr:to>
      <xdr:col>29</xdr:col>
      <xdr:colOff>400205</xdr:colOff>
      <xdr:row>46</xdr:row>
      <xdr:rowOff>110187</xdr:rowOff>
    </xdr:to>
    <xdr:pic>
      <xdr:nvPicPr>
        <xdr:cNvPr id="7" name="Рисунок 8">
          <a:extLst>
            <a:ext uri="{FF2B5EF4-FFF2-40B4-BE49-F238E27FC236}">
              <a16:creationId xmlns:a16="http://schemas.microsoft.com/office/drawing/2014/main" id="{E74766C5-20A7-FD4D-925C-115235F463DE}"/>
            </a:ext>
          </a:extLst>
        </xdr:cNvPr>
        <xdr:cNvPicPr>
          <a:picLocks noChangeAspect="1"/>
        </xdr:cNvPicPr>
      </xdr:nvPicPr>
      <xdr:blipFill>
        <a:blip xmlns:r="http://schemas.openxmlformats.org/officeDocument/2006/relationships" r:embed="rId6"/>
        <a:stretch>
          <a:fillRect/>
        </a:stretch>
      </xdr:blipFill>
      <xdr:spPr>
        <a:xfrm>
          <a:off x="17020788" y="6219903"/>
          <a:ext cx="7814217" cy="3237484"/>
        </a:xfrm>
        <a:prstGeom prst="rect">
          <a:avLst/>
        </a:prstGeom>
      </xdr:spPr>
    </xdr:pic>
    <xdr:clientData/>
  </xdr:twoCellAnchor>
  <xdr:twoCellAnchor editAs="oneCell">
    <xdr:from>
      <xdr:col>16</xdr:col>
      <xdr:colOff>619512</xdr:colOff>
      <xdr:row>7</xdr:row>
      <xdr:rowOff>185854</xdr:rowOff>
    </xdr:from>
    <xdr:to>
      <xdr:col>26</xdr:col>
      <xdr:colOff>183375</xdr:colOff>
      <xdr:row>11</xdr:row>
      <xdr:rowOff>25329</xdr:rowOff>
    </xdr:to>
    <xdr:pic>
      <xdr:nvPicPr>
        <xdr:cNvPr id="8" name="Рисунок 9">
          <a:extLst>
            <a:ext uri="{FF2B5EF4-FFF2-40B4-BE49-F238E27FC236}">
              <a16:creationId xmlns:a16="http://schemas.microsoft.com/office/drawing/2014/main" id="{6F489A8C-9D9A-724F-9B0D-E565D37CB5E7}"/>
            </a:ext>
          </a:extLst>
        </xdr:cNvPr>
        <xdr:cNvPicPr>
          <a:picLocks noChangeAspect="1"/>
        </xdr:cNvPicPr>
      </xdr:nvPicPr>
      <xdr:blipFill>
        <a:blip xmlns:r="http://schemas.openxmlformats.org/officeDocument/2006/relationships" r:embed="rId7"/>
        <a:stretch>
          <a:fillRect/>
        </a:stretch>
      </xdr:blipFill>
      <xdr:spPr>
        <a:xfrm>
          <a:off x="14322812" y="1608254"/>
          <a:ext cx="7818863" cy="652275"/>
        </a:xfrm>
        <a:prstGeom prst="rect">
          <a:avLst/>
        </a:prstGeom>
      </xdr:spPr>
    </xdr:pic>
    <xdr:clientData/>
  </xdr:twoCellAnchor>
  <xdr:twoCellAnchor editAs="oneCell">
    <xdr:from>
      <xdr:col>20</xdr:col>
      <xdr:colOff>309757</xdr:colOff>
      <xdr:row>47</xdr:row>
      <xdr:rowOff>139391</xdr:rowOff>
    </xdr:from>
    <xdr:to>
      <xdr:col>29</xdr:col>
      <xdr:colOff>694474</xdr:colOff>
      <xdr:row>50</xdr:row>
      <xdr:rowOff>180208</xdr:rowOff>
    </xdr:to>
    <xdr:pic>
      <xdr:nvPicPr>
        <xdr:cNvPr id="9" name="Рисунок 10">
          <a:extLst>
            <a:ext uri="{FF2B5EF4-FFF2-40B4-BE49-F238E27FC236}">
              <a16:creationId xmlns:a16="http://schemas.microsoft.com/office/drawing/2014/main" id="{308C455C-5CB0-DC4B-AE5F-9D097270A54A}"/>
            </a:ext>
          </a:extLst>
        </xdr:cNvPr>
        <xdr:cNvPicPr>
          <a:picLocks noChangeAspect="1"/>
        </xdr:cNvPicPr>
      </xdr:nvPicPr>
      <xdr:blipFill>
        <a:blip xmlns:r="http://schemas.openxmlformats.org/officeDocument/2006/relationships" r:embed="rId7"/>
        <a:stretch>
          <a:fillRect/>
        </a:stretch>
      </xdr:blipFill>
      <xdr:spPr>
        <a:xfrm>
          <a:off x="17315057" y="9689791"/>
          <a:ext cx="7814217" cy="650417"/>
        </a:xfrm>
        <a:prstGeom prst="rect">
          <a:avLst/>
        </a:prstGeom>
      </xdr:spPr>
    </xdr:pic>
    <xdr:clientData/>
  </xdr:twoCellAnchor>
  <xdr:twoCellAnchor editAs="oneCell">
    <xdr:from>
      <xdr:col>20</xdr:col>
      <xdr:colOff>185853</xdr:colOff>
      <xdr:row>51</xdr:row>
      <xdr:rowOff>185853</xdr:rowOff>
    </xdr:from>
    <xdr:to>
      <xdr:col>29</xdr:col>
      <xdr:colOff>570570</xdr:colOff>
      <xdr:row>59</xdr:row>
      <xdr:rowOff>173632</xdr:rowOff>
    </xdr:to>
    <xdr:pic>
      <xdr:nvPicPr>
        <xdr:cNvPr id="10" name="Рисунок 11">
          <a:extLst>
            <a:ext uri="{FF2B5EF4-FFF2-40B4-BE49-F238E27FC236}">
              <a16:creationId xmlns:a16="http://schemas.microsoft.com/office/drawing/2014/main" id="{F3A2FA1F-A0DF-5546-BD95-411CA01B8B62}"/>
            </a:ext>
          </a:extLst>
        </xdr:cNvPr>
        <xdr:cNvPicPr>
          <a:picLocks noChangeAspect="1"/>
        </xdr:cNvPicPr>
      </xdr:nvPicPr>
      <xdr:blipFill>
        <a:blip xmlns:r="http://schemas.openxmlformats.org/officeDocument/2006/relationships" r:embed="rId8"/>
        <a:stretch>
          <a:fillRect/>
        </a:stretch>
      </xdr:blipFill>
      <xdr:spPr>
        <a:xfrm>
          <a:off x="17191153" y="10549053"/>
          <a:ext cx="7814217" cy="1613379"/>
        </a:xfrm>
        <a:prstGeom prst="rect">
          <a:avLst/>
        </a:prstGeom>
      </xdr:spPr>
    </xdr:pic>
    <xdr:clientData/>
  </xdr:twoCellAnchor>
  <xdr:twoCellAnchor editAs="oneCell">
    <xdr:from>
      <xdr:col>26</xdr:col>
      <xdr:colOff>449146</xdr:colOff>
      <xdr:row>0</xdr:row>
      <xdr:rowOff>0</xdr:rowOff>
    </xdr:from>
    <xdr:to>
      <xdr:col>36</xdr:col>
      <xdr:colOff>13010</xdr:colOff>
      <xdr:row>30</xdr:row>
      <xdr:rowOff>37111</xdr:rowOff>
    </xdr:to>
    <xdr:pic>
      <xdr:nvPicPr>
        <xdr:cNvPr id="11" name="Рисунок 12">
          <a:extLst>
            <a:ext uri="{FF2B5EF4-FFF2-40B4-BE49-F238E27FC236}">
              <a16:creationId xmlns:a16="http://schemas.microsoft.com/office/drawing/2014/main" id="{2B00B068-62A8-504E-92EB-8CE51D107312}"/>
            </a:ext>
          </a:extLst>
        </xdr:cNvPr>
        <xdr:cNvPicPr>
          <a:picLocks noChangeAspect="1"/>
        </xdr:cNvPicPr>
      </xdr:nvPicPr>
      <xdr:blipFill>
        <a:blip xmlns:r="http://schemas.openxmlformats.org/officeDocument/2006/relationships" r:embed="rId9"/>
        <a:stretch>
          <a:fillRect/>
        </a:stretch>
      </xdr:blipFill>
      <xdr:spPr>
        <a:xfrm>
          <a:off x="22407446" y="0"/>
          <a:ext cx="7818864" cy="613311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177800</xdr:colOff>
      <xdr:row>0</xdr:row>
      <xdr:rowOff>0</xdr:rowOff>
    </xdr:from>
    <xdr:to>
      <xdr:col>19</xdr:col>
      <xdr:colOff>520700</xdr:colOff>
      <xdr:row>13</xdr:row>
      <xdr:rowOff>173736</xdr:rowOff>
    </xdr:to>
    <xdr:pic>
      <xdr:nvPicPr>
        <xdr:cNvPr id="2" name="Рисунок 1">
          <a:extLst>
            <a:ext uri="{FF2B5EF4-FFF2-40B4-BE49-F238E27FC236}">
              <a16:creationId xmlns:a16="http://schemas.microsoft.com/office/drawing/2014/main" id="{668D0A64-8CFD-D446-9332-F6BF88C6DECC}"/>
            </a:ext>
          </a:extLst>
        </xdr:cNvPr>
        <xdr:cNvPicPr>
          <a:picLocks noChangeAspect="1"/>
        </xdr:cNvPicPr>
      </xdr:nvPicPr>
      <xdr:blipFill>
        <a:blip xmlns:r="http://schemas.openxmlformats.org/officeDocument/2006/relationships" r:embed="rId1"/>
        <a:stretch>
          <a:fillRect/>
        </a:stretch>
      </xdr:blipFill>
      <xdr:spPr>
        <a:xfrm>
          <a:off x="8712200" y="0"/>
          <a:ext cx="7772400" cy="2815336"/>
        </a:xfrm>
        <a:prstGeom prst="rect">
          <a:avLst/>
        </a:prstGeom>
      </xdr:spPr>
    </xdr:pic>
    <xdr:clientData/>
  </xdr:twoCellAnchor>
  <xdr:twoCellAnchor editAs="oneCell">
    <xdr:from>
      <xdr:col>17</xdr:col>
      <xdr:colOff>0</xdr:colOff>
      <xdr:row>16</xdr:row>
      <xdr:rowOff>152400</xdr:rowOff>
    </xdr:from>
    <xdr:to>
      <xdr:col>23</xdr:col>
      <xdr:colOff>88900</xdr:colOff>
      <xdr:row>48</xdr:row>
      <xdr:rowOff>114300</xdr:rowOff>
    </xdr:to>
    <xdr:pic>
      <xdr:nvPicPr>
        <xdr:cNvPr id="3" name="Рисунок 2">
          <a:extLst>
            <a:ext uri="{FF2B5EF4-FFF2-40B4-BE49-F238E27FC236}">
              <a16:creationId xmlns:a16="http://schemas.microsoft.com/office/drawing/2014/main" id="{734C7D9C-DC4B-C94C-A777-3AD1C8B3AA5C}"/>
            </a:ext>
          </a:extLst>
        </xdr:cNvPr>
        <xdr:cNvPicPr>
          <a:picLocks noChangeAspect="1"/>
        </xdr:cNvPicPr>
      </xdr:nvPicPr>
      <xdr:blipFill>
        <a:blip xmlns:r="http://schemas.openxmlformats.org/officeDocument/2006/relationships" r:embed="rId2"/>
        <a:stretch>
          <a:fillRect/>
        </a:stretch>
      </xdr:blipFill>
      <xdr:spPr>
        <a:xfrm>
          <a:off x="14312900" y="3403600"/>
          <a:ext cx="5041900" cy="6464300"/>
        </a:xfrm>
        <a:prstGeom prst="rect">
          <a:avLst/>
        </a:prstGeom>
      </xdr:spPr>
    </xdr:pic>
    <xdr:clientData/>
  </xdr:twoCellAnchor>
  <xdr:twoCellAnchor editAs="oneCell">
    <xdr:from>
      <xdr:col>10</xdr:col>
      <xdr:colOff>215900</xdr:colOff>
      <xdr:row>15</xdr:row>
      <xdr:rowOff>139700</xdr:rowOff>
    </xdr:from>
    <xdr:to>
      <xdr:col>16</xdr:col>
      <xdr:colOff>635000</xdr:colOff>
      <xdr:row>18</xdr:row>
      <xdr:rowOff>127000</xdr:rowOff>
    </xdr:to>
    <xdr:pic>
      <xdr:nvPicPr>
        <xdr:cNvPr id="4" name="Рисунок 4">
          <a:extLst>
            <a:ext uri="{FF2B5EF4-FFF2-40B4-BE49-F238E27FC236}">
              <a16:creationId xmlns:a16="http://schemas.microsoft.com/office/drawing/2014/main" id="{6C36D9A2-6530-0941-B4BB-4806703699E0}"/>
            </a:ext>
          </a:extLst>
        </xdr:cNvPr>
        <xdr:cNvPicPr>
          <a:picLocks noChangeAspect="1"/>
        </xdr:cNvPicPr>
      </xdr:nvPicPr>
      <xdr:blipFill>
        <a:blip xmlns:r="http://schemas.openxmlformats.org/officeDocument/2006/relationships" r:embed="rId3"/>
        <a:stretch>
          <a:fillRect/>
        </a:stretch>
      </xdr:blipFill>
      <xdr:spPr>
        <a:xfrm>
          <a:off x="8750300" y="3187700"/>
          <a:ext cx="5372100" cy="5969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76200</xdr:colOff>
      <xdr:row>0</xdr:row>
      <xdr:rowOff>139700</xdr:rowOff>
    </xdr:from>
    <xdr:to>
      <xdr:col>5</xdr:col>
      <xdr:colOff>114300</xdr:colOff>
      <xdr:row>10</xdr:row>
      <xdr:rowOff>63500</xdr:rowOff>
    </xdr:to>
    <xdr:pic>
      <xdr:nvPicPr>
        <xdr:cNvPr id="2" name="Рисунок 1" descr="WACC Formula and Examples">
          <a:extLst>
            <a:ext uri="{FF2B5EF4-FFF2-40B4-BE49-F238E27FC236}">
              <a16:creationId xmlns:a16="http://schemas.microsoft.com/office/drawing/2014/main" id="{5EE68F5D-5C53-4E4E-9691-54BEEF485D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139700"/>
          <a:ext cx="4165600" cy="1955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177800</xdr:colOff>
      <xdr:row>0</xdr:row>
      <xdr:rowOff>38100</xdr:rowOff>
    </xdr:from>
    <xdr:to>
      <xdr:col>20</xdr:col>
      <xdr:colOff>127000</xdr:colOff>
      <xdr:row>14</xdr:row>
      <xdr:rowOff>17281</xdr:rowOff>
    </xdr:to>
    <xdr:pic>
      <xdr:nvPicPr>
        <xdr:cNvPr id="3" name="Рисунок 2">
          <a:extLst>
            <a:ext uri="{FF2B5EF4-FFF2-40B4-BE49-F238E27FC236}">
              <a16:creationId xmlns:a16="http://schemas.microsoft.com/office/drawing/2014/main" id="{0F9A7837-04DD-334C-87E9-37E291D145CF}"/>
            </a:ext>
          </a:extLst>
        </xdr:cNvPr>
        <xdr:cNvPicPr>
          <a:picLocks noChangeAspect="1"/>
        </xdr:cNvPicPr>
      </xdr:nvPicPr>
      <xdr:blipFill>
        <a:blip xmlns:r="http://schemas.openxmlformats.org/officeDocument/2006/relationships" r:embed="rId2"/>
        <a:stretch>
          <a:fillRect/>
        </a:stretch>
      </xdr:blipFill>
      <xdr:spPr>
        <a:xfrm>
          <a:off x="11087100" y="38100"/>
          <a:ext cx="5727700" cy="282398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26</xdr:row>
      <xdr:rowOff>0</xdr:rowOff>
    </xdr:from>
    <xdr:to>
      <xdr:col>7</xdr:col>
      <xdr:colOff>41787</xdr:colOff>
      <xdr:row>62</xdr:row>
      <xdr:rowOff>1215</xdr:rowOff>
    </xdr:to>
    <xdr:pic>
      <xdr:nvPicPr>
        <xdr:cNvPr id="2" name="Picture 1">
          <a:extLst>
            <a:ext uri="{FF2B5EF4-FFF2-40B4-BE49-F238E27FC236}">
              <a16:creationId xmlns:a16="http://schemas.microsoft.com/office/drawing/2014/main" id="{8FC4C94C-D4BF-0046-BA23-061A34FF6149}"/>
            </a:ext>
          </a:extLst>
        </xdr:cNvPr>
        <xdr:cNvPicPr>
          <a:picLocks noChangeAspect="1"/>
        </xdr:cNvPicPr>
      </xdr:nvPicPr>
      <xdr:blipFill>
        <a:blip xmlns:r="http://schemas.openxmlformats.org/officeDocument/2006/relationships" r:embed="rId1"/>
        <a:stretch>
          <a:fillRect/>
        </a:stretch>
      </xdr:blipFill>
      <xdr:spPr>
        <a:xfrm>
          <a:off x="0" y="5245100"/>
          <a:ext cx="11166987" cy="6414715"/>
        </a:xfrm>
        <a:prstGeom prst="rect">
          <a:avLst/>
        </a:prstGeom>
      </xdr:spPr>
    </xdr:pic>
    <xdr:clientData/>
  </xdr:twoCellAnchor>
  <xdr:twoCellAnchor editAs="oneCell">
    <xdr:from>
      <xdr:col>7</xdr:col>
      <xdr:colOff>0</xdr:colOff>
      <xdr:row>30</xdr:row>
      <xdr:rowOff>152400</xdr:rowOff>
    </xdr:from>
    <xdr:to>
      <xdr:col>22</xdr:col>
      <xdr:colOff>20041</xdr:colOff>
      <xdr:row>63</xdr:row>
      <xdr:rowOff>20320</xdr:rowOff>
    </xdr:to>
    <xdr:pic>
      <xdr:nvPicPr>
        <xdr:cNvPr id="3" name="Picture 2">
          <a:extLst>
            <a:ext uri="{FF2B5EF4-FFF2-40B4-BE49-F238E27FC236}">
              <a16:creationId xmlns:a16="http://schemas.microsoft.com/office/drawing/2014/main" id="{AD0CDAD3-A1D5-B641-9B15-B439F8C40A6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125200" y="6108700"/>
          <a:ext cx="10116541" cy="57480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14</xdr:row>
      <xdr:rowOff>0</xdr:rowOff>
    </xdr:from>
    <xdr:to>
      <xdr:col>8</xdr:col>
      <xdr:colOff>0</xdr:colOff>
      <xdr:row>34</xdr:row>
      <xdr:rowOff>0</xdr:rowOff>
    </xdr:to>
    <xdr:graphicFrame macro="">
      <xdr:nvGraphicFramePr>
        <xdr:cNvPr id="2" name="Chart">
          <a:extLst>
            <a:ext uri="{FF2B5EF4-FFF2-40B4-BE49-F238E27FC236}">
              <a16:creationId xmlns:a16="http://schemas.microsoft.com/office/drawing/2014/main" id="{2D928F71-72D5-1A46-998E-12A34453F2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35</xdr:row>
      <xdr:rowOff>0</xdr:rowOff>
    </xdr:from>
    <xdr:to>
      <xdr:col>8</xdr:col>
      <xdr:colOff>0</xdr:colOff>
      <xdr:row>54</xdr:row>
      <xdr:rowOff>0</xdr:rowOff>
    </xdr:to>
    <xdr:graphicFrame macro="">
      <xdr:nvGraphicFramePr>
        <xdr:cNvPr id="3" name="Chart">
          <a:extLst>
            <a:ext uri="{FF2B5EF4-FFF2-40B4-BE49-F238E27FC236}">
              <a16:creationId xmlns:a16="http://schemas.microsoft.com/office/drawing/2014/main" id="{FEAE95F5-B065-CD42-89AA-EF72DC567E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Ilia Sharafutdinov" id="{DB28736C-7487-3B42-BFA8-8ECD1B6049DE}" userId="566b96487ad2f1e4"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F07F6C-A9F6-9349-A108-063080119053}" name="DividendDataTable" displayName="DividendDataTable" ref="A1:G25">
  <tableColumns count="7">
    <tableColumn id="1" xr3:uid="{C6160DF3-BDA8-8849-8774-3BC3A0D6183F}" name="Financial Year"/>
    <tableColumn id="2" xr3:uid="{C05C8490-2F2A-644D-93F2-5B3CF59F14AC}" name="Dividend per Share (EUR)"/>
    <tableColumn id="3" xr3:uid="{0309A2E2-5839-1E42-8FAF-3CB08928E3DE}" name="YoY Change"/>
    <tableColumn id="4" xr3:uid="{94C5BA64-A7C4-4140-81C1-89C9303A6A0D}" name="Payout Ratio (%)"/>
    <tableColumn id="5" xr3:uid="{95B837A1-FE47-EC48-ADEF-6D8E5D6150DF}" name="Target Payout Ratio (%)"/>
    <tableColumn id="6" xr3:uid="{4FEABF89-4F3A-6540-99DB-1D1619827AEF}" name="Difference vs Target">
      <calculatedColumnFormula>IF(D2="","",D2-E2)</calculatedColumnFormula>
    </tableColumn>
    <tableColumn id="7" xr3:uid="{4E6A70F5-8AB2-864E-BFB3-A6AA0091AD45}" name="Event / No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6" dT="2026-05-30T19:07:52.52" personId="{DB28736C-7487-3B42-BFA8-8ECD1B6049DE}" id="{8445F27F-BED7-1D49-8C9F-7C828C4F6E88}">
    <text>-4.9% in 2026Q1, mostly due to dropping sales in China https://group.mercedes-benz.com/documents/investors/reports/interim-reports/q1/mercedes-benz-interim-report-q1-2026.pdf</text>
    <extLst>
      <x:ext xmlns:xltc2="http://schemas.microsoft.com/office/spreadsheetml/2020/threadedcomments2" uri="{F7C98A9C-CBB3-438F-8F68-D28B6AF4A901}">
        <xltc2:checksum>3883971371</xltc2:checksum>
        <xltc2:hyperlink startIndex="55" length="119" url="https://group.mercedes-benz.com/documents/investors/reports/interim-reports/q1/mercedes-benz-interim-report-q1-2026.pdf"/>
      </x:ext>
    </extLst>
  </threadedComment>
  <threadedComment ref="L6" dT="2026-05-30T19:34:09.14" personId="{DB28736C-7487-3B42-BFA8-8ECD1B6049DE}" id="{9637B670-3F99-DA49-A168-90DBC89CDC4D}">
    <text>Gradual stabilisation of China share and EV segment maturation further on</text>
  </threadedComment>
  <threadedComment ref="E15" dT="2026-05-30T20:54:45.38" personId="{DB28736C-7487-3B42-BFA8-8ECD1B6049DE}" id="{035634FB-5E6C-6A48-89A4-E75378964961}">
    <text>Should we keep this comment as-is?</text>
  </threadedComment>
  <threadedComment ref="K16" dT="2026-05-30T20:52:22.51" personId="{DB28736C-7487-3B42-BFA8-8ECD1B6049DE}" id="{02A2ABE4-1FF3-5144-80E9-E89F57FCFC38}">
    <text>According to Bundesbank, interest rates are to remain unchanged from 2025, inflation projected to stabilise around 2% https://www.bundesbank.de/en/tasks/topics/ecb-keeps-rates-unchanged-992166</text>
    <extLst>
      <x:ext xmlns:xltc2="http://schemas.microsoft.com/office/spreadsheetml/2020/threadedcomments2" uri="{F7C98A9C-CBB3-438F-8F68-D28B6AF4A901}">
        <xltc2:checksum>2777471448</xltc2:checksum>
        <xltc2:hyperlink startIndex="118" length="74" url="https://www.bundesbank.de/en/tasks/topics/ecb-keeps-rates-unchanged-992166"/>
      </x:ext>
    </extLst>
  </threadedComment>
  <threadedComment ref="J22" dT="2026-05-29T19:26:42.53" personId="{DB28736C-7487-3B42-BFA8-8ECD1B6049DE}" id="{E127CD81-4F09-E24B-9496-CDE57ACCDCAC}">
    <text>The tax expense declared under income taxes
amounted to €1.0 billion (2024: €3.7 billion). As a result
of the lower profit before income taxes and the law for
an immediate tax investment programme to strengthen
Germany as a business location, tax expense was
below the prior-year level. In particular the afore-
mentioned law led to a decrease in the effective tax
rate for the reporting year to 15.2% (2024: 26.4%).</text>
  </threadedComment>
  <threadedComment ref="M22" dT="2026-05-30T21:23:38.25" personId="{DB28736C-7487-3B42-BFA8-8ECD1B6049DE}" id="{301DDE35-5794-F140-94A6-08094CC40023}">
    <text>According to PwC, German corporate tax rate is planned to decrease from 15% to 10% by 1% a year starting in 2028 and completing in 2032 https://taxsummaries.pwc.com/germany/corporate/taxes-on-corporate-income</text>
    <extLst>
      <x:ext xmlns:xltc2="http://schemas.microsoft.com/office/spreadsheetml/2020/threadedcomments2" uri="{F7C98A9C-CBB3-438F-8F68-D28B6AF4A901}">
        <xltc2:checksum>1528790880</xltc2:checksum>
        <xltc2:hyperlink startIndex="136" length="72" url="https://taxsummaries.pwc.com/germany/corporate/taxes-on-corporate-income"/>
      </x:ext>
    </extLst>
  </threadedComment>
  <threadedComment ref="E40" dT="2026-05-30T22:13:13.40" personId="{DB28736C-7487-3B42-BFA8-8ECD1B6049DE}" id="{8ECF6F71-6A0A-F84E-B0F3-383048BD0C0B}">
    <text>According to European Commission forecast for 2026 https://economy-finance.ec.europa.eu/economic-surveillance-eu-member-states/country-pages/germany/economic-forecast-germany_en</text>
    <extLst>
      <x:ext xmlns:xltc2="http://schemas.microsoft.com/office/spreadsheetml/2020/threadedcomments2" uri="{F7C98A9C-CBB3-438F-8F68-D28B6AF4A901}">
        <xltc2:checksum>1225298196</xltc2:checksum>
        <xltc2:hyperlink startIndex="51" length="126" url="https://economy-finance.ec.europa.eu/economic-surveillance-eu-member-states/country-pages/germany/economic-forecast-germany_en"/>
      </x:ext>
    </extLs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hyperlink" Target="https://finance.yahoo.com/quote/MBG.DE" TargetMode="External"/><Relationship Id="rId1" Type="http://schemas.openxmlformats.org/officeDocument/2006/relationships/hyperlink" Target="https://group.mercedes-benz.com/investors/share/"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investing.com/equities/dr-ing-hc-f-porsche-prf"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2" Type="http://schemas.openxmlformats.org/officeDocument/2006/relationships/hyperlink" Target="https://finance.yahoo.com/quote/%5EGDAXI/history/?frequency=1mo&amp;period1=567849600&amp;period2=1779099298" TargetMode="External"/><Relationship Id="rId1" Type="http://schemas.openxmlformats.org/officeDocument/2006/relationships/hyperlink" Target="https://finance.yahoo.com/quote/MBG.DE/history/?frequency=1mo&amp;period1=846662400&amp;period2=1779099298"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8.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sheetPr>
  <dimension ref="B2:D19"/>
  <sheetViews>
    <sheetView showGridLines="0" tabSelected="1" zoomScale="136" zoomScaleNormal="145" workbookViewId="0">
      <selection activeCell="D21" sqref="D21"/>
    </sheetView>
  </sheetViews>
  <sheetFormatPr baseColWidth="10" defaultColWidth="8.83203125" defaultRowHeight="15"/>
  <cols>
    <col min="1" max="1" width="3.33203125" customWidth="1"/>
    <col min="2" max="2" width="19.6640625" bestFit="1" customWidth="1"/>
    <col min="3" max="3" width="3.33203125" customWidth="1"/>
    <col min="4" max="4" width="20.83203125" bestFit="1" customWidth="1"/>
  </cols>
  <sheetData>
    <row r="2" spans="2:4">
      <c r="B2" s="234" t="s">
        <v>0</v>
      </c>
      <c r="C2" s="235"/>
      <c r="D2" s="236" t="s">
        <v>2</v>
      </c>
    </row>
    <row r="3" spans="2:4">
      <c r="B3" s="234"/>
      <c r="C3" s="235"/>
      <c r="D3" s="236" t="s">
        <v>3</v>
      </c>
    </row>
    <row r="4" spans="2:4">
      <c r="B4" s="234"/>
      <c r="C4" s="235"/>
      <c r="D4" s="236" t="s">
        <v>4</v>
      </c>
    </row>
    <row r="5" spans="2:4">
      <c r="B5" s="234"/>
      <c r="C5" s="235"/>
      <c r="D5" s="236" t="s">
        <v>5</v>
      </c>
    </row>
    <row r="6" spans="2:4">
      <c r="B6" s="234"/>
      <c r="C6" s="235"/>
      <c r="D6" s="236" t="s">
        <v>6</v>
      </c>
    </row>
    <row r="7" spans="2:4">
      <c r="B7" s="234"/>
      <c r="C7" s="235"/>
      <c r="D7" s="236" t="s">
        <v>7</v>
      </c>
    </row>
    <row r="8" spans="2:4">
      <c r="B8" s="234"/>
      <c r="C8" s="235"/>
      <c r="D8" s="236" t="s">
        <v>8</v>
      </c>
    </row>
    <row r="9" spans="2:4">
      <c r="B9" s="234"/>
      <c r="C9" s="235"/>
      <c r="D9" s="236" t="s">
        <v>9</v>
      </c>
    </row>
    <row r="10" spans="2:4">
      <c r="B10" s="234"/>
      <c r="C10" s="235"/>
      <c r="D10" s="236" t="s">
        <v>10</v>
      </c>
    </row>
    <row r="11" spans="2:4">
      <c r="B11" s="234"/>
      <c r="C11" s="235"/>
      <c r="D11" s="236" t="s">
        <v>11</v>
      </c>
    </row>
    <row r="12" spans="2:4">
      <c r="B12" s="234"/>
      <c r="C12" s="235"/>
      <c r="D12" s="236"/>
    </row>
    <row r="13" spans="2:4">
      <c r="B13" s="234" t="s">
        <v>1</v>
      </c>
      <c r="C13" s="235"/>
      <c r="D13" s="236" t="s">
        <v>12</v>
      </c>
    </row>
    <row r="14" spans="2:4">
      <c r="B14" s="234"/>
      <c r="C14" s="235"/>
      <c r="D14" s="236"/>
    </row>
    <row r="15" spans="2:4">
      <c r="B15" s="234" t="s">
        <v>14</v>
      </c>
      <c r="C15" s="235"/>
      <c r="D15" s="236" t="s">
        <v>13</v>
      </c>
    </row>
    <row r="16" spans="2:4">
      <c r="B16" s="234"/>
      <c r="C16" s="235"/>
      <c r="D16" s="236" t="s">
        <v>15</v>
      </c>
    </row>
    <row r="17" spans="2:4">
      <c r="B17" s="234"/>
      <c r="C17" s="235"/>
      <c r="D17" s="236"/>
    </row>
    <row r="18" spans="2:4">
      <c r="B18" s="234" t="s">
        <v>452</v>
      </c>
      <c r="C18" s="235"/>
      <c r="D18" s="237">
        <f>Results!D9*Ratios!D4</f>
        <v>64671.515088795313</v>
      </c>
    </row>
    <row r="19" spans="2:4">
      <c r="B19" s="234" t="s">
        <v>453</v>
      </c>
      <c r="C19" s="235"/>
      <c r="D19" s="237">
        <f>Results!D9</f>
        <v>67.163014211396501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B2:L29"/>
  <sheetViews>
    <sheetView showGridLines="0" zoomScale="160" zoomScaleNormal="160" workbookViewId="0">
      <selection activeCell="E17" sqref="E17"/>
    </sheetView>
  </sheetViews>
  <sheetFormatPr baseColWidth="10" defaultColWidth="8.83203125" defaultRowHeight="15"/>
  <cols>
    <col min="1" max="1" width="3.33203125" customWidth="1"/>
    <col min="3" max="3" width="3.33203125" customWidth="1"/>
  </cols>
  <sheetData>
    <row r="2" spans="2:12">
      <c r="B2" s="9" t="s">
        <v>17</v>
      </c>
      <c r="C2" s="7"/>
      <c r="D2" s="7"/>
      <c r="E2" s="7"/>
      <c r="F2" s="7"/>
      <c r="G2" s="7"/>
      <c r="H2" s="7"/>
    </row>
    <row r="13" spans="2:12">
      <c r="L13" s="22"/>
    </row>
    <row r="17" spans="2:8">
      <c r="B17" s="9" t="s">
        <v>16</v>
      </c>
      <c r="C17" s="7"/>
      <c r="D17" s="7"/>
      <c r="E17" s="7"/>
      <c r="F17" s="7"/>
      <c r="G17" s="7"/>
      <c r="H17" s="7"/>
    </row>
    <row r="19" spans="2:8">
      <c r="B19" s="21" t="s">
        <v>18</v>
      </c>
      <c r="C19" s="2"/>
      <c r="D19" s="2" t="s">
        <v>19</v>
      </c>
    </row>
    <row r="20" spans="2:8">
      <c r="B20" s="2"/>
      <c r="C20" s="2"/>
      <c r="D20" s="2"/>
    </row>
    <row r="21" spans="2:8">
      <c r="B21" s="6" t="s">
        <v>18</v>
      </c>
      <c r="C21" s="2"/>
      <c r="D21" s="2" t="s">
        <v>22</v>
      </c>
    </row>
    <row r="22" spans="2:8">
      <c r="B22" s="2"/>
      <c r="C22" s="2"/>
      <c r="D22" s="2"/>
    </row>
    <row r="23" spans="2:8">
      <c r="B23" s="5" t="s">
        <v>18</v>
      </c>
      <c r="C23" s="2"/>
      <c r="D23" s="2" t="s">
        <v>21</v>
      </c>
    </row>
    <row r="24" spans="2:8">
      <c r="B24" s="2"/>
      <c r="C24" s="2"/>
      <c r="D24" s="2"/>
    </row>
    <row r="25" spans="2:8">
      <c r="B25" s="4" t="s">
        <v>18</v>
      </c>
      <c r="C25" s="2"/>
      <c r="D25" s="2" t="s">
        <v>23</v>
      </c>
    </row>
    <row r="26" spans="2:8">
      <c r="B26" s="2"/>
      <c r="C26" s="2"/>
      <c r="D26" s="2"/>
    </row>
    <row r="27" spans="2:8">
      <c r="B27" s="3" t="s">
        <v>18</v>
      </c>
      <c r="C27" s="2"/>
      <c r="D27" s="2" t="s">
        <v>20</v>
      </c>
    </row>
    <row r="29" spans="2:8">
      <c r="B29" s="23" t="s">
        <v>18</v>
      </c>
      <c r="D29" s="2" t="s">
        <v>92</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sheetPr>
  <dimension ref="B2:I57"/>
  <sheetViews>
    <sheetView showGridLines="0" topLeftCell="A34" workbookViewId="0">
      <selection activeCell="M54" sqref="M54"/>
    </sheetView>
  </sheetViews>
  <sheetFormatPr baseColWidth="10" defaultColWidth="8.83203125" defaultRowHeight="15"/>
  <sheetData>
    <row r="2" spans="2:9" ht="19">
      <c r="B2" s="137" t="s">
        <v>447</v>
      </c>
    </row>
    <row r="4" spans="2:9" ht="19">
      <c r="B4" s="137" t="s">
        <v>450</v>
      </c>
    </row>
    <row r="5" spans="2:9">
      <c r="B5" s="249" t="s">
        <v>444</v>
      </c>
      <c r="C5" s="249"/>
      <c r="D5" s="249"/>
      <c r="E5" s="249"/>
      <c r="F5" s="249"/>
      <c r="G5" s="249"/>
      <c r="H5" s="249"/>
      <c r="I5" s="249"/>
    </row>
    <row r="6" spans="2:9">
      <c r="B6" s="249"/>
      <c r="C6" s="249"/>
      <c r="D6" s="249"/>
      <c r="E6" s="249"/>
      <c r="F6" s="249"/>
      <c r="G6" s="249"/>
      <c r="H6" s="249"/>
      <c r="I6" s="249"/>
    </row>
    <row r="7" spans="2:9">
      <c r="B7" s="249"/>
      <c r="C7" s="249"/>
      <c r="D7" s="249"/>
      <c r="E7" s="249"/>
      <c r="F7" s="249"/>
      <c r="G7" s="249"/>
      <c r="H7" s="249"/>
      <c r="I7" s="249"/>
    </row>
    <row r="8" spans="2:9">
      <c r="B8" s="249"/>
      <c r="C8" s="249"/>
      <c r="D8" s="249"/>
      <c r="E8" s="249"/>
      <c r="F8" s="249"/>
      <c r="G8" s="249"/>
      <c r="H8" s="249"/>
      <c r="I8" s="249"/>
    </row>
    <row r="9" spans="2:9">
      <c r="B9" s="249"/>
      <c r="C9" s="249"/>
      <c r="D9" s="249"/>
      <c r="E9" s="249"/>
      <c r="F9" s="249"/>
      <c r="G9" s="249"/>
      <c r="H9" s="249"/>
      <c r="I9" s="249"/>
    </row>
    <row r="10" spans="2:9">
      <c r="B10" s="249"/>
      <c r="C10" s="249"/>
      <c r="D10" s="249"/>
      <c r="E10" s="249"/>
      <c r="F10" s="249"/>
      <c r="G10" s="249"/>
      <c r="H10" s="249"/>
      <c r="I10" s="249"/>
    </row>
    <row r="11" spans="2:9">
      <c r="B11" s="249"/>
      <c r="C11" s="249"/>
      <c r="D11" s="249"/>
      <c r="E11" s="249"/>
      <c r="F11" s="249"/>
      <c r="G11" s="249"/>
      <c r="H11" s="249"/>
      <c r="I11" s="249"/>
    </row>
    <row r="12" spans="2:9">
      <c r="B12" s="249"/>
      <c r="C12" s="249"/>
      <c r="D12" s="249"/>
      <c r="E12" s="249"/>
      <c r="F12" s="249"/>
      <c r="G12" s="249"/>
      <c r="H12" s="249"/>
      <c r="I12" s="249"/>
    </row>
    <row r="13" spans="2:9">
      <c r="B13" s="249"/>
      <c r="C13" s="249"/>
      <c r="D13" s="249"/>
      <c r="E13" s="249"/>
      <c r="F13" s="249"/>
      <c r="G13" s="249"/>
      <c r="H13" s="249"/>
      <c r="I13" s="249"/>
    </row>
    <row r="14" spans="2:9">
      <c r="B14" s="249"/>
      <c r="C14" s="249"/>
      <c r="D14" s="249"/>
      <c r="E14" s="249"/>
      <c r="F14" s="249"/>
      <c r="G14" s="249"/>
      <c r="H14" s="249"/>
      <c r="I14" s="249"/>
    </row>
    <row r="15" spans="2:9">
      <c r="B15" s="249"/>
      <c r="C15" s="249"/>
      <c r="D15" s="249"/>
      <c r="E15" s="249"/>
      <c r="F15" s="249"/>
      <c r="G15" s="249"/>
      <c r="H15" s="249"/>
      <c r="I15" s="249"/>
    </row>
    <row r="16" spans="2:9">
      <c r="B16" s="249"/>
      <c r="C16" s="249"/>
      <c r="D16" s="249"/>
      <c r="E16" s="249"/>
      <c r="F16" s="249"/>
      <c r="G16" s="249"/>
      <c r="H16" s="249"/>
      <c r="I16" s="249"/>
    </row>
    <row r="17" spans="2:9">
      <c r="B17" s="249"/>
      <c r="C17" s="249"/>
      <c r="D17" s="249"/>
      <c r="E17" s="249"/>
      <c r="F17" s="249"/>
      <c r="G17" s="249"/>
      <c r="H17" s="249"/>
      <c r="I17" s="249"/>
    </row>
    <row r="19" spans="2:9" ht="19">
      <c r="B19" s="137" t="s">
        <v>451</v>
      </c>
    </row>
    <row r="20" spans="2:9">
      <c r="B20" s="249" t="s">
        <v>445</v>
      </c>
      <c r="C20" s="249"/>
      <c r="D20" s="249"/>
      <c r="E20" s="249"/>
      <c r="F20" s="249"/>
      <c r="G20" s="249"/>
      <c r="H20" s="249"/>
      <c r="I20" s="249"/>
    </row>
    <row r="21" spans="2:9">
      <c r="B21" s="249"/>
      <c r="C21" s="249"/>
      <c r="D21" s="249"/>
      <c r="E21" s="249"/>
      <c r="F21" s="249"/>
      <c r="G21" s="249"/>
      <c r="H21" s="249"/>
      <c r="I21" s="249"/>
    </row>
    <row r="22" spans="2:9">
      <c r="B22" s="249"/>
      <c r="C22" s="249"/>
      <c r="D22" s="249"/>
      <c r="E22" s="249"/>
      <c r="F22" s="249"/>
      <c r="G22" s="249"/>
      <c r="H22" s="249"/>
      <c r="I22" s="249"/>
    </row>
    <row r="23" spans="2:9">
      <c r="B23" s="249"/>
      <c r="C23" s="249"/>
      <c r="D23" s="249"/>
      <c r="E23" s="249"/>
      <c r="F23" s="249"/>
      <c r="G23" s="249"/>
      <c r="H23" s="249"/>
      <c r="I23" s="249"/>
    </row>
    <row r="24" spans="2:9">
      <c r="B24" s="249"/>
      <c r="C24" s="249"/>
      <c r="D24" s="249"/>
      <c r="E24" s="249"/>
      <c r="F24" s="249"/>
      <c r="G24" s="249"/>
      <c r="H24" s="249"/>
      <c r="I24" s="249"/>
    </row>
    <row r="25" spans="2:9">
      <c r="B25" s="249"/>
      <c r="C25" s="249"/>
      <c r="D25" s="249"/>
      <c r="E25" s="249"/>
      <c r="F25" s="249"/>
      <c r="G25" s="249"/>
      <c r="H25" s="249"/>
      <c r="I25" s="249"/>
    </row>
    <row r="26" spans="2:9">
      <c r="B26" s="249"/>
      <c r="C26" s="249"/>
      <c r="D26" s="249"/>
      <c r="E26" s="249"/>
      <c r="F26" s="249"/>
      <c r="G26" s="249"/>
      <c r="H26" s="249"/>
      <c r="I26" s="249"/>
    </row>
    <row r="27" spans="2:9">
      <c r="B27" s="249"/>
      <c r="C27" s="249"/>
      <c r="D27" s="249"/>
      <c r="E27" s="249"/>
      <c r="F27" s="249"/>
      <c r="G27" s="249"/>
      <c r="H27" s="249"/>
      <c r="I27" s="249"/>
    </row>
    <row r="28" spans="2:9">
      <c r="B28" s="249"/>
      <c r="C28" s="249"/>
      <c r="D28" s="249"/>
      <c r="E28" s="249"/>
      <c r="F28" s="249"/>
      <c r="G28" s="249"/>
      <c r="H28" s="249"/>
      <c r="I28" s="249"/>
    </row>
    <row r="29" spans="2:9">
      <c r="B29" s="249"/>
      <c r="C29" s="249"/>
      <c r="D29" s="249"/>
      <c r="E29" s="249"/>
      <c r="F29" s="249"/>
      <c r="G29" s="249"/>
      <c r="H29" s="249"/>
      <c r="I29" s="249"/>
    </row>
    <row r="30" spans="2:9">
      <c r="B30" s="249"/>
      <c r="C30" s="249"/>
      <c r="D30" s="249"/>
      <c r="E30" s="249"/>
      <c r="F30" s="249"/>
      <c r="G30" s="249"/>
      <c r="H30" s="249"/>
      <c r="I30" s="249"/>
    </row>
    <row r="31" spans="2:9">
      <c r="B31" s="249"/>
      <c r="C31" s="249"/>
      <c r="D31" s="249"/>
      <c r="E31" s="249"/>
      <c r="F31" s="249"/>
      <c r="G31" s="249"/>
      <c r="H31" s="249"/>
      <c r="I31" s="249"/>
    </row>
    <row r="34" spans="2:9" ht="19">
      <c r="B34" s="137" t="s">
        <v>448</v>
      </c>
    </row>
    <row r="35" spans="2:9">
      <c r="B35" s="249" t="s">
        <v>446</v>
      </c>
      <c r="C35" s="249"/>
      <c r="D35" s="249"/>
      <c r="E35" s="249"/>
      <c r="F35" s="249"/>
      <c r="G35" s="249"/>
      <c r="H35" s="249"/>
      <c r="I35" s="249"/>
    </row>
    <row r="36" spans="2:9">
      <c r="B36" s="249"/>
      <c r="C36" s="249"/>
      <c r="D36" s="249"/>
      <c r="E36" s="249"/>
      <c r="F36" s="249"/>
      <c r="G36" s="249"/>
      <c r="H36" s="249"/>
      <c r="I36" s="249"/>
    </row>
    <row r="37" spans="2:9">
      <c r="B37" s="249"/>
      <c r="C37" s="249"/>
      <c r="D37" s="249"/>
      <c r="E37" s="249"/>
      <c r="F37" s="249"/>
      <c r="G37" s="249"/>
      <c r="H37" s="249"/>
      <c r="I37" s="249"/>
    </row>
    <row r="38" spans="2:9">
      <c r="B38" s="249"/>
      <c r="C38" s="249"/>
      <c r="D38" s="249"/>
      <c r="E38" s="249"/>
      <c r="F38" s="249"/>
      <c r="G38" s="249"/>
      <c r="H38" s="249"/>
      <c r="I38" s="249"/>
    </row>
    <row r="39" spans="2:9">
      <c r="B39" s="249"/>
      <c r="C39" s="249"/>
      <c r="D39" s="249"/>
      <c r="E39" s="249"/>
      <c r="F39" s="249"/>
      <c r="G39" s="249"/>
      <c r="H39" s="249"/>
      <c r="I39" s="249"/>
    </row>
    <row r="40" spans="2:9">
      <c r="B40" s="249"/>
      <c r="C40" s="249"/>
      <c r="D40" s="249"/>
      <c r="E40" s="249"/>
      <c r="F40" s="249"/>
      <c r="G40" s="249"/>
      <c r="H40" s="249"/>
      <c r="I40" s="249"/>
    </row>
    <row r="41" spans="2:9">
      <c r="B41" s="249"/>
      <c r="C41" s="249"/>
      <c r="D41" s="249"/>
      <c r="E41" s="249"/>
      <c r="F41" s="249"/>
      <c r="G41" s="249"/>
      <c r="H41" s="249"/>
      <c r="I41" s="249"/>
    </row>
    <row r="42" spans="2:9">
      <c r="B42" s="249"/>
      <c r="C42" s="249"/>
      <c r="D42" s="249"/>
      <c r="E42" s="249"/>
      <c r="F42" s="249"/>
      <c r="G42" s="249"/>
      <c r="H42" s="249"/>
      <c r="I42" s="249"/>
    </row>
    <row r="43" spans="2:9">
      <c r="B43" s="249"/>
      <c r="C43" s="249"/>
      <c r="D43" s="249"/>
      <c r="E43" s="249"/>
      <c r="F43" s="249"/>
      <c r="G43" s="249"/>
      <c r="H43" s="249"/>
      <c r="I43" s="249"/>
    </row>
    <row r="46" spans="2:9" ht="19">
      <c r="B46" s="137" t="s">
        <v>449</v>
      </c>
    </row>
    <row r="47" spans="2:9">
      <c r="B47" s="249" t="s">
        <v>454</v>
      </c>
      <c r="C47" s="249"/>
      <c r="D47" s="249"/>
      <c r="E47" s="249"/>
      <c r="F47" s="249"/>
      <c r="G47" s="249"/>
      <c r="H47" s="249"/>
      <c r="I47" s="249"/>
    </row>
    <row r="48" spans="2:9">
      <c r="B48" s="249"/>
      <c r="C48" s="249"/>
      <c r="D48" s="249"/>
      <c r="E48" s="249"/>
      <c r="F48" s="249"/>
      <c r="G48" s="249"/>
      <c r="H48" s="249"/>
      <c r="I48" s="249"/>
    </row>
    <row r="49" spans="2:9">
      <c r="B49" s="249"/>
      <c r="C49" s="249"/>
      <c r="D49" s="249"/>
      <c r="E49" s="249"/>
      <c r="F49" s="249"/>
      <c r="G49" s="249"/>
      <c r="H49" s="249"/>
      <c r="I49" s="249"/>
    </row>
    <row r="50" spans="2:9">
      <c r="B50" s="249"/>
      <c r="C50" s="249"/>
      <c r="D50" s="249"/>
      <c r="E50" s="249"/>
      <c r="F50" s="249"/>
      <c r="G50" s="249"/>
      <c r="H50" s="249"/>
      <c r="I50" s="249"/>
    </row>
    <row r="51" spans="2:9">
      <c r="B51" s="249"/>
      <c r="C51" s="249"/>
      <c r="D51" s="249"/>
      <c r="E51" s="249"/>
      <c r="F51" s="249"/>
      <c r="G51" s="249"/>
      <c r="H51" s="249"/>
      <c r="I51" s="249"/>
    </row>
    <row r="52" spans="2:9">
      <c r="B52" s="249"/>
      <c r="C52" s="249"/>
      <c r="D52" s="249"/>
      <c r="E52" s="249"/>
      <c r="F52" s="249"/>
      <c r="G52" s="249"/>
      <c r="H52" s="249"/>
      <c r="I52" s="249"/>
    </row>
    <row r="53" spans="2:9">
      <c r="B53" s="249"/>
      <c r="C53" s="249"/>
      <c r="D53" s="249"/>
      <c r="E53" s="249"/>
      <c r="F53" s="249"/>
      <c r="G53" s="249"/>
      <c r="H53" s="249"/>
      <c r="I53" s="249"/>
    </row>
    <row r="54" spans="2:9">
      <c r="B54" s="249"/>
      <c r="C54" s="249"/>
      <c r="D54" s="249"/>
      <c r="E54" s="249"/>
      <c r="F54" s="249"/>
      <c r="G54" s="249"/>
      <c r="H54" s="249"/>
      <c r="I54" s="249"/>
    </row>
    <row r="55" spans="2:9">
      <c r="B55" s="249"/>
      <c r="C55" s="249"/>
      <c r="D55" s="249"/>
      <c r="E55" s="249"/>
      <c r="F55" s="249"/>
      <c r="G55" s="249"/>
      <c r="H55" s="249"/>
      <c r="I55" s="249"/>
    </row>
    <row r="56" spans="2:9">
      <c r="B56" s="249"/>
      <c r="C56" s="249"/>
      <c r="D56" s="249"/>
      <c r="E56" s="249"/>
      <c r="F56" s="249"/>
      <c r="G56" s="249"/>
      <c r="H56" s="249"/>
      <c r="I56" s="249"/>
    </row>
    <row r="57" spans="2:9">
      <c r="B57" s="249"/>
      <c r="C57" s="249"/>
      <c r="D57" s="249"/>
      <c r="E57" s="249"/>
      <c r="F57" s="249"/>
      <c r="G57" s="249"/>
      <c r="H57" s="249"/>
      <c r="I57" s="249"/>
    </row>
  </sheetData>
  <mergeCells count="4">
    <mergeCell ref="B5:I17"/>
    <mergeCell ref="B20:I31"/>
    <mergeCell ref="B35:I43"/>
    <mergeCell ref="B47:I5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5:S11"/>
  <sheetViews>
    <sheetView showGridLines="0" zoomScale="115" zoomScaleNormal="115" workbookViewId="0">
      <selection activeCell="B7" sqref="B7"/>
    </sheetView>
  </sheetViews>
  <sheetFormatPr baseColWidth="10" defaultColWidth="9.1640625" defaultRowHeight="14"/>
  <cols>
    <col min="1" max="4" width="3.33203125" style="2" customWidth="1"/>
    <col min="5" max="5" width="34.5" style="2" customWidth="1"/>
    <col min="6" max="7" width="9.1640625" style="2"/>
    <col min="8" max="8" width="3.33203125" style="2" customWidth="1"/>
    <col min="9" max="16384" width="9.1640625" style="2"/>
  </cols>
  <sheetData>
    <row r="5" spans="1:19" s="8" customFormat="1">
      <c r="F5" s="14" t="s">
        <v>27</v>
      </c>
      <c r="G5" s="14" t="s">
        <v>28</v>
      </c>
      <c r="H5" s="14"/>
      <c r="I5" s="14" t="s">
        <v>29</v>
      </c>
      <c r="J5" s="14" t="s">
        <v>30</v>
      </c>
      <c r="K5" s="14" t="s">
        <v>31</v>
      </c>
      <c r="L5" s="14" t="s">
        <v>32</v>
      </c>
      <c r="M5" s="14" t="s">
        <v>33</v>
      </c>
      <c r="N5" s="14" t="s">
        <v>34</v>
      </c>
      <c r="O5" s="14" t="s">
        <v>35</v>
      </c>
      <c r="P5" s="14" t="s">
        <v>36</v>
      </c>
      <c r="Q5" s="14" t="s">
        <v>37</v>
      </c>
      <c r="R5" s="14" t="s">
        <v>38</v>
      </c>
      <c r="S5" s="14" t="s">
        <v>39</v>
      </c>
    </row>
    <row r="7" spans="1:19" s="10" customFormat="1">
      <c r="A7" s="2"/>
      <c r="B7" s="11" t="s">
        <v>25</v>
      </c>
    </row>
    <row r="9" spans="1:19" s="1" customFormat="1">
      <c r="A9" s="2"/>
      <c r="B9" s="2"/>
      <c r="C9" s="12" t="s">
        <v>26</v>
      </c>
    </row>
    <row r="11" spans="1:19">
      <c r="D11" s="13" t="s">
        <v>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showGridLines="0" workbookViewId="0">
      <selection activeCell="J35" sqref="J35"/>
    </sheetView>
  </sheetViews>
  <sheetFormatPr baseColWidth="10" defaultColWidth="8.83203125" defaultRowHeight="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7" tint="0.79998168889431442"/>
  </sheetPr>
  <dimension ref="A5:S199"/>
  <sheetViews>
    <sheetView showGridLines="0" zoomScale="125" zoomScaleNormal="145" workbookViewId="0">
      <pane xSplit="8" ySplit="5" topLeftCell="I89" activePane="bottomRight" state="frozen"/>
      <selection pane="topRight" activeCell="I1" sqref="I1"/>
      <selection pane="bottomLeft" activeCell="A6" sqref="A6"/>
      <selection pane="bottomRight" activeCell="D96" sqref="D96"/>
    </sheetView>
  </sheetViews>
  <sheetFormatPr baseColWidth="10" defaultColWidth="0" defaultRowHeight="14"/>
  <cols>
    <col min="1" max="4" width="3.33203125" style="2" customWidth="1"/>
    <col min="5" max="5" width="44.5" style="2" customWidth="1"/>
    <col min="6" max="6" width="15.33203125" style="2" bestFit="1" customWidth="1"/>
    <col min="7" max="7" width="9.1640625" style="2" customWidth="1"/>
    <col min="8" max="8" width="3.33203125" style="2" customWidth="1"/>
    <col min="9" max="15" width="9.1640625" style="2" customWidth="1"/>
    <col min="16" max="16384" width="0" style="2" hidden="1"/>
  </cols>
  <sheetData>
    <row r="5" spans="1:19">
      <c r="A5" s="15" t="s">
        <v>40</v>
      </c>
      <c r="B5" s="15"/>
      <c r="C5" s="16"/>
      <c r="D5" s="16"/>
      <c r="E5" s="16"/>
      <c r="F5" s="14" t="s">
        <v>27</v>
      </c>
      <c r="G5" s="14" t="s">
        <v>28</v>
      </c>
      <c r="H5" s="14"/>
      <c r="I5" s="14" t="s">
        <v>29</v>
      </c>
      <c r="J5" s="14" t="s">
        <v>30</v>
      </c>
      <c r="K5" s="14" t="s">
        <v>31</v>
      </c>
      <c r="L5" s="14" t="s">
        <v>32</v>
      </c>
      <c r="M5" s="14" t="s">
        <v>33</v>
      </c>
      <c r="N5" s="14" t="s">
        <v>34</v>
      </c>
      <c r="O5" s="14"/>
      <c r="P5" s="25"/>
      <c r="Q5" s="25"/>
      <c r="R5" s="25"/>
      <c r="S5" s="25"/>
    </row>
    <row r="7" spans="1:19">
      <c r="B7" s="11" t="s">
        <v>60</v>
      </c>
      <c r="C7" s="10"/>
      <c r="D7" s="10"/>
      <c r="E7" s="10"/>
      <c r="F7" s="10"/>
      <c r="G7" s="10"/>
      <c r="H7" s="10"/>
      <c r="I7" s="10"/>
      <c r="J7" s="10"/>
      <c r="K7" s="10"/>
      <c r="L7" s="10"/>
      <c r="M7" s="10"/>
      <c r="N7" s="10"/>
      <c r="O7" s="10"/>
    </row>
    <row r="9" spans="1:19">
      <c r="C9" s="12" t="s">
        <v>41</v>
      </c>
      <c r="D9" s="1"/>
      <c r="E9" s="1"/>
      <c r="F9" s="1"/>
      <c r="G9" s="1"/>
      <c r="H9" s="1"/>
      <c r="I9" s="1"/>
      <c r="J9" s="1"/>
      <c r="K9" s="1"/>
      <c r="L9" s="1"/>
      <c r="M9" s="1"/>
      <c r="N9" s="1"/>
      <c r="O9" s="1"/>
    </row>
    <row r="11" spans="1:19">
      <c r="D11" s="13" t="s">
        <v>42</v>
      </c>
      <c r="F11" s="19" t="s">
        <v>91</v>
      </c>
      <c r="G11" s="19" t="str">
        <f>IF(M11="","",IF(AND(M11&gt;=-1,M11&lt;=1), "%","mln EUR"))</f>
        <v>mln EUR</v>
      </c>
      <c r="J11" s="21">
        <v>15005</v>
      </c>
      <c r="K11" s="21">
        <v>15869</v>
      </c>
      <c r="L11" s="21">
        <v>17593</v>
      </c>
      <c r="M11" s="21">
        <v>19436</v>
      </c>
      <c r="N11" s="21">
        <v>20547</v>
      </c>
    </row>
    <row r="12" spans="1:19">
      <c r="E12" s="18" t="s">
        <v>90</v>
      </c>
      <c r="F12" s="19" t="s">
        <v>93</v>
      </c>
      <c r="G12" s="19" t="str">
        <f t="shared" ref="G12:G39" si="0">IF(M12="","",IF(AND(M12&gt;=-1,M12&lt;=1), "%","mln EUR"))</f>
        <v>%</v>
      </c>
      <c r="J12" s="31"/>
      <c r="K12" s="23">
        <f>IFERROR(K11/J11-1, "-")</f>
        <v>5.7580806397867335E-2</v>
      </c>
      <c r="L12" s="23">
        <f t="shared" ref="L12:N12" si="1">IFERROR(L11/K11-1, "-")</f>
        <v>0.1086394857899049</v>
      </c>
      <c r="M12" s="23">
        <f t="shared" si="1"/>
        <v>0.10475757403512764</v>
      </c>
      <c r="N12" s="23">
        <f t="shared" si="1"/>
        <v>5.716196748302127E-2</v>
      </c>
    </row>
    <row r="13" spans="1:19" ht="3" customHeight="1">
      <c r="D13" s="17"/>
      <c r="G13" s="19" t="str">
        <f t="shared" si="0"/>
        <v/>
      </c>
    </row>
    <row r="14" spans="1:19">
      <c r="D14" s="2" t="s">
        <v>43</v>
      </c>
      <c r="F14" s="19" t="s">
        <v>91</v>
      </c>
      <c r="G14" s="19" t="str">
        <f t="shared" si="0"/>
        <v>mln EUR</v>
      </c>
      <c r="J14" s="21">
        <v>27859</v>
      </c>
      <c r="K14" s="21">
        <v>27250</v>
      </c>
      <c r="L14" s="21">
        <v>26090</v>
      </c>
      <c r="M14" s="21">
        <v>26537</v>
      </c>
      <c r="N14" s="21">
        <v>27340</v>
      </c>
    </row>
    <row r="15" spans="1:19">
      <c r="E15" s="18" t="s">
        <v>90</v>
      </c>
      <c r="F15" s="19" t="s">
        <v>93</v>
      </c>
      <c r="G15" s="19" t="str">
        <f t="shared" si="0"/>
        <v>%</v>
      </c>
      <c r="J15" s="32"/>
      <c r="K15" s="23">
        <f>IFERROR(K14/J14-1, "-")</f>
        <v>-2.1860081122796915E-2</v>
      </c>
      <c r="L15" s="23">
        <f t="shared" ref="L15:N15" si="2">IFERROR(L14/K14-1, "-")</f>
        <v>-4.2568807339449566E-2</v>
      </c>
      <c r="M15" s="23">
        <f t="shared" si="2"/>
        <v>1.7133001149865823E-2</v>
      </c>
      <c r="N15" s="23">
        <f t="shared" si="2"/>
        <v>3.0259637487281887E-2</v>
      </c>
    </row>
    <row r="16" spans="1:19" ht="3" customHeight="1">
      <c r="G16" s="19" t="str">
        <f t="shared" si="0"/>
        <v/>
      </c>
    </row>
    <row r="17" spans="4:14">
      <c r="D17" s="2" t="s">
        <v>44</v>
      </c>
      <c r="F17" s="19" t="s">
        <v>91</v>
      </c>
      <c r="G17" s="19" t="str">
        <f t="shared" si="0"/>
        <v>mln EUR</v>
      </c>
      <c r="J17" s="21">
        <v>44471</v>
      </c>
      <c r="K17" s="21">
        <v>41552</v>
      </c>
      <c r="L17" s="21">
        <v>41712</v>
      </c>
      <c r="M17" s="21">
        <v>45220</v>
      </c>
      <c r="N17" s="21">
        <v>39472</v>
      </c>
    </row>
    <row r="18" spans="4:14">
      <c r="E18" s="18" t="s">
        <v>90</v>
      </c>
      <c r="F18" s="19" t="s">
        <v>93</v>
      </c>
      <c r="G18" s="19" t="str">
        <f t="shared" si="0"/>
        <v>%</v>
      </c>
      <c r="J18" s="32"/>
      <c r="K18" s="23">
        <f>IFERROR(K17/J17-1, "-")</f>
        <v>-6.5638281127026632E-2</v>
      </c>
      <c r="L18" s="23">
        <f t="shared" ref="L18:N18" si="3">IFERROR(L17/K17-1, "-")</f>
        <v>3.8505968425106563E-3</v>
      </c>
      <c r="M18" s="23">
        <f t="shared" si="3"/>
        <v>8.4100498657460721E-2</v>
      </c>
      <c r="N18" s="23">
        <f t="shared" si="3"/>
        <v>-0.12711189739053519</v>
      </c>
    </row>
    <row r="19" spans="4:14" ht="3" customHeight="1">
      <c r="G19" s="19" t="str">
        <f t="shared" si="0"/>
        <v/>
      </c>
    </row>
    <row r="20" spans="4:14">
      <c r="D20" s="2" t="s">
        <v>45</v>
      </c>
      <c r="F20" s="19" t="s">
        <v>91</v>
      </c>
      <c r="G20" s="19" t="str">
        <f t="shared" si="0"/>
        <v>mln EUR</v>
      </c>
      <c r="J20" s="21">
        <v>13588</v>
      </c>
      <c r="K20" s="21">
        <v>13530</v>
      </c>
      <c r="L20" s="21">
        <v>13104</v>
      </c>
      <c r="M20" s="21">
        <v>12786</v>
      </c>
      <c r="N20" s="21">
        <v>10037</v>
      </c>
    </row>
    <row r="21" spans="4:14">
      <c r="E21" s="18" t="s">
        <v>90</v>
      </c>
      <c r="F21" s="19" t="s">
        <v>93</v>
      </c>
      <c r="G21" s="19" t="str">
        <f t="shared" si="0"/>
        <v>%</v>
      </c>
      <c r="J21" s="32"/>
      <c r="K21" s="23">
        <f>IFERROR(K20/J20-1, "-")</f>
        <v>-4.2684721813365245E-3</v>
      </c>
      <c r="L21" s="23">
        <f t="shared" ref="L21:N21" si="4">IFERROR(L20/K20-1, "-")</f>
        <v>-3.1485587583148567E-2</v>
      </c>
      <c r="M21" s="23">
        <f t="shared" si="4"/>
        <v>-2.4267399267399292E-2</v>
      </c>
      <c r="N21" s="23">
        <f t="shared" si="4"/>
        <v>-0.21500078210542783</v>
      </c>
    </row>
    <row r="22" spans="4:14" ht="3" customHeight="1">
      <c r="G22" s="19" t="str">
        <f t="shared" si="0"/>
        <v/>
      </c>
    </row>
    <row r="23" spans="4:14">
      <c r="D23" s="2" t="s">
        <v>46</v>
      </c>
      <c r="F23" s="19" t="s">
        <v>91</v>
      </c>
      <c r="G23" s="19" t="str">
        <f t="shared" si="0"/>
        <v>mln EUR</v>
      </c>
      <c r="J23" s="21">
        <v>46955</v>
      </c>
      <c r="K23" s="21">
        <v>48237</v>
      </c>
      <c r="L23" s="21">
        <v>49742</v>
      </c>
      <c r="M23" s="21">
        <v>48547</v>
      </c>
      <c r="N23" s="21">
        <v>41902</v>
      </c>
    </row>
    <row r="24" spans="4:14">
      <c r="E24" s="18" t="s">
        <v>90</v>
      </c>
      <c r="F24" s="19" t="s">
        <v>93</v>
      </c>
      <c r="G24" s="19" t="str">
        <f t="shared" si="0"/>
        <v>%</v>
      </c>
      <c r="J24" s="32"/>
      <c r="K24" s="23">
        <f>IFERROR(K23/J23-1, "-")</f>
        <v>2.7302736662762284E-2</v>
      </c>
      <c r="L24" s="23">
        <f t="shared" ref="L24:N24" si="5">IFERROR(L23/K23-1, "-")</f>
        <v>3.1200116093455188E-2</v>
      </c>
      <c r="M24" s="23">
        <f t="shared" si="5"/>
        <v>-2.4023963652446634E-2</v>
      </c>
      <c r="N24" s="23">
        <f t="shared" si="5"/>
        <v>-0.13687766494325082</v>
      </c>
    </row>
    <row r="25" spans="4:14" ht="3" customHeight="1">
      <c r="G25" s="19" t="str">
        <f t="shared" si="0"/>
        <v/>
      </c>
    </row>
    <row r="26" spans="4:14">
      <c r="D26" s="2" t="s">
        <v>47</v>
      </c>
      <c r="F26" s="19" t="s">
        <v>91</v>
      </c>
      <c r="G26" s="19" t="str">
        <f t="shared" si="0"/>
        <v>mln EUR</v>
      </c>
      <c r="J26" s="21">
        <v>873</v>
      </c>
      <c r="K26" s="21">
        <v>823</v>
      </c>
      <c r="L26" s="21">
        <v>699</v>
      </c>
      <c r="M26" s="21">
        <v>644</v>
      </c>
      <c r="N26" s="21">
        <v>626</v>
      </c>
    </row>
    <row r="27" spans="4:14">
      <c r="E27" s="18" t="s">
        <v>90</v>
      </c>
      <c r="F27" s="19" t="s">
        <v>93</v>
      </c>
      <c r="G27" s="19" t="str">
        <f t="shared" si="0"/>
        <v>%</v>
      </c>
      <c r="J27" s="32"/>
      <c r="K27" s="23">
        <f>IFERROR(K26/J26-1, "-")</f>
        <v>-5.7273768613974818E-2</v>
      </c>
      <c r="L27" s="23">
        <f t="shared" ref="L27:N27" si="6">IFERROR(L26/K26-1, "-")</f>
        <v>-0.1506682867557716</v>
      </c>
      <c r="M27" s="23">
        <f t="shared" si="6"/>
        <v>-7.8683834048640877E-2</v>
      </c>
      <c r="N27" s="23">
        <f t="shared" si="6"/>
        <v>-2.7950310559006208E-2</v>
      </c>
    </row>
    <row r="28" spans="4:14" ht="3" customHeight="1">
      <c r="G28" s="19" t="str">
        <f t="shared" si="0"/>
        <v/>
      </c>
    </row>
    <row r="29" spans="4:14">
      <c r="D29" s="2" t="s">
        <v>48</v>
      </c>
      <c r="F29" s="19" t="s">
        <v>91</v>
      </c>
      <c r="G29" s="19" t="str">
        <f t="shared" si="0"/>
        <v>mln EUR</v>
      </c>
      <c r="J29" s="21">
        <v>3181</v>
      </c>
      <c r="K29" s="21">
        <v>4478</v>
      </c>
      <c r="L29" s="21">
        <v>4340</v>
      </c>
      <c r="M29" s="21">
        <v>3020</v>
      </c>
      <c r="N29" s="21">
        <v>2953</v>
      </c>
    </row>
    <row r="30" spans="4:14">
      <c r="E30" s="18" t="s">
        <v>90</v>
      </c>
      <c r="F30" s="19" t="s">
        <v>93</v>
      </c>
      <c r="G30" s="19" t="str">
        <f t="shared" si="0"/>
        <v>%</v>
      </c>
      <c r="J30" s="32"/>
      <c r="K30" s="23">
        <f>IFERROR(K29/J29-1, "-")</f>
        <v>0.4077334171644138</v>
      </c>
      <c r="L30" s="23">
        <f t="shared" ref="L30:N30" si="7">IFERROR(L29/K29-1, "-")</f>
        <v>-3.0817329164805729E-2</v>
      </c>
      <c r="M30" s="23">
        <f t="shared" si="7"/>
        <v>-0.30414746543778803</v>
      </c>
      <c r="N30" s="23">
        <f t="shared" si="7"/>
        <v>-2.2185430463576128E-2</v>
      </c>
    </row>
    <row r="31" spans="4:14" ht="3" customHeight="1">
      <c r="G31" s="19" t="str">
        <f t="shared" si="0"/>
        <v/>
      </c>
    </row>
    <row r="32" spans="4:14">
      <c r="D32" s="2" t="s">
        <v>49</v>
      </c>
      <c r="F32" s="19" t="s">
        <v>91</v>
      </c>
      <c r="G32" s="19" t="str">
        <f t="shared" si="0"/>
        <v>mln EUR</v>
      </c>
      <c r="J32" s="21">
        <v>3434</v>
      </c>
      <c r="K32" s="21">
        <v>3725</v>
      </c>
      <c r="L32" s="21">
        <v>4127</v>
      </c>
      <c r="M32" s="21">
        <v>4335</v>
      </c>
      <c r="N32" s="21">
        <v>6090</v>
      </c>
    </row>
    <row r="33" spans="3:15">
      <c r="E33" s="18" t="s">
        <v>90</v>
      </c>
      <c r="F33" s="19" t="s">
        <v>93</v>
      </c>
      <c r="G33" s="19" t="str">
        <f t="shared" si="0"/>
        <v>%</v>
      </c>
      <c r="J33" s="32"/>
      <c r="K33" s="23">
        <f>IFERROR(K32/J32-1, "-")</f>
        <v>8.4740827023878751E-2</v>
      </c>
      <c r="L33" s="23">
        <f t="shared" ref="L33:N33" si="8">IFERROR(L32/K32-1, "-")</f>
        <v>0.10791946308724842</v>
      </c>
      <c r="M33" s="23">
        <f t="shared" si="8"/>
        <v>5.0399806154591609E-2</v>
      </c>
      <c r="N33" s="23">
        <f t="shared" si="8"/>
        <v>0.40484429065743943</v>
      </c>
    </row>
    <row r="34" spans="3:15" ht="3" customHeight="1">
      <c r="G34" s="19" t="str">
        <f t="shared" si="0"/>
        <v/>
      </c>
    </row>
    <row r="35" spans="3:15">
      <c r="D35" s="2" t="s">
        <v>50</v>
      </c>
      <c r="F35" s="19" t="s">
        <v>91</v>
      </c>
      <c r="G35" s="19" t="str">
        <f t="shared" si="0"/>
        <v>mln EUR</v>
      </c>
      <c r="J35" s="21">
        <v>0</v>
      </c>
      <c r="K35" s="21">
        <v>0</v>
      </c>
      <c r="L35" s="21">
        <v>318</v>
      </c>
      <c r="M35" s="21">
        <v>327</v>
      </c>
      <c r="N35" s="21">
        <v>426</v>
      </c>
    </row>
    <row r="36" spans="3:15">
      <c r="E36" s="18" t="s">
        <v>90</v>
      </c>
      <c r="F36" s="19" t="s">
        <v>93</v>
      </c>
      <c r="G36" s="19" t="str">
        <f t="shared" si="0"/>
        <v>%</v>
      </c>
      <c r="J36" s="32"/>
      <c r="K36" s="23" t="str">
        <f>IFERROR(K35/J35-1, "-")</f>
        <v>-</v>
      </c>
      <c r="L36" s="23" t="str">
        <f t="shared" ref="L36:N36" si="9">IFERROR(L35/K35-1, "-")</f>
        <v>-</v>
      </c>
      <c r="M36" s="23">
        <f t="shared" si="9"/>
        <v>2.8301886792452935E-2</v>
      </c>
      <c r="N36" s="23">
        <f t="shared" si="9"/>
        <v>0.30275229357798161</v>
      </c>
    </row>
    <row r="37" spans="3:15" ht="3" customHeight="1">
      <c r="G37" s="19" t="str">
        <f t="shared" si="0"/>
        <v/>
      </c>
    </row>
    <row r="38" spans="3:15">
      <c r="D38" s="2" t="s">
        <v>51</v>
      </c>
      <c r="F38" s="19" t="s">
        <v>91</v>
      </c>
      <c r="G38" s="19" t="str">
        <f t="shared" si="0"/>
        <v>mln EUR</v>
      </c>
      <c r="J38" s="21">
        <v>1536</v>
      </c>
      <c r="K38" s="21">
        <v>1677</v>
      </c>
      <c r="L38" s="21">
        <v>1265</v>
      </c>
      <c r="M38" s="21">
        <v>2391</v>
      </c>
      <c r="N38" s="21">
        <v>3941</v>
      </c>
    </row>
    <row r="39" spans="3:15">
      <c r="E39" s="18" t="s">
        <v>90</v>
      </c>
      <c r="F39" s="19" t="s">
        <v>93</v>
      </c>
      <c r="G39" s="19" t="str">
        <f t="shared" si="0"/>
        <v>%</v>
      </c>
      <c r="J39" s="32"/>
      <c r="K39" s="23">
        <f>IFERROR(K38/J38-1, "-")</f>
        <v>9.1796875E-2</v>
      </c>
      <c r="L39" s="23">
        <f t="shared" ref="L39:N39" si="10">IFERROR(L38/K38-1, "-")</f>
        <v>-0.24567680381633872</v>
      </c>
      <c r="M39" s="23">
        <f t="shared" si="10"/>
        <v>0.89011857707509878</v>
      </c>
      <c r="N39" s="23">
        <f t="shared" si="10"/>
        <v>0.6482643245503974</v>
      </c>
    </row>
    <row r="41" spans="3:15">
      <c r="C41" s="12" t="s">
        <v>52</v>
      </c>
      <c r="D41" s="1"/>
      <c r="E41" s="1"/>
      <c r="F41" s="1"/>
      <c r="G41" s="1"/>
      <c r="H41" s="1"/>
      <c r="I41" s="1"/>
      <c r="J41" s="1"/>
      <c r="K41" s="1"/>
      <c r="L41" s="1"/>
      <c r="M41" s="1"/>
      <c r="N41" s="1"/>
      <c r="O41" s="1"/>
    </row>
    <row r="43" spans="3:15">
      <c r="D43" s="2" t="s">
        <v>52</v>
      </c>
      <c r="F43" s="19" t="s">
        <v>93</v>
      </c>
      <c r="G43" s="19" t="str">
        <f>IF(M43="","",IF(AND(M43&gt;=-1,M43&lt;=1), "%","mln EUR"))</f>
        <v>mln EUR</v>
      </c>
      <c r="J43" s="24">
        <f>SUM(J11,J14,J17,J20,J23,J26,J29,J32,J35,J38,)</f>
        <v>156902</v>
      </c>
      <c r="K43" s="24">
        <f t="shared" ref="K43:M43" si="11">SUM(K11,K14,K17,K20,K23,K26,K29,K32,K35,K38,)</f>
        <v>157141</v>
      </c>
      <c r="L43" s="24">
        <f t="shared" si="11"/>
        <v>158990</v>
      </c>
      <c r="M43" s="24">
        <f t="shared" si="11"/>
        <v>163243</v>
      </c>
      <c r="N43" s="24">
        <f t="shared" ref="N43" si="12">SUM(N11,N14,N17,N20,N23,N26,N29,N32,N35,N38,)</f>
        <v>153334</v>
      </c>
    </row>
    <row r="44" spans="3:15">
      <c r="E44" s="18" t="s">
        <v>90</v>
      </c>
      <c r="F44" s="19" t="s">
        <v>93</v>
      </c>
      <c r="G44" s="19" t="str">
        <f>IF(M44="","",IF(AND(M44&gt;=-1,M44&lt;=1), "%","mln EUR"))</f>
        <v>%</v>
      </c>
      <c r="J44" s="32"/>
      <c r="K44" s="23">
        <f>IFERROR(K43/J43-1, "-")</f>
        <v>1.5232438082370958E-3</v>
      </c>
      <c r="L44" s="23">
        <f t="shared" ref="L44:N44" si="13">IFERROR(L43/K43-1, "-")</f>
        <v>1.1766502695031766E-2</v>
      </c>
      <c r="M44" s="23">
        <f t="shared" si="13"/>
        <v>2.6750110069815758E-2</v>
      </c>
      <c r="N44" s="23">
        <f t="shared" si="13"/>
        <v>-6.0700918262957648E-2</v>
      </c>
    </row>
    <row r="46" spans="3:15">
      <c r="C46" s="12" t="s">
        <v>53</v>
      </c>
      <c r="D46" s="1"/>
      <c r="E46" s="1"/>
      <c r="F46" s="1"/>
      <c r="G46" s="1"/>
      <c r="H46" s="1"/>
      <c r="I46" s="1"/>
      <c r="J46" s="1"/>
      <c r="K46" s="1"/>
      <c r="L46" s="1"/>
      <c r="M46" s="1"/>
      <c r="N46" s="1"/>
      <c r="O46" s="1"/>
    </row>
    <row r="48" spans="3:15">
      <c r="D48" s="2" t="s">
        <v>54</v>
      </c>
      <c r="F48" s="19" t="s">
        <v>91</v>
      </c>
      <c r="G48" s="19" t="str">
        <f>IF(M48="","",IF(AND(M48&gt;=-1,M48&lt;=1), "%","mln EUR"))</f>
        <v>mln EUR</v>
      </c>
      <c r="J48" s="21">
        <v>21466</v>
      </c>
      <c r="K48" s="21">
        <v>25621</v>
      </c>
      <c r="L48" s="21">
        <v>26486</v>
      </c>
      <c r="M48" s="21">
        <v>26234</v>
      </c>
      <c r="N48" s="21">
        <v>23933</v>
      </c>
    </row>
    <row r="49" spans="4:14">
      <c r="E49" s="18" t="s">
        <v>90</v>
      </c>
      <c r="F49" s="19" t="s">
        <v>93</v>
      </c>
      <c r="G49" s="19" t="str">
        <f t="shared" ref="G49:G73" si="14">IF(M49="","",IF(AND(M49&gt;=-1,M49&lt;=1), "%","mln EUR"))</f>
        <v>%</v>
      </c>
      <c r="J49" s="32"/>
      <c r="K49" s="23">
        <f>IFERROR(K48/J48-1, "-")</f>
        <v>0.19356191186061689</v>
      </c>
      <c r="L49" s="23">
        <f t="shared" ref="L49:N49" si="15">IFERROR(L48/K48-1, "-")</f>
        <v>3.3761367628117656E-2</v>
      </c>
      <c r="M49" s="23">
        <f t="shared" si="15"/>
        <v>-9.5144604696820734E-3</v>
      </c>
      <c r="N49" s="23">
        <f t="shared" si="15"/>
        <v>-8.7710604558969285E-2</v>
      </c>
    </row>
    <row r="50" spans="4:14" ht="3" customHeight="1">
      <c r="G50" s="19" t="str">
        <f t="shared" si="14"/>
        <v/>
      </c>
    </row>
    <row r="51" spans="4:14">
      <c r="D51" s="2" t="s">
        <v>55</v>
      </c>
      <c r="F51" s="19" t="s">
        <v>91</v>
      </c>
      <c r="G51" s="19" t="str">
        <f t="shared" si="14"/>
        <v>mln EUR</v>
      </c>
      <c r="J51" s="21">
        <v>7673</v>
      </c>
      <c r="K51" s="21">
        <v>8100</v>
      </c>
      <c r="L51" s="21">
        <v>7281</v>
      </c>
      <c r="M51" s="21">
        <v>6973</v>
      </c>
      <c r="N51" s="21">
        <v>5851</v>
      </c>
    </row>
    <row r="52" spans="4:14">
      <c r="E52" s="18" t="s">
        <v>90</v>
      </c>
      <c r="F52" s="19" t="s">
        <v>93</v>
      </c>
      <c r="G52" s="19" t="str">
        <f t="shared" si="14"/>
        <v>%</v>
      </c>
      <c r="J52" s="32"/>
      <c r="K52" s="23">
        <f>IFERROR(K51/J51-1, "-")</f>
        <v>5.5649680698553361E-2</v>
      </c>
      <c r="L52" s="23">
        <f t="shared" ref="L52:N52" si="16">IFERROR(L51/K51-1, "-")</f>
        <v>-0.10111111111111115</v>
      </c>
      <c r="M52" s="23">
        <f t="shared" si="16"/>
        <v>-4.2301881609668968E-2</v>
      </c>
      <c r="N52" s="23">
        <f t="shared" si="16"/>
        <v>-0.16090635307615087</v>
      </c>
    </row>
    <row r="53" spans="4:14" ht="3" customHeight="1">
      <c r="G53" s="19" t="str">
        <f t="shared" si="14"/>
        <v/>
      </c>
    </row>
    <row r="54" spans="4:14">
      <c r="D54" s="2" t="s">
        <v>46</v>
      </c>
      <c r="F54" s="19" t="s">
        <v>91</v>
      </c>
      <c r="G54" s="19" t="str">
        <f t="shared" si="14"/>
        <v>mln EUR</v>
      </c>
      <c r="J54" s="21">
        <v>33670</v>
      </c>
      <c r="K54" s="21">
        <v>37312</v>
      </c>
      <c r="L54" s="21">
        <v>39277</v>
      </c>
      <c r="M54" s="21">
        <v>39320</v>
      </c>
      <c r="N54" s="21">
        <v>34387</v>
      </c>
    </row>
    <row r="55" spans="4:14">
      <c r="E55" s="18" t="s">
        <v>90</v>
      </c>
      <c r="F55" s="19" t="s">
        <v>93</v>
      </c>
      <c r="G55" s="19" t="str">
        <f t="shared" si="14"/>
        <v>%</v>
      </c>
      <c r="J55" s="32"/>
      <c r="K55" s="23">
        <f>IFERROR(K54/J54-1, "-")</f>
        <v>0.1081675081675082</v>
      </c>
      <c r="L55" s="23">
        <f t="shared" ref="L55:N55" si="17">IFERROR(L54/K54-1, "-")</f>
        <v>5.2664022298456237E-2</v>
      </c>
      <c r="M55" s="23">
        <f t="shared" si="17"/>
        <v>1.0947882984952972E-3</v>
      </c>
      <c r="N55" s="23">
        <f t="shared" si="17"/>
        <v>-0.12545778229908444</v>
      </c>
    </row>
    <row r="56" spans="4:14" ht="3" customHeight="1">
      <c r="G56" s="19" t="str">
        <f t="shared" si="14"/>
        <v/>
      </c>
    </row>
    <row r="57" spans="4:14">
      <c r="D57" s="2" t="s">
        <v>56</v>
      </c>
      <c r="F57" s="19" t="s">
        <v>91</v>
      </c>
      <c r="G57" s="19" t="str">
        <f t="shared" si="14"/>
        <v>mln EUR</v>
      </c>
      <c r="J57" s="21">
        <v>23120</v>
      </c>
      <c r="K57" s="21">
        <v>17679</v>
      </c>
      <c r="L57" s="21">
        <v>15962</v>
      </c>
      <c r="M57" s="21">
        <v>14511</v>
      </c>
      <c r="N57" s="21">
        <v>12254</v>
      </c>
    </row>
    <row r="58" spans="4:14">
      <c r="E58" s="18" t="s">
        <v>90</v>
      </c>
      <c r="F58" s="19" t="s">
        <v>93</v>
      </c>
      <c r="G58" s="19" t="str">
        <f t="shared" si="14"/>
        <v>%</v>
      </c>
      <c r="J58" s="32"/>
      <c r="K58" s="23">
        <f>IFERROR(K57/J57-1, "-")</f>
        <v>-0.23533737024221457</v>
      </c>
      <c r="L58" s="23">
        <f t="shared" ref="L58:N58" si="18">IFERROR(L57/K57-1, "-")</f>
        <v>-9.7120877877708067E-2</v>
      </c>
      <c r="M58" s="23">
        <f t="shared" si="18"/>
        <v>-9.0903395564465583E-2</v>
      </c>
      <c r="N58" s="23">
        <f t="shared" si="18"/>
        <v>-0.15553717869202677</v>
      </c>
    </row>
    <row r="59" spans="4:14" ht="3" customHeight="1">
      <c r="G59" s="19" t="str">
        <f t="shared" si="14"/>
        <v/>
      </c>
    </row>
    <row r="60" spans="4:14">
      <c r="D60" s="2" t="s">
        <v>47</v>
      </c>
      <c r="F60" s="19" t="s">
        <v>91</v>
      </c>
      <c r="G60" s="19" t="str">
        <f t="shared" si="14"/>
        <v>mln EUR</v>
      </c>
      <c r="J60" s="21">
        <v>6706</v>
      </c>
      <c r="K60" s="21">
        <v>6237</v>
      </c>
      <c r="L60" s="21">
        <v>6159</v>
      </c>
      <c r="M60" s="21">
        <v>7086</v>
      </c>
      <c r="N60" s="21">
        <v>6940</v>
      </c>
    </row>
    <row r="61" spans="4:14">
      <c r="E61" s="18" t="s">
        <v>90</v>
      </c>
      <c r="F61" s="19" t="s">
        <v>93</v>
      </c>
      <c r="G61" s="19" t="str">
        <f t="shared" si="14"/>
        <v>%</v>
      </c>
      <c r="J61" s="32"/>
      <c r="K61" s="23">
        <f>IFERROR(K60/J60-1, "-")</f>
        <v>-6.9937369519832981E-2</v>
      </c>
      <c r="L61" s="23">
        <f t="shared" ref="L61:N61" si="19">IFERROR(L60/K60-1, "-")</f>
        <v>-1.2506012506012465E-2</v>
      </c>
      <c r="M61" s="23">
        <f t="shared" si="19"/>
        <v>0.15051144666341942</v>
      </c>
      <c r="N61" s="23">
        <f t="shared" si="19"/>
        <v>-2.0604007902907173E-2</v>
      </c>
    </row>
    <row r="62" spans="4:14" ht="3" customHeight="1">
      <c r="G62" s="19" t="str">
        <f t="shared" si="14"/>
        <v/>
      </c>
    </row>
    <row r="63" spans="4:14">
      <c r="D63" s="2" t="s">
        <v>48</v>
      </c>
      <c r="F63" s="19" t="s">
        <v>91</v>
      </c>
      <c r="G63" s="19" t="str">
        <f t="shared" si="14"/>
        <v>mln EUR</v>
      </c>
      <c r="J63" s="21">
        <v>3079</v>
      </c>
      <c r="K63" s="21">
        <v>3453</v>
      </c>
      <c r="L63" s="21">
        <v>3599</v>
      </c>
      <c r="M63" s="21">
        <v>2868</v>
      </c>
      <c r="N63" s="21">
        <v>2852</v>
      </c>
    </row>
    <row r="64" spans="4:14">
      <c r="E64" s="18" t="s">
        <v>90</v>
      </c>
      <c r="F64" s="19" t="s">
        <v>93</v>
      </c>
      <c r="G64" s="19" t="str">
        <f t="shared" si="14"/>
        <v>%</v>
      </c>
      <c r="J64" s="32"/>
      <c r="K64" s="23">
        <f>IFERROR(K63/J63-1, "-")</f>
        <v>0.12146800909386157</v>
      </c>
      <c r="L64" s="23">
        <f t="shared" ref="L64:N64" si="20">IFERROR(L63/K63-1, "-")</f>
        <v>4.2282073559223754E-2</v>
      </c>
      <c r="M64" s="23">
        <f t="shared" si="20"/>
        <v>-0.20311197554876359</v>
      </c>
      <c r="N64" s="23">
        <f t="shared" si="20"/>
        <v>-5.5788005578800703E-3</v>
      </c>
    </row>
    <row r="65" spans="3:15" ht="3" customHeight="1">
      <c r="G65" s="19" t="str">
        <f t="shared" si="14"/>
        <v/>
      </c>
    </row>
    <row r="66" spans="3:15">
      <c r="D66" s="2" t="s">
        <v>50</v>
      </c>
      <c r="F66" s="19" t="s">
        <v>91</v>
      </c>
      <c r="G66" s="19" t="str">
        <f t="shared" si="14"/>
        <v>mln EUR</v>
      </c>
      <c r="J66" s="21">
        <v>0</v>
      </c>
      <c r="K66" s="21">
        <v>0</v>
      </c>
      <c r="L66" s="21">
        <v>798</v>
      </c>
      <c r="M66" s="21">
        <v>1034</v>
      </c>
      <c r="N66" s="21">
        <v>1257</v>
      </c>
    </row>
    <row r="67" spans="3:15">
      <c r="E67" s="18" t="s">
        <v>90</v>
      </c>
      <c r="F67" s="19" t="s">
        <v>93</v>
      </c>
      <c r="G67" s="19" t="str">
        <f t="shared" si="14"/>
        <v>%</v>
      </c>
      <c r="J67" s="32"/>
      <c r="K67" s="23" t="str">
        <f>IFERROR(K66/J66-1, "-")</f>
        <v>-</v>
      </c>
      <c r="L67" s="23" t="str">
        <f t="shared" ref="L67:N67" si="21">IFERROR(L66/K66-1, "-")</f>
        <v>-</v>
      </c>
      <c r="M67" s="23">
        <f t="shared" si="21"/>
        <v>0.29573934837092741</v>
      </c>
      <c r="N67" s="23">
        <f t="shared" si="21"/>
        <v>0.21566731141199225</v>
      </c>
    </row>
    <row r="68" spans="3:15" ht="3" customHeight="1">
      <c r="G68" s="19" t="str">
        <f t="shared" si="14"/>
        <v/>
      </c>
    </row>
    <row r="69" spans="3:15">
      <c r="D69" s="2" t="s">
        <v>51</v>
      </c>
      <c r="F69" s="19" t="s">
        <v>91</v>
      </c>
      <c r="G69" s="19" t="str">
        <f t="shared" si="14"/>
        <v>mln EUR</v>
      </c>
      <c r="J69" s="21">
        <v>4073</v>
      </c>
      <c r="K69" s="21">
        <v>4472</v>
      </c>
      <c r="L69" s="21">
        <v>3675</v>
      </c>
      <c r="M69" s="21">
        <v>3581</v>
      </c>
      <c r="N69" s="21">
        <v>3645</v>
      </c>
    </row>
    <row r="70" spans="3:15">
      <c r="E70" s="18" t="s">
        <v>90</v>
      </c>
      <c r="F70" s="19" t="s">
        <v>93</v>
      </c>
      <c r="G70" s="19" t="str">
        <f t="shared" si="14"/>
        <v>%</v>
      </c>
      <c r="J70" s="32"/>
      <c r="K70" s="23">
        <f>IFERROR(K69/J69-1, "-")</f>
        <v>9.7962190031917418E-2</v>
      </c>
      <c r="L70" s="23">
        <f t="shared" ref="L70:N70" si="22">IFERROR(L69/K69-1, "-")</f>
        <v>-0.17822003577817536</v>
      </c>
      <c r="M70" s="23">
        <f t="shared" si="22"/>
        <v>-2.5578231292517017E-2</v>
      </c>
      <c r="N70" s="23">
        <f t="shared" si="22"/>
        <v>1.7872102764590947E-2</v>
      </c>
    </row>
    <row r="71" spans="3:15" ht="3" customHeight="1">
      <c r="G71" s="19" t="str">
        <f t="shared" si="14"/>
        <v/>
      </c>
    </row>
    <row r="72" spans="3:15">
      <c r="D72" s="2" t="s">
        <v>57</v>
      </c>
      <c r="F72" s="19" t="s">
        <v>91</v>
      </c>
      <c r="G72" s="19" t="str">
        <f t="shared" si="14"/>
        <v>mln EUR</v>
      </c>
      <c r="J72" s="21">
        <v>3142</v>
      </c>
      <c r="K72" s="21">
        <v>0</v>
      </c>
      <c r="L72" s="21">
        <v>795</v>
      </c>
      <c r="M72" s="21">
        <v>160</v>
      </c>
      <c r="N72" s="21">
        <v>11013</v>
      </c>
    </row>
    <row r="73" spans="3:15">
      <c r="E73" s="18" t="s">
        <v>90</v>
      </c>
      <c r="F73" s="19" t="s">
        <v>93</v>
      </c>
      <c r="G73" s="19" t="str">
        <f t="shared" si="14"/>
        <v>%</v>
      </c>
      <c r="J73" s="32"/>
      <c r="K73" s="23">
        <f>IFERROR(K72/J72-1, "-")</f>
        <v>-1</v>
      </c>
      <c r="L73" s="23" t="str">
        <f t="shared" ref="L73:N73" si="23">IFERROR(L72/K72-1, "-")</f>
        <v>-</v>
      </c>
      <c r="M73" s="23">
        <f t="shared" si="23"/>
        <v>-0.79874213836477992</v>
      </c>
      <c r="N73" s="23">
        <f t="shared" si="23"/>
        <v>67.831249999999997</v>
      </c>
    </row>
    <row r="75" spans="3:15">
      <c r="C75" s="12" t="s">
        <v>58</v>
      </c>
      <c r="D75" s="1"/>
      <c r="E75" s="1"/>
      <c r="F75" s="1"/>
      <c r="G75" s="1"/>
      <c r="H75" s="1"/>
      <c r="I75" s="1"/>
      <c r="J75" s="1"/>
      <c r="K75" s="1"/>
      <c r="L75" s="1"/>
      <c r="M75" s="1"/>
      <c r="N75" s="1"/>
      <c r="O75" s="1"/>
    </row>
    <row r="77" spans="3:15">
      <c r="D77" s="2" t="s">
        <v>58</v>
      </c>
      <c r="F77" s="19" t="s">
        <v>93</v>
      </c>
      <c r="G77" s="19" t="str">
        <f>IF(M77="","",IF(AND(M77&gt;=-1,M77&lt;=1), "%","mln EUR"))</f>
        <v>mln EUR</v>
      </c>
      <c r="J77" s="24">
        <f>SUM(J48,J51,J54,J57,J60,J63,J66,J69,J72,)</f>
        <v>102929</v>
      </c>
      <c r="K77" s="24">
        <f t="shared" ref="K77:M77" si="24">SUM(K48,K51,K54,K57,K60,K63,K66,K69,K72,)</f>
        <v>102874</v>
      </c>
      <c r="L77" s="24">
        <f t="shared" si="24"/>
        <v>104032</v>
      </c>
      <c r="M77" s="24">
        <f t="shared" si="24"/>
        <v>101767</v>
      </c>
      <c r="N77" s="24">
        <f t="shared" ref="N77" si="25">SUM(N48,N51,N54,N57,N60,N63,N66,N69,N72,)</f>
        <v>102132</v>
      </c>
    </row>
    <row r="78" spans="3:15">
      <c r="E78" s="18" t="s">
        <v>90</v>
      </c>
      <c r="F78" s="19" t="s">
        <v>93</v>
      </c>
      <c r="G78" s="19" t="str">
        <f>IF(M78="","",IF(AND(M78&gt;=-1,M78&lt;=1), "%","mln EUR"))</f>
        <v>%</v>
      </c>
      <c r="J78" s="32"/>
      <c r="K78" s="23">
        <f>IFERROR(K77/J77-1, "-")</f>
        <v>-5.343489201293794E-4</v>
      </c>
      <c r="L78" s="23">
        <f t="shared" ref="L78:N78" si="26">IFERROR(L77/K77-1, "-")</f>
        <v>1.1256488519937102E-2</v>
      </c>
      <c r="M78" s="23">
        <f t="shared" si="26"/>
        <v>-2.1772147031682509E-2</v>
      </c>
      <c r="N78" s="23">
        <f t="shared" si="26"/>
        <v>3.5866243477749027E-3</v>
      </c>
    </row>
    <row r="80" spans="3:15">
      <c r="C80" s="12" t="s">
        <v>59</v>
      </c>
      <c r="D80" s="1"/>
      <c r="E80" s="1"/>
      <c r="F80" s="1"/>
      <c r="G80" s="1"/>
      <c r="H80" s="1"/>
      <c r="I80" s="1"/>
      <c r="J80" s="1"/>
      <c r="K80" s="1"/>
      <c r="L80" s="1"/>
      <c r="M80" s="1"/>
      <c r="N80" s="1"/>
      <c r="O80" s="1"/>
    </row>
    <row r="82" spans="2:15">
      <c r="D82" s="2" t="s">
        <v>59</v>
      </c>
      <c r="F82" s="19" t="s">
        <v>93</v>
      </c>
      <c r="G82" s="19" t="str">
        <f>IF(M82="","",IF(AND(M82&gt;=-1,M82&lt;=1), "%","mln EUR"))</f>
        <v>mln EUR</v>
      </c>
      <c r="J82" s="24">
        <f>SUM(J43,J77,)</f>
        <v>259831</v>
      </c>
      <c r="K82" s="24">
        <f t="shared" ref="K82:M82" si="27">SUM(K43,K77,)</f>
        <v>260015</v>
      </c>
      <c r="L82" s="24">
        <f t="shared" si="27"/>
        <v>263022</v>
      </c>
      <c r="M82" s="24">
        <f t="shared" si="27"/>
        <v>265010</v>
      </c>
      <c r="N82" s="24">
        <f t="shared" ref="N82" si="28">SUM(N43,N77,)</f>
        <v>255466</v>
      </c>
    </row>
    <row r="83" spans="2:15">
      <c r="E83" s="18" t="s">
        <v>90</v>
      </c>
      <c r="F83" s="19" t="s">
        <v>93</v>
      </c>
      <c r="G83" s="19" t="str">
        <f>IF(M83="","",IF(AND(M83&gt;=-1,M83&lt;=1), "%","mln EUR"))</f>
        <v>%</v>
      </c>
      <c r="J83" s="32"/>
      <c r="K83" s="23">
        <f>IFERROR(K82/J82-1, "-")</f>
        <v>7.0815260688683601E-4</v>
      </c>
      <c r="L83" s="23">
        <f t="shared" ref="L83:N83" si="29">IFERROR(L82/K82-1, "-")</f>
        <v>1.1564717420148751E-2</v>
      </c>
      <c r="M83" s="23">
        <f t="shared" si="29"/>
        <v>7.558303107724873E-3</v>
      </c>
      <c r="N83" s="23">
        <f t="shared" si="29"/>
        <v>-3.6013735330742258E-2</v>
      </c>
    </row>
    <row r="85" spans="2:15">
      <c r="B85" s="11" t="s">
        <v>61</v>
      </c>
      <c r="C85" s="10"/>
      <c r="D85" s="10"/>
      <c r="E85" s="10"/>
      <c r="F85" s="10"/>
      <c r="G85" s="10"/>
      <c r="H85" s="10"/>
      <c r="I85" s="10"/>
      <c r="J85" s="10"/>
      <c r="K85" s="10"/>
      <c r="L85" s="10"/>
      <c r="M85" s="10"/>
      <c r="N85" s="10"/>
      <c r="O85" s="10"/>
    </row>
    <row r="87" spans="2:15">
      <c r="C87" s="12" t="s">
        <v>62</v>
      </c>
      <c r="D87" s="1"/>
      <c r="E87" s="1"/>
      <c r="F87" s="1"/>
      <c r="G87" s="1"/>
      <c r="H87" s="1"/>
      <c r="I87" s="1"/>
      <c r="J87" s="1"/>
      <c r="K87" s="1"/>
      <c r="L87" s="1"/>
      <c r="M87" s="1"/>
      <c r="N87" s="1"/>
      <c r="O87" s="1"/>
    </row>
    <row r="89" spans="2:15">
      <c r="D89" s="2" t="s">
        <v>63</v>
      </c>
      <c r="F89" s="19" t="s">
        <v>91</v>
      </c>
      <c r="G89" s="19" t="str">
        <f>IF(M89="","",IF(AND(M89&gt;=-1,M89&lt;=1), "%","mln EUR"))</f>
        <v>mln EUR</v>
      </c>
      <c r="J89" s="21">
        <v>5359</v>
      </c>
      <c r="K89" s="21">
        <v>1021</v>
      </c>
      <c r="L89" s="21">
        <v>1090</v>
      </c>
      <c r="M89" s="21">
        <v>952</v>
      </c>
      <c r="N89" s="21">
        <v>807</v>
      </c>
    </row>
    <row r="90" spans="2:15">
      <c r="E90" s="18" t="s">
        <v>90</v>
      </c>
      <c r="F90" s="19" t="s">
        <v>93</v>
      </c>
      <c r="G90" s="19" t="str">
        <f t="shared" ref="G90:G153" si="30">IF(M90="","",IF(AND(M90&gt;=-1,M90&lt;=1), "%","mln EUR"))</f>
        <v>%</v>
      </c>
      <c r="J90" s="32"/>
      <c r="K90" s="23">
        <f>IFERROR(K89/J89-1, "-")</f>
        <v>-0.80947938048143309</v>
      </c>
      <c r="L90" s="23">
        <f t="shared" ref="L90:N90" si="31">IFERROR(L89/K89-1, "-")</f>
        <v>6.7580803134182243E-2</v>
      </c>
      <c r="M90" s="23">
        <f t="shared" si="31"/>
        <v>-0.12660550458715591</v>
      </c>
      <c r="N90" s="23">
        <f t="shared" si="31"/>
        <v>-0.15231092436974791</v>
      </c>
    </row>
    <row r="91" spans="2:15" ht="3" customHeight="1">
      <c r="G91" s="19" t="str">
        <f t="shared" si="30"/>
        <v/>
      </c>
    </row>
    <row r="92" spans="2:15">
      <c r="D92" s="2" t="s">
        <v>64</v>
      </c>
      <c r="F92" s="19" t="s">
        <v>91</v>
      </c>
      <c r="G92" s="19" t="str">
        <f t="shared" si="30"/>
        <v>mln EUR</v>
      </c>
      <c r="J92" s="21">
        <v>7909</v>
      </c>
      <c r="K92" s="21">
        <v>6438</v>
      </c>
      <c r="L92" s="21">
        <v>7345</v>
      </c>
      <c r="M92" s="21">
        <v>7332</v>
      </c>
      <c r="N92" s="21">
        <v>7612</v>
      </c>
    </row>
    <row r="93" spans="2:15">
      <c r="E93" s="18" t="s">
        <v>90</v>
      </c>
      <c r="F93" s="19" t="s">
        <v>93</v>
      </c>
      <c r="G93" s="19" t="str">
        <f t="shared" si="30"/>
        <v>%</v>
      </c>
      <c r="J93" s="32"/>
      <c r="K93" s="23">
        <f>IFERROR(K92/J92-1, "-")</f>
        <v>-0.18599064357061579</v>
      </c>
      <c r="L93" s="23">
        <f t="shared" ref="L93:N93" si="32">IFERROR(L92/K92-1, "-")</f>
        <v>0.14088226157191674</v>
      </c>
      <c r="M93" s="23">
        <f t="shared" si="32"/>
        <v>-1.7699115044247371E-3</v>
      </c>
      <c r="N93" s="23">
        <f t="shared" si="32"/>
        <v>3.8188761593016984E-2</v>
      </c>
    </row>
    <row r="94" spans="2:15" ht="3" customHeight="1">
      <c r="G94" s="19" t="str">
        <f t="shared" si="30"/>
        <v/>
      </c>
    </row>
    <row r="95" spans="2:15">
      <c r="D95" s="2" t="s">
        <v>65</v>
      </c>
      <c r="F95" s="19" t="s">
        <v>91</v>
      </c>
      <c r="G95" s="19" t="str">
        <f t="shared" si="30"/>
        <v>mln EUR</v>
      </c>
      <c r="J95" s="21">
        <v>73543</v>
      </c>
      <c r="K95" s="21">
        <v>62051</v>
      </c>
      <c r="L95" s="21">
        <v>63724</v>
      </c>
      <c r="M95" s="21">
        <v>73487</v>
      </c>
      <c r="N95" s="21">
        <v>62410</v>
      </c>
    </row>
    <row r="96" spans="2:15">
      <c r="E96" s="18" t="s">
        <v>90</v>
      </c>
      <c r="F96" s="19" t="s">
        <v>93</v>
      </c>
      <c r="G96" s="19" t="str">
        <f t="shared" si="30"/>
        <v>%</v>
      </c>
      <c r="J96" s="32"/>
      <c r="K96" s="23">
        <f>IFERROR(K95/J95-1, "-")</f>
        <v>-0.15626232272276086</v>
      </c>
      <c r="L96" s="23">
        <f t="shared" ref="L96:N96" si="33">IFERROR(L95/K95-1, "-")</f>
        <v>2.6961692801082959E-2</v>
      </c>
      <c r="M96" s="23">
        <f t="shared" si="33"/>
        <v>0.15320758270039536</v>
      </c>
      <c r="N96" s="23">
        <f t="shared" si="33"/>
        <v>-0.1507341434539442</v>
      </c>
    </row>
    <row r="97" spans="4:14" ht="3" customHeight="1">
      <c r="G97" s="19" t="str">
        <f t="shared" si="30"/>
        <v/>
      </c>
    </row>
    <row r="98" spans="4:14">
      <c r="D98" s="2" t="s">
        <v>66</v>
      </c>
      <c r="F98" s="19" t="s">
        <v>91</v>
      </c>
      <c r="G98" s="19" t="str">
        <f t="shared" si="30"/>
        <v>mln EUR</v>
      </c>
      <c r="J98" s="21">
        <v>1808</v>
      </c>
      <c r="K98" s="21">
        <v>2524</v>
      </c>
      <c r="L98" s="21">
        <v>1642</v>
      </c>
      <c r="M98" s="21">
        <v>1490</v>
      </c>
      <c r="N98" s="21">
        <v>1278</v>
      </c>
    </row>
    <row r="99" spans="4:14">
      <c r="E99" s="18" t="s">
        <v>90</v>
      </c>
      <c r="F99" s="19" t="s">
        <v>93</v>
      </c>
      <c r="G99" s="19" t="str">
        <f t="shared" si="30"/>
        <v>%</v>
      </c>
      <c r="J99" s="32"/>
      <c r="K99" s="23">
        <f>IFERROR(K98/J98-1, "-")</f>
        <v>0.39601769911504414</v>
      </c>
      <c r="L99" s="23">
        <f t="shared" ref="L99:N99" si="34">IFERROR(L98/K98-1, "-")</f>
        <v>-0.349445324881141</v>
      </c>
      <c r="M99" s="23">
        <f t="shared" si="34"/>
        <v>-9.2570036540803868E-2</v>
      </c>
      <c r="N99" s="23">
        <f t="shared" si="34"/>
        <v>-0.14228187919463087</v>
      </c>
    </row>
    <row r="100" spans="4:14" ht="3" customHeight="1">
      <c r="G100" s="19" t="str">
        <f t="shared" si="30"/>
        <v/>
      </c>
    </row>
    <row r="101" spans="4:14">
      <c r="D101" s="2" t="s">
        <v>67</v>
      </c>
      <c r="F101" s="19" t="s">
        <v>91</v>
      </c>
      <c r="G101" s="19" t="str">
        <f t="shared" si="30"/>
        <v>mln EUR</v>
      </c>
      <c r="J101" s="21">
        <v>4488</v>
      </c>
      <c r="K101" s="21">
        <v>6910</v>
      </c>
      <c r="L101" s="21">
        <v>7714</v>
      </c>
      <c r="M101" s="21">
        <v>7497</v>
      </c>
      <c r="N101" s="21">
        <v>10201</v>
      </c>
    </row>
    <row r="102" spans="4:14">
      <c r="E102" s="18" t="s">
        <v>90</v>
      </c>
      <c r="F102" s="19" t="s">
        <v>93</v>
      </c>
      <c r="G102" s="19" t="str">
        <f t="shared" si="30"/>
        <v>%</v>
      </c>
      <c r="J102" s="32"/>
      <c r="K102" s="23">
        <f>IFERROR(K101/J101-1, "-")</f>
        <v>0.53966131907308368</v>
      </c>
      <c r="L102" s="23">
        <f t="shared" ref="L102:N102" si="35">IFERROR(L101/K101-1, "-")</f>
        <v>0.11635311143270632</v>
      </c>
      <c r="M102" s="23">
        <f t="shared" si="35"/>
        <v>-2.8130671506352067E-2</v>
      </c>
      <c r="N102" s="23">
        <f t="shared" si="35"/>
        <v>0.36067760437508345</v>
      </c>
    </row>
    <row r="103" spans="4:14" ht="3" customHeight="1">
      <c r="G103" s="19" t="str">
        <f t="shared" si="30"/>
        <v/>
      </c>
    </row>
    <row r="104" spans="4:14">
      <c r="D104" s="2" t="s">
        <v>68</v>
      </c>
      <c r="F104" s="19" t="s">
        <v>91</v>
      </c>
      <c r="G104" s="19" t="str">
        <f t="shared" si="30"/>
        <v>%</v>
      </c>
      <c r="J104" s="21">
        <v>1175</v>
      </c>
      <c r="K104" s="21">
        <v>1234</v>
      </c>
      <c r="L104" s="21">
        <v>0</v>
      </c>
      <c r="M104" s="21">
        <v>0</v>
      </c>
      <c r="N104" s="21"/>
    </row>
    <row r="105" spans="4:14">
      <c r="E105" s="18" t="s">
        <v>90</v>
      </c>
      <c r="F105" s="19" t="s">
        <v>93</v>
      </c>
      <c r="G105" s="19" t="str">
        <f t="shared" si="30"/>
        <v>mln EUR</v>
      </c>
      <c r="J105" s="32"/>
      <c r="K105" s="23">
        <f>IFERROR(K104/J104-1, "-")</f>
        <v>5.0212765957446726E-2</v>
      </c>
      <c r="L105" s="23">
        <f t="shared" ref="L105:N105" si="36">IFERROR(L104/K104-1, "-")</f>
        <v>-1</v>
      </c>
      <c r="M105" s="23" t="str">
        <f t="shared" si="36"/>
        <v>-</v>
      </c>
      <c r="N105" s="23" t="str">
        <f t="shared" si="36"/>
        <v>-</v>
      </c>
    </row>
    <row r="106" spans="4:14" ht="3" customHeight="1">
      <c r="G106" s="19" t="str">
        <f t="shared" si="30"/>
        <v/>
      </c>
    </row>
    <row r="107" spans="4:14">
      <c r="D107" s="2" t="s">
        <v>69</v>
      </c>
      <c r="F107" s="19" t="s">
        <v>91</v>
      </c>
      <c r="G107" s="19" t="str">
        <f t="shared" si="30"/>
        <v>mln EUR</v>
      </c>
      <c r="J107" s="21">
        <v>3980</v>
      </c>
      <c r="K107" s="21">
        <v>3656</v>
      </c>
      <c r="L107" s="21">
        <v>2658</v>
      </c>
      <c r="M107" s="21">
        <v>3100</v>
      </c>
      <c r="N107" s="21">
        <v>2942</v>
      </c>
    </row>
    <row r="108" spans="4:14">
      <c r="E108" s="18" t="s">
        <v>90</v>
      </c>
      <c r="F108" s="19" t="s">
        <v>93</v>
      </c>
      <c r="G108" s="19" t="str">
        <f t="shared" si="30"/>
        <v>%</v>
      </c>
      <c r="J108" s="32"/>
      <c r="K108" s="23">
        <f>IFERROR(K107/J107-1, "-")</f>
        <v>-8.1407035175879439E-2</v>
      </c>
      <c r="L108" s="23">
        <f t="shared" ref="L108:N108" si="37">IFERROR(L107/K107-1, "-")</f>
        <v>-0.27297592997811815</v>
      </c>
      <c r="M108" s="23">
        <f t="shared" si="37"/>
        <v>0.16629044394281411</v>
      </c>
      <c r="N108" s="23">
        <f t="shared" si="37"/>
        <v>-5.0967741935483923E-2</v>
      </c>
    </row>
    <row r="109" spans="4:14" ht="3" customHeight="1">
      <c r="G109" s="19" t="str">
        <f t="shared" si="30"/>
        <v/>
      </c>
    </row>
    <row r="110" spans="4:14">
      <c r="D110" s="2" t="s">
        <v>70</v>
      </c>
      <c r="F110" s="19" t="s">
        <v>91</v>
      </c>
      <c r="G110" s="19" t="str">
        <f t="shared" si="30"/>
        <v>mln EUR</v>
      </c>
      <c r="J110" s="21">
        <v>0</v>
      </c>
      <c r="K110" s="21">
        <v>0</v>
      </c>
      <c r="L110" s="21">
        <v>1473</v>
      </c>
      <c r="M110" s="21">
        <v>1342</v>
      </c>
      <c r="N110" s="21">
        <v>1020</v>
      </c>
    </row>
    <row r="111" spans="4:14">
      <c r="E111" s="18" t="s">
        <v>90</v>
      </c>
      <c r="F111" s="19" t="s">
        <v>93</v>
      </c>
      <c r="G111" s="19" t="str">
        <f t="shared" si="30"/>
        <v>%</v>
      </c>
      <c r="J111" s="32"/>
      <c r="K111" s="23" t="str">
        <f>IFERROR(K110/J110-1, "-")</f>
        <v>-</v>
      </c>
      <c r="L111" s="23" t="str">
        <f t="shared" ref="L111:N111" si="38">IFERROR(L110/K110-1, "-")</f>
        <v>-</v>
      </c>
      <c r="M111" s="23">
        <f t="shared" si="38"/>
        <v>-8.8934147997284496E-2</v>
      </c>
      <c r="N111" s="23">
        <f t="shared" si="38"/>
        <v>-0.23994038748137114</v>
      </c>
    </row>
    <row r="112" spans="4:14" ht="3" customHeight="1">
      <c r="G112" s="19" t="str">
        <f t="shared" si="30"/>
        <v/>
      </c>
    </row>
    <row r="113" spans="3:15">
      <c r="D113" s="2" t="s">
        <v>71</v>
      </c>
      <c r="F113" s="19" t="s">
        <v>91</v>
      </c>
      <c r="G113" s="19" t="str">
        <f t="shared" si="30"/>
        <v>mln EUR</v>
      </c>
      <c r="J113" s="21">
        <v>727</v>
      </c>
      <c r="K113" s="21">
        <v>1238</v>
      </c>
      <c r="L113" s="21">
        <v>1270</v>
      </c>
      <c r="M113" s="21">
        <v>1354</v>
      </c>
      <c r="N113" s="21">
        <v>1188</v>
      </c>
    </row>
    <row r="114" spans="3:15">
      <c r="E114" s="18" t="s">
        <v>90</v>
      </c>
      <c r="F114" s="19" t="s">
        <v>93</v>
      </c>
      <c r="G114" s="19" t="str">
        <f t="shared" si="30"/>
        <v>%</v>
      </c>
      <c r="J114" s="32"/>
      <c r="K114" s="23">
        <f>IFERROR(K113/J113-1, "-")</f>
        <v>0.70288858321870706</v>
      </c>
      <c r="L114" s="23">
        <f t="shared" ref="L114:N114" si="39">IFERROR(L113/K113-1, "-")</f>
        <v>2.5848142164781818E-2</v>
      </c>
      <c r="M114" s="23">
        <f t="shared" si="39"/>
        <v>6.6141732283464538E-2</v>
      </c>
      <c r="N114" s="23">
        <f t="shared" si="39"/>
        <v>-0.12259970457902514</v>
      </c>
    </row>
    <row r="115" spans="3:15">
      <c r="G115" s="19" t="str">
        <f t="shared" si="30"/>
        <v/>
      </c>
    </row>
    <row r="116" spans="3:15">
      <c r="C116" s="12" t="s">
        <v>72</v>
      </c>
      <c r="D116" s="1"/>
      <c r="E116" s="1"/>
      <c r="F116" s="1"/>
      <c r="G116" s="1" t="str">
        <f t="shared" si="30"/>
        <v/>
      </c>
      <c r="H116" s="1"/>
      <c r="I116" s="1"/>
      <c r="J116" s="1"/>
      <c r="K116" s="1"/>
      <c r="L116" s="1"/>
      <c r="M116" s="1"/>
      <c r="N116" s="1"/>
      <c r="O116" s="1"/>
    </row>
    <row r="117" spans="3:15">
      <c r="G117" s="19" t="str">
        <f t="shared" si="30"/>
        <v/>
      </c>
    </row>
    <row r="118" spans="3:15">
      <c r="D118" s="2" t="s">
        <v>72</v>
      </c>
      <c r="F118" s="19" t="s">
        <v>93</v>
      </c>
      <c r="G118" s="19" t="str">
        <f t="shared" si="30"/>
        <v>mln EUR</v>
      </c>
      <c r="J118" s="24">
        <f>SUM(J89,J92,J95,J98,J101,J104,J107,J110,J113,)</f>
        <v>98989</v>
      </c>
      <c r="K118" s="24">
        <f t="shared" ref="K118:M118" si="40">SUM(K89,K92,K95,K98,K101,K104,K107,K110,K113,)</f>
        <v>85072</v>
      </c>
      <c r="L118" s="24">
        <f t="shared" si="40"/>
        <v>86916</v>
      </c>
      <c r="M118" s="24">
        <f t="shared" si="40"/>
        <v>96554</v>
      </c>
      <c r="N118" s="24">
        <f t="shared" ref="N118" si="41">SUM(N89,N92,N95,N98,N101,N104,N107,N110,N113,)</f>
        <v>87458</v>
      </c>
    </row>
    <row r="119" spans="3:15">
      <c r="E119" s="18" t="s">
        <v>90</v>
      </c>
      <c r="F119" s="19" t="s">
        <v>93</v>
      </c>
      <c r="G119" s="19" t="str">
        <f t="shared" si="30"/>
        <v>%</v>
      </c>
      <c r="J119" s="32"/>
      <c r="K119" s="23">
        <f>IFERROR(K118/J118-1, "-")</f>
        <v>-0.14059137884007311</v>
      </c>
      <c r="L119" s="23">
        <f t="shared" ref="L119:N119" si="42">IFERROR(L118/K118-1, "-")</f>
        <v>2.1675757005830354E-2</v>
      </c>
      <c r="M119" s="23">
        <f t="shared" si="42"/>
        <v>0.11088867412214087</v>
      </c>
      <c r="N119" s="23">
        <f t="shared" si="42"/>
        <v>-9.4206350850301379E-2</v>
      </c>
    </row>
    <row r="120" spans="3:15">
      <c r="G120" s="19" t="str">
        <f t="shared" si="30"/>
        <v/>
      </c>
    </row>
    <row r="121" spans="3:15">
      <c r="C121" s="12" t="s">
        <v>73</v>
      </c>
      <c r="D121" s="1"/>
      <c r="E121" s="1"/>
      <c r="F121" s="1"/>
      <c r="G121" s="1" t="str">
        <f t="shared" si="30"/>
        <v/>
      </c>
      <c r="H121" s="1"/>
      <c r="I121" s="1"/>
      <c r="J121" s="1"/>
      <c r="K121" s="1"/>
      <c r="L121" s="1"/>
      <c r="M121" s="1"/>
      <c r="N121" s="1"/>
      <c r="O121" s="1"/>
    </row>
    <row r="122" spans="3:15">
      <c r="G122" s="19" t="str">
        <f t="shared" si="30"/>
        <v/>
      </c>
    </row>
    <row r="123" spans="3:15">
      <c r="D123" s="2" t="s">
        <v>74</v>
      </c>
      <c r="F123" s="19" t="s">
        <v>91</v>
      </c>
      <c r="G123" s="19" t="str">
        <f t="shared" si="30"/>
        <v>mln EUR</v>
      </c>
      <c r="J123" s="21">
        <v>10655</v>
      </c>
      <c r="K123" s="21">
        <v>12204</v>
      </c>
      <c r="L123" s="21">
        <v>12705</v>
      </c>
      <c r="M123" s="21">
        <v>11312</v>
      </c>
      <c r="N123" s="21">
        <v>10665</v>
      </c>
    </row>
    <row r="124" spans="3:15">
      <c r="E124" s="18" t="s">
        <v>90</v>
      </c>
      <c r="F124" s="19" t="s">
        <v>93</v>
      </c>
      <c r="G124" s="19" t="str">
        <f t="shared" si="30"/>
        <v>%</v>
      </c>
      <c r="J124" s="32"/>
      <c r="K124" s="23">
        <f>IFERROR(K123/J123-1, "-")</f>
        <v>0.14537775692163302</v>
      </c>
      <c r="L124" s="23">
        <f t="shared" ref="L124:N124" si="43">IFERROR(L123/K123-1, "-")</f>
        <v>4.1052114060963651E-2</v>
      </c>
      <c r="M124" s="23">
        <f t="shared" si="43"/>
        <v>-0.10964187327823693</v>
      </c>
      <c r="N124" s="23">
        <f t="shared" si="43"/>
        <v>-5.7195898161244707E-2</v>
      </c>
    </row>
    <row r="125" spans="3:15" ht="3" customHeight="1">
      <c r="G125" s="19" t="str">
        <f t="shared" si="30"/>
        <v/>
      </c>
    </row>
    <row r="126" spans="3:15">
      <c r="D126" s="2" t="s">
        <v>64</v>
      </c>
      <c r="F126" s="19" t="s">
        <v>91</v>
      </c>
      <c r="G126" s="19" t="str">
        <f t="shared" si="30"/>
        <v>mln EUR</v>
      </c>
      <c r="J126" s="21">
        <v>8053</v>
      </c>
      <c r="K126" s="21">
        <v>9585</v>
      </c>
      <c r="L126" s="21">
        <v>7955</v>
      </c>
      <c r="M126" s="21">
        <v>7688</v>
      </c>
      <c r="N126" s="21">
        <v>7846</v>
      </c>
    </row>
    <row r="127" spans="3:15">
      <c r="E127" s="18" t="s">
        <v>90</v>
      </c>
      <c r="F127" s="19" t="s">
        <v>93</v>
      </c>
      <c r="G127" s="19" t="str">
        <f t="shared" si="30"/>
        <v>%</v>
      </c>
      <c r="J127" s="32"/>
      <c r="K127" s="23">
        <f>IFERROR(K126/J126-1, "-")</f>
        <v>0.19023966223767541</v>
      </c>
      <c r="L127" s="23">
        <f t="shared" ref="L127:N127" si="44">IFERROR(L126/K126-1, "-")</f>
        <v>-0.17005738132498693</v>
      </c>
      <c r="M127" s="23">
        <f t="shared" si="44"/>
        <v>-3.3563796354494024E-2</v>
      </c>
      <c r="N127" s="23">
        <f t="shared" si="44"/>
        <v>2.055150884495327E-2</v>
      </c>
    </row>
    <row r="128" spans="3:15" ht="3" customHeight="1">
      <c r="G128" s="19" t="str">
        <f t="shared" si="30"/>
        <v/>
      </c>
    </row>
    <row r="129" spans="4:14">
      <c r="D129" s="2" t="s">
        <v>65</v>
      </c>
      <c r="F129" s="19" t="s">
        <v>91</v>
      </c>
      <c r="G129" s="19" t="str">
        <f t="shared" si="30"/>
        <v>mln EUR</v>
      </c>
      <c r="J129" s="21">
        <v>52300</v>
      </c>
      <c r="K129" s="21">
        <v>49786</v>
      </c>
      <c r="L129" s="21">
        <v>45707</v>
      </c>
      <c r="M129" s="21">
        <v>39311</v>
      </c>
      <c r="N129" s="21">
        <v>37596</v>
      </c>
    </row>
    <row r="130" spans="4:14">
      <c r="E130" s="18" t="s">
        <v>90</v>
      </c>
      <c r="F130" s="19" t="s">
        <v>93</v>
      </c>
      <c r="G130" s="19" t="str">
        <f t="shared" si="30"/>
        <v>%</v>
      </c>
      <c r="J130" s="32"/>
      <c r="K130" s="23">
        <f>IFERROR(K129/J129-1, "-")</f>
        <v>-4.8068833652007648E-2</v>
      </c>
      <c r="L130" s="23">
        <f t="shared" ref="L130:N130" si="45">IFERROR(L129/K129-1, "-")</f>
        <v>-8.1930663238661494E-2</v>
      </c>
      <c r="M130" s="23">
        <f t="shared" si="45"/>
        <v>-0.13993480210908615</v>
      </c>
      <c r="N130" s="23">
        <f t="shared" si="45"/>
        <v>-4.3626465874691545E-2</v>
      </c>
    </row>
    <row r="131" spans="4:14" ht="3" customHeight="1">
      <c r="G131" s="19" t="str">
        <f t="shared" si="30"/>
        <v/>
      </c>
    </row>
    <row r="132" spans="4:14">
      <c r="D132" s="2" t="s">
        <v>66</v>
      </c>
      <c r="F132" s="19" t="s">
        <v>91</v>
      </c>
      <c r="G132" s="19" t="str">
        <f t="shared" si="30"/>
        <v>mln EUR</v>
      </c>
      <c r="J132" s="21">
        <v>5997</v>
      </c>
      <c r="K132" s="21">
        <v>5404</v>
      </c>
      <c r="L132" s="21">
        <v>4357</v>
      </c>
      <c r="M132" s="21">
        <v>4071</v>
      </c>
      <c r="N132" s="21">
        <v>4277</v>
      </c>
    </row>
    <row r="133" spans="4:14">
      <c r="E133" s="18" t="s">
        <v>90</v>
      </c>
      <c r="F133" s="19" t="s">
        <v>93</v>
      </c>
      <c r="G133" s="19" t="str">
        <f t="shared" si="30"/>
        <v>%</v>
      </c>
      <c r="J133" s="32"/>
      <c r="K133" s="23">
        <f>IFERROR(K132/J132-1, "-")</f>
        <v>-9.8882774720693734E-2</v>
      </c>
      <c r="L133" s="23">
        <f t="shared" ref="L133:N133" si="46">IFERROR(L132/K132-1, "-")</f>
        <v>-0.19374537379718726</v>
      </c>
      <c r="M133" s="23">
        <f t="shared" si="46"/>
        <v>-6.5641496442506275E-2</v>
      </c>
      <c r="N133" s="23">
        <f t="shared" si="46"/>
        <v>5.0601817735200116E-2</v>
      </c>
    </row>
    <row r="134" spans="4:14" ht="3" customHeight="1">
      <c r="G134" s="19" t="str">
        <f t="shared" si="30"/>
        <v/>
      </c>
    </row>
    <row r="135" spans="4:14">
      <c r="D135" s="2" t="s">
        <v>68</v>
      </c>
      <c r="F135" s="19" t="s">
        <v>91</v>
      </c>
      <c r="G135" s="19" t="str">
        <f t="shared" si="30"/>
        <v>%</v>
      </c>
      <c r="J135" s="21">
        <v>1486</v>
      </c>
      <c r="K135" s="21">
        <v>1391</v>
      </c>
      <c r="L135" s="21">
        <v>0</v>
      </c>
      <c r="M135" s="21">
        <v>0</v>
      </c>
      <c r="N135" s="21"/>
    </row>
    <row r="136" spans="4:14">
      <c r="E136" s="18" t="s">
        <v>90</v>
      </c>
      <c r="F136" s="19" t="s">
        <v>93</v>
      </c>
      <c r="G136" s="19" t="str">
        <f t="shared" si="30"/>
        <v>mln EUR</v>
      </c>
      <c r="J136" s="32"/>
      <c r="K136" s="23">
        <f>IFERROR(K135/J135-1, "-")</f>
        <v>-6.3930013458950219E-2</v>
      </c>
      <c r="L136" s="23">
        <f t="shared" ref="L136:N136" si="47">IFERROR(L135/K135-1, "-")</f>
        <v>-1</v>
      </c>
      <c r="M136" s="23" t="str">
        <f t="shared" si="47"/>
        <v>-</v>
      </c>
      <c r="N136" s="23" t="str">
        <f t="shared" si="47"/>
        <v>-</v>
      </c>
    </row>
    <row r="137" spans="4:14" ht="3" customHeight="1">
      <c r="G137" s="19" t="str">
        <f t="shared" si="30"/>
        <v/>
      </c>
    </row>
    <row r="138" spans="4:14">
      <c r="D138" s="2" t="s">
        <v>69</v>
      </c>
      <c r="F138" s="19" t="s">
        <v>91</v>
      </c>
      <c r="G138" s="19" t="str">
        <f t="shared" si="30"/>
        <v>mln EUR</v>
      </c>
      <c r="J138" s="21">
        <v>5929</v>
      </c>
      <c r="K138" s="21">
        <v>6898</v>
      </c>
      <c r="L138" s="21">
        <v>7733</v>
      </c>
      <c r="M138" s="21">
        <v>8146</v>
      </c>
      <c r="N138" s="21">
        <v>7955</v>
      </c>
    </row>
    <row r="139" spans="4:14">
      <c r="E139" s="18" t="s">
        <v>90</v>
      </c>
      <c r="F139" s="19" t="s">
        <v>93</v>
      </c>
      <c r="G139" s="19" t="str">
        <f t="shared" si="30"/>
        <v>%</v>
      </c>
      <c r="J139" s="32"/>
      <c r="K139" s="23">
        <f>IFERROR(K138/J138-1, "-")</f>
        <v>0.1634339686287738</v>
      </c>
      <c r="L139" s="23">
        <f t="shared" ref="L139:N139" si="48">IFERROR(L138/K138-1, "-")</f>
        <v>0.12104957958828644</v>
      </c>
      <c r="M139" s="23">
        <f t="shared" si="48"/>
        <v>5.3407474460106075E-2</v>
      </c>
      <c r="N139" s="23">
        <f t="shared" si="48"/>
        <v>-2.3447090596611875E-2</v>
      </c>
    </row>
    <row r="140" spans="4:14" ht="3" customHeight="1">
      <c r="G140" s="19" t="str">
        <f t="shared" si="30"/>
        <v/>
      </c>
    </row>
    <row r="141" spans="4:14">
      <c r="D141" s="2" t="s">
        <v>70</v>
      </c>
      <c r="F141" s="19" t="s">
        <v>91</v>
      </c>
      <c r="G141" s="19" t="str">
        <f t="shared" si="30"/>
        <v>mln EUR</v>
      </c>
      <c r="J141" s="21">
        <v>0</v>
      </c>
      <c r="K141" s="21">
        <v>0</v>
      </c>
      <c r="L141" s="21">
        <v>948</v>
      </c>
      <c r="M141" s="21">
        <v>705</v>
      </c>
      <c r="N141" s="21">
        <v>646</v>
      </c>
    </row>
    <row r="142" spans="4:14">
      <c r="E142" s="18" t="s">
        <v>90</v>
      </c>
      <c r="F142" s="19" t="s">
        <v>93</v>
      </c>
      <c r="G142" s="19" t="str">
        <f t="shared" si="30"/>
        <v>%</v>
      </c>
      <c r="J142" s="32"/>
      <c r="K142" s="23" t="str">
        <f>IFERROR(K141/J141-1, "-")</f>
        <v>-</v>
      </c>
      <c r="L142" s="23" t="str">
        <f t="shared" ref="L142:N142" si="49">IFERROR(L141/K141-1, "-")</f>
        <v>-</v>
      </c>
      <c r="M142" s="23">
        <f t="shared" si="49"/>
        <v>-0.25632911392405067</v>
      </c>
      <c r="N142" s="23">
        <f t="shared" si="49"/>
        <v>-8.3687943262411357E-2</v>
      </c>
    </row>
    <row r="143" spans="4:14" ht="3" customHeight="1">
      <c r="G143" s="19" t="str">
        <f t="shared" si="30"/>
        <v/>
      </c>
    </row>
    <row r="144" spans="4:14">
      <c r="D144" s="2" t="s">
        <v>71</v>
      </c>
      <c r="F144" s="19" t="s">
        <v>91</v>
      </c>
      <c r="G144" s="19" t="str">
        <f t="shared" si="30"/>
        <v>mln EUR</v>
      </c>
      <c r="J144" s="21">
        <v>3086</v>
      </c>
      <c r="K144" s="21">
        <v>3135</v>
      </c>
      <c r="L144" s="21">
        <v>3661</v>
      </c>
      <c r="M144" s="21">
        <v>3547</v>
      </c>
      <c r="N144" s="21">
        <v>3443</v>
      </c>
    </row>
    <row r="145" spans="2:15">
      <c r="E145" s="18" t="s">
        <v>90</v>
      </c>
      <c r="F145" s="19" t="s">
        <v>93</v>
      </c>
      <c r="G145" s="19" t="str">
        <f t="shared" si="30"/>
        <v>%</v>
      </c>
      <c r="J145" s="32"/>
      <c r="K145" s="23">
        <f>IFERROR(K144/J144-1, "-")</f>
        <v>1.5878159429682404E-2</v>
      </c>
      <c r="L145" s="23">
        <f t="shared" ref="L145:N145" si="50">IFERROR(L144/K144-1, "-")</f>
        <v>0.16778309409888359</v>
      </c>
      <c r="M145" s="23">
        <f t="shared" si="50"/>
        <v>-3.1139033051078902E-2</v>
      </c>
      <c r="N145" s="23">
        <f t="shared" si="50"/>
        <v>-2.9320552579644721E-2</v>
      </c>
    </row>
    <row r="146" spans="2:15" ht="3" customHeight="1">
      <c r="G146" s="19" t="str">
        <f t="shared" si="30"/>
        <v/>
      </c>
    </row>
    <row r="147" spans="2:15">
      <c r="D147" s="2" t="s">
        <v>75</v>
      </c>
      <c r="F147" s="19" t="s">
        <v>91</v>
      </c>
      <c r="G147" s="19" t="str">
        <f t="shared" si="30"/>
        <v>mln EUR</v>
      </c>
      <c r="J147" s="21">
        <v>169</v>
      </c>
      <c r="K147" s="21">
        <v>0</v>
      </c>
      <c r="L147" s="21">
        <v>224</v>
      </c>
      <c r="M147" s="21">
        <v>46</v>
      </c>
      <c r="N147" s="21">
        <v>1340</v>
      </c>
    </row>
    <row r="148" spans="2:15">
      <c r="E148" s="18" t="s">
        <v>90</v>
      </c>
      <c r="F148" s="19" t="s">
        <v>93</v>
      </c>
      <c r="G148" s="19" t="str">
        <f t="shared" si="30"/>
        <v>%</v>
      </c>
      <c r="J148" s="32"/>
      <c r="K148" s="23">
        <f>IFERROR(K147/J147-1, "-")</f>
        <v>-1</v>
      </c>
      <c r="L148" s="23" t="str">
        <f t="shared" ref="L148:N148" si="51">IFERROR(L147/K147-1, "-")</f>
        <v>-</v>
      </c>
      <c r="M148" s="23">
        <f t="shared" si="51"/>
        <v>-0.79464285714285721</v>
      </c>
      <c r="N148" s="23">
        <f t="shared" si="51"/>
        <v>28.130434782608695</v>
      </c>
    </row>
    <row r="149" spans="2:15">
      <c r="G149" s="19" t="str">
        <f t="shared" si="30"/>
        <v/>
      </c>
    </row>
    <row r="150" spans="2:15">
      <c r="C150" s="12" t="s">
        <v>77</v>
      </c>
      <c r="D150" s="1"/>
      <c r="E150" s="1"/>
      <c r="F150" s="1"/>
      <c r="G150" s="1" t="str">
        <f t="shared" si="30"/>
        <v/>
      </c>
      <c r="H150" s="1"/>
      <c r="I150" s="1"/>
      <c r="J150" s="1"/>
      <c r="K150" s="1"/>
      <c r="L150" s="1"/>
      <c r="M150" s="1"/>
      <c r="N150" s="1"/>
      <c r="O150" s="1"/>
    </row>
    <row r="151" spans="2:15">
      <c r="G151" s="19" t="str">
        <f t="shared" si="30"/>
        <v/>
      </c>
    </row>
    <row r="152" spans="2:15">
      <c r="D152" s="2" t="s">
        <v>77</v>
      </c>
      <c r="F152" s="19" t="s">
        <v>93</v>
      </c>
      <c r="G152" s="19" t="str">
        <f t="shared" si="30"/>
        <v>mln EUR</v>
      </c>
      <c r="J152" s="24">
        <f>SUM(J123,J126,J129,J132,J135,J138,J141,J144,J147,)</f>
        <v>87675</v>
      </c>
      <c r="K152" s="24">
        <f t="shared" ref="K152:M152" si="52">SUM(K123,K126,K129,K132,K135,K138,K141,K144,K147,)</f>
        <v>88403</v>
      </c>
      <c r="L152" s="24">
        <f t="shared" si="52"/>
        <v>83290</v>
      </c>
      <c r="M152" s="24">
        <f t="shared" si="52"/>
        <v>74826</v>
      </c>
      <c r="N152" s="24">
        <f t="shared" ref="N152" si="53">SUM(N123,N126,N129,N132,N135,N138,N141,N144,N147,)</f>
        <v>73768</v>
      </c>
    </row>
    <row r="153" spans="2:15">
      <c r="E153" s="18" t="s">
        <v>90</v>
      </c>
      <c r="F153" s="19" t="s">
        <v>93</v>
      </c>
      <c r="G153" s="19" t="str">
        <f t="shared" si="30"/>
        <v>%</v>
      </c>
      <c r="J153" s="32"/>
      <c r="K153" s="23">
        <f>IFERROR(K152/J152-1, "-")</f>
        <v>8.3033932135727628E-3</v>
      </c>
      <c r="L153" s="23">
        <f t="shared" ref="L153:N153" si="54">IFERROR(L152/K152-1, "-")</f>
        <v>-5.7837403708018931E-2</v>
      </c>
      <c r="M153" s="23">
        <f t="shared" si="54"/>
        <v>-0.10162084283827588</v>
      </c>
      <c r="N153" s="23">
        <f t="shared" si="54"/>
        <v>-1.4139470237617968E-2</v>
      </c>
    </row>
    <row r="154" spans="2:15">
      <c r="G154" s="19" t="str">
        <f t="shared" ref="G154:G199" si="55">IF(M154="","",IF(AND(M154&gt;=-1,M154&lt;=1), "%","mln EUR"))</f>
        <v/>
      </c>
    </row>
    <row r="155" spans="2:15">
      <c r="C155" s="12" t="s">
        <v>76</v>
      </c>
      <c r="D155" s="1"/>
      <c r="E155" s="1"/>
      <c r="F155" s="1"/>
      <c r="G155" s="1" t="str">
        <f t="shared" si="55"/>
        <v/>
      </c>
      <c r="H155" s="1"/>
      <c r="I155" s="1"/>
      <c r="J155" s="1"/>
      <c r="K155" s="1"/>
      <c r="L155" s="1"/>
      <c r="M155" s="1"/>
      <c r="N155" s="1"/>
      <c r="O155" s="1"/>
    </row>
    <row r="156" spans="2:15">
      <c r="G156" s="19" t="str">
        <f t="shared" si="55"/>
        <v/>
      </c>
    </row>
    <row r="157" spans="2:15">
      <c r="D157" s="2" t="s">
        <v>76</v>
      </c>
      <c r="F157" s="19" t="s">
        <v>93</v>
      </c>
      <c r="G157" s="19" t="str">
        <f t="shared" si="55"/>
        <v>mln EUR</v>
      </c>
      <c r="J157" s="24">
        <f>SUM(J118,J152,)</f>
        <v>186664</v>
      </c>
      <c r="K157" s="24">
        <f t="shared" ref="K157:M157" si="56">SUM(K118,K152,)</f>
        <v>173475</v>
      </c>
      <c r="L157" s="24">
        <f t="shared" si="56"/>
        <v>170206</v>
      </c>
      <c r="M157" s="24">
        <f t="shared" si="56"/>
        <v>171380</v>
      </c>
      <c r="N157" s="24">
        <f t="shared" ref="N157" si="57">SUM(N118,N152,)</f>
        <v>161226</v>
      </c>
    </row>
    <row r="158" spans="2:15">
      <c r="E158" s="18" t="s">
        <v>90</v>
      </c>
      <c r="F158" s="19" t="s">
        <v>93</v>
      </c>
      <c r="G158" s="19" t="str">
        <f t="shared" si="55"/>
        <v>%</v>
      </c>
      <c r="J158" s="32"/>
      <c r="K158" s="23">
        <f>IFERROR(K157/J157-1, "-")</f>
        <v>-7.0656366519521674E-2</v>
      </c>
      <c r="L158" s="23">
        <f t="shared" ref="L158:N158" si="58">IFERROR(L157/K157-1, "-")</f>
        <v>-1.8844213863669079E-2</v>
      </c>
      <c r="M158" s="23">
        <f t="shared" si="58"/>
        <v>6.8975241765860673E-3</v>
      </c>
      <c r="N158" s="23">
        <f t="shared" si="58"/>
        <v>-5.9248453728556472E-2</v>
      </c>
    </row>
    <row r="159" spans="2:15">
      <c r="G159" s="19" t="str">
        <f t="shared" si="55"/>
        <v/>
      </c>
    </row>
    <row r="160" spans="2:15">
      <c r="B160" s="11" t="s">
        <v>78</v>
      </c>
      <c r="C160" s="10"/>
      <c r="D160" s="10"/>
      <c r="E160" s="10"/>
      <c r="F160" s="10"/>
      <c r="G160" s="10" t="str">
        <f t="shared" si="55"/>
        <v/>
      </c>
      <c r="H160" s="10"/>
      <c r="I160" s="10"/>
      <c r="J160" s="10"/>
      <c r="K160" s="10"/>
      <c r="L160" s="10"/>
      <c r="M160" s="10"/>
      <c r="N160" s="10"/>
      <c r="O160" s="10"/>
    </row>
    <row r="161" spans="3:15">
      <c r="G161" s="19" t="str">
        <f t="shared" si="55"/>
        <v/>
      </c>
    </row>
    <row r="162" spans="3:15">
      <c r="C162" s="12" t="s">
        <v>79</v>
      </c>
      <c r="D162" s="1"/>
      <c r="E162" s="1"/>
      <c r="F162" s="1"/>
      <c r="G162" s="1" t="str">
        <f t="shared" si="55"/>
        <v/>
      </c>
      <c r="H162" s="1"/>
      <c r="I162" s="1"/>
      <c r="J162" s="1"/>
      <c r="K162" s="1"/>
      <c r="L162" s="1"/>
      <c r="M162" s="1"/>
      <c r="N162" s="1"/>
      <c r="O162" s="1"/>
    </row>
    <row r="163" spans="3:15">
      <c r="G163" s="19" t="str">
        <f t="shared" si="55"/>
        <v/>
      </c>
    </row>
    <row r="164" spans="3:15">
      <c r="D164" s="2" t="s">
        <v>80</v>
      </c>
      <c r="F164" s="19" t="s">
        <v>91</v>
      </c>
      <c r="G164" s="19" t="str">
        <f t="shared" si="55"/>
        <v>mln EUR</v>
      </c>
      <c r="J164" s="21">
        <v>3070</v>
      </c>
      <c r="K164" s="21">
        <v>3070</v>
      </c>
      <c r="L164" s="21">
        <v>3070</v>
      </c>
      <c r="M164" s="21">
        <v>3070</v>
      </c>
      <c r="N164" s="21">
        <v>3070</v>
      </c>
    </row>
    <row r="165" spans="3:15">
      <c r="E165" s="18" t="s">
        <v>90</v>
      </c>
      <c r="F165" s="19" t="s">
        <v>93</v>
      </c>
      <c r="G165" s="19" t="str">
        <f t="shared" si="55"/>
        <v>%</v>
      </c>
      <c r="J165" s="32"/>
      <c r="K165" s="23">
        <f>IFERROR(K164/J164-1, "-")</f>
        <v>0</v>
      </c>
      <c r="L165" s="23">
        <f t="shared" ref="L165:N165" si="59">IFERROR(L164/K164-1, "-")</f>
        <v>0</v>
      </c>
      <c r="M165" s="23">
        <f t="shared" si="59"/>
        <v>0</v>
      </c>
      <c r="N165" s="23">
        <f t="shared" si="59"/>
        <v>0</v>
      </c>
    </row>
    <row r="166" spans="3:15" ht="3" customHeight="1">
      <c r="G166" s="19" t="str">
        <f t="shared" si="55"/>
        <v/>
      </c>
    </row>
    <row r="167" spans="3:15">
      <c r="D167" s="2" t="s">
        <v>81</v>
      </c>
      <c r="F167" s="19" t="s">
        <v>91</v>
      </c>
      <c r="G167" s="19" t="str">
        <f t="shared" si="55"/>
        <v>mln EUR</v>
      </c>
      <c r="J167" s="21">
        <v>11723</v>
      </c>
      <c r="K167" s="21">
        <v>11718</v>
      </c>
      <c r="L167" s="21">
        <v>11718</v>
      </c>
      <c r="M167" s="21">
        <v>11718</v>
      </c>
      <c r="N167" s="21">
        <v>11718</v>
      </c>
    </row>
    <row r="168" spans="3:15">
      <c r="E168" s="18" t="s">
        <v>90</v>
      </c>
      <c r="F168" s="19" t="s">
        <v>93</v>
      </c>
      <c r="G168" s="19" t="str">
        <f t="shared" si="55"/>
        <v>%</v>
      </c>
      <c r="J168" s="32"/>
      <c r="K168" s="23">
        <f>IFERROR(K167/J167-1, "-")</f>
        <v>-4.2651198498677712E-4</v>
      </c>
      <c r="L168" s="23">
        <f t="shared" ref="L168:N168" si="60">IFERROR(L167/K167-1, "-")</f>
        <v>0</v>
      </c>
      <c r="M168" s="23">
        <f t="shared" si="60"/>
        <v>0</v>
      </c>
      <c r="N168" s="23">
        <f t="shared" si="60"/>
        <v>0</v>
      </c>
    </row>
    <row r="169" spans="3:15" ht="3" customHeight="1">
      <c r="G169" s="19" t="str">
        <f t="shared" si="55"/>
        <v/>
      </c>
      <c r="J169"/>
      <c r="K169"/>
      <c r="L169"/>
      <c r="M169"/>
    </row>
    <row r="170" spans="3:15">
      <c r="D170" s="2" t="s">
        <v>82</v>
      </c>
      <c r="F170" s="19" t="s">
        <v>91</v>
      </c>
      <c r="G170" s="19" t="str">
        <f t="shared" si="55"/>
        <v>mln EUR</v>
      </c>
      <c r="J170" s="21">
        <v>55926</v>
      </c>
      <c r="K170" s="21">
        <v>67695</v>
      </c>
      <c r="L170" s="21">
        <v>76670</v>
      </c>
      <c r="M170" s="21">
        <v>75469</v>
      </c>
      <c r="N170" s="21">
        <v>77631</v>
      </c>
    </row>
    <row r="171" spans="3:15">
      <c r="E171" s="18" t="s">
        <v>90</v>
      </c>
      <c r="F171" s="19" t="s">
        <v>93</v>
      </c>
      <c r="G171" s="19" t="str">
        <f t="shared" si="55"/>
        <v>%</v>
      </c>
      <c r="J171" s="32"/>
      <c r="K171" s="23">
        <f>IFERROR(K170/J170-1, "-")</f>
        <v>0.21043879412080257</v>
      </c>
      <c r="L171" s="23">
        <f t="shared" ref="L171:N171" si="61">IFERROR(L170/K170-1, "-")</f>
        <v>0.13257995420636681</v>
      </c>
      <c r="M171" s="23">
        <f t="shared" si="61"/>
        <v>-1.5664536324507594E-2</v>
      </c>
      <c r="N171" s="23">
        <f t="shared" si="61"/>
        <v>2.8647524148988301E-2</v>
      </c>
    </row>
    <row r="172" spans="3:15" ht="3" customHeight="1">
      <c r="G172" s="19" t="str">
        <f t="shared" si="55"/>
        <v/>
      </c>
    </row>
    <row r="173" spans="3:15">
      <c r="D173" s="2" t="s">
        <v>83</v>
      </c>
      <c r="F173" s="19" t="s">
        <v>91</v>
      </c>
      <c r="G173" s="19" t="str">
        <f t="shared" si="55"/>
        <v>mln EUR</v>
      </c>
      <c r="J173" s="21">
        <v>1232</v>
      </c>
      <c r="K173" s="21">
        <v>2932</v>
      </c>
      <c r="L173" s="21">
        <v>2571</v>
      </c>
      <c r="M173" s="21">
        <v>2368</v>
      </c>
      <c r="N173" s="21">
        <v>1163</v>
      </c>
    </row>
    <row r="174" spans="3:15">
      <c r="E174" s="18" t="s">
        <v>90</v>
      </c>
      <c r="F174" s="19" t="s">
        <v>93</v>
      </c>
      <c r="G174" s="19" t="str">
        <f t="shared" si="55"/>
        <v>%</v>
      </c>
      <c r="J174" s="32"/>
      <c r="K174" s="23">
        <f>IFERROR(K173/J173-1, "-")</f>
        <v>1.3798701298701297</v>
      </c>
      <c r="L174" s="23">
        <f t="shared" ref="L174:N174" si="62">IFERROR(L173/K173-1, "-")</f>
        <v>-0.1231241473396999</v>
      </c>
      <c r="M174" s="23">
        <f t="shared" si="62"/>
        <v>-7.8957604045118646E-2</v>
      </c>
      <c r="N174" s="23">
        <f t="shared" si="62"/>
        <v>-0.5088682432432432</v>
      </c>
    </row>
    <row r="175" spans="3:15" ht="3" customHeight="1">
      <c r="G175" s="19" t="str">
        <f t="shared" si="55"/>
        <v/>
      </c>
    </row>
    <row r="176" spans="3:15">
      <c r="D176" s="2" t="s">
        <v>84</v>
      </c>
      <c r="F176" s="19" t="s">
        <v>91</v>
      </c>
      <c r="G176" s="19" t="str">
        <f t="shared" si="55"/>
        <v>%</v>
      </c>
      <c r="J176" s="21">
        <v>0</v>
      </c>
      <c r="K176" s="21">
        <v>0</v>
      </c>
      <c r="L176" s="21">
        <v>-2256</v>
      </c>
      <c r="M176" s="21">
        <v>0</v>
      </c>
      <c r="N176" s="21">
        <v>-325</v>
      </c>
    </row>
    <row r="177" spans="3:15">
      <c r="E177" s="18" t="s">
        <v>90</v>
      </c>
      <c r="F177" s="19" t="s">
        <v>93</v>
      </c>
      <c r="G177" s="19" t="str">
        <f t="shared" si="55"/>
        <v>%</v>
      </c>
      <c r="J177" s="32"/>
      <c r="K177" s="23" t="str">
        <f>IFERROR(K176/J176-1, "-")</f>
        <v>-</v>
      </c>
      <c r="L177" s="23" t="str">
        <f t="shared" ref="L177:N177" si="63">IFERROR(L176/K176-1, "-")</f>
        <v>-</v>
      </c>
      <c r="M177" s="23">
        <f t="shared" si="63"/>
        <v>-1</v>
      </c>
      <c r="N177" s="23" t="str">
        <f t="shared" si="63"/>
        <v>-</v>
      </c>
    </row>
    <row r="178" spans="3:15">
      <c r="G178" s="19" t="str">
        <f t="shared" si="55"/>
        <v/>
      </c>
    </row>
    <row r="179" spans="3:15">
      <c r="C179" s="12" t="s">
        <v>85</v>
      </c>
      <c r="D179" s="1"/>
      <c r="E179" s="1"/>
      <c r="F179" s="1"/>
      <c r="G179" s="1" t="str">
        <f t="shared" si="55"/>
        <v/>
      </c>
      <c r="H179" s="1"/>
      <c r="I179" s="1"/>
      <c r="J179" s="1"/>
      <c r="K179" s="1"/>
      <c r="L179" s="1"/>
      <c r="M179" s="1"/>
      <c r="N179" s="1"/>
      <c r="O179" s="1"/>
    </row>
    <row r="180" spans="3:15">
      <c r="G180" s="19" t="str">
        <f t="shared" si="55"/>
        <v/>
      </c>
    </row>
    <row r="181" spans="3:15">
      <c r="D181" s="2" t="s">
        <v>85</v>
      </c>
      <c r="F181" s="19" t="s">
        <v>93</v>
      </c>
      <c r="G181" s="19" t="str">
        <f t="shared" si="55"/>
        <v>mln EUR</v>
      </c>
      <c r="J181" s="24">
        <f>SUM(J164,J167,J170,J173,J176,)</f>
        <v>71951</v>
      </c>
      <c r="K181" s="24">
        <f t="shared" ref="K181:M181" si="64">SUM(K164,K167,K170,K173,K176,)</f>
        <v>85415</v>
      </c>
      <c r="L181" s="24">
        <f t="shared" si="64"/>
        <v>91773</v>
      </c>
      <c r="M181" s="24">
        <f t="shared" si="64"/>
        <v>92625</v>
      </c>
      <c r="N181" s="24">
        <f t="shared" ref="N181" si="65">SUM(N164,N167,N170,N173,N176,)</f>
        <v>93257</v>
      </c>
    </row>
    <row r="182" spans="3:15">
      <c r="E182" s="18" t="s">
        <v>90</v>
      </c>
      <c r="F182" s="19" t="s">
        <v>93</v>
      </c>
      <c r="G182" s="19" t="str">
        <f t="shared" si="55"/>
        <v>%</v>
      </c>
      <c r="J182" s="32"/>
      <c r="K182" s="23">
        <f>IFERROR(K181/J181-1, "-")</f>
        <v>0.18712735055801866</v>
      </c>
      <c r="L182" s="23">
        <f t="shared" ref="L182:N182" si="66">IFERROR(L181/K181-1, "-")</f>
        <v>7.4436574372182873E-2</v>
      </c>
      <c r="M182" s="23">
        <f t="shared" si="66"/>
        <v>9.2837762740676233E-3</v>
      </c>
      <c r="N182" s="23">
        <f t="shared" si="66"/>
        <v>6.82321187584356E-3</v>
      </c>
    </row>
    <row r="183" spans="3:15">
      <c r="G183" s="19" t="str">
        <f t="shared" si="55"/>
        <v/>
      </c>
    </row>
    <row r="184" spans="3:15">
      <c r="C184" s="12" t="s">
        <v>86</v>
      </c>
      <c r="D184" s="1"/>
      <c r="E184" s="1"/>
      <c r="F184" s="1"/>
      <c r="G184" s="1" t="str">
        <f t="shared" si="55"/>
        <v/>
      </c>
      <c r="H184" s="1"/>
      <c r="I184" s="1"/>
      <c r="J184" s="1"/>
      <c r="K184" s="1"/>
      <c r="L184" s="1"/>
      <c r="M184" s="1"/>
      <c r="N184" s="1"/>
      <c r="O184" s="1"/>
    </row>
    <row r="185" spans="3:15">
      <c r="G185" s="19" t="str">
        <f t="shared" si="55"/>
        <v/>
      </c>
    </row>
    <row r="186" spans="3:15">
      <c r="D186" s="2" t="s">
        <v>86</v>
      </c>
      <c r="F186" s="19" t="s">
        <v>93</v>
      </c>
      <c r="G186" s="19" t="str">
        <f t="shared" si="55"/>
        <v>mln EUR</v>
      </c>
      <c r="J186" s="24">
        <v>1216</v>
      </c>
      <c r="K186" s="24">
        <v>1125</v>
      </c>
      <c r="L186" s="24">
        <v>1043</v>
      </c>
      <c r="M186" s="24">
        <v>1005</v>
      </c>
      <c r="N186" s="24">
        <v>1006</v>
      </c>
    </row>
    <row r="187" spans="3:15">
      <c r="E187" s="18" t="s">
        <v>90</v>
      </c>
      <c r="F187" s="19" t="s">
        <v>93</v>
      </c>
      <c r="G187" s="19" t="str">
        <f t="shared" si="55"/>
        <v>%</v>
      </c>
      <c r="J187" s="32"/>
      <c r="K187" s="23">
        <f>IFERROR(K186/J186-1, "-")</f>
        <v>-7.4835526315789491E-2</v>
      </c>
      <c r="L187" s="23">
        <f t="shared" ref="L187:N187" si="67">IFERROR(L186/K186-1, "-")</f>
        <v>-7.2888888888888892E-2</v>
      </c>
      <c r="M187" s="23">
        <f t="shared" si="67"/>
        <v>-3.643336529242569E-2</v>
      </c>
      <c r="N187" s="23">
        <f t="shared" si="67"/>
        <v>9.9502487562186381E-4</v>
      </c>
    </row>
    <row r="188" spans="3:15">
      <c r="G188" s="19" t="str">
        <f t="shared" si="55"/>
        <v/>
      </c>
    </row>
    <row r="189" spans="3:15">
      <c r="C189" s="12" t="s">
        <v>87</v>
      </c>
      <c r="D189" s="1"/>
      <c r="E189" s="1"/>
      <c r="F189" s="1"/>
      <c r="G189" s="1" t="str">
        <f t="shared" si="55"/>
        <v/>
      </c>
      <c r="H189" s="1"/>
      <c r="I189" s="1"/>
      <c r="J189" s="1"/>
      <c r="K189" s="1"/>
      <c r="L189" s="1"/>
      <c r="M189" s="1"/>
      <c r="N189" s="1"/>
      <c r="O189" s="1"/>
    </row>
    <row r="190" spans="3:15">
      <c r="G190" s="19" t="str">
        <f t="shared" si="55"/>
        <v/>
      </c>
    </row>
    <row r="191" spans="3:15">
      <c r="D191" s="2" t="s">
        <v>87</v>
      </c>
      <c r="F191" s="19" t="s">
        <v>93</v>
      </c>
      <c r="G191" s="19" t="str">
        <f t="shared" si="55"/>
        <v>mln EUR</v>
      </c>
      <c r="J191" s="24">
        <f>SUM(J181,J186,)</f>
        <v>73167</v>
      </c>
      <c r="K191" s="24">
        <f t="shared" ref="K191:M191" si="68">SUM(K181,K186,)</f>
        <v>86540</v>
      </c>
      <c r="L191" s="24">
        <f t="shared" si="68"/>
        <v>92816</v>
      </c>
      <c r="M191" s="24">
        <f t="shared" si="68"/>
        <v>93630</v>
      </c>
      <c r="N191" s="24">
        <f t="shared" ref="N191" si="69">SUM(N181,N186,)</f>
        <v>94263</v>
      </c>
    </row>
    <row r="192" spans="3:15">
      <c r="E192" s="18" t="s">
        <v>90</v>
      </c>
      <c r="F192" s="19" t="s">
        <v>93</v>
      </c>
      <c r="G192" s="19" t="str">
        <f t="shared" si="55"/>
        <v>%</v>
      </c>
      <c r="J192" s="32"/>
      <c r="K192" s="23">
        <f>IFERROR(K191/J191-1, "-")</f>
        <v>0.18277365478972762</v>
      </c>
      <c r="L192" s="23">
        <f t="shared" ref="L192:N192" si="70">IFERROR(L191/K191-1, "-")</f>
        <v>7.2521377397735121E-2</v>
      </c>
      <c r="M192" s="23">
        <f t="shared" si="70"/>
        <v>8.7700396483365584E-3</v>
      </c>
      <c r="N192" s="23">
        <f t="shared" si="70"/>
        <v>6.7606536366549008E-3</v>
      </c>
    </row>
    <row r="193" spans="2:15">
      <c r="G193" s="19" t="str">
        <f t="shared" si="55"/>
        <v/>
      </c>
    </row>
    <row r="194" spans="2:15">
      <c r="B194" s="11" t="s">
        <v>88</v>
      </c>
      <c r="C194" s="11"/>
      <c r="D194" s="10"/>
      <c r="E194" s="10"/>
      <c r="F194" s="10"/>
      <c r="G194" s="10" t="str">
        <f t="shared" si="55"/>
        <v/>
      </c>
      <c r="H194" s="10"/>
      <c r="I194" s="10"/>
      <c r="J194" s="10"/>
      <c r="K194" s="10"/>
      <c r="L194" s="10"/>
      <c r="M194" s="10"/>
      <c r="N194" s="10"/>
      <c r="O194" s="10"/>
    </row>
    <row r="195" spans="2:15">
      <c r="G195" s="19" t="str">
        <f t="shared" si="55"/>
        <v/>
      </c>
    </row>
    <row r="196" spans="2:15">
      <c r="C196" s="12" t="s">
        <v>89</v>
      </c>
      <c r="D196" s="1"/>
      <c r="E196" s="1"/>
      <c r="F196" s="1"/>
      <c r="G196" s="1" t="str">
        <f t="shared" si="55"/>
        <v/>
      </c>
      <c r="H196" s="1"/>
      <c r="I196" s="1"/>
      <c r="J196" s="1"/>
      <c r="K196" s="1"/>
      <c r="L196" s="1"/>
      <c r="M196" s="1"/>
      <c r="N196" s="1"/>
      <c r="O196" s="1"/>
    </row>
    <row r="197" spans="2:15">
      <c r="G197" s="19" t="str">
        <f t="shared" si="55"/>
        <v/>
      </c>
    </row>
    <row r="198" spans="2:15">
      <c r="D198" s="2" t="s">
        <v>89</v>
      </c>
      <c r="F198" s="19" t="s">
        <v>93</v>
      </c>
      <c r="G198" s="19" t="str">
        <f t="shared" si="55"/>
        <v>mln EUR</v>
      </c>
      <c r="J198" s="24">
        <f>SUM(J157,J191,)</f>
        <v>259831</v>
      </c>
      <c r="K198" s="24">
        <f t="shared" ref="K198:M198" si="71">SUM(K157,K191,)</f>
        <v>260015</v>
      </c>
      <c r="L198" s="24">
        <f t="shared" si="71"/>
        <v>263022</v>
      </c>
      <c r="M198" s="24">
        <f t="shared" si="71"/>
        <v>265010</v>
      </c>
      <c r="N198" s="24">
        <f t="shared" ref="N198" si="72">SUM(N157,N191,)</f>
        <v>255489</v>
      </c>
    </row>
    <row r="199" spans="2:15">
      <c r="E199" s="18" t="s">
        <v>90</v>
      </c>
      <c r="F199" s="19" t="s">
        <v>93</v>
      </c>
      <c r="G199" s="19" t="str">
        <f t="shared" si="55"/>
        <v>%</v>
      </c>
      <c r="J199" s="32"/>
      <c r="K199" s="23">
        <f>IFERROR(K198/J198-1, "-")</f>
        <v>7.0815260688683601E-4</v>
      </c>
      <c r="L199" s="23">
        <f t="shared" ref="L199:N199" si="73">IFERROR(L198/K198-1, "-")</f>
        <v>1.1564717420148751E-2</v>
      </c>
      <c r="M199" s="23">
        <f t="shared" si="73"/>
        <v>7.558303107724873E-3</v>
      </c>
      <c r="N199" s="23">
        <f t="shared" si="73"/>
        <v>-3.5926946152975314E-2</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tint="0.79998168889431442"/>
  </sheetPr>
  <dimension ref="A5:S67"/>
  <sheetViews>
    <sheetView showGridLines="0" zoomScaleNormal="120" workbookViewId="0">
      <pane xSplit="8" ySplit="5" topLeftCell="I6" activePane="bottomRight" state="frozen"/>
      <selection pane="topRight" activeCell="I1" sqref="I1"/>
      <selection pane="bottomLeft" activeCell="A6" sqref="A6"/>
      <selection pane="bottomRight" activeCell="G2" sqref="G2"/>
    </sheetView>
  </sheetViews>
  <sheetFormatPr baseColWidth="10" defaultColWidth="0" defaultRowHeight="14"/>
  <cols>
    <col min="1" max="4" width="3.33203125" style="2" customWidth="1"/>
    <col min="5" max="5" width="54.83203125" style="2" customWidth="1"/>
    <col min="6" max="6" width="15.33203125" style="2" bestFit="1" customWidth="1"/>
    <col min="7" max="7" width="9.1640625" style="2" customWidth="1"/>
    <col min="8" max="8" width="3.33203125" style="2" customWidth="1"/>
    <col min="9" max="15" width="9.1640625" style="2" customWidth="1"/>
    <col min="16" max="19" width="0" style="2" hidden="1" customWidth="1"/>
    <col min="20" max="16384" width="9.1640625" style="2" hidden="1"/>
  </cols>
  <sheetData>
    <row r="5" spans="1:19">
      <c r="A5" s="26" t="s">
        <v>94</v>
      </c>
      <c r="B5" s="26"/>
      <c r="C5" s="26"/>
      <c r="D5" s="26"/>
      <c r="E5" s="26"/>
      <c r="F5" s="14" t="s">
        <v>27</v>
      </c>
      <c r="G5" s="14" t="s">
        <v>28</v>
      </c>
      <c r="H5" s="14"/>
      <c r="I5" s="14" t="s">
        <v>29</v>
      </c>
      <c r="J5" s="14" t="s">
        <v>30</v>
      </c>
      <c r="K5" s="14" t="s">
        <v>31</v>
      </c>
      <c r="L5" s="14" t="s">
        <v>32</v>
      </c>
      <c r="M5" s="14" t="s">
        <v>33</v>
      </c>
      <c r="N5" s="14" t="s">
        <v>34</v>
      </c>
      <c r="O5" s="14"/>
      <c r="P5" s="25"/>
      <c r="Q5" s="25"/>
      <c r="R5" s="25"/>
      <c r="S5" s="25"/>
    </row>
    <row r="7" spans="1:19">
      <c r="B7" s="11" t="s">
        <v>95</v>
      </c>
      <c r="C7" s="10"/>
      <c r="D7" s="10"/>
      <c r="E7" s="10"/>
      <c r="F7" s="10"/>
      <c r="G7" s="10"/>
      <c r="H7" s="10"/>
      <c r="I7" s="10"/>
      <c r="J7" s="10"/>
      <c r="K7" s="10"/>
      <c r="L7" s="10"/>
      <c r="M7" s="10"/>
      <c r="N7" s="10"/>
      <c r="O7" s="10"/>
    </row>
    <row r="9" spans="1:19">
      <c r="C9" s="12" t="s">
        <v>95</v>
      </c>
      <c r="D9" s="1"/>
      <c r="E9" s="1"/>
      <c r="F9" s="1"/>
      <c r="G9" s="1"/>
      <c r="H9" s="1"/>
      <c r="I9" s="1"/>
      <c r="J9" s="1"/>
      <c r="K9" s="1"/>
      <c r="L9" s="1"/>
      <c r="M9" s="1"/>
      <c r="N9" s="1"/>
      <c r="O9" s="1"/>
    </row>
    <row r="11" spans="1:19">
      <c r="D11" s="27" t="s">
        <v>96</v>
      </c>
      <c r="F11" s="19" t="s">
        <v>91</v>
      </c>
      <c r="G11" s="19" t="str">
        <f>IF(M11="","",IF(AND(M11&gt;=-1,M11&lt;=1), "%","mln EUR"))</f>
        <v>mln EUR</v>
      </c>
      <c r="J11" s="21">
        <v>133893</v>
      </c>
      <c r="K11" s="21">
        <v>150017</v>
      </c>
      <c r="L11" s="21">
        <v>152390</v>
      </c>
      <c r="M11" s="21">
        <v>145594</v>
      </c>
      <c r="N11" s="21">
        <v>132214</v>
      </c>
    </row>
    <row r="12" spans="1:19">
      <c r="E12" s="18" t="s">
        <v>90</v>
      </c>
      <c r="F12" s="19" t="s">
        <v>93</v>
      </c>
      <c r="G12" s="19" t="str">
        <f t="shared" ref="G12:G60" si="0">IF(M12="","",IF(AND(M12&gt;=-1,M12&lt;=1), "%","mln EUR"))</f>
        <v>%</v>
      </c>
      <c r="J12" s="32"/>
      <c r="K12" s="23">
        <f>IFERROR(K11/J11-1, "-")</f>
        <v>0.12042451808533672</v>
      </c>
      <c r="L12" s="23">
        <f t="shared" ref="L12:N12" si="1">IFERROR(L11/K11-1, "-")</f>
        <v>1.5818207269842732E-2</v>
      </c>
      <c r="M12" s="23">
        <f t="shared" si="1"/>
        <v>-4.4596102106437385E-2</v>
      </c>
      <c r="N12" s="23">
        <f t="shared" si="1"/>
        <v>-9.1899391458439172E-2</v>
      </c>
    </row>
    <row r="13" spans="1:19" ht="3.75" customHeight="1">
      <c r="G13" s="19" t="str">
        <f t="shared" si="0"/>
        <v/>
      </c>
    </row>
    <row r="14" spans="1:19">
      <c r="D14" s="2" t="s">
        <v>97</v>
      </c>
      <c r="F14" s="19" t="s">
        <v>91</v>
      </c>
      <c r="G14" s="19" t="str">
        <f t="shared" si="0"/>
        <v>mln EUR</v>
      </c>
      <c r="J14" s="21">
        <v>-103218</v>
      </c>
      <c r="K14" s="21">
        <v>-115997</v>
      </c>
      <c r="L14" s="21">
        <v>-117386</v>
      </c>
      <c r="M14" s="21">
        <v>-117018</v>
      </c>
      <c r="N14" s="21">
        <v>-109881</v>
      </c>
    </row>
    <row r="15" spans="1:19">
      <c r="E15" s="18" t="s">
        <v>90</v>
      </c>
      <c r="F15" s="19" t="s">
        <v>93</v>
      </c>
      <c r="G15" s="19" t="str">
        <f t="shared" si="0"/>
        <v>%</v>
      </c>
      <c r="J15" s="32"/>
      <c r="K15" s="23">
        <f>IFERROR(K14/J14-1, "-")</f>
        <v>0.12380592532310253</v>
      </c>
      <c r="L15" s="23">
        <f t="shared" ref="L15:N15" si="2">IFERROR(L14/K14-1, "-")</f>
        <v>1.197444761502453E-2</v>
      </c>
      <c r="M15" s="23">
        <f t="shared" si="2"/>
        <v>-3.1349564684033382E-3</v>
      </c>
      <c r="N15" s="23">
        <f t="shared" si="2"/>
        <v>-6.09906168281803E-2</v>
      </c>
    </row>
    <row r="16" spans="1:19" ht="3" customHeight="1">
      <c r="G16" s="19" t="str">
        <f t="shared" si="0"/>
        <v/>
      </c>
    </row>
    <row r="17" spans="4:15">
      <c r="D17" s="28" t="s">
        <v>98</v>
      </c>
      <c r="E17" s="29"/>
      <c r="F17" s="30" t="s">
        <v>91</v>
      </c>
      <c r="G17" s="30" t="str">
        <f t="shared" si="0"/>
        <v>mln EUR</v>
      </c>
      <c r="H17" s="29"/>
      <c r="I17" s="29"/>
      <c r="J17" s="21">
        <v>30675</v>
      </c>
      <c r="K17" s="21">
        <v>34020</v>
      </c>
      <c r="L17" s="21">
        <v>35004</v>
      </c>
      <c r="M17" s="21">
        <v>28576</v>
      </c>
      <c r="N17" s="21">
        <v>22333</v>
      </c>
      <c r="O17" s="29"/>
    </row>
    <row r="18" spans="4:15">
      <c r="E18" s="18" t="s">
        <v>90</v>
      </c>
      <c r="F18" s="19" t="s">
        <v>93</v>
      </c>
      <c r="G18" s="19" t="str">
        <f t="shared" si="0"/>
        <v>%</v>
      </c>
      <c r="J18" s="32"/>
      <c r="K18" s="23">
        <f>IFERROR(K17/J17-1, "-")</f>
        <v>0.10904645476772612</v>
      </c>
      <c r="L18" s="23">
        <f t="shared" ref="L18:N18" si="3">IFERROR(L17/K17-1, "-")</f>
        <v>2.8924162257495611E-2</v>
      </c>
      <c r="M18" s="23">
        <f t="shared" si="3"/>
        <v>-0.18363615586790083</v>
      </c>
      <c r="N18" s="23">
        <f t="shared" si="3"/>
        <v>-0.21847004479283316</v>
      </c>
    </row>
    <row r="19" spans="4:15">
      <c r="E19" s="18" t="s">
        <v>112</v>
      </c>
      <c r="F19" s="19" t="s">
        <v>93</v>
      </c>
      <c r="G19" s="19" t="str">
        <f t="shared" ref="G19" si="4">IF(M19="","",IF(AND(M19&gt;=-1,M19&lt;=1), "%","mln EUR"))</f>
        <v>%</v>
      </c>
      <c r="J19" s="23">
        <f>IFERROR(J17/J11, "-")</f>
        <v>0.22910084918554369</v>
      </c>
      <c r="K19" s="23">
        <f t="shared" ref="K19:N19" si="5">IFERROR(K17/K11, "-")</f>
        <v>0.22677429891278988</v>
      </c>
      <c r="L19" s="23">
        <f t="shared" si="5"/>
        <v>0.22970011155587636</v>
      </c>
      <c r="M19" s="23">
        <f t="shared" si="5"/>
        <v>0.19627182438836765</v>
      </c>
      <c r="N19" s="23">
        <f t="shared" si="5"/>
        <v>0.16891554600874339</v>
      </c>
    </row>
    <row r="20" spans="4:15" ht="3" customHeight="1">
      <c r="G20" s="19" t="str">
        <f t="shared" si="0"/>
        <v/>
      </c>
    </row>
    <row r="21" spans="4:15">
      <c r="D21" s="2" t="s">
        <v>99</v>
      </c>
      <c r="F21" s="19" t="s">
        <v>91</v>
      </c>
      <c r="G21" s="19" t="str">
        <f t="shared" si="0"/>
        <v>mln EUR</v>
      </c>
      <c r="J21" s="21">
        <v>-9194</v>
      </c>
      <c r="K21" s="21">
        <v>-9482</v>
      </c>
      <c r="L21" s="21">
        <v>-10270</v>
      </c>
      <c r="M21" s="21">
        <v>-9993</v>
      </c>
      <c r="N21" s="21">
        <v>-9718</v>
      </c>
    </row>
    <row r="22" spans="4:15">
      <c r="E22" s="18" t="s">
        <v>90</v>
      </c>
      <c r="F22" s="19" t="s">
        <v>93</v>
      </c>
      <c r="G22" s="19" t="str">
        <f t="shared" si="0"/>
        <v>%</v>
      </c>
      <c r="J22" s="32"/>
      <c r="K22" s="23">
        <f>IFERROR(K21/J21-1, "-")</f>
        <v>3.1324777028496786E-2</v>
      </c>
      <c r="L22" s="23">
        <f t="shared" ref="L22:N22" si="6">IFERROR(L21/K21-1, "-")</f>
        <v>8.3104830204598246E-2</v>
      </c>
      <c r="M22" s="23">
        <f t="shared" si="6"/>
        <v>-2.6971762414800371E-2</v>
      </c>
      <c r="N22" s="23">
        <f t="shared" si="6"/>
        <v>-2.7519263484439116E-2</v>
      </c>
    </row>
    <row r="23" spans="4:15" ht="3" customHeight="1">
      <c r="G23" s="19" t="str">
        <f t="shared" si="0"/>
        <v/>
      </c>
    </row>
    <row r="24" spans="4:15">
      <c r="D24" s="2" t="s">
        <v>100</v>
      </c>
      <c r="F24" s="19" t="s">
        <v>91</v>
      </c>
      <c r="G24" s="19" t="str">
        <f t="shared" si="0"/>
        <v>mln EUR</v>
      </c>
      <c r="J24" s="21">
        <v>-2808</v>
      </c>
      <c r="K24" s="21">
        <v>-2584</v>
      </c>
      <c r="L24" s="21">
        <v>-2771</v>
      </c>
      <c r="M24" s="21">
        <v>-2529</v>
      </c>
      <c r="N24" s="21">
        <v>-2477</v>
      </c>
    </row>
    <row r="25" spans="4:15">
      <c r="E25" s="18" t="s">
        <v>90</v>
      </c>
      <c r="F25" s="19" t="s">
        <v>93</v>
      </c>
      <c r="G25" s="19" t="str">
        <f t="shared" si="0"/>
        <v>%</v>
      </c>
      <c r="J25" s="32"/>
      <c r="K25" s="23">
        <f>IFERROR(K24/J24-1, "-")</f>
        <v>-7.9772079772079785E-2</v>
      </c>
      <c r="L25" s="23">
        <f t="shared" ref="L25:N25" si="7">IFERROR(L24/K24-1, "-")</f>
        <v>7.2368421052631637E-2</v>
      </c>
      <c r="M25" s="23">
        <f t="shared" si="7"/>
        <v>-8.7333092746300967E-2</v>
      </c>
      <c r="N25" s="23">
        <f t="shared" si="7"/>
        <v>-2.0561486753657543E-2</v>
      </c>
    </row>
    <row r="26" spans="4:15" ht="3" customHeight="1">
      <c r="G26" s="19" t="str">
        <f t="shared" si="0"/>
        <v/>
      </c>
    </row>
    <row r="27" spans="4:15">
      <c r="D27" s="2" t="s">
        <v>101</v>
      </c>
      <c r="F27" s="19" t="s">
        <v>91</v>
      </c>
      <c r="G27" s="19" t="str">
        <f t="shared" si="0"/>
        <v>mln EUR</v>
      </c>
      <c r="J27" s="21">
        <v>-5467</v>
      </c>
      <c r="K27" s="21">
        <v>-5602</v>
      </c>
      <c r="L27" s="21">
        <v>-6230</v>
      </c>
      <c r="M27" s="21">
        <v>-5580</v>
      </c>
      <c r="N27" s="21">
        <v>-6055</v>
      </c>
    </row>
    <row r="28" spans="4:15">
      <c r="E28" s="18" t="s">
        <v>90</v>
      </c>
      <c r="F28" s="19" t="s">
        <v>93</v>
      </c>
      <c r="G28" s="19" t="str">
        <f t="shared" si="0"/>
        <v>%</v>
      </c>
      <c r="J28" s="32"/>
      <c r="K28" s="23">
        <f>IFERROR(K27/J27-1, "-")</f>
        <v>2.4693616242912109E-2</v>
      </c>
      <c r="L28" s="23">
        <f t="shared" ref="L28:N28" si="8">IFERROR(L27/K27-1, "-")</f>
        <v>0.11210282042127817</v>
      </c>
      <c r="M28" s="23">
        <f t="shared" si="8"/>
        <v>-0.1043338683788122</v>
      </c>
      <c r="N28" s="23">
        <f t="shared" si="8"/>
        <v>8.5125448028673834E-2</v>
      </c>
    </row>
    <row r="29" spans="4:15" ht="3" customHeight="1">
      <c r="G29" s="19" t="str">
        <f t="shared" si="0"/>
        <v/>
      </c>
    </row>
    <row r="30" spans="4:15">
      <c r="D30" s="2" t="s">
        <v>102</v>
      </c>
      <c r="F30" s="19" t="s">
        <v>91</v>
      </c>
      <c r="G30" s="19" t="str">
        <f t="shared" si="0"/>
        <v>mln EUR</v>
      </c>
      <c r="J30" s="21">
        <v>1153</v>
      </c>
      <c r="K30" s="21">
        <v>2034</v>
      </c>
      <c r="L30" s="21">
        <v>1690</v>
      </c>
      <c r="M30" s="21">
        <v>2024</v>
      </c>
      <c r="N30" s="21">
        <v>526</v>
      </c>
    </row>
    <row r="31" spans="4:15">
      <c r="E31" s="18" t="s">
        <v>90</v>
      </c>
      <c r="F31" s="19" t="s">
        <v>93</v>
      </c>
      <c r="G31" s="19" t="str">
        <f t="shared" si="0"/>
        <v>%</v>
      </c>
      <c r="J31" s="32"/>
      <c r="K31" s="23">
        <f>IFERROR(K30/J30-1, "-")</f>
        <v>0.76409366869037298</v>
      </c>
      <c r="L31" s="23">
        <f t="shared" ref="L31:N31" si="9">IFERROR(L30/K30-1, "-")</f>
        <v>-0.16912487708947888</v>
      </c>
      <c r="M31" s="23">
        <f t="shared" si="9"/>
        <v>0.19763313609467459</v>
      </c>
      <c r="N31" s="23">
        <f t="shared" si="9"/>
        <v>-0.74011857707509887</v>
      </c>
    </row>
    <row r="32" spans="4:15" ht="3" customHeight="1">
      <c r="G32" s="19" t="str">
        <f t="shared" si="0"/>
        <v/>
      </c>
    </row>
    <row r="33" spans="4:15">
      <c r="D33" s="2" t="s">
        <v>103</v>
      </c>
      <c r="F33" s="19" t="s">
        <v>91</v>
      </c>
      <c r="G33" s="19" t="str">
        <f t="shared" si="0"/>
        <v>mln EUR</v>
      </c>
      <c r="J33" s="21">
        <v>1352</v>
      </c>
      <c r="K33" s="21">
        <v>1732</v>
      </c>
      <c r="L33" s="21">
        <v>2129</v>
      </c>
      <c r="M33" s="21">
        <v>1138</v>
      </c>
      <c r="N33" s="21">
        <v>1118</v>
      </c>
    </row>
    <row r="34" spans="4:15">
      <c r="E34" s="18" t="s">
        <v>90</v>
      </c>
      <c r="F34" s="19" t="s">
        <v>93</v>
      </c>
      <c r="G34" s="19" t="str">
        <f t="shared" si="0"/>
        <v>%</v>
      </c>
      <c r="J34" s="32"/>
      <c r="K34" s="23">
        <f>IFERROR(K33/J33-1, "-")</f>
        <v>0.28106508875739644</v>
      </c>
      <c r="L34" s="23">
        <f t="shared" ref="L34:N34" si="10">IFERROR(L33/K33-1, "-")</f>
        <v>0.22921478060046185</v>
      </c>
      <c r="M34" s="23">
        <f t="shared" si="10"/>
        <v>-0.4654767496477219</v>
      </c>
      <c r="N34" s="23">
        <f t="shared" si="10"/>
        <v>-1.7574692442882234E-2</v>
      </c>
    </row>
    <row r="35" spans="4:15" ht="3" customHeight="1">
      <c r="G35" s="19" t="str">
        <f t="shared" si="0"/>
        <v/>
      </c>
    </row>
    <row r="36" spans="4:15">
      <c r="D36" s="2" t="s">
        <v>104</v>
      </c>
      <c r="F36" s="19" t="s">
        <v>91</v>
      </c>
      <c r="G36" s="19" t="str">
        <f t="shared" si="0"/>
        <v>mln EUR</v>
      </c>
      <c r="J36" s="21">
        <v>317</v>
      </c>
      <c r="K36" s="21">
        <v>340</v>
      </c>
      <c r="L36" s="21">
        <v>108</v>
      </c>
      <c r="M36" s="21">
        <v>-37</v>
      </c>
      <c r="N36" s="21">
        <v>93</v>
      </c>
    </row>
    <row r="37" spans="4:15">
      <c r="E37" s="18" t="s">
        <v>90</v>
      </c>
      <c r="F37" s="19" t="s">
        <v>93</v>
      </c>
      <c r="G37" s="19" t="str">
        <f t="shared" si="0"/>
        <v>mln EUR</v>
      </c>
      <c r="J37" s="32"/>
      <c r="K37" s="23">
        <f>IFERROR(K36/J36-1, "-")</f>
        <v>7.2555205047318605E-2</v>
      </c>
      <c r="L37" s="23">
        <f t="shared" ref="L37:N37" si="11">IFERROR(L36/K36-1, "-")</f>
        <v>-0.68235294117647061</v>
      </c>
      <c r="M37" s="23">
        <f t="shared" si="11"/>
        <v>-1.3425925925925926</v>
      </c>
      <c r="N37" s="23">
        <f t="shared" si="11"/>
        <v>-3.5135135135135136</v>
      </c>
    </row>
    <row r="38" spans="4:15" ht="3" customHeight="1">
      <c r="G38" s="19" t="str">
        <f t="shared" si="0"/>
        <v/>
      </c>
    </row>
    <row r="39" spans="4:15">
      <c r="D39" s="28" t="s">
        <v>105</v>
      </c>
      <c r="E39" s="29"/>
      <c r="F39" s="30" t="s">
        <v>91</v>
      </c>
      <c r="G39" s="30" t="str">
        <f t="shared" si="0"/>
        <v>mln EUR</v>
      </c>
      <c r="H39" s="29"/>
      <c r="I39" s="29"/>
      <c r="J39" s="21">
        <v>16028</v>
      </c>
      <c r="K39" s="21">
        <v>20458</v>
      </c>
      <c r="L39" s="21">
        <v>19660</v>
      </c>
      <c r="M39" s="21">
        <v>13599</v>
      </c>
      <c r="N39" s="21">
        <v>5820</v>
      </c>
      <c r="O39" s="29"/>
    </row>
    <row r="40" spans="4:15">
      <c r="E40" s="18" t="s">
        <v>90</v>
      </c>
      <c r="F40" s="19" t="s">
        <v>93</v>
      </c>
      <c r="G40" s="19" t="str">
        <f t="shared" si="0"/>
        <v>%</v>
      </c>
      <c r="J40" s="32"/>
      <c r="K40" s="23">
        <f>IFERROR(K39/J39-1, "-")</f>
        <v>0.27639131519840276</v>
      </c>
      <c r="L40" s="23">
        <f t="shared" ref="L40:N40" si="12">IFERROR(L39/K39-1, "-")</f>
        <v>-3.9006745527422004E-2</v>
      </c>
      <c r="M40" s="23">
        <f t="shared" si="12"/>
        <v>-0.30829094608341812</v>
      </c>
      <c r="N40" s="23">
        <f t="shared" si="12"/>
        <v>-0.57202735495257007</v>
      </c>
    </row>
    <row r="41" spans="4:15">
      <c r="E41" s="18" t="s">
        <v>112</v>
      </c>
      <c r="F41" s="19" t="s">
        <v>93</v>
      </c>
      <c r="G41" s="19" t="str">
        <f t="shared" si="0"/>
        <v>%</v>
      </c>
      <c r="J41" s="23">
        <f>IFERROR(J39/J11, "-")</f>
        <v>0.11970752765267788</v>
      </c>
      <c r="K41" s="23">
        <f t="shared" ref="K41:N41" si="13">IFERROR(K39/K11, "-")</f>
        <v>0.13637121126272356</v>
      </c>
      <c r="L41" s="23">
        <f t="shared" si="13"/>
        <v>0.12901108996653324</v>
      </c>
      <c r="M41" s="23">
        <f t="shared" si="13"/>
        <v>9.3403574323117716E-2</v>
      </c>
      <c r="N41" s="23">
        <f t="shared" si="13"/>
        <v>4.4019544072488544E-2</v>
      </c>
    </row>
    <row r="42" spans="4:15" ht="3" customHeight="1">
      <c r="G42" s="19" t="str">
        <f t="shared" si="0"/>
        <v/>
      </c>
    </row>
    <row r="43" spans="4:15">
      <c r="D43" s="2" t="s">
        <v>106</v>
      </c>
      <c r="F43" s="19" t="s">
        <v>91</v>
      </c>
      <c r="G43" s="19" t="str">
        <f t="shared" si="0"/>
        <v>mln EUR</v>
      </c>
      <c r="J43" s="21">
        <v>-217</v>
      </c>
      <c r="K43" s="21">
        <v>-154</v>
      </c>
      <c r="L43" s="21">
        <v>424</v>
      </c>
      <c r="M43" s="21">
        <v>548</v>
      </c>
      <c r="N43" s="21">
        <v>464</v>
      </c>
    </row>
    <row r="44" spans="4:15">
      <c r="E44" s="18" t="s">
        <v>90</v>
      </c>
      <c r="F44" s="19" t="s">
        <v>93</v>
      </c>
      <c r="G44" s="19" t="str">
        <f t="shared" si="0"/>
        <v>%</v>
      </c>
      <c r="J44" s="32"/>
      <c r="K44" s="23">
        <f>IFERROR(K43/J43-1, "-")</f>
        <v>-0.29032258064516125</v>
      </c>
      <c r="L44" s="23">
        <f t="shared" ref="L44:N44" si="14">IFERROR(L43/K43-1, "-")</f>
        <v>-3.7532467532467533</v>
      </c>
      <c r="M44" s="23">
        <f t="shared" si="14"/>
        <v>0.29245283018867929</v>
      </c>
      <c r="N44" s="23">
        <f t="shared" si="14"/>
        <v>-0.15328467153284675</v>
      </c>
    </row>
    <row r="45" spans="4:15" ht="3" customHeight="1">
      <c r="G45" s="19" t="str">
        <f t="shared" si="0"/>
        <v/>
      </c>
    </row>
    <row r="46" spans="4:15">
      <c r="D46" s="2" t="s">
        <v>107</v>
      </c>
      <c r="F46" s="19" t="s">
        <v>91</v>
      </c>
      <c r="G46" s="19" t="str">
        <f t="shared" si="0"/>
        <v>mln EUR</v>
      </c>
      <c r="J46" s="21">
        <v>15811</v>
      </c>
      <c r="K46" s="21">
        <v>20304</v>
      </c>
      <c r="L46" s="21">
        <v>20084</v>
      </c>
      <c r="M46" s="21">
        <v>14147</v>
      </c>
      <c r="N46" s="21">
        <v>6284</v>
      </c>
    </row>
    <row r="47" spans="4:15">
      <c r="E47" s="18" t="s">
        <v>90</v>
      </c>
      <c r="F47" s="19" t="s">
        <v>93</v>
      </c>
      <c r="G47" s="19" t="str">
        <f t="shared" si="0"/>
        <v>%</v>
      </c>
      <c r="J47" s="32"/>
      <c r="K47" s="23">
        <f>IFERROR(K46/J46-1, "-")</f>
        <v>0.28416924925684639</v>
      </c>
      <c r="L47" s="23">
        <f t="shared" ref="L47:N47" si="15">IFERROR(L46/K46-1, "-")</f>
        <v>-1.0835303388494921E-2</v>
      </c>
      <c r="M47" s="23">
        <f t="shared" si="15"/>
        <v>-0.29560844453296153</v>
      </c>
      <c r="N47" s="23">
        <f t="shared" si="15"/>
        <v>-0.55580688485191199</v>
      </c>
    </row>
    <row r="48" spans="4:15" ht="3" customHeight="1">
      <c r="G48" s="19" t="str">
        <f t="shared" si="0"/>
        <v/>
      </c>
    </row>
    <row r="49" spans="4:15">
      <c r="D49" s="2" t="s">
        <v>108</v>
      </c>
      <c r="F49" s="19" t="s">
        <v>91</v>
      </c>
      <c r="G49" s="19" t="str">
        <f t="shared" si="0"/>
        <v>mln EUR</v>
      </c>
      <c r="J49" s="21">
        <v>-4761</v>
      </c>
      <c r="K49" s="21">
        <v>-5495</v>
      </c>
      <c r="L49" s="21">
        <v>-5553</v>
      </c>
      <c r="M49" s="21">
        <v>-3738</v>
      </c>
      <c r="N49" s="21">
        <v>-953</v>
      </c>
    </row>
    <row r="50" spans="4:15">
      <c r="E50" s="18" t="s">
        <v>90</v>
      </c>
      <c r="F50" s="19" t="s">
        <v>93</v>
      </c>
      <c r="G50" s="19" t="str">
        <f t="shared" si="0"/>
        <v>%</v>
      </c>
      <c r="J50" s="32"/>
      <c r="K50" s="23">
        <f>IFERROR(K49/J49-1, "-")</f>
        <v>0.15416929216551134</v>
      </c>
      <c r="L50" s="23">
        <f t="shared" ref="L50:N50" si="16">IFERROR(L49/K49-1, "-")</f>
        <v>1.055505004549584E-2</v>
      </c>
      <c r="M50" s="23">
        <f t="shared" si="16"/>
        <v>-0.32685035116153427</v>
      </c>
      <c r="N50" s="23">
        <f t="shared" si="16"/>
        <v>-0.74505082932049227</v>
      </c>
    </row>
    <row r="51" spans="4:15" ht="3" customHeight="1">
      <c r="G51" s="19" t="str">
        <f t="shared" si="0"/>
        <v/>
      </c>
    </row>
    <row r="52" spans="4:15">
      <c r="D52" s="28" t="s">
        <v>109</v>
      </c>
      <c r="E52" s="29"/>
      <c r="F52" s="30" t="s">
        <v>91</v>
      </c>
      <c r="G52" s="30" t="str">
        <f t="shared" si="0"/>
        <v>mln EUR</v>
      </c>
      <c r="H52" s="29"/>
      <c r="I52" s="29"/>
      <c r="J52" s="21">
        <v>23396</v>
      </c>
      <c r="K52" s="21">
        <v>14809</v>
      </c>
      <c r="L52" s="21">
        <v>14531</v>
      </c>
      <c r="M52" s="21">
        <v>10409</v>
      </c>
      <c r="N52" s="21">
        <v>5331</v>
      </c>
      <c r="O52" s="29"/>
    </row>
    <row r="53" spans="4:15">
      <c r="E53" s="18" t="s">
        <v>90</v>
      </c>
      <c r="F53" s="19" t="s">
        <v>93</v>
      </c>
      <c r="G53" s="19" t="str">
        <f t="shared" si="0"/>
        <v>%</v>
      </c>
      <c r="J53" s="32"/>
      <c r="K53" s="23">
        <f>IFERROR(K52/J52-1, "-")</f>
        <v>-0.3670285518892118</v>
      </c>
      <c r="L53" s="23">
        <f t="shared" ref="L53:N53" si="17">IFERROR(L52/K52-1, "-")</f>
        <v>-1.8772368154500674E-2</v>
      </c>
      <c r="M53" s="23">
        <f t="shared" si="17"/>
        <v>-0.28366939646273481</v>
      </c>
      <c r="N53" s="23">
        <f t="shared" si="17"/>
        <v>-0.48784705543279849</v>
      </c>
    </row>
    <row r="54" spans="4:15">
      <c r="E54" s="18" t="s">
        <v>112</v>
      </c>
      <c r="F54" s="19" t="s">
        <v>93</v>
      </c>
      <c r="G54" s="19" t="str">
        <f t="shared" ref="G54" si="18">IF(M54="","",IF(AND(M54&gt;=-1,M54&lt;=1), "%","mln EUR"))</f>
        <v>%</v>
      </c>
      <c r="J54" s="23">
        <f>IFERROR(J52/J11, "-")</f>
        <v>0.17473654335924954</v>
      </c>
      <c r="K54" s="23">
        <f t="shared" ref="K54:N54" si="19">IFERROR(K52/K11, "-")</f>
        <v>9.8715478912389923E-2</v>
      </c>
      <c r="L54" s="23">
        <f t="shared" si="19"/>
        <v>9.5354025854714877E-2</v>
      </c>
      <c r="M54" s="23">
        <f t="shared" si="19"/>
        <v>7.1493330769125105E-2</v>
      </c>
      <c r="N54" s="23">
        <f t="shared" si="19"/>
        <v>4.0320994750934092E-2</v>
      </c>
    </row>
    <row r="55" spans="4:15" ht="3" customHeight="1">
      <c r="G55" s="19" t="str">
        <f t="shared" si="0"/>
        <v/>
      </c>
      <c r="J55" s="20"/>
    </row>
    <row r="56" spans="4:15">
      <c r="D56" s="2" t="s">
        <v>110</v>
      </c>
      <c r="F56" s="19" t="s">
        <v>91</v>
      </c>
      <c r="G56" s="19" t="str">
        <f t="shared" si="0"/>
        <v>mln EUR</v>
      </c>
      <c r="J56" s="21">
        <v>390</v>
      </c>
      <c r="K56" s="21">
        <v>308</v>
      </c>
      <c r="L56" s="21">
        <v>270</v>
      </c>
      <c r="M56" s="21">
        <v>202</v>
      </c>
      <c r="N56" s="21">
        <v>190</v>
      </c>
    </row>
    <row r="57" spans="4:15">
      <c r="E57" s="18" t="s">
        <v>90</v>
      </c>
      <c r="F57" s="19" t="s">
        <v>93</v>
      </c>
      <c r="G57" s="19" t="str">
        <f t="shared" si="0"/>
        <v>%</v>
      </c>
      <c r="J57" s="32"/>
      <c r="K57" s="23">
        <f>IFERROR(K56/J56-1, "-")</f>
        <v>-0.21025641025641029</v>
      </c>
      <c r="L57" s="23">
        <f t="shared" ref="L57:N57" si="20">IFERROR(L56/K56-1, "-")</f>
        <v>-0.12337662337662336</v>
      </c>
      <c r="M57" s="23">
        <f t="shared" si="20"/>
        <v>-0.25185185185185188</v>
      </c>
      <c r="N57" s="23">
        <f t="shared" si="20"/>
        <v>-5.9405940594059459E-2</v>
      </c>
    </row>
    <row r="58" spans="4:15" ht="3" customHeight="1">
      <c r="G58" s="19" t="str">
        <f t="shared" si="0"/>
        <v/>
      </c>
    </row>
    <row r="59" spans="4:15">
      <c r="D59" s="2" t="s">
        <v>111</v>
      </c>
      <c r="F59" s="19" t="s">
        <v>91</v>
      </c>
      <c r="G59" s="19" t="str">
        <f t="shared" si="0"/>
        <v>mln EUR</v>
      </c>
      <c r="J59" s="21">
        <v>23006</v>
      </c>
      <c r="K59" s="21">
        <v>14501</v>
      </c>
      <c r="L59" s="21">
        <v>14261</v>
      </c>
      <c r="M59" s="21">
        <v>10207</v>
      </c>
      <c r="N59" s="21">
        <v>5141</v>
      </c>
    </row>
    <row r="60" spans="4:15">
      <c r="E60" s="18" t="s">
        <v>90</v>
      </c>
      <c r="F60" s="19" t="s">
        <v>93</v>
      </c>
      <c r="G60" s="19" t="str">
        <f t="shared" si="0"/>
        <v>%</v>
      </c>
      <c r="J60" s="32"/>
      <c r="K60" s="23">
        <f>IFERROR(K59/J59-1, "-")</f>
        <v>-0.36968616882552374</v>
      </c>
      <c r="L60" s="23">
        <f t="shared" ref="L60:N60" si="21">IFERROR(L59/K59-1, "-")</f>
        <v>-1.6550582718433238E-2</v>
      </c>
      <c r="M60" s="23">
        <f t="shared" si="21"/>
        <v>-0.28427179019704085</v>
      </c>
      <c r="N60" s="23">
        <f t="shared" si="21"/>
        <v>-0.49632605074948566</v>
      </c>
    </row>
    <row r="63" spans="4:15" ht="15">
      <c r="D63" s="96" t="s">
        <v>226</v>
      </c>
    </row>
    <row r="65" spans="5:14">
      <c r="E65" s="2" t="s">
        <v>227</v>
      </c>
      <c r="F65" s="19" t="s">
        <v>91</v>
      </c>
      <c r="G65" s="19" t="str">
        <f>IF(M65="","",IF(AND(M65&gt;=-1,M65&lt;=1), "%","EUR"))</f>
        <v>EUR</v>
      </c>
      <c r="M65" s="97">
        <v>10.19</v>
      </c>
      <c r="N65" s="97">
        <v>5.34</v>
      </c>
    </row>
    <row r="67" spans="5:14">
      <c r="E67" s="2" t="s">
        <v>228</v>
      </c>
      <c r="F67" s="19" t="s">
        <v>91</v>
      </c>
      <c r="G67" s="19" t="str">
        <f>IF(M67="","",IF(AND(M67&gt;=-1,M67&lt;=1), "%","EUR"))</f>
        <v>EUR</v>
      </c>
      <c r="M67" s="97">
        <v>10.19</v>
      </c>
      <c r="N67" s="97">
        <v>5.34</v>
      </c>
    </row>
  </sheetData>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7" tint="0.79998168889431442"/>
  </sheetPr>
  <dimension ref="A5:S84"/>
  <sheetViews>
    <sheetView showGridLines="0" zoomScale="130" zoomScaleNormal="130" workbookViewId="0">
      <selection activeCell="E6" sqref="E6"/>
    </sheetView>
  </sheetViews>
  <sheetFormatPr baseColWidth="10" defaultColWidth="0" defaultRowHeight="14"/>
  <cols>
    <col min="1" max="4" width="3.33203125" style="2" customWidth="1"/>
    <col min="5" max="5" width="73.1640625" style="2" customWidth="1"/>
    <col min="6" max="6" width="15.33203125" style="2" bestFit="1" customWidth="1"/>
    <col min="7" max="7" width="9.1640625" style="2" customWidth="1"/>
    <col min="8" max="8" width="3.33203125" style="2" customWidth="1"/>
    <col min="9" max="15" width="9.1640625" style="2" customWidth="1"/>
    <col min="16" max="16384" width="0" style="2" hidden="1"/>
  </cols>
  <sheetData>
    <row r="5" spans="1:19">
      <c r="A5" s="15" t="s">
        <v>113</v>
      </c>
      <c r="B5" s="15"/>
      <c r="C5" s="15"/>
      <c r="D5" s="15"/>
      <c r="E5" s="15"/>
      <c r="F5" s="14" t="s">
        <v>27</v>
      </c>
      <c r="G5" s="14" t="s">
        <v>28</v>
      </c>
      <c r="H5" s="14"/>
      <c r="I5" s="14" t="s">
        <v>29</v>
      </c>
      <c r="J5" s="14" t="s">
        <v>30</v>
      </c>
      <c r="K5" s="14" t="s">
        <v>31</v>
      </c>
      <c r="L5" s="14" t="s">
        <v>32</v>
      </c>
      <c r="M5" s="14" t="s">
        <v>33</v>
      </c>
      <c r="N5" s="14" t="s">
        <v>34</v>
      </c>
      <c r="O5" s="14"/>
      <c r="P5" s="25"/>
      <c r="Q5" s="25"/>
      <c r="R5" s="25"/>
      <c r="S5" s="25"/>
    </row>
    <row r="7" spans="1:19">
      <c r="B7" s="11" t="s">
        <v>56</v>
      </c>
      <c r="C7" s="10"/>
      <c r="D7" s="10"/>
      <c r="E7" s="10"/>
      <c r="F7" s="10"/>
      <c r="G7" s="10"/>
      <c r="H7" s="10"/>
      <c r="I7" s="10"/>
      <c r="J7" s="10"/>
      <c r="K7" s="10"/>
      <c r="L7" s="10"/>
      <c r="M7" s="10"/>
      <c r="N7" s="10"/>
      <c r="O7" s="10"/>
    </row>
    <row r="9" spans="1:19">
      <c r="C9" s="12" t="s">
        <v>118</v>
      </c>
      <c r="D9" s="1"/>
      <c r="E9" s="1"/>
      <c r="F9" s="1"/>
      <c r="G9" s="1"/>
      <c r="H9" s="1"/>
      <c r="I9" s="1"/>
      <c r="J9" s="1"/>
      <c r="K9" s="1"/>
      <c r="L9" s="1"/>
      <c r="M9" s="1"/>
      <c r="N9" s="1"/>
      <c r="O9" s="1"/>
    </row>
    <row r="11" spans="1:19">
      <c r="D11" s="13" t="s">
        <v>115</v>
      </c>
      <c r="F11" s="19" t="s">
        <v>91</v>
      </c>
      <c r="G11" s="19" t="str">
        <f>IF(M11="","",IF(AND(M11&gt;=-1,M11&lt;=1), "%","mln EUR"))</f>
        <v>mln EUR</v>
      </c>
      <c r="J11" s="21">
        <v>23048</v>
      </c>
      <c r="K11" s="21">
        <v>23182</v>
      </c>
      <c r="L11" s="21">
        <v>17679</v>
      </c>
      <c r="M11" s="21">
        <v>15972</v>
      </c>
      <c r="N11" s="21">
        <v>14516</v>
      </c>
    </row>
    <row r="12" spans="1:19">
      <c r="D12" s="2" t="s">
        <v>116</v>
      </c>
      <c r="F12" s="19" t="s">
        <v>91</v>
      </c>
      <c r="G12" s="19" t="str">
        <f t="shared" ref="G12:G74" si="0">IF(M12="","",IF(AND(M12&gt;=-1,M12&lt;=1), "%","mln EUR"))</f>
        <v>mln EUR</v>
      </c>
      <c r="J12" s="21">
        <v>0</v>
      </c>
      <c r="K12" s="21">
        <v>0</v>
      </c>
      <c r="L12" s="21">
        <v>0</v>
      </c>
      <c r="M12" s="21">
        <v>10</v>
      </c>
      <c r="N12" s="21">
        <v>5</v>
      </c>
    </row>
    <row r="13" spans="1:19">
      <c r="G13" s="19" t="str">
        <f t="shared" si="0"/>
        <v/>
      </c>
    </row>
    <row r="14" spans="1:19">
      <c r="D14" s="2" t="s">
        <v>117</v>
      </c>
      <c r="F14" s="19" t="s">
        <v>91</v>
      </c>
      <c r="G14" s="19" t="str">
        <f t="shared" si="0"/>
        <v>mln EUR</v>
      </c>
      <c r="J14" s="21">
        <v>23048</v>
      </c>
      <c r="K14" s="21">
        <v>23182</v>
      </c>
      <c r="L14" s="21">
        <v>17679</v>
      </c>
      <c r="M14" s="21">
        <v>15962</v>
      </c>
      <c r="N14" s="21">
        <v>14511</v>
      </c>
    </row>
    <row r="15" spans="1:19">
      <c r="G15" s="19" t="str">
        <f t="shared" si="0"/>
        <v/>
      </c>
    </row>
    <row r="16" spans="1:19">
      <c r="B16" s="11" t="s">
        <v>114</v>
      </c>
      <c r="C16" s="10"/>
      <c r="D16" s="10"/>
      <c r="E16" s="10"/>
      <c r="F16" s="10"/>
      <c r="G16" s="10"/>
      <c r="H16" s="10"/>
      <c r="I16" s="10"/>
      <c r="J16" s="10"/>
      <c r="K16" s="10"/>
      <c r="L16" s="10"/>
      <c r="M16" s="10"/>
      <c r="N16" s="10"/>
      <c r="O16" s="10"/>
    </row>
    <row r="17" spans="3:15">
      <c r="G17" s="19" t="str">
        <f t="shared" si="0"/>
        <v/>
      </c>
    </row>
    <row r="18" spans="3:15">
      <c r="C18" s="12" t="s">
        <v>119</v>
      </c>
      <c r="D18" s="1"/>
      <c r="E18" s="1"/>
      <c r="F18" s="1"/>
      <c r="G18" s="1"/>
      <c r="H18" s="1"/>
      <c r="I18" s="1"/>
      <c r="J18" s="1"/>
      <c r="K18" s="1"/>
      <c r="L18" s="1"/>
      <c r="M18" s="1"/>
      <c r="N18" s="1"/>
      <c r="O18" s="1"/>
    </row>
    <row r="19" spans="3:15">
      <c r="G19" s="19" t="str">
        <f t="shared" si="0"/>
        <v/>
      </c>
    </row>
    <row r="20" spans="3:15">
      <c r="D20" s="2" t="s">
        <v>119</v>
      </c>
      <c r="F20" s="19" t="s">
        <v>91</v>
      </c>
      <c r="G20" s="19" t="str">
        <f t="shared" si="0"/>
        <v>mln EUR</v>
      </c>
      <c r="J20" s="21">
        <v>28775</v>
      </c>
      <c r="K20" s="21">
        <v>20304</v>
      </c>
      <c r="L20" s="21">
        <v>20084</v>
      </c>
      <c r="M20" s="21">
        <v>14147</v>
      </c>
      <c r="N20" s="21">
        <v>6284</v>
      </c>
    </row>
    <row r="21" spans="3:15">
      <c r="D21" s="2" t="s">
        <v>120</v>
      </c>
      <c r="F21" s="19" t="s">
        <v>91</v>
      </c>
      <c r="G21" s="19" t="str">
        <f t="shared" si="0"/>
        <v>mln EUR</v>
      </c>
      <c r="J21" s="21">
        <v>6980</v>
      </c>
      <c r="K21" s="21">
        <v>6521</v>
      </c>
      <c r="L21" s="21">
        <v>6663</v>
      </c>
      <c r="M21" s="21">
        <v>6772</v>
      </c>
      <c r="N21" s="21">
        <v>7223</v>
      </c>
    </row>
    <row r="22" spans="3:15">
      <c r="D22" s="2" t="s">
        <v>121</v>
      </c>
      <c r="F22" s="19" t="s">
        <v>91</v>
      </c>
      <c r="G22" s="19" t="str">
        <f t="shared" si="0"/>
        <v>mln EUR</v>
      </c>
      <c r="J22" s="21">
        <v>-11503</v>
      </c>
      <c r="K22" s="21">
        <v>-1296</v>
      </c>
      <c r="L22" s="21">
        <v>-2369</v>
      </c>
      <c r="M22" s="21">
        <v>-1362</v>
      </c>
      <c r="N22" s="21">
        <v>-1204</v>
      </c>
    </row>
    <row r="23" spans="3:15">
      <c r="D23" s="2" t="s">
        <v>122</v>
      </c>
      <c r="F23" s="19" t="s">
        <v>91</v>
      </c>
      <c r="G23" s="19" t="str">
        <f t="shared" si="0"/>
        <v>mln EUR</v>
      </c>
      <c r="J23" s="21">
        <v>-695</v>
      </c>
      <c r="K23" s="21">
        <v>-990</v>
      </c>
      <c r="L23" s="21">
        <v>-92</v>
      </c>
      <c r="M23" s="21">
        <v>18</v>
      </c>
      <c r="N23" s="21">
        <v>65</v>
      </c>
    </row>
    <row r="24" spans="3:15">
      <c r="G24" s="19" t="str">
        <f t="shared" si="0"/>
        <v/>
      </c>
    </row>
    <row r="25" spans="3:15">
      <c r="C25" s="12" t="s">
        <v>123</v>
      </c>
      <c r="D25" s="1"/>
      <c r="E25" s="1"/>
      <c r="F25" s="1"/>
      <c r="G25" s="1"/>
      <c r="H25" s="1"/>
      <c r="I25" s="1"/>
      <c r="J25" s="1"/>
      <c r="K25" s="1"/>
      <c r="L25" s="1"/>
      <c r="M25" s="1"/>
      <c r="N25" s="1"/>
      <c r="O25" s="1"/>
    </row>
    <row r="26" spans="3:15">
      <c r="G26" s="19" t="str">
        <f t="shared" si="0"/>
        <v/>
      </c>
    </row>
    <row r="27" spans="3:15">
      <c r="D27" s="2" t="s">
        <v>54</v>
      </c>
      <c r="F27" s="19" t="s">
        <v>91</v>
      </c>
      <c r="G27" s="19" t="str">
        <f t="shared" si="0"/>
        <v>mln EUR</v>
      </c>
      <c r="J27" s="21">
        <v>-2561</v>
      </c>
      <c r="K27" s="21">
        <v>-4111</v>
      </c>
      <c r="L27" s="21">
        <v>-2420</v>
      </c>
      <c r="M27" s="21">
        <v>737</v>
      </c>
      <c r="N27" s="21">
        <v>724</v>
      </c>
    </row>
    <row r="28" spans="3:15">
      <c r="D28" s="2" t="s">
        <v>124</v>
      </c>
      <c r="F28" s="19" t="s">
        <v>91</v>
      </c>
      <c r="G28" s="19" t="str">
        <f t="shared" si="0"/>
        <v>mln EUR</v>
      </c>
      <c r="J28" s="21">
        <v>1694</v>
      </c>
      <c r="K28" s="21">
        <v>1029</v>
      </c>
      <c r="L28" s="21">
        <v>1310</v>
      </c>
      <c r="M28" s="21">
        <v>-1199</v>
      </c>
      <c r="N28" s="21">
        <v>895</v>
      </c>
    </row>
    <row r="29" spans="3:15">
      <c r="D29" s="2" t="s">
        <v>46</v>
      </c>
      <c r="F29" s="19" t="s">
        <v>91</v>
      </c>
      <c r="G29" s="19" t="str">
        <f t="shared" si="0"/>
        <v>mln EUR</v>
      </c>
      <c r="J29" s="21">
        <v>3879</v>
      </c>
      <c r="K29" s="21">
        <v>-5327</v>
      </c>
      <c r="L29" s="21">
        <v>-6125</v>
      </c>
      <c r="M29" s="21">
        <v>3280</v>
      </c>
      <c r="N29" s="21">
        <v>5828</v>
      </c>
    </row>
    <row r="30" spans="3:15">
      <c r="D30" s="2" t="s">
        <v>125</v>
      </c>
      <c r="F30" s="19" t="s">
        <v>91</v>
      </c>
      <c r="G30" s="19" t="str">
        <f t="shared" si="0"/>
        <v>mln EUR</v>
      </c>
      <c r="J30" s="21">
        <v>1428</v>
      </c>
      <c r="K30" s="21">
        <v>3810</v>
      </c>
      <c r="L30" s="21">
        <v>-640</v>
      </c>
      <c r="M30" s="21">
        <v>-3110</v>
      </c>
      <c r="N30" s="21">
        <v>-4060</v>
      </c>
    </row>
    <row r="31" spans="3:15">
      <c r="D31" s="2" t="s">
        <v>126</v>
      </c>
      <c r="F31" s="19" t="s">
        <v>91</v>
      </c>
      <c r="G31" s="19" t="str">
        <f t="shared" si="0"/>
        <v>mln EUR</v>
      </c>
      <c r="J31" s="21">
        <v>-1261</v>
      </c>
      <c r="K31" s="21">
        <v>358</v>
      </c>
      <c r="L31" s="21">
        <v>1624</v>
      </c>
      <c r="M31" s="21">
        <v>986</v>
      </c>
      <c r="N31" s="21">
        <v>2585</v>
      </c>
    </row>
    <row r="32" spans="3:15">
      <c r="G32" s="19" t="str">
        <f t="shared" si="0"/>
        <v/>
      </c>
    </row>
    <row r="33" spans="2:15">
      <c r="D33" s="2" t="s">
        <v>127</v>
      </c>
      <c r="F33" s="19" t="s">
        <v>91</v>
      </c>
      <c r="G33" s="19" t="str">
        <f t="shared" si="0"/>
        <v>mln EUR</v>
      </c>
      <c r="J33" s="21">
        <v>1625</v>
      </c>
      <c r="K33" s="21">
        <v>1605</v>
      </c>
      <c r="L33" s="21">
        <v>2056</v>
      </c>
      <c r="M33" s="21">
        <v>1918</v>
      </c>
      <c r="N33" s="21">
        <v>1330</v>
      </c>
    </row>
    <row r="34" spans="2:15">
      <c r="D34" s="2" t="s">
        <v>128</v>
      </c>
      <c r="F34" s="19" t="s">
        <v>91</v>
      </c>
      <c r="G34" s="19" t="str">
        <f t="shared" si="0"/>
        <v>mln EUR</v>
      </c>
      <c r="J34" s="21">
        <v>-3812</v>
      </c>
      <c r="K34" s="21">
        <v>-5009</v>
      </c>
      <c r="L34" s="21">
        <v>-5621</v>
      </c>
      <c r="M34" s="21">
        <v>-4452</v>
      </c>
      <c r="N34" s="21">
        <v>-1664</v>
      </c>
    </row>
    <row r="35" spans="2:15">
      <c r="G35" s="19" t="str">
        <f t="shared" si="0"/>
        <v/>
      </c>
    </row>
    <row r="36" spans="2:15">
      <c r="C36" s="12" t="s">
        <v>130</v>
      </c>
      <c r="D36" s="1"/>
      <c r="E36" s="1"/>
      <c r="F36" s="1"/>
      <c r="G36" s="1"/>
      <c r="H36" s="1"/>
      <c r="I36" s="1"/>
      <c r="J36" s="1"/>
      <c r="K36" s="1"/>
      <c r="L36" s="1"/>
      <c r="M36" s="1"/>
      <c r="N36" s="1"/>
      <c r="O36" s="1"/>
    </row>
    <row r="37" spans="2:15">
      <c r="G37" s="19" t="str">
        <f t="shared" si="0"/>
        <v/>
      </c>
    </row>
    <row r="38" spans="2:15">
      <c r="D38" s="2" t="s">
        <v>130</v>
      </c>
      <c r="F38" s="19" t="s">
        <v>91</v>
      </c>
      <c r="G38" s="19" t="str">
        <f t="shared" si="0"/>
        <v>mln EUR</v>
      </c>
      <c r="J38" s="21">
        <v>24549</v>
      </c>
      <c r="K38" s="21">
        <v>16894</v>
      </c>
      <c r="L38" s="21">
        <v>14470</v>
      </c>
      <c r="M38" s="21">
        <v>17735</v>
      </c>
      <c r="N38" s="21">
        <v>18006</v>
      </c>
    </row>
    <row r="39" spans="2:15">
      <c r="G39" s="19" t="str">
        <f t="shared" si="0"/>
        <v/>
      </c>
    </row>
    <row r="40" spans="2:15">
      <c r="B40" s="11" t="s">
        <v>129</v>
      </c>
      <c r="C40" s="10"/>
      <c r="D40" s="10"/>
      <c r="E40" s="10"/>
      <c r="F40" s="10"/>
      <c r="G40" s="10"/>
      <c r="H40" s="10"/>
      <c r="I40" s="10"/>
      <c r="J40" s="10"/>
      <c r="K40" s="10"/>
      <c r="L40" s="10"/>
      <c r="M40" s="10"/>
      <c r="N40" s="10"/>
      <c r="O40" s="10"/>
    </row>
    <row r="42" spans="2:15">
      <c r="C42" s="12" t="s">
        <v>129</v>
      </c>
      <c r="D42" s="1"/>
      <c r="E42" s="1"/>
      <c r="F42" s="1"/>
      <c r="G42" s="1"/>
      <c r="H42" s="1"/>
      <c r="I42" s="1"/>
      <c r="J42" s="1"/>
      <c r="K42" s="1"/>
      <c r="L42" s="1"/>
      <c r="M42" s="1"/>
      <c r="N42" s="1"/>
      <c r="O42" s="1"/>
    </row>
    <row r="43" spans="2:15">
      <c r="G43" s="19" t="str">
        <f t="shared" si="0"/>
        <v/>
      </c>
    </row>
    <row r="44" spans="2:15">
      <c r="D44" s="2" t="s">
        <v>131</v>
      </c>
      <c r="F44" s="19" t="s">
        <v>91</v>
      </c>
      <c r="G44" s="19" t="str">
        <f t="shared" si="0"/>
        <v>mln EUR</v>
      </c>
      <c r="J44" s="21">
        <v>-4579</v>
      </c>
      <c r="K44" s="21">
        <v>-3481</v>
      </c>
      <c r="L44" s="21">
        <v>-3745</v>
      </c>
      <c r="M44" s="21">
        <v>-4039</v>
      </c>
      <c r="N44" s="21">
        <v>-5482</v>
      </c>
    </row>
    <row r="45" spans="2:15">
      <c r="D45" s="2" t="s">
        <v>132</v>
      </c>
      <c r="F45" s="19" t="s">
        <v>91</v>
      </c>
      <c r="G45" s="19" t="str">
        <f t="shared" si="0"/>
        <v>mln EUR</v>
      </c>
      <c r="J45" s="21">
        <v>-2741</v>
      </c>
      <c r="K45" s="21">
        <v>-3418</v>
      </c>
      <c r="L45" s="21">
        <v>-4468</v>
      </c>
      <c r="M45" s="21">
        <v>-4626</v>
      </c>
      <c r="N45" s="21">
        <v>-4260</v>
      </c>
    </row>
    <row r="46" spans="2:15">
      <c r="D46" s="2" t="s">
        <v>133</v>
      </c>
      <c r="F46" s="19" t="s">
        <v>91</v>
      </c>
      <c r="G46" s="19" t="str">
        <f t="shared" si="0"/>
        <v>mln EUR</v>
      </c>
      <c r="J46" s="21">
        <v>-573</v>
      </c>
      <c r="K46" s="21">
        <v>-849</v>
      </c>
      <c r="L46" s="21">
        <v>-334</v>
      </c>
      <c r="M46" s="21">
        <v>-363</v>
      </c>
      <c r="N46" s="21">
        <v>-304</v>
      </c>
    </row>
    <row r="47" spans="2:15">
      <c r="D47" s="2" t="s">
        <v>134</v>
      </c>
      <c r="F47" s="19" t="s">
        <v>91</v>
      </c>
      <c r="G47" s="19" t="str">
        <f t="shared" si="0"/>
        <v>mln EUR</v>
      </c>
      <c r="J47" s="21">
        <v>793</v>
      </c>
      <c r="K47" s="21">
        <v>3337</v>
      </c>
      <c r="L47" s="21">
        <v>612</v>
      </c>
      <c r="M47" s="21">
        <v>716</v>
      </c>
      <c r="N47" s="21">
        <v>413</v>
      </c>
    </row>
    <row r="48" spans="2:15">
      <c r="D48" s="2" t="s">
        <v>135</v>
      </c>
      <c r="F48" s="19" t="s">
        <v>91</v>
      </c>
      <c r="G48" s="19" t="str">
        <f t="shared" si="0"/>
        <v>mln EUR</v>
      </c>
      <c r="J48" s="21">
        <v>-5694</v>
      </c>
      <c r="K48" s="21">
        <v>-2622</v>
      </c>
      <c r="L48" s="21">
        <v>-4714</v>
      </c>
      <c r="M48" s="21">
        <v>-6785</v>
      </c>
      <c r="N48" s="21">
        <v>-12303</v>
      </c>
    </row>
    <row r="49" spans="2:16">
      <c r="D49" s="2" t="s">
        <v>136</v>
      </c>
      <c r="F49" s="19" t="s">
        <v>91</v>
      </c>
      <c r="G49" s="19" t="str">
        <f t="shared" si="0"/>
        <v>mln EUR</v>
      </c>
      <c r="J49" s="21">
        <v>4385</v>
      </c>
      <c r="K49" s="21">
        <v>3084</v>
      </c>
      <c r="L49" s="21">
        <v>5021</v>
      </c>
      <c r="M49" s="21">
        <v>6160</v>
      </c>
      <c r="N49" s="21">
        <v>12557</v>
      </c>
    </row>
    <row r="50" spans="2:16">
      <c r="D50" s="2" t="s">
        <v>137</v>
      </c>
      <c r="F50" s="19" t="s">
        <v>91</v>
      </c>
      <c r="G50" s="19" t="str">
        <f t="shared" si="0"/>
        <v>mln EUR</v>
      </c>
      <c r="J50" s="21">
        <v>826</v>
      </c>
      <c r="K50" s="21">
        <v>469</v>
      </c>
      <c r="L50" s="21">
        <v>285</v>
      </c>
      <c r="M50" s="21">
        <v>188</v>
      </c>
      <c r="N50" s="21">
        <v>191</v>
      </c>
    </row>
    <row r="51" spans="2:16">
      <c r="D51" s="2" t="s">
        <v>138</v>
      </c>
      <c r="F51" s="19" t="s">
        <v>91</v>
      </c>
      <c r="G51" s="19" t="str">
        <f t="shared" si="0"/>
        <v>%</v>
      </c>
      <c r="J51" s="21">
        <v>-7</v>
      </c>
      <c r="K51" s="21">
        <v>27</v>
      </c>
      <c r="L51" s="21">
        <v>28</v>
      </c>
      <c r="M51" s="21">
        <v>-1</v>
      </c>
      <c r="N51" s="21">
        <v>-12</v>
      </c>
    </row>
    <row r="52" spans="2:16">
      <c r="G52" s="19" t="str">
        <f t="shared" si="0"/>
        <v/>
      </c>
    </row>
    <row r="53" spans="2:16">
      <c r="C53" s="12" t="s">
        <v>139</v>
      </c>
      <c r="D53" s="1"/>
      <c r="E53" s="1"/>
      <c r="F53" s="1"/>
      <c r="G53" s="1"/>
      <c r="H53" s="1"/>
      <c r="I53" s="1"/>
      <c r="J53" s="1"/>
      <c r="K53" s="1"/>
      <c r="L53" s="1"/>
      <c r="M53" s="1"/>
      <c r="N53" s="1"/>
      <c r="O53" s="1"/>
    </row>
    <row r="54" spans="2:16">
      <c r="G54" s="19" t="str">
        <f t="shared" si="0"/>
        <v/>
      </c>
    </row>
    <row r="55" spans="2:16">
      <c r="D55" s="2" t="s">
        <v>139</v>
      </c>
      <c r="F55" s="19" t="s">
        <v>91</v>
      </c>
      <c r="G55" s="19" t="str">
        <f t="shared" si="0"/>
        <v>mln EUR</v>
      </c>
      <c r="J55" s="21">
        <v>-6226</v>
      </c>
      <c r="K55" s="21">
        <v>-3453</v>
      </c>
      <c r="L55" s="21">
        <v>-7315</v>
      </c>
      <c r="M55" s="21">
        <v>-8750</v>
      </c>
      <c r="N55" s="21">
        <v>-9200</v>
      </c>
    </row>
    <row r="56" spans="2:16">
      <c r="G56" s="19" t="str">
        <f t="shared" si="0"/>
        <v/>
      </c>
    </row>
    <row r="57" spans="2:16">
      <c r="B57" s="11" t="s">
        <v>140</v>
      </c>
      <c r="C57" s="11"/>
      <c r="D57" s="11"/>
      <c r="E57" s="11"/>
      <c r="F57" s="11"/>
      <c r="G57" s="11"/>
      <c r="H57" s="11"/>
      <c r="I57" s="11"/>
      <c r="J57" s="11"/>
      <c r="K57" s="11"/>
      <c r="L57" s="11"/>
      <c r="M57" s="11"/>
      <c r="N57" s="11"/>
      <c r="O57" s="11"/>
      <c r="P57" s="27"/>
    </row>
    <row r="59" spans="2:16">
      <c r="C59" s="12" t="s">
        <v>141</v>
      </c>
      <c r="D59" s="1"/>
      <c r="E59" s="1"/>
      <c r="F59" s="1"/>
      <c r="G59" s="1"/>
      <c r="H59" s="1"/>
      <c r="I59" s="1"/>
      <c r="J59" s="1"/>
      <c r="K59" s="1"/>
      <c r="L59" s="1"/>
      <c r="M59" s="1"/>
      <c r="N59" s="1"/>
      <c r="O59" s="1"/>
    </row>
    <row r="60" spans="2:16">
      <c r="G60" s="19" t="str">
        <f t="shared" si="0"/>
        <v/>
      </c>
    </row>
    <row r="61" spans="2:16">
      <c r="D61" s="2" t="s">
        <v>142</v>
      </c>
      <c r="F61" s="19" t="s">
        <v>91</v>
      </c>
      <c r="G61" s="19" t="str">
        <f t="shared" si="0"/>
        <v>mln EUR</v>
      </c>
      <c r="J61" s="21">
        <v>1463</v>
      </c>
      <c r="K61" s="21">
        <v>172</v>
      </c>
      <c r="L61" s="21">
        <v>-512</v>
      </c>
      <c r="M61" s="21">
        <v>-3171</v>
      </c>
      <c r="N61" s="21">
        <v>-3558</v>
      </c>
    </row>
    <row r="62" spans="2:16">
      <c r="D62" s="2" t="s">
        <v>143</v>
      </c>
      <c r="F62" s="19" t="s">
        <v>91</v>
      </c>
      <c r="G62" s="19" t="str">
        <f t="shared" si="0"/>
        <v>mln EUR</v>
      </c>
      <c r="J62" s="21">
        <v>42196</v>
      </c>
      <c r="K62" s="21">
        <v>38429</v>
      </c>
      <c r="L62" s="21">
        <v>39288</v>
      </c>
      <c r="M62" s="21">
        <v>38338</v>
      </c>
      <c r="N62" s="21">
        <v>28598</v>
      </c>
    </row>
    <row r="63" spans="2:16">
      <c r="D63" s="2" t="s">
        <v>144</v>
      </c>
      <c r="F63" s="19" t="s">
        <v>91</v>
      </c>
      <c r="G63" s="19" t="str">
        <f t="shared" si="0"/>
        <v>mln EUR</v>
      </c>
      <c r="J63" s="21">
        <v>-60859</v>
      </c>
      <c r="K63" s="21">
        <v>-51945</v>
      </c>
      <c r="L63" s="21">
        <v>-39473</v>
      </c>
      <c r="M63" s="21">
        <v>-35355</v>
      </c>
      <c r="N63" s="21">
        <v>-30970</v>
      </c>
    </row>
    <row r="64" spans="2:16">
      <c r="D64" s="2" t="s">
        <v>145</v>
      </c>
      <c r="F64" s="19" t="s">
        <v>91</v>
      </c>
      <c r="G64" s="19" t="str">
        <f t="shared" si="0"/>
        <v>mln EUR</v>
      </c>
      <c r="J64" s="21">
        <v>-1444</v>
      </c>
      <c r="K64" s="21">
        <v>-5349</v>
      </c>
      <c r="L64" s="21">
        <v>-5556</v>
      </c>
      <c r="M64" s="21">
        <v>-5486</v>
      </c>
      <c r="N64" s="21">
        <v>-4140</v>
      </c>
    </row>
    <row r="65" spans="2:15">
      <c r="D65" s="2" t="s">
        <v>146</v>
      </c>
      <c r="F65" s="19" t="s">
        <v>91</v>
      </c>
      <c r="G65" s="19" t="str">
        <f t="shared" si="0"/>
        <v>mln EUR</v>
      </c>
      <c r="J65" s="21">
        <v>-366</v>
      </c>
      <c r="K65" s="21">
        <v>-320</v>
      </c>
      <c r="L65" s="21">
        <v>-324</v>
      </c>
      <c r="M65" s="21">
        <v>-239</v>
      </c>
      <c r="N65" s="21">
        <v>-183</v>
      </c>
    </row>
    <row r="66" spans="2:15">
      <c r="D66" s="2" t="s">
        <v>147</v>
      </c>
      <c r="F66" s="19" t="s">
        <v>91</v>
      </c>
      <c r="G66" s="19" t="str">
        <f t="shared" si="0"/>
        <v>mln EUR</v>
      </c>
      <c r="J66" s="21">
        <v>0</v>
      </c>
      <c r="K66" s="21">
        <v>0</v>
      </c>
      <c r="L66" s="21">
        <v>-1941</v>
      </c>
      <c r="M66" s="21">
        <v>-4921</v>
      </c>
      <c r="N66" s="21">
        <v>-360</v>
      </c>
    </row>
    <row r="67" spans="2:15">
      <c r="D67" s="2" t="s">
        <v>148</v>
      </c>
      <c r="F67" s="19" t="s">
        <v>91</v>
      </c>
      <c r="G67" s="19" t="str">
        <f t="shared" si="0"/>
        <v>mln EUR</v>
      </c>
      <c r="J67" s="21">
        <v>-49</v>
      </c>
      <c r="K67" s="21">
        <v>-19</v>
      </c>
      <c r="L67" s="21">
        <v>127</v>
      </c>
      <c r="M67" s="21">
        <v>82</v>
      </c>
      <c r="N67" s="21">
        <v>160</v>
      </c>
    </row>
    <row r="68" spans="2:15">
      <c r="G68" s="19" t="str">
        <f t="shared" si="0"/>
        <v/>
      </c>
    </row>
    <row r="69" spans="2:15">
      <c r="C69" s="12" t="s">
        <v>149</v>
      </c>
      <c r="D69" s="1"/>
      <c r="E69" s="1"/>
      <c r="F69" s="1"/>
      <c r="G69" s="1"/>
      <c r="H69" s="1"/>
      <c r="I69" s="1"/>
      <c r="J69" s="1"/>
      <c r="K69" s="1"/>
      <c r="L69" s="1"/>
      <c r="M69" s="1"/>
      <c r="N69" s="1"/>
      <c r="O69" s="1"/>
    </row>
    <row r="70" spans="2:15">
      <c r="G70" s="19" t="str">
        <f t="shared" si="0"/>
        <v/>
      </c>
    </row>
    <row r="71" spans="2:15">
      <c r="D71" s="2" t="s">
        <v>149</v>
      </c>
      <c r="F71" s="19" t="s">
        <v>91</v>
      </c>
      <c r="G71" s="19" t="str">
        <f t="shared" si="0"/>
        <v>mln EUR</v>
      </c>
      <c r="J71" s="21">
        <v>-19059</v>
      </c>
      <c r="K71" s="21">
        <v>-19032</v>
      </c>
      <c r="L71" s="21">
        <v>-8391</v>
      </c>
      <c r="M71" s="21">
        <v>-10752</v>
      </c>
      <c r="N71" s="21">
        <v>-10453</v>
      </c>
    </row>
    <row r="72" spans="2:15">
      <c r="G72" s="19" t="str">
        <f t="shared" si="0"/>
        <v/>
      </c>
    </row>
    <row r="73" spans="2:15">
      <c r="B73" s="11" t="s">
        <v>150</v>
      </c>
      <c r="C73" s="10"/>
      <c r="D73" s="10"/>
      <c r="E73" s="10"/>
      <c r="F73" s="10"/>
      <c r="G73" s="10"/>
      <c r="H73" s="10"/>
      <c r="I73" s="10"/>
      <c r="J73" s="10"/>
      <c r="K73" s="10"/>
      <c r="L73" s="10"/>
      <c r="M73" s="10"/>
      <c r="N73" s="10"/>
      <c r="O73" s="10"/>
    </row>
    <row r="74" spans="2:15">
      <c r="G74" s="19" t="str">
        <f t="shared" si="0"/>
        <v/>
      </c>
    </row>
    <row r="75" spans="2:15">
      <c r="C75" s="12" t="s">
        <v>151</v>
      </c>
      <c r="D75" s="1"/>
      <c r="E75" s="1"/>
      <c r="F75" s="1"/>
      <c r="G75" s="1"/>
      <c r="H75" s="1"/>
      <c r="I75" s="1"/>
      <c r="J75" s="1"/>
      <c r="K75" s="1"/>
      <c r="L75" s="1"/>
      <c r="M75" s="1"/>
      <c r="N75" s="1"/>
      <c r="O75" s="1"/>
    </row>
    <row r="76" spans="2:15">
      <c r="G76" s="19" t="str">
        <f t="shared" ref="G76:G84" si="1">IF(M76="","",IF(AND(M76&gt;=-1,M76&lt;=1), "%","mln EUR"))</f>
        <v/>
      </c>
    </row>
    <row r="77" spans="2:15">
      <c r="D77" s="2" t="s">
        <v>151</v>
      </c>
      <c r="F77" s="19" t="s">
        <v>91</v>
      </c>
      <c r="G77" s="19" t="str">
        <f t="shared" si="1"/>
        <v>mln EUR</v>
      </c>
      <c r="J77" s="21">
        <v>23182</v>
      </c>
      <c r="K77" s="21">
        <v>17679</v>
      </c>
      <c r="L77" s="21">
        <v>15972</v>
      </c>
      <c r="M77" s="21">
        <v>14516</v>
      </c>
      <c r="N77" s="21">
        <v>12276</v>
      </c>
    </row>
    <row r="78" spans="2:15">
      <c r="D78" s="2" t="s">
        <v>152</v>
      </c>
      <c r="F78" s="19" t="s">
        <v>91</v>
      </c>
      <c r="G78" s="19" t="str">
        <f t="shared" si="1"/>
        <v>mln EUR</v>
      </c>
      <c r="J78" s="21">
        <v>62</v>
      </c>
      <c r="K78" s="21">
        <v>0</v>
      </c>
      <c r="L78" s="21">
        <v>10</v>
      </c>
      <c r="M78" s="21">
        <v>5</v>
      </c>
      <c r="N78" s="21">
        <v>22</v>
      </c>
    </row>
    <row r="79" spans="2:15">
      <c r="G79" s="19" t="str">
        <f t="shared" si="1"/>
        <v/>
      </c>
    </row>
    <row r="80" spans="2:15">
      <c r="D80" s="2" t="s">
        <v>153</v>
      </c>
      <c r="F80" s="19" t="s">
        <v>91</v>
      </c>
      <c r="G80" s="19" t="str">
        <f t="shared" si="1"/>
        <v>mln EUR</v>
      </c>
      <c r="J80" s="21">
        <v>23120</v>
      </c>
      <c r="K80" s="21">
        <v>17679</v>
      </c>
      <c r="L80" s="21">
        <v>15962</v>
      </c>
      <c r="M80" s="21">
        <v>14511</v>
      </c>
      <c r="N80" s="21">
        <v>12254</v>
      </c>
    </row>
    <row r="81" spans="3:15">
      <c r="G81" s="19" t="str">
        <f t="shared" si="1"/>
        <v/>
      </c>
    </row>
    <row r="82" spans="3:15">
      <c r="C82" s="12" t="s">
        <v>154</v>
      </c>
      <c r="D82" s="1"/>
      <c r="E82" s="1"/>
      <c r="F82" s="1"/>
      <c r="G82" s="1" t="str">
        <f t="shared" si="1"/>
        <v/>
      </c>
      <c r="H82" s="1"/>
      <c r="I82" s="1"/>
      <c r="J82" s="1"/>
      <c r="K82" s="1"/>
      <c r="L82" s="1"/>
      <c r="M82" s="1"/>
      <c r="N82" s="1"/>
      <c r="O82" s="1"/>
    </row>
    <row r="83" spans="3:15">
      <c r="G83" s="19" t="str">
        <f t="shared" si="1"/>
        <v/>
      </c>
    </row>
    <row r="84" spans="3:15">
      <c r="D84" s="2" t="s">
        <v>154</v>
      </c>
      <c r="F84" s="22" t="s">
        <v>93</v>
      </c>
      <c r="G84" s="19" t="str">
        <f t="shared" si="1"/>
        <v>mln EUR</v>
      </c>
      <c r="J84" s="24">
        <f>J77-J11</f>
        <v>134</v>
      </c>
      <c r="K84" s="24">
        <f t="shared" ref="K84:N84" si="2">K77-K11</f>
        <v>-5503</v>
      </c>
      <c r="L84" s="24">
        <f t="shared" si="2"/>
        <v>-1707</v>
      </c>
      <c r="M84" s="24">
        <f t="shared" si="2"/>
        <v>-1456</v>
      </c>
      <c r="N84" s="24">
        <f t="shared" si="2"/>
        <v>-2240</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workbookViewId="0">
      <selection activeCell="K33" sqref="K33"/>
    </sheetView>
  </sheetViews>
  <sheetFormatPr baseColWidth="10" defaultColWidth="8.83203125"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B9B0C-480C-4CB6-82C0-A7393750E01F}">
  <sheetPr>
    <tabColor theme="5" tint="0.79998168889431442"/>
  </sheetPr>
  <dimension ref="A5:S30"/>
  <sheetViews>
    <sheetView showGridLines="0" zoomScale="133" zoomScaleNormal="130" workbookViewId="0">
      <selection activeCell="E5" sqref="E5"/>
    </sheetView>
  </sheetViews>
  <sheetFormatPr baseColWidth="10" defaultColWidth="9.1640625" defaultRowHeight="14"/>
  <cols>
    <col min="1" max="4" width="3.33203125" style="44" customWidth="1"/>
    <col min="5" max="5" width="36.83203125" style="44" customWidth="1"/>
    <col min="6" max="6" width="10" style="44" customWidth="1"/>
    <col min="7" max="7" width="9.1640625" style="44"/>
    <col min="8" max="8" width="3.33203125" style="44" customWidth="1"/>
    <col min="9" max="16384" width="9.1640625" style="44"/>
  </cols>
  <sheetData>
    <row r="5" spans="1:19">
      <c r="A5" s="73" t="s">
        <v>177</v>
      </c>
      <c r="B5" s="74"/>
      <c r="C5" s="74"/>
      <c r="D5" s="74"/>
      <c r="E5" s="74"/>
      <c r="F5" s="71" t="s">
        <v>27</v>
      </c>
      <c r="G5" s="71" t="s">
        <v>28</v>
      </c>
      <c r="H5" s="71"/>
      <c r="I5" s="71" t="s">
        <v>29</v>
      </c>
      <c r="J5" s="71" t="s">
        <v>30</v>
      </c>
      <c r="K5" s="71" t="s">
        <v>31</v>
      </c>
      <c r="L5" s="71" t="s">
        <v>32</v>
      </c>
      <c r="M5" s="71" t="s">
        <v>33</v>
      </c>
      <c r="N5" s="71" t="s">
        <v>34</v>
      </c>
      <c r="O5" s="42"/>
      <c r="P5" s="42"/>
      <c r="Q5" s="42"/>
      <c r="R5" s="42"/>
      <c r="S5" s="42"/>
    </row>
    <row r="8" spans="1:19">
      <c r="D8" s="57" t="s">
        <v>186</v>
      </c>
      <c r="F8" s="58" t="s">
        <v>172</v>
      </c>
      <c r="G8" s="45" t="str">
        <f t="shared" ref="G8:G16" si="0">IF(M8="","",IF(AND(M8&gt;=-1,M8&lt;=1), "%","mln EUR"))</f>
        <v>mln EUR</v>
      </c>
      <c r="J8" s="59">
        <f>PL!J39</f>
        <v>16028</v>
      </c>
      <c r="K8" s="59">
        <f>PL!K39</f>
        <v>20458</v>
      </c>
      <c r="L8" s="59">
        <f>PL!L39</f>
        <v>19660</v>
      </c>
      <c r="M8" s="59">
        <f>PL!M39</f>
        <v>13599</v>
      </c>
      <c r="N8" s="59">
        <f>PL!N39</f>
        <v>5820</v>
      </c>
    </row>
    <row r="9" spans="1:19">
      <c r="D9" s="44" t="s">
        <v>185</v>
      </c>
      <c r="F9" s="58" t="s">
        <v>184</v>
      </c>
      <c r="G9" s="45" t="str">
        <f t="shared" si="0"/>
        <v>mln EUR</v>
      </c>
      <c r="J9" s="60">
        <v>15066</v>
      </c>
      <c r="K9" s="60">
        <v>13891</v>
      </c>
      <c r="L9" s="60">
        <v>13697</v>
      </c>
      <c r="M9" s="60">
        <v>14680</v>
      </c>
      <c r="N9" s="233">
        <f>15121</f>
        <v>15121</v>
      </c>
    </row>
    <row r="10" spans="1:19">
      <c r="F10" s="61"/>
      <c r="G10" s="45" t="str">
        <f t="shared" si="0"/>
        <v/>
      </c>
      <c r="J10" s="62"/>
      <c r="K10" s="62"/>
      <c r="L10" s="62"/>
      <c r="M10" s="62"/>
    </row>
    <row r="11" spans="1:19">
      <c r="D11" s="44" t="s">
        <v>183</v>
      </c>
      <c r="F11" s="61"/>
      <c r="G11" s="45" t="str">
        <f t="shared" si="0"/>
        <v/>
      </c>
    </row>
    <row r="12" spans="1:19">
      <c r="F12" s="61"/>
      <c r="G12" s="45" t="str">
        <f t="shared" si="0"/>
        <v/>
      </c>
    </row>
    <row r="13" spans="1:19">
      <c r="D13" s="44" t="s">
        <v>182</v>
      </c>
      <c r="F13" s="58" t="s">
        <v>187</v>
      </c>
      <c r="G13" s="45" t="str">
        <f t="shared" si="0"/>
        <v>mln EUR</v>
      </c>
      <c r="J13" s="60">
        <v>-2888</v>
      </c>
      <c r="K13" s="60">
        <v>-3323</v>
      </c>
      <c r="L13" s="60">
        <v>-2206</v>
      </c>
      <c r="M13" s="60">
        <v>-2507</v>
      </c>
      <c r="N13" s="60">
        <f>-1551</f>
        <v>-1551</v>
      </c>
    </row>
    <row r="14" spans="1:19">
      <c r="D14" s="44" t="s">
        <v>181</v>
      </c>
      <c r="F14" s="58" t="s">
        <v>187</v>
      </c>
      <c r="G14" s="45" t="str">
        <f t="shared" si="0"/>
        <v>mln EUR</v>
      </c>
      <c r="J14" s="60">
        <v>1735</v>
      </c>
      <c r="K14" s="60">
        <v>1289</v>
      </c>
      <c r="L14" s="60">
        <v>516</v>
      </c>
      <c r="M14" s="60">
        <v>483</v>
      </c>
      <c r="N14" s="60">
        <f>1025</f>
        <v>1025</v>
      </c>
    </row>
    <row r="15" spans="1:19">
      <c r="D15" s="44" t="s">
        <v>179</v>
      </c>
      <c r="F15" s="58" t="s">
        <v>180</v>
      </c>
      <c r="G15" s="45" t="str">
        <f t="shared" si="0"/>
        <v>mln EUR</v>
      </c>
      <c r="J15" s="60">
        <v>-317</v>
      </c>
      <c r="K15" s="60">
        <v>-340</v>
      </c>
      <c r="L15" s="60">
        <v>-108</v>
      </c>
      <c r="M15" s="60">
        <v>37</v>
      </c>
      <c r="N15" s="60">
        <f>-93</f>
        <v>-93</v>
      </c>
    </row>
    <row r="16" spans="1:19">
      <c r="D16" s="44" t="s">
        <v>178</v>
      </c>
      <c r="F16" s="58" t="s">
        <v>188</v>
      </c>
      <c r="G16" s="45" t="str">
        <f t="shared" si="0"/>
        <v>mln EUR</v>
      </c>
      <c r="J16" s="60">
        <v>-1352</v>
      </c>
      <c r="K16" s="60">
        <v>-1732</v>
      </c>
      <c r="L16" s="60">
        <v>-2129</v>
      </c>
      <c r="M16" s="60">
        <v>-1138</v>
      </c>
      <c r="N16" s="60">
        <f>-1118</f>
        <v>-1118</v>
      </c>
    </row>
    <row r="18" spans="2:14">
      <c r="D18" s="63" t="s">
        <v>177</v>
      </c>
      <c r="F18" s="58" t="s">
        <v>93</v>
      </c>
      <c r="J18" s="72">
        <f>J8+J9+J13+J14+J15+J16</f>
        <v>28272</v>
      </c>
      <c r="K18" s="72">
        <f t="shared" ref="K18:M18" si="1">K8+K9+K13+K14+K15+K16</f>
        <v>30243</v>
      </c>
      <c r="L18" s="72">
        <f t="shared" si="1"/>
        <v>29430</v>
      </c>
      <c r="M18" s="72">
        <f t="shared" si="1"/>
        <v>25154</v>
      </c>
      <c r="N18" s="72">
        <f>N8+N9+N13+N14+N15+N16</f>
        <v>19204</v>
      </c>
    </row>
    <row r="19" spans="2:14">
      <c r="D19" s="63"/>
      <c r="J19" s="64"/>
      <c r="K19" s="64"/>
      <c r="L19" s="64"/>
      <c r="M19" s="64"/>
      <c r="N19" s="64"/>
    </row>
    <row r="20" spans="2:14" ht="15" customHeight="1">
      <c r="C20" s="68" t="s">
        <v>176</v>
      </c>
      <c r="D20" s="69"/>
      <c r="E20" s="69"/>
    </row>
    <row r="22" spans="2:14">
      <c r="D22" s="44" t="s">
        <v>176</v>
      </c>
      <c r="F22" s="58" t="s">
        <v>172</v>
      </c>
      <c r="G22" s="45" t="str">
        <f>IF(M22="","",IF(AND(M22&gt;=-1,M22&lt;=1), "%","mln EUR"))</f>
        <v>mln EUR</v>
      </c>
      <c r="J22" s="59">
        <f>PL!J52</f>
        <v>23396</v>
      </c>
      <c r="K22" s="59">
        <f>PL!K52</f>
        <v>14809</v>
      </c>
      <c r="L22" s="59">
        <f>PL!L52</f>
        <v>14531</v>
      </c>
      <c r="M22" s="59">
        <f>PL!M52</f>
        <v>10409</v>
      </c>
      <c r="N22" s="59">
        <f>PL!N52</f>
        <v>5331</v>
      </c>
    </row>
    <row r="23" spans="2:14">
      <c r="D23" s="44" t="s">
        <v>96</v>
      </c>
      <c r="F23" s="58" t="s">
        <v>172</v>
      </c>
      <c r="G23" s="45" t="str">
        <f>IF(M23="","",IF(AND(M23&gt;=-1,M23&lt;=1), "%","mln EUR"))</f>
        <v>mln EUR</v>
      </c>
      <c r="J23" s="59">
        <f>PL!J11</f>
        <v>133893</v>
      </c>
      <c r="K23" s="59">
        <f>PL!K11</f>
        <v>150017</v>
      </c>
      <c r="L23" s="59">
        <f>PL!L11</f>
        <v>152390</v>
      </c>
      <c r="M23" s="59">
        <f>PL!M11</f>
        <v>145594</v>
      </c>
      <c r="N23" s="59">
        <f>PL!N11</f>
        <v>132214</v>
      </c>
    </row>
    <row r="24" spans="2:14">
      <c r="E24" s="46"/>
    </row>
    <row r="25" spans="2:14">
      <c r="C25" s="68" t="s">
        <v>175</v>
      </c>
      <c r="D25" s="69"/>
      <c r="E25" s="69"/>
    </row>
    <row r="27" spans="2:14">
      <c r="D27" s="44" t="s">
        <v>174</v>
      </c>
      <c r="F27" s="58" t="s">
        <v>93</v>
      </c>
      <c r="G27" s="45" t="str">
        <f>IF(M27="","",IF(AND(M27&gt;=-1,M27&lt;=1), "%","mln EUR"))</f>
        <v>%</v>
      </c>
      <c r="J27" s="65">
        <f>J18/J23</f>
        <v>0.21115368241805024</v>
      </c>
      <c r="K27" s="65">
        <f>K18/K23</f>
        <v>0.20159715232273676</v>
      </c>
      <c r="L27" s="65">
        <f>L18/L23</f>
        <v>0.19312290832731807</v>
      </c>
      <c r="M27" s="65">
        <f>M18/M23</f>
        <v>0.17276810857590286</v>
      </c>
      <c r="N27" s="65">
        <f>N18/N23</f>
        <v>0.14524936844812197</v>
      </c>
    </row>
    <row r="28" spans="2:14">
      <c r="D28" s="44" t="s">
        <v>173</v>
      </c>
      <c r="F28" s="58" t="s">
        <v>172</v>
      </c>
      <c r="G28" s="45" t="str">
        <f>IF(M28="","",IF(AND(M28&gt;=-1,M28&lt;=1), "%","mln EUR"))</f>
        <v>%</v>
      </c>
      <c r="J28" s="66">
        <f>J8/J23</f>
        <v>0.11970752765267788</v>
      </c>
      <c r="K28" s="66">
        <f t="shared" ref="K28:N28" si="2">K8/K23</f>
        <v>0.13637121126272356</v>
      </c>
      <c r="L28" s="66">
        <f t="shared" si="2"/>
        <v>0.12901108996653324</v>
      </c>
      <c r="M28" s="66">
        <f t="shared" si="2"/>
        <v>9.3403574323117716E-2</v>
      </c>
      <c r="N28" s="66">
        <f t="shared" si="2"/>
        <v>4.4019544072488544E-2</v>
      </c>
    </row>
    <row r="29" spans="2:14">
      <c r="J29" s="67"/>
      <c r="K29" s="67"/>
      <c r="L29" s="67"/>
      <c r="M29" s="67"/>
      <c r="N29" s="67"/>
    </row>
    <row r="30" spans="2:14">
      <c r="B30" s="43"/>
    </row>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tint="0.79998168889431442"/>
  </sheetPr>
  <dimension ref="B1:F7"/>
  <sheetViews>
    <sheetView showGridLines="0" zoomScale="125" workbookViewId="0">
      <selection activeCell="C11" sqref="C11"/>
    </sheetView>
  </sheetViews>
  <sheetFormatPr baseColWidth="10" defaultColWidth="8.83203125" defaultRowHeight="15"/>
  <cols>
    <col min="3" max="3" width="47.6640625" bestFit="1" customWidth="1"/>
    <col min="4" max="4" width="11.1640625" bestFit="1" customWidth="1"/>
    <col min="5" max="5" width="40.6640625" bestFit="1" customWidth="1"/>
  </cols>
  <sheetData>
    <row r="1" spans="2:6">
      <c r="B1" s="14"/>
      <c r="C1" s="14" t="s">
        <v>374</v>
      </c>
      <c r="D1" s="14" t="s">
        <v>314</v>
      </c>
      <c r="E1" s="14" t="s">
        <v>27</v>
      </c>
      <c r="F1" s="14"/>
    </row>
    <row r="3" spans="2:6">
      <c r="C3" t="s">
        <v>378</v>
      </c>
      <c r="D3">
        <v>52.19</v>
      </c>
      <c r="E3" s="37" t="s">
        <v>379</v>
      </c>
    </row>
    <row r="4" spans="2:6">
      <c r="C4" t="s">
        <v>377</v>
      </c>
      <c r="D4">
        <f>962903703/1000000</f>
        <v>962.90370299999995</v>
      </c>
      <c r="E4" s="37" t="s">
        <v>371</v>
      </c>
    </row>
    <row r="5" spans="2:6">
      <c r="C5" t="s">
        <v>56</v>
      </c>
      <c r="D5">
        <f>BS!N57</f>
        <v>12254</v>
      </c>
      <c r="E5" t="s">
        <v>91</v>
      </c>
    </row>
    <row r="6" spans="2:6">
      <c r="C6" t="s">
        <v>375</v>
      </c>
      <c r="D6" s="186">
        <f>BS!N95+BS!N129+888</f>
        <v>100894</v>
      </c>
      <c r="E6" t="s">
        <v>372</v>
      </c>
    </row>
    <row r="7" spans="2:6">
      <c r="C7" t="s">
        <v>376</v>
      </c>
      <c r="D7" s="186">
        <f>D6-BS!N57</f>
        <v>88640</v>
      </c>
      <c r="E7" t="s">
        <v>91</v>
      </c>
    </row>
  </sheetData>
  <phoneticPr fontId="22" type="noConversion"/>
  <hyperlinks>
    <hyperlink ref="E4" r:id="rId1" xr:uid="{DB62AFC4-7C89-8E42-8F75-F3D57810CCB0}"/>
    <hyperlink ref="E3" r:id="rId2" xr:uid="{C6F9E0D1-2F80-6741-B071-D998AD9682A6}"/>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showGridLines="0" workbookViewId="0"/>
  </sheetViews>
  <sheetFormatPr baseColWidth="10" defaultColWidth="8.83203125" defaultRowHeight="1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FCB70-796A-C940-8BBA-E06D59F2A52F}">
  <sheetPr>
    <tabColor theme="9" tint="0.79998168889431442"/>
  </sheetPr>
  <dimension ref="A1:O128"/>
  <sheetViews>
    <sheetView zoomScale="69" zoomScaleNormal="145" workbookViewId="0"/>
  </sheetViews>
  <sheetFormatPr baseColWidth="10" defaultColWidth="8.83203125" defaultRowHeight="15"/>
  <cols>
    <col min="1" max="3" width="8.83203125" style="40"/>
    <col min="4" max="4" width="40.5" style="40" bestFit="1" customWidth="1"/>
    <col min="5" max="5" width="10.5" style="40" bestFit="1" customWidth="1"/>
    <col min="6" max="6" width="23.5" style="40" customWidth="1"/>
    <col min="7" max="7" width="9.83203125" style="40" bestFit="1" customWidth="1"/>
    <col min="8" max="8" width="8.83203125" style="40"/>
    <col min="9" max="9" width="22.5" style="40" customWidth="1"/>
    <col min="10" max="16384" width="8.83203125" style="40"/>
  </cols>
  <sheetData>
    <row r="1" spans="1:9">
      <c r="A1" s="40" t="s">
        <v>189</v>
      </c>
    </row>
    <row r="3" spans="1:9">
      <c r="C3" s="41"/>
      <c r="D3" s="41"/>
      <c r="E3" s="42" t="s">
        <v>27</v>
      </c>
      <c r="F3" s="42" t="s">
        <v>28</v>
      </c>
      <c r="G3" s="42"/>
      <c r="H3" s="42" t="s">
        <v>29</v>
      </c>
      <c r="I3" s="42" t="s">
        <v>34</v>
      </c>
    </row>
    <row r="4" spans="1:9">
      <c r="B4" s="68" t="s">
        <v>94</v>
      </c>
      <c r="C4" s="70"/>
      <c r="D4" s="70"/>
      <c r="E4" s="71"/>
      <c r="F4" s="71" t="s">
        <v>27</v>
      </c>
      <c r="G4" s="71" t="s">
        <v>28</v>
      </c>
      <c r="H4" s="71"/>
      <c r="I4" s="71" t="s">
        <v>34</v>
      </c>
    </row>
    <row r="5" spans="1:9">
      <c r="B5" s="80" t="s">
        <v>196</v>
      </c>
      <c r="C5" s="44"/>
      <c r="D5" s="44"/>
      <c r="E5" s="44"/>
      <c r="F5" s="44"/>
      <c r="G5" s="44"/>
      <c r="H5" s="44"/>
      <c r="I5" s="44"/>
    </row>
    <row r="6" spans="1:9">
      <c r="B6" s="44"/>
      <c r="C6" s="44"/>
      <c r="D6" s="43" t="s">
        <v>96</v>
      </c>
      <c r="E6" s="44"/>
      <c r="F6" s="45" t="s">
        <v>91</v>
      </c>
      <c r="G6" s="45" t="s">
        <v>190</v>
      </c>
      <c r="H6" s="44"/>
      <c r="I6" s="53">
        <v>133453</v>
      </c>
    </row>
    <row r="7" spans="1:9">
      <c r="B7" s="44"/>
      <c r="C7" s="44"/>
      <c r="D7" s="44"/>
      <c r="E7" s="46"/>
      <c r="F7" s="45"/>
      <c r="G7" s="45" t="str">
        <f t="shared" ref="G7:G28" si="0">IF(I7="","",IF(AND(I7&gt;=-1,I7&lt;=1), "%","mln EUR"))</f>
        <v/>
      </c>
      <c r="H7" s="44"/>
      <c r="I7" s="54"/>
    </row>
    <row r="8" spans="1:9">
      <c r="B8" s="44"/>
      <c r="C8" s="44"/>
      <c r="D8" s="44" t="s">
        <v>97</v>
      </c>
      <c r="E8" s="44"/>
      <c r="F8" s="45" t="s">
        <v>91</v>
      </c>
      <c r="G8" s="45" t="str">
        <f t="shared" si="0"/>
        <v>mln EUR</v>
      </c>
      <c r="H8" s="44"/>
      <c r="I8" s="54">
        <f>-112858</f>
        <v>-112858</v>
      </c>
    </row>
    <row r="9" spans="1:9">
      <c r="B9" s="44"/>
      <c r="C9" s="44"/>
      <c r="D9" s="44"/>
      <c r="E9" s="46"/>
      <c r="F9" s="45"/>
      <c r="G9" s="45" t="str">
        <f t="shared" si="0"/>
        <v/>
      </c>
      <c r="H9" s="44"/>
      <c r="I9" s="54"/>
    </row>
    <row r="10" spans="1:9">
      <c r="B10" s="44"/>
      <c r="C10" s="44"/>
      <c r="D10" s="47" t="s">
        <v>98</v>
      </c>
      <c r="E10" s="48"/>
      <c r="F10" s="49" t="s">
        <v>91</v>
      </c>
      <c r="G10" s="49" t="str">
        <f t="shared" si="0"/>
        <v>mln EUR</v>
      </c>
      <c r="H10" s="48"/>
      <c r="I10" s="55">
        <f>I8+I6</f>
        <v>20595</v>
      </c>
    </row>
    <row r="11" spans="1:9">
      <c r="B11" s="44"/>
      <c r="C11" s="44"/>
      <c r="D11" s="44"/>
      <c r="E11" s="44"/>
      <c r="F11" s="44"/>
      <c r="G11" s="45" t="str">
        <f t="shared" si="0"/>
        <v/>
      </c>
      <c r="H11" s="44"/>
      <c r="I11" s="54"/>
    </row>
    <row r="12" spans="1:9">
      <c r="B12" s="44"/>
      <c r="C12" s="44"/>
      <c r="D12" s="44" t="s">
        <v>191</v>
      </c>
      <c r="E12" s="44"/>
      <c r="F12" s="45" t="s">
        <v>91</v>
      </c>
      <c r="G12" s="45" t="str">
        <f t="shared" si="0"/>
        <v>mln EUR</v>
      </c>
      <c r="H12" s="44"/>
      <c r="I12" s="54">
        <f>-10606</f>
        <v>-10606</v>
      </c>
    </row>
    <row r="13" spans="1:9">
      <c r="B13" s="44"/>
      <c r="C13" s="44"/>
      <c r="D13" s="44"/>
      <c r="E13" s="46"/>
      <c r="F13" s="45"/>
      <c r="G13" s="45" t="str">
        <f t="shared" si="0"/>
        <v/>
      </c>
      <c r="H13" s="44"/>
      <c r="I13" s="54"/>
    </row>
    <row r="14" spans="1:9">
      <c r="B14" s="44"/>
      <c r="C14" s="44"/>
      <c r="D14" s="44" t="s">
        <v>102</v>
      </c>
      <c r="E14" s="44"/>
      <c r="F14" s="45" t="s">
        <v>91</v>
      </c>
      <c r="G14" s="45" t="s">
        <v>190</v>
      </c>
      <c r="H14" s="44"/>
      <c r="I14" s="54">
        <f>1556-1359</f>
        <v>197</v>
      </c>
    </row>
    <row r="15" spans="1:9">
      <c r="B15" s="44"/>
      <c r="C15" s="44"/>
      <c r="D15" s="44"/>
      <c r="E15" s="46"/>
      <c r="F15" s="45"/>
      <c r="G15" s="45" t="str">
        <f t="shared" si="0"/>
        <v/>
      </c>
      <c r="H15" s="44"/>
      <c r="I15" s="54"/>
    </row>
    <row r="16" spans="1:9">
      <c r="B16" s="44"/>
      <c r="C16" s="44"/>
      <c r="D16" s="44" t="s">
        <v>103</v>
      </c>
      <c r="E16" s="44"/>
      <c r="F16" s="45" t="s">
        <v>91</v>
      </c>
      <c r="G16" s="45" t="str">
        <f t="shared" si="0"/>
        <v>mln EUR</v>
      </c>
      <c r="H16" s="44"/>
      <c r="I16" s="54">
        <v>38</v>
      </c>
    </row>
    <row r="17" spans="2:10">
      <c r="B17" s="44"/>
      <c r="C17" s="44"/>
      <c r="D17" s="44"/>
      <c r="E17" s="46"/>
      <c r="F17" s="45"/>
      <c r="G17" s="45" t="str">
        <f t="shared" si="0"/>
        <v/>
      </c>
      <c r="H17" s="44"/>
      <c r="I17" s="54"/>
    </row>
    <row r="18" spans="2:10">
      <c r="B18" s="44"/>
      <c r="C18" s="44"/>
      <c r="D18" s="44" t="s">
        <v>104</v>
      </c>
      <c r="E18" s="44"/>
      <c r="F18" s="45" t="s">
        <v>91</v>
      </c>
      <c r="G18" s="45" t="str">
        <f t="shared" si="0"/>
        <v>mln EUR</v>
      </c>
      <c r="H18" s="44"/>
      <c r="I18" s="54">
        <v>72</v>
      </c>
    </row>
    <row r="19" spans="2:10">
      <c r="B19" s="44"/>
      <c r="C19" s="44"/>
      <c r="D19" s="44"/>
      <c r="E19" s="46"/>
      <c r="F19" s="45"/>
      <c r="G19" s="45" t="str">
        <f t="shared" si="0"/>
        <v/>
      </c>
      <c r="H19" s="44"/>
      <c r="I19" s="54"/>
    </row>
    <row r="20" spans="2:10">
      <c r="B20" s="44"/>
      <c r="C20" s="44"/>
      <c r="D20" s="47" t="s">
        <v>105</v>
      </c>
      <c r="E20" s="48"/>
      <c r="F20" s="49" t="s">
        <v>91</v>
      </c>
      <c r="G20" s="49" t="str">
        <f t="shared" si="0"/>
        <v>mln EUR</v>
      </c>
      <c r="H20" s="48"/>
      <c r="I20" s="55">
        <f>I10+I12+I14+I16+I18</f>
        <v>10296</v>
      </c>
    </row>
    <row r="21" spans="2:10">
      <c r="B21" s="44"/>
      <c r="C21" s="44"/>
      <c r="D21" s="44"/>
      <c r="E21" s="46"/>
      <c r="F21" s="45"/>
      <c r="G21" s="45" t="str">
        <f t="shared" si="0"/>
        <v/>
      </c>
      <c r="H21" s="44"/>
      <c r="I21" s="54"/>
    </row>
    <row r="22" spans="2:10">
      <c r="B22" s="44"/>
      <c r="C22" s="44"/>
      <c r="D22" s="44" t="s">
        <v>106</v>
      </c>
      <c r="E22" s="44"/>
      <c r="F22" s="45" t="s">
        <v>91</v>
      </c>
      <c r="G22" s="45" t="str">
        <f t="shared" si="0"/>
        <v>mln EUR</v>
      </c>
      <c r="H22" s="44"/>
      <c r="I22" s="54">
        <f>502-562</f>
        <v>-60</v>
      </c>
    </row>
    <row r="23" spans="2:10">
      <c r="B23" s="44"/>
      <c r="C23" s="44"/>
      <c r="D23" s="44"/>
      <c r="E23" s="46"/>
      <c r="F23" s="45"/>
      <c r="G23" s="45" t="str">
        <f t="shared" si="0"/>
        <v/>
      </c>
      <c r="H23" s="44"/>
      <c r="I23" s="54"/>
    </row>
    <row r="24" spans="2:10">
      <c r="B24" s="44"/>
      <c r="C24" s="44"/>
      <c r="D24" s="44" t="s">
        <v>107</v>
      </c>
      <c r="E24" s="44"/>
      <c r="F24" s="45" t="s">
        <v>91</v>
      </c>
      <c r="G24" s="45" t="str">
        <f t="shared" si="0"/>
        <v>mln EUR</v>
      </c>
      <c r="H24" s="44"/>
      <c r="I24" s="54">
        <f>10236</f>
        <v>10236</v>
      </c>
    </row>
    <row r="25" spans="2:10">
      <c r="B25" s="44"/>
      <c r="C25" s="44"/>
      <c r="D25" s="44"/>
      <c r="E25" s="46"/>
      <c r="F25" s="45"/>
      <c r="G25" s="45" t="str">
        <f t="shared" si="0"/>
        <v/>
      </c>
      <c r="H25" s="44"/>
      <c r="I25" s="54"/>
    </row>
    <row r="26" spans="2:10">
      <c r="B26" s="44"/>
      <c r="C26" s="44"/>
      <c r="D26" s="44" t="s">
        <v>108</v>
      </c>
      <c r="E26" s="44"/>
      <c r="F26" s="45" t="s">
        <v>91</v>
      </c>
      <c r="G26" s="45" t="str">
        <f t="shared" si="0"/>
        <v>mln EUR</v>
      </c>
      <c r="H26" s="44"/>
      <c r="I26" s="54">
        <f>-2785</f>
        <v>-2785</v>
      </c>
    </row>
    <row r="27" spans="2:10">
      <c r="B27" s="44"/>
      <c r="C27" s="44"/>
      <c r="D27" s="44"/>
      <c r="E27" s="46"/>
      <c r="F27" s="45"/>
      <c r="G27" s="45" t="str">
        <f t="shared" si="0"/>
        <v/>
      </c>
      <c r="H27" s="44"/>
      <c r="I27" s="54"/>
    </row>
    <row r="28" spans="2:10">
      <c r="B28" s="44"/>
      <c r="C28" s="44"/>
      <c r="D28" s="47" t="s">
        <v>109</v>
      </c>
      <c r="E28" s="48"/>
      <c r="F28" s="49" t="s">
        <v>91</v>
      </c>
      <c r="G28" s="49" t="str">
        <f t="shared" si="0"/>
        <v>mln EUR</v>
      </c>
      <c r="H28" s="48"/>
      <c r="I28" s="55">
        <f>7451</f>
        <v>7451</v>
      </c>
    </row>
    <row r="29" spans="2:10">
      <c r="I29" s="52"/>
    </row>
    <row r="31" spans="2:10">
      <c r="C31" s="68" t="s">
        <v>177</v>
      </c>
      <c r="D31" s="69"/>
      <c r="E31" s="69"/>
      <c r="F31" s="69"/>
      <c r="G31" s="69"/>
      <c r="H31" s="69"/>
      <c r="I31" s="69"/>
      <c r="J31" s="75"/>
    </row>
    <row r="32" spans="2:10">
      <c r="B32" s="44"/>
      <c r="C32" s="44"/>
      <c r="D32" s="44"/>
      <c r="E32" s="44"/>
      <c r="F32" s="44"/>
      <c r="G32" s="44"/>
      <c r="H32" s="44"/>
      <c r="I32" s="44"/>
      <c r="J32" s="44"/>
    </row>
    <row r="33" spans="2:9">
      <c r="B33" s="44"/>
      <c r="C33" s="44"/>
      <c r="D33" s="57" t="s">
        <v>186</v>
      </c>
      <c r="E33" s="44"/>
      <c r="F33" s="58" t="s">
        <v>172</v>
      </c>
      <c r="G33" s="45" t="str">
        <f t="shared" ref="G33:G41" si="1">IF(M33="","",IF(AND(M33&gt;=-1,M33&lt;=1), "%","mln EUR"))</f>
        <v/>
      </c>
      <c r="H33" s="44"/>
      <c r="I33" s="59">
        <f>I20</f>
        <v>10296</v>
      </c>
    </row>
    <row r="34" spans="2:9">
      <c r="B34" s="44"/>
      <c r="C34" s="44"/>
      <c r="D34" s="44" t="s">
        <v>185</v>
      </c>
      <c r="E34" s="44"/>
      <c r="F34" s="58" t="s">
        <v>194</v>
      </c>
      <c r="G34" s="45" t="str">
        <f t="shared" si="1"/>
        <v/>
      </c>
      <c r="H34" s="44"/>
      <c r="I34" s="60">
        <v>15219</v>
      </c>
    </row>
    <row r="35" spans="2:9">
      <c r="B35" s="44"/>
      <c r="C35" s="44"/>
      <c r="D35" s="44"/>
      <c r="E35" s="44"/>
      <c r="F35" s="61"/>
      <c r="G35" s="45" t="str">
        <f t="shared" si="1"/>
        <v/>
      </c>
      <c r="H35" s="44"/>
      <c r="I35" s="62"/>
    </row>
    <row r="36" spans="2:9">
      <c r="B36" s="44"/>
      <c r="C36" s="44"/>
      <c r="D36" s="44" t="s">
        <v>183</v>
      </c>
      <c r="E36" s="44"/>
      <c r="F36" s="61"/>
      <c r="G36" s="45" t="str">
        <f t="shared" si="1"/>
        <v/>
      </c>
      <c r="H36" s="44"/>
      <c r="I36" s="44"/>
    </row>
    <row r="37" spans="2:9">
      <c r="B37" s="44"/>
      <c r="C37" s="44"/>
      <c r="D37" s="44"/>
      <c r="E37" s="44"/>
      <c r="F37" s="61"/>
      <c r="G37" s="45" t="str">
        <f t="shared" si="1"/>
        <v/>
      </c>
      <c r="H37" s="44"/>
      <c r="I37" s="44"/>
    </row>
    <row r="38" spans="2:9">
      <c r="B38" s="44"/>
      <c r="C38" s="44"/>
      <c r="D38" s="44" t="s">
        <v>182</v>
      </c>
      <c r="E38" s="44"/>
      <c r="F38" s="58" t="s">
        <v>381</v>
      </c>
      <c r="G38" s="45" t="str">
        <f t="shared" si="1"/>
        <v/>
      </c>
      <c r="H38" s="44"/>
      <c r="I38" s="60">
        <v>-1556</v>
      </c>
    </row>
    <row r="39" spans="2:9">
      <c r="B39" s="44"/>
      <c r="C39" s="44"/>
      <c r="D39" s="44" t="s">
        <v>181</v>
      </c>
      <c r="E39" s="44"/>
      <c r="F39" s="58" t="s">
        <v>381</v>
      </c>
      <c r="G39" s="45" t="str">
        <f t="shared" si="1"/>
        <v/>
      </c>
      <c r="H39" s="44"/>
      <c r="I39" s="60">
        <v>1359</v>
      </c>
    </row>
    <row r="40" spans="2:9">
      <c r="B40" s="44"/>
      <c r="C40" s="44"/>
      <c r="D40" s="44" t="s">
        <v>179</v>
      </c>
      <c r="E40" s="44"/>
      <c r="F40" s="58" t="s">
        <v>180</v>
      </c>
      <c r="G40" s="45" t="str">
        <f t="shared" si="1"/>
        <v/>
      </c>
      <c r="H40" s="44"/>
      <c r="I40" s="60">
        <f>-I18</f>
        <v>-72</v>
      </c>
    </row>
    <row r="41" spans="2:9">
      <c r="B41" s="44"/>
      <c r="C41" s="44"/>
      <c r="D41" s="44" t="s">
        <v>178</v>
      </c>
      <c r="E41" s="44"/>
      <c r="F41" s="58" t="s">
        <v>188</v>
      </c>
      <c r="G41" s="45" t="str">
        <f t="shared" si="1"/>
        <v/>
      </c>
      <c r="H41" s="44"/>
      <c r="I41" s="60">
        <f>-I16</f>
        <v>-38</v>
      </c>
    </row>
    <row r="42" spans="2:9">
      <c r="B42" s="44"/>
      <c r="C42" s="44"/>
      <c r="D42" s="44"/>
      <c r="E42" s="44"/>
      <c r="F42" s="44"/>
      <c r="G42" s="44"/>
      <c r="H42" s="44"/>
      <c r="I42" s="44"/>
    </row>
    <row r="43" spans="2:9">
      <c r="B43" s="44"/>
      <c r="C43" s="44"/>
      <c r="D43" s="63" t="s">
        <v>177</v>
      </c>
      <c r="E43" s="44"/>
      <c r="F43" s="58" t="s">
        <v>93</v>
      </c>
      <c r="G43" s="44"/>
      <c r="H43" s="44"/>
      <c r="I43" s="72">
        <f>I33+I34+I38+I39+I40+I41</f>
        <v>25208</v>
      </c>
    </row>
    <row r="44" spans="2:9">
      <c r="B44" s="44"/>
      <c r="C44" s="44"/>
      <c r="D44" s="63"/>
      <c r="E44" s="44"/>
      <c r="F44" s="44"/>
      <c r="G44" s="44"/>
      <c r="H44" s="44"/>
      <c r="I44" s="64"/>
    </row>
    <row r="45" spans="2:9">
      <c r="B45" s="44"/>
      <c r="C45" s="68" t="s">
        <v>176</v>
      </c>
      <c r="D45" s="69"/>
      <c r="E45" s="69"/>
      <c r="F45" s="69"/>
      <c r="G45" s="69"/>
      <c r="H45" s="69"/>
      <c r="I45" s="69"/>
    </row>
    <row r="46" spans="2:9">
      <c r="B46" s="44"/>
      <c r="C46" s="44"/>
      <c r="D46" s="44"/>
      <c r="E46" s="44"/>
      <c r="F46" s="44"/>
      <c r="G46" s="44"/>
      <c r="H46" s="44"/>
      <c r="I46" s="44"/>
    </row>
    <row r="47" spans="2:9">
      <c r="B47" s="44"/>
      <c r="C47" s="44"/>
      <c r="D47" s="44" t="s">
        <v>176</v>
      </c>
      <c r="E47" s="44"/>
      <c r="F47" s="58" t="s">
        <v>172</v>
      </c>
      <c r="G47" s="45" t="str">
        <f>IF(M47="","",IF(AND(M47&gt;=-1,M47&lt;=1), "%","mln EUR"))</f>
        <v/>
      </c>
      <c r="H47" s="44"/>
      <c r="I47" s="59">
        <f>I28</f>
        <v>7451</v>
      </c>
    </row>
    <row r="48" spans="2:9">
      <c r="B48" s="44"/>
      <c r="C48" s="44"/>
      <c r="D48" s="44" t="s">
        <v>96</v>
      </c>
      <c r="E48" s="44"/>
      <c r="F48" s="58" t="s">
        <v>172</v>
      </c>
      <c r="G48" s="45" t="str">
        <f>IF(M48="","",IF(AND(M48&gt;=-1,M48&lt;=1), "%","mln EUR"))</f>
        <v/>
      </c>
      <c r="H48" s="44"/>
      <c r="I48" s="59">
        <f>I6</f>
        <v>133453</v>
      </c>
    </row>
    <row r="49" spans="2:15">
      <c r="B49" s="44"/>
      <c r="C49" s="44"/>
      <c r="D49" s="44"/>
      <c r="E49" s="46"/>
      <c r="F49" s="44"/>
      <c r="G49" s="44"/>
      <c r="H49" s="44"/>
      <c r="I49" s="44"/>
    </row>
    <row r="50" spans="2:15">
      <c r="B50" s="44"/>
      <c r="C50" s="68" t="s">
        <v>175</v>
      </c>
      <c r="D50" s="69"/>
      <c r="E50" s="69"/>
      <c r="F50" s="69"/>
      <c r="G50" s="69"/>
      <c r="H50" s="69"/>
      <c r="I50" s="69"/>
    </row>
    <row r="51" spans="2:15">
      <c r="B51" s="44"/>
      <c r="C51" s="44"/>
      <c r="D51" s="44"/>
      <c r="E51" s="44"/>
      <c r="F51" s="44"/>
      <c r="G51" s="44"/>
      <c r="H51" s="44"/>
      <c r="I51" s="44"/>
    </row>
    <row r="52" spans="2:15">
      <c r="B52" s="44"/>
      <c r="C52" s="44"/>
      <c r="D52" s="44" t="s">
        <v>174</v>
      </c>
      <c r="E52" s="44"/>
      <c r="F52" s="58" t="s">
        <v>93</v>
      </c>
      <c r="G52" s="45" t="str">
        <f>IF(M52="","",IF(AND(M52&gt;=-1,M52&lt;=1), "%","mln EUR"))</f>
        <v/>
      </c>
      <c r="H52" s="44"/>
      <c r="I52" s="65">
        <f>I43/I48</f>
        <v>0.1888904708024548</v>
      </c>
    </row>
    <row r="53" spans="2:15">
      <c r="B53" s="44"/>
      <c r="C53" s="44"/>
      <c r="D53" s="44" t="s">
        <v>173</v>
      </c>
      <c r="E53" s="44"/>
      <c r="F53" s="58" t="s">
        <v>172</v>
      </c>
      <c r="G53" s="45" t="str">
        <f>IF(M53="","",IF(AND(M53&gt;=-1,M53&lt;=1), "%","mln EUR"))</f>
        <v/>
      </c>
      <c r="H53" s="44"/>
      <c r="I53" s="66">
        <f>I33/I48</f>
        <v>7.7150757195417113E-2</v>
      </c>
    </row>
    <row r="54" spans="2:15">
      <c r="B54" s="44"/>
      <c r="C54" s="44"/>
      <c r="D54" s="44"/>
      <c r="E54" s="44"/>
      <c r="F54" s="44"/>
      <c r="G54" s="44"/>
      <c r="H54" s="44"/>
      <c r="I54" s="44"/>
      <c r="J54" s="67"/>
    </row>
    <row r="55" spans="2:15">
      <c r="B55" s="43"/>
      <c r="C55" s="44"/>
      <c r="D55" s="44"/>
      <c r="E55" s="44"/>
      <c r="F55" s="44"/>
      <c r="G55" s="44"/>
      <c r="H55" s="44"/>
      <c r="I55" s="44"/>
      <c r="J55" s="44"/>
    </row>
    <row r="56" spans="2:15">
      <c r="B56" s="68" t="s">
        <v>213</v>
      </c>
      <c r="C56" s="70"/>
      <c r="D56" s="70"/>
      <c r="E56" s="71"/>
      <c r="F56" s="71" t="s">
        <v>27</v>
      </c>
      <c r="G56" s="71" t="s">
        <v>28</v>
      </c>
      <c r="H56" s="71"/>
      <c r="I56" s="71" t="s">
        <v>34</v>
      </c>
    </row>
    <row r="58" spans="2:15">
      <c r="D58" s="40" t="s">
        <v>214</v>
      </c>
      <c r="F58" s="45" t="s">
        <v>91</v>
      </c>
      <c r="G58" s="45" t="s">
        <v>190</v>
      </c>
      <c r="I58" s="86">
        <v>265967</v>
      </c>
    </row>
    <row r="59" spans="2:15">
      <c r="F59" s="45"/>
      <c r="G59" s="45"/>
      <c r="I59" s="86"/>
    </row>
    <row r="60" spans="2:15">
      <c r="D60" s="40" t="s">
        <v>217</v>
      </c>
      <c r="F60" s="45" t="s">
        <v>91</v>
      </c>
      <c r="G60" s="45" t="s">
        <v>190</v>
      </c>
      <c r="I60" s="86">
        <v>18854</v>
      </c>
    </row>
    <row r="62" spans="2:15">
      <c r="C62" s="68" t="s">
        <v>78</v>
      </c>
      <c r="D62" s="69"/>
      <c r="E62" s="69"/>
      <c r="F62" s="71" t="s">
        <v>27</v>
      </c>
      <c r="G62" s="71" t="s">
        <v>28</v>
      </c>
      <c r="H62" s="71"/>
      <c r="I62" s="71" t="s">
        <v>34</v>
      </c>
      <c r="J62" s="44"/>
      <c r="K62" s="44"/>
      <c r="L62" s="44"/>
      <c r="M62" s="44"/>
      <c r="O62" s="44"/>
    </row>
    <row r="63" spans="2:15">
      <c r="B63" s="44"/>
      <c r="C63" s="44"/>
      <c r="D63" s="44"/>
      <c r="E63" s="44"/>
      <c r="F63" s="44"/>
      <c r="G63" s="45"/>
      <c r="H63" s="44"/>
      <c r="I63" s="44"/>
      <c r="J63" s="44"/>
      <c r="K63" s="44"/>
      <c r="L63" s="44"/>
      <c r="M63" s="44"/>
      <c r="O63" s="44"/>
    </row>
    <row r="64" spans="2:15">
      <c r="B64" s="44"/>
      <c r="C64" s="68" t="s">
        <v>195</v>
      </c>
      <c r="D64" s="69"/>
      <c r="E64" s="69"/>
      <c r="F64" s="69"/>
      <c r="G64" s="44"/>
      <c r="H64" s="44"/>
      <c r="I64" s="44"/>
      <c r="J64" s="44"/>
      <c r="K64" s="44"/>
      <c r="L64" s="44"/>
      <c r="M64" s="44"/>
      <c r="O64" s="44"/>
    </row>
    <row r="65" spans="2:15">
      <c r="B65" s="44"/>
      <c r="C65" s="44"/>
      <c r="D65" s="44"/>
      <c r="E65" s="44"/>
      <c r="F65" s="44"/>
      <c r="G65" s="45"/>
      <c r="H65" s="44"/>
      <c r="I65" s="44"/>
      <c r="J65" s="44"/>
      <c r="K65" s="44"/>
      <c r="L65" s="44"/>
      <c r="M65" s="44"/>
      <c r="O65" s="44"/>
    </row>
    <row r="66" spans="2:15">
      <c r="B66" s="44"/>
      <c r="C66" s="44"/>
      <c r="D66" s="44" t="s">
        <v>80</v>
      </c>
      <c r="E66" s="44"/>
      <c r="F66" s="45" t="s">
        <v>91</v>
      </c>
      <c r="G66" s="45" t="s">
        <v>190</v>
      </c>
      <c r="H66" s="44"/>
      <c r="I66" s="78">
        <f>616</f>
        <v>616</v>
      </c>
      <c r="J66" s="44"/>
      <c r="K66" s="76"/>
      <c r="L66" s="76"/>
      <c r="M66" s="76"/>
      <c r="O66" s="44"/>
    </row>
    <row r="67" spans="2:15">
      <c r="B67" s="44"/>
      <c r="C67" s="44"/>
      <c r="D67" s="44"/>
      <c r="E67" s="46"/>
      <c r="F67" s="45"/>
      <c r="G67" s="45"/>
      <c r="H67" s="44"/>
      <c r="I67" s="78"/>
      <c r="J67" s="44"/>
      <c r="K67" s="77"/>
      <c r="L67" s="77"/>
      <c r="M67" s="77"/>
      <c r="O67" s="44"/>
    </row>
    <row r="68" spans="2:15">
      <c r="B68" s="44"/>
      <c r="C68" s="44"/>
      <c r="D68" s="44"/>
      <c r="E68" s="44"/>
      <c r="F68" s="44"/>
      <c r="G68" s="45"/>
      <c r="H68" s="44"/>
      <c r="I68" s="78"/>
      <c r="J68" s="76"/>
      <c r="K68" s="44"/>
      <c r="L68" s="44"/>
      <c r="M68" s="44"/>
      <c r="O68" s="44"/>
    </row>
    <row r="69" spans="2:15">
      <c r="B69" s="44"/>
      <c r="C69" s="44"/>
      <c r="D69" s="44" t="s">
        <v>81</v>
      </c>
      <c r="E69" s="44"/>
      <c r="F69" s="45" t="s">
        <v>91</v>
      </c>
      <c r="G69" s="45" t="s">
        <v>190</v>
      </c>
      <c r="H69" s="44"/>
      <c r="I69" s="78">
        <v>2479</v>
      </c>
      <c r="J69" s="77"/>
      <c r="K69" s="76"/>
      <c r="L69" s="76"/>
      <c r="M69" s="76"/>
      <c r="O69" s="44"/>
    </row>
    <row r="70" spans="2:15">
      <c r="B70" s="44"/>
      <c r="C70" s="44"/>
      <c r="D70" s="44"/>
      <c r="E70" s="46"/>
      <c r="F70" s="45"/>
      <c r="G70" s="45"/>
      <c r="H70" s="44"/>
      <c r="I70" s="78"/>
      <c r="J70" s="44"/>
      <c r="K70" s="77"/>
      <c r="L70" s="77"/>
      <c r="M70" s="77"/>
      <c r="O70" s="44"/>
    </row>
    <row r="71" spans="2:15">
      <c r="B71" s="44"/>
      <c r="C71" s="44"/>
      <c r="D71" s="44"/>
      <c r="E71" s="44"/>
      <c r="F71" s="44"/>
      <c r="G71" s="45"/>
      <c r="H71" s="44"/>
      <c r="I71" s="78"/>
      <c r="J71" s="76"/>
      <c r="O71" s="44"/>
    </row>
    <row r="72" spans="2:15">
      <c r="B72" s="44"/>
      <c r="C72" s="44"/>
      <c r="D72" s="44" t="s">
        <v>82</v>
      </c>
      <c r="E72" s="44"/>
      <c r="F72" s="45" t="s">
        <v>91</v>
      </c>
      <c r="G72" s="45" t="s">
        <v>190</v>
      </c>
      <c r="H72" s="44"/>
      <c r="I72" s="78">
        <v>95471</v>
      </c>
      <c r="J72" s="77"/>
      <c r="K72" s="76"/>
      <c r="L72" s="76"/>
      <c r="M72" s="76"/>
      <c r="O72" s="44"/>
    </row>
    <row r="73" spans="2:15">
      <c r="B73" s="44"/>
      <c r="C73" s="44"/>
      <c r="D73" s="44"/>
      <c r="E73" s="46"/>
      <c r="F73" s="45"/>
      <c r="G73" s="45"/>
      <c r="H73" s="44"/>
      <c r="I73" s="78"/>
      <c r="J73" s="44"/>
      <c r="K73" s="77"/>
      <c r="L73" s="77"/>
      <c r="M73" s="77"/>
      <c r="O73" s="44"/>
    </row>
    <row r="74" spans="2:15">
      <c r="B74" s="44"/>
      <c r="C74" s="44"/>
      <c r="D74" s="44"/>
      <c r="E74" s="44"/>
      <c r="F74" s="44"/>
      <c r="G74" s="45"/>
      <c r="H74" s="44"/>
      <c r="I74" s="78"/>
      <c r="J74" s="76"/>
      <c r="K74" s="44"/>
      <c r="L74" s="44"/>
      <c r="M74" s="44"/>
      <c r="O74" s="44"/>
    </row>
    <row r="75" spans="2:15">
      <c r="B75" s="44"/>
      <c r="C75" s="44"/>
      <c r="D75" s="44" t="s">
        <v>83</v>
      </c>
      <c r="E75" s="44"/>
      <c r="F75" s="45" t="s">
        <v>91</v>
      </c>
      <c r="G75" s="45" t="s">
        <v>190</v>
      </c>
      <c r="H75" s="44"/>
      <c r="I75" s="78">
        <f>-2168</f>
        <v>-2168</v>
      </c>
      <c r="J75" s="77"/>
      <c r="K75" s="76"/>
      <c r="L75" s="76"/>
      <c r="M75" s="76"/>
      <c r="O75" s="44"/>
    </row>
    <row r="76" spans="2:15">
      <c r="B76" s="44"/>
      <c r="C76" s="44"/>
      <c r="D76" s="44"/>
      <c r="E76" s="46"/>
      <c r="F76" s="45"/>
      <c r="G76" s="45"/>
      <c r="H76" s="44"/>
      <c r="I76" s="78"/>
      <c r="J76" s="44"/>
      <c r="K76" s="77"/>
      <c r="L76" s="77"/>
      <c r="M76" s="77"/>
      <c r="O76" s="44"/>
    </row>
    <row r="77" spans="2:15">
      <c r="B77" s="44"/>
      <c r="C77" s="44"/>
      <c r="D77" s="44"/>
      <c r="E77" s="44"/>
      <c r="F77" s="44"/>
      <c r="G77" s="45"/>
      <c r="H77" s="44"/>
      <c r="I77" s="78"/>
      <c r="J77" s="76"/>
      <c r="K77" s="44"/>
      <c r="L77" s="44"/>
      <c r="M77" s="44"/>
      <c r="O77" s="44"/>
    </row>
    <row r="78" spans="2:15">
      <c r="B78" s="44"/>
      <c r="C78" s="44"/>
      <c r="D78" s="44" t="s">
        <v>84</v>
      </c>
      <c r="E78" s="44"/>
      <c r="F78" s="45" t="s">
        <v>91</v>
      </c>
      <c r="G78" s="45" t="s">
        <v>190</v>
      </c>
      <c r="H78" s="44"/>
      <c r="I78" s="78">
        <f>-701</f>
        <v>-701</v>
      </c>
      <c r="J78" s="77"/>
      <c r="K78" s="76"/>
      <c r="L78" s="76"/>
      <c r="M78" s="76"/>
      <c r="O78" s="44"/>
    </row>
    <row r="79" spans="2:15">
      <c r="B79" s="44"/>
      <c r="C79" s="44"/>
      <c r="D79" s="44"/>
      <c r="E79" s="46"/>
      <c r="F79" s="45"/>
      <c r="G79" s="45"/>
      <c r="H79" s="44"/>
      <c r="I79" s="78"/>
      <c r="J79" s="44"/>
      <c r="K79" s="77"/>
      <c r="L79" s="77"/>
      <c r="M79" s="77"/>
      <c r="O79" s="44"/>
    </row>
    <row r="80" spans="2:15">
      <c r="B80" s="44"/>
      <c r="C80" s="44"/>
      <c r="D80" s="44"/>
      <c r="E80" s="44"/>
      <c r="F80" s="44"/>
      <c r="G80" s="45"/>
      <c r="H80" s="44"/>
      <c r="I80" s="78"/>
      <c r="J80" s="76"/>
      <c r="K80" s="44"/>
      <c r="L80" s="44"/>
      <c r="M80" s="44"/>
      <c r="O80" s="44"/>
    </row>
    <row r="81" spans="2:15">
      <c r="B81" s="2"/>
      <c r="C81" s="68" t="s">
        <v>85</v>
      </c>
      <c r="D81" s="69"/>
      <c r="E81" s="69"/>
      <c r="F81" s="69"/>
      <c r="G81" s="45"/>
      <c r="H81" s="44"/>
      <c r="I81" s="78"/>
      <c r="J81" s="77"/>
      <c r="K81" s="44"/>
      <c r="L81" s="44"/>
      <c r="M81" s="44"/>
      <c r="O81" s="44"/>
    </row>
    <row r="82" spans="2:15">
      <c r="B82" s="44"/>
      <c r="C82" s="44"/>
      <c r="D82" s="44"/>
      <c r="E82" s="44"/>
      <c r="F82" s="44"/>
      <c r="G82" s="45"/>
      <c r="H82" s="44"/>
      <c r="I82" s="78"/>
      <c r="J82" s="44"/>
      <c r="K82" s="44"/>
      <c r="L82" s="44"/>
      <c r="M82" s="44"/>
      <c r="O82" s="44"/>
    </row>
    <row r="83" spans="2:15">
      <c r="B83" s="44"/>
      <c r="C83" s="44"/>
      <c r="D83" s="44" t="s">
        <v>85</v>
      </c>
      <c r="E83" s="44"/>
      <c r="F83" s="45" t="s">
        <v>91</v>
      </c>
      <c r="G83" s="45" t="s">
        <v>190</v>
      </c>
      <c r="H83" s="44"/>
      <c r="I83" s="78">
        <f>SUM(I66:I79)</f>
        <v>95697</v>
      </c>
      <c r="J83" s="44"/>
      <c r="K83" s="62"/>
      <c r="L83" s="62"/>
      <c r="M83" s="62"/>
      <c r="O83" s="44"/>
    </row>
    <row r="84" spans="2:15">
      <c r="B84" s="44"/>
      <c r="C84" s="44"/>
      <c r="D84" s="44"/>
      <c r="E84" s="46"/>
      <c r="F84" s="45"/>
      <c r="G84" s="45"/>
      <c r="H84" s="44"/>
      <c r="I84" s="78"/>
      <c r="J84" s="44"/>
      <c r="K84" s="77"/>
      <c r="L84" s="77"/>
      <c r="M84" s="77"/>
      <c r="O84" s="44"/>
    </row>
    <row r="85" spans="2:15">
      <c r="B85" s="44"/>
      <c r="C85" s="44"/>
      <c r="D85" s="44"/>
      <c r="E85" s="44"/>
      <c r="F85" s="44"/>
      <c r="G85" s="45"/>
      <c r="H85" s="44"/>
      <c r="I85" s="78"/>
      <c r="J85" s="62"/>
      <c r="K85" s="44"/>
      <c r="L85" s="44"/>
      <c r="M85" s="44"/>
      <c r="O85" s="44"/>
    </row>
    <row r="86" spans="2:15">
      <c r="B86" s="44"/>
      <c r="C86" s="68" t="s">
        <v>86</v>
      </c>
      <c r="D86" s="69"/>
      <c r="E86" s="69"/>
      <c r="F86" s="69"/>
      <c r="G86" s="45"/>
      <c r="H86" s="44"/>
      <c r="I86" s="78"/>
      <c r="J86" s="77"/>
      <c r="K86" s="44"/>
      <c r="L86" s="44"/>
      <c r="M86" s="44"/>
      <c r="O86" s="44"/>
    </row>
    <row r="87" spans="2:15">
      <c r="B87" s="44"/>
      <c r="C87" s="44"/>
      <c r="D87" s="44"/>
      <c r="E87" s="44"/>
      <c r="F87" s="44"/>
      <c r="G87" s="45"/>
      <c r="H87" s="44"/>
      <c r="I87" s="78"/>
      <c r="J87" s="44"/>
      <c r="K87" s="44"/>
      <c r="L87" s="44"/>
      <c r="M87" s="44"/>
      <c r="O87" s="44"/>
    </row>
    <row r="88" spans="2:15">
      <c r="B88" s="44"/>
      <c r="C88" s="44"/>
      <c r="D88" s="44" t="s">
        <v>86</v>
      </c>
      <c r="E88" s="44"/>
      <c r="F88" s="45" t="s">
        <v>91</v>
      </c>
      <c r="G88" s="45" t="s">
        <v>190</v>
      </c>
      <c r="H88" s="44"/>
      <c r="I88" s="78">
        <f>2209</f>
        <v>2209</v>
      </c>
      <c r="J88" s="44"/>
      <c r="K88" s="62"/>
      <c r="L88" s="62"/>
      <c r="M88" s="62"/>
      <c r="O88" s="44"/>
    </row>
    <row r="89" spans="2:15">
      <c r="B89" s="44"/>
      <c r="C89" s="44"/>
      <c r="D89" s="44"/>
      <c r="E89" s="46"/>
      <c r="F89" s="45"/>
      <c r="G89" s="45"/>
      <c r="H89" s="44"/>
      <c r="I89" s="78"/>
      <c r="J89" s="44"/>
      <c r="K89" s="77"/>
      <c r="M89" s="77"/>
      <c r="O89" s="44"/>
    </row>
    <row r="90" spans="2:15">
      <c r="B90" s="44"/>
      <c r="C90" s="44"/>
      <c r="D90" s="44"/>
      <c r="E90" s="44"/>
      <c r="F90" s="44"/>
      <c r="G90" s="45"/>
      <c r="H90" s="44"/>
      <c r="I90" s="78"/>
      <c r="J90" s="62"/>
      <c r="K90" s="44"/>
      <c r="L90" s="44"/>
      <c r="M90" s="44"/>
      <c r="N90" s="82"/>
      <c r="O90" s="44"/>
    </row>
    <row r="91" spans="2:15">
      <c r="B91" s="44"/>
      <c r="C91" s="68" t="s">
        <v>216</v>
      </c>
      <c r="D91" s="69"/>
      <c r="E91" s="69"/>
      <c r="F91" s="69"/>
      <c r="G91" s="45"/>
      <c r="H91" s="44"/>
      <c r="I91" s="78"/>
      <c r="J91" s="77"/>
      <c r="K91" s="44"/>
      <c r="L91" s="44"/>
      <c r="M91" s="44"/>
      <c r="O91" s="44"/>
    </row>
    <row r="92" spans="2:15">
      <c r="B92" s="44"/>
      <c r="C92" s="44"/>
      <c r="D92" s="44"/>
      <c r="E92" s="44"/>
      <c r="F92" s="44"/>
      <c r="G92" s="45"/>
      <c r="H92" s="44"/>
      <c r="I92" s="78"/>
      <c r="J92" s="44"/>
      <c r="K92" s="44"/>
      <c r="L92" s="44"/>
      <c r="M92" s="44"/>
      <c r="O92" s="44"/>
    </row>
    <row r="93" spans="2:15">
      <c r="B93" s="44"/>
      <c r="C93" s="44"/>
      <c r="D93" s="44" t="s">
        <v>87</v>
      </c>
      <c r="E93" s="44"/>
      <c r="F93" s="45" t="s">
        <v>91</v>
      </c>
      <c r="G93" s="45" t="s">
        <v>190</v>
      </c>
      <c r="H93" s="44"/>
      <c r="I93" s="79">
        <f>I83+I88</f>
        <v>97906</v>
      </c>
      <c r="J93" s="44"/>
      <c r="K93" s="62"/>
      <c r="L93" s="62"/>
      <c r="M93" s="62"/>
      <c r="O93" s="44"/>
    </row>
    <row r="94" spans="2:15">
      <c r="B94" s="44"/>
      <c r="C94" s="44"/>
      <c r="D94" s="44"/>
      <c r="E94" s="46"/>
      <c r="F94" s="45"/>
      <c r="G94" s="45"/>
      <c r="H94" s="44"/>
      <c r="I94" s="44"/>
      <c r="J94" s="44"/>
      <c r="K94" s="77"/>
      <c r="L94" s="77"/>
      <c r="M94" s="77"/>
      <c r="O94" s="44"/>
    </row>
    <row r="95" spans="2:15">
      <c r="D95" s="44" t="s">
        <v>215</v>
      </c>
      <c r="F95" s="45" t="s">
        <v>91</v>
      </c>
      <c r="G95" s="45" t="s">
        <v>190</v>
      </c>
      <c r="I95" s="87">
        <f>I58-I93</f>
        <v>168061</v>
      </c>
      <c r="J95" s="62"/>
    </row>
    <row r="96" spans="2:15">
      <c r="D96" s="203" t="s">
        <v>393</v>
      </c>
      <c r="F96" s="45" t="s">
        <v>91</v>
      </c>
      <c r="G96" s="45" t="s">
        <v>190</v>
      </c>
      <c r="I96" s="87">
        <v>110469</v>
      </c>
      <c r="J96" s="62"/>
    </row>
    <row r="97" spans="2:10">
      <c r="J97" s="23"/>
    </row>
    <row r="98" spans="2:10">
      <c r="B98" s="71" t="s">
        <v>199</v>
      </c>
      <c r="C98" s="69"/>
      <c r="D98" s="69"/>
      <c r="E98" s="69"/>
      <c r="F98" s="71" t="s">
        <v>27</v>
      </c>
      <c r="G98" s="71" t="s">
        <v>28</v>
      </c>
      <c r="H98" s="71"/>
      <c r="I98" s="81"/>
    </row>
    <row r="100" spans="2:10">
      <c r="D100" s="40" t="s">
        <v>209</v>
      </c>
      <c r="F100" s="80" t="s">
        <v>197</v>
      </c>
      <c r="G100" s="45" t="s">
        <v>198</v>
      </c>
      <c r="I100" s="51">
        <f>93.24</f>
        <v>93.24</v>
      </c>
    </row>
    <row r="102" spans="2:10">
      <c r="D102" s="40" t="s">
        <v>210</v>
      </c>
      <c r="F102" s="80" t="s">
        <v>197</v>
      </c>
      <c r="G102" s="45" t="s">
        <v>198</v>
      </c>
      <c r="I102" s="51">
        <f>74.11</f>
        <v>74.11</v>
      </c>
    </row>
    <row r="103" spans="2:10">
      <c r="I103" s="51"/>
    </row>
    <row r="104" spans="2:10">
      <c r="D104" s="40" t="s">
        <v>439</v>
      </c>
      <c r="F104" s="80" t="s">
        <v>440</v>
      </c>
      <c r="G104" s="45" t="s">
        <v>198</v>
      </c>
      <c r="I104" s="51">
        <v>74.349999999999994</v>
      </c>
    </row>
    <row r="105" spans="2:10">
      <c r="I105" s="51"/>
    </row>
    <row r="106" spans="2:10">
      <c r="D106" s="40" t="s">
        <v>200</v>
      </c>
      <c r="F106" s="45" t="s">
        <v>202</v>
      </c>
      <c r="G106" s="45" t="s">
        <v>201</v>
      </c>
      <c r="I106" s="89">
        <v>559313364</v>
      </c>
    </row>
    <row r="107" spans="2:10">
      <c r="I107" s="89"/>
    </row>
    <row r="108" spans="2:10">
      <c r="D108" s="40" t="s">
        <v>203</v>
      </c>
      <c r="F108" s="45" t="s">
        <v>202</v>
      </c>
      <c r="G108" s="45" t="s">
        <v>201</v>
      </c>
      <c r="I108" s="89">
        <v>54225635</v>
      </c>
    </row>
    <row r="109" spans="2:10">
      <c r="I109" s="51"/>
    </row>
    <row r="110" spans="2:10">
      <c r="D110" s="40" t="s">
        <v>204</v>
      </c>
      <c r="F110" s="45" t="s">
        <v>202</v>
      </c>
      <c r="G110" s="45" t="s">
        <v>198</v>
      </c>
      <c r="I110" s="90">
        <v>4.4000000000000004</v>
      </c>
    </row>
    <row r="111" spans="2:10">
      <c r="I111" s="90"/>
    </row>
    <row r="112" spans="2:10">
      <c r="D112" s="40" t="s">
        <v>205</v>
      </c>
      <c r="F112" s="45" t="s">
        <v>202</v>
      </c>
      <c r="G112" s="45" t="s">
        <v>198</v>
      </c>
      <c r="I112" s="90">
        <v>4.42</v>
      </c>
    </row>
    <row r="114" spans="2:9">
      <c r="D114" s="40" t="s">
        <v>218</v>
      </c>
      <c r="F114" s="45" t="s">
        <v>93</v>
      </c>
      <c r="G114" s="45" t="s">
        <v>198</v>
      </c>
      <c r="I114" s="85">
        <f>I106*I102</f>
        <v>41450713406.040001</v>
      </c>
    </row>
    <row r="115" spans="2:9">
      <c r="I115" s="88"/>
    </row>
    <row r="116" spans="2:9">
      <c r="D116" s="40" t="s">
        <v>382</v>
      </c>
      <c r="F116" s="45" t="s">
        <v>93</v>
      </c>
      <c r="G116" s="45" t="s">
        <v>198</v>
      </c>
      <c r="I116" s="85">
        <f>I114+(I96-I60+I88)*1000000+I108*I104</f>
        <v>139306389368.29001</v>
      </c>
    </row>
    <row r="118" spans="2:9">
      <c r="B118" s="68" t="s">
        <v>206</v>
      </c>
      <c r="C118" s="69"/>
      <c r="D118" s="69"/>
      <c r="E118" s="69"/>
      <c r="F118" s="71" t="s">
        <v>27</v>
      </c>
      <c r="G118" s="71" t="s">
        <v>28</v>
      </c>
      <c r="H118" s="71"/>
      <c r="I118" s="81"/>
    </row>
    <row r="120" spans="2:9">
      <c r="D120" s="40" t="s">
        <v>211</v>
      </c>
      <c r="F120" s="45" t="s">
        <v>93</v>
      </c>
      <c r="G120" s="45" t="s">
        <v>201</v>
      </c>
      <c r="I120" s="84">
        <f>I102/I124</f>
        <v>6.232968881412952</v>
      </c>
    </row>
    <row r="121" spans="2:9">
      <c r="F121" s="45"/>
      <c r="G121" s="45"/>
      <c r="I121" s="84"/>
    </row>
    <row r="122" spans="2:9">
      <c r="D122" s="40" t="s">
        <v>212</v>
      </c>
      <c r="F122" s="45" t="s">
        <v>93</v>
      </c>
      <c r="G122" s="45" t="s">
        <v>201</v>
      </c>
      <c r="I122" s="84">
        <f>I100/I124</f>
        <v>7.8418839360807393</v>
      </c>
    </row>
    <row r="124" spans="2:9">
      <c r="D124" s="40" t="s">
        <v>192</v>
      </c>
      <c r="F124" s="45" t="s">
        <v>208</v>
      </c>
      <c r="G124" s="45" t="str">
        <f>IF(I124="","",IF(AND(I124&gt;=-1,I124&lt;=1),"%","EUR"))</f>
        <v>EUR</v>
      </c>
      <c r="I124" s="56">
        <f>11.89</f>
        <v>11.89</v>
      </c>
    </row>
    <row r="125" spans="2:9">
      <c r="F125" s="45"/>
      <c r="G125" s="45"/>
      <c r="I125" s="56"/>
    </row>
    <row r="126" spans="2:9">
      <c r="D126" s="40" t="s">
        <v>193</v>
      </c>
      <c r="F126" s="45" t="s">
        <v>208</v>
      </c>
      <c r="G126" s="45" t="str">
        <f>IF(I126="","",IF(AND(I126&gt;=-1,I126&lt;=1),"%","EUR"))</f>
        <v>EUR</v>
      </c>
      <c r="I126" s="56">
        <f>11.91</f>
        <v>11.91</v>
      </c>
    </row>
    <row r="128" spans="2:9">
      <c r="D128" s="40" t="s">
        <v>219</v>
      </c>
      <c r="F128" s="45" t="s">
        <v>93</v>
      </c>
      <c r="G128" s="45" t="s">
        <v>201</v>
      </c>
      <c r="I128" s="83">
        <f>I116/(I43*1000000)</f>
        <v>5.5262769505034122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4CBBE-5897-EC43-B213-20649D1D14B5}">
  <sheetPr>
    <tabColor theme="9" tint="0.79998168889431442"/>
  </sheetPr>
  <dimension ref="A1:O126"/>
  <sheetViews>
    <sheetView zoomScale="85" zoomScaleNormal="145" workbookViewId="0"/>
  </sheetViews>
  <sheetFormatPr baseColWidth="10" defaultColWidth="8.83203125" defaultRowHeight="15"/>
  <cols>
    <col min="1" max="3" width="8.83203125" style="40"/>
    <col min="4" max="4" width="40.5" style="40" bestFit="1" customWidth="1"/>
    <col min="5" max="5" width="10.5" style="40" bestFit="1" customWidth="1"/>
    <col min="6" max="6" width="23.5" style="40" customWidth="1"/>
    <col min="7" max="7" width="9.83203125" style="40" bestFit="1" customWidth="1"/>
    <col min="8" max="8" width="8.83203125" style="40"/>
    <col min="9" max="9" width="22.83203125" style="40" bestFit="1" customWidth="1"/>
    <col min="10" max="16384" width="8.83203125" style="40"/>
  </cols>
  <sheetData>
    <row r="1" spans="1:11">
      <c r="A1" s="40" t="s">
        <v>383</v>
      </c>
    </row>
    <row r="2" spans="1:11">
      <c r="A2" s="187" t="s">
        <v>384</v>
      </c>
    </row>
    <row r="3" spans="1:11">
      <c r="A3" s="188"/>
      <c r="C3" s="41"/>
      <c r="D3" s="41"/>
      <c r="E3" s="42" t="s">
        <v>27</v>
      </c>
      <c r="F3" s="42" t="s">
        <v>28</v>
      </c>
      <c r="G3" s="42"/>
      <c r="H3" s="42" t="s">
        <v>29</v>
      </c>
      <c r="I3" s="42" t="s">
        <v>34</v>
      </c>
    </row>
    <row r="4" spans="1:11">
      <c r="B4" s="68" t="s">
        <v>94</v>
      </c>
      <c r="C4" s="70"/>
      <c r="D4" s="70"/>
      <c r="E4" s="71"/>
      <c r="F4" s="71" t="s">
        <v>27</v>
      </c>
      <c r="G4" s="71" t="s">
        <v>28</v>
      </c>
      <c r="H4" s="71"/>
      <c r="I4" s="71" t="s">
        <v>34</v>
      </c>
    </row>
    <row r="5" spans="1:11">
      <c r="B5" s="80"/>
      <c r="C5" s="44"/>
      <c r="D5" s="44"/>
      <c r="E5" s="44"/>
      <c r="F5" s="44"/>
      <c r="G5" s="44"/>
      <c r="H5" s="44"/>
      <c r="I5" s="44"/>
    </row>
    <row r="6" spans="1:11">
      <c r="B6" s="44"/>
      <c r="C6" s="44"/>
      <c r="D6" s="43" t="s">
        <v>96</v>
      </c>
      <c r="E6" s="44"/>
      <c r="F6" s="45" t="s">
        <v>91</v>
      </c>
      <c r="G6" s="45" t="s">
        <v>190</v>
      </c>
      <c r="H6" s="44"/>
      <c r="I6" s="53">
        <v>321913</v>
      </c>
    </row>
    <row r="7" spans="1:11">
      <c r="B7" s="44"/>
      <c r="C7" s="44"/>
      <c r="D7" s="44"/>
      <c r="E7" s="46"/>
      <c r="F7" s="45"/>
      <c r="G7" s="45" t="str">
        <f t="shared" ref="G7:G28" si="0">IF(I7="","",IF(AND(I7&gt;=-1,I7&lt;=1), "%","mln EUR"))</f>
        <v/>
      </c>
      <c r="H7" s="44"/>
      <c r="I7" s="54"/>
    </row>
    <row r="8" spans="1:11">
      <c r="B8" s="44"/>
      <c r="C8" s="44"/>
      <c r="D8" s="44" t="s">
        <v>97</v>
      </c>
      <c r="E8" s="44"/>
      <c r="F8" s="45" t="s">
        <v>91</v>
      </c>
      <c r="G8" s="45" t="str">
        <f t="shared" si="0"/>
        <v>mln EUR</v>
      </c>
      <c r="H8" s="44"/>
      <c r="I8" s="54">
        <v>-270671</v>
      </c>
    </row>
    <row r="9" spans="1:11">
      <c r="B9" s="44"/>
      <c r="C9" s="44"/>
      <c r="D9" s="44"/>
      <c r="E9" s="46"/>
      <c r="F9" s="45"/>
      <c r="G9" s="45" t="str">
        <f t="shared" si="0"/>
        <v/>
      </c>
      <c r="H9" s="44"/>
      <c r="I9" s="54"/>
    </row>
    <row r="10" spans="1:11">
      <c r="B10" s="44"/>
      <c r="C10" s="44"/>
      <c r="D10" s="47" t="s">
        <v>98</v>
      </c>
      <c r="E10" s="48"/>
      <c r="F10" s="49" t="s">
        <v>91</v>
      </c>
      <c r="G10" s="49" t="str">
        <f>IF(I10="","",IF(AND(I10&gt;=-1,I10&lt;=1), "%","mln EUR"))</f>
        <v>mln EUR</v>
      </c>
      <c r="H10" s="48"/>
      <c r="I10" s="55">
        <f>I6+I8</f>
        <v>51242</v>
      </c>
    </row>
    <row r="11" spans="1:11">
      <c r="B11" s="44"/>
      <c r="C11" s="44"/>
      <c r="D11" s="44"/>
      <c r="E11" s="44"/>
      <c r="F11" s="44"/>
      <c r="G11" s="45" t="str">
        <f t="shared" si="0"/>
        <v/>
      </c>
      <c r="H11" s="44"/>
      <c r="I11" s="54"/>
    </row>
    <row r="12" spans="1:11">
      <c r="B12" s="44"/>
      <c r="C12" s="44"/>
      <c r="D12" s="44" t="s">
        <v>191</v>
      </c>
      <c r="E12" s="44"/>
      <c r="F12" s="45" t="s">
        <v>91</v>
      </c>
      <c r="G12" s="45" t="str">
        <f t="shared" si="0"/>
        <v>mln EUR</v>
      </c>
      <c r="H12" s="44"/>
      <c r="I12" s="54">
        <f>-22804-12541</f>
        <v>-35345</v>
      </c>
    </row>
    <row r="13" spans="1:11">
      <c r="B13" s="44"/>
      <c r="C13" s="44"/>
      <c r="D13" s="44"/>
      <c r="E13" s="46"/>
      <c r="F13" s="45"/>
      <c r="G13" s="45" t="str">
        <f t="shared" si="0"/>
        <v/>
      </c>
      <c r="H13" s="44"/>
      <c r="I13" s="54"/>
    </row>
    <row r="14" spans="1:11">
      <c r="B14" s="44"/>
      <c r="C14" s="44"/>
      <c r="D14" s="44" t="s">
        <v>102</v>
      </c>
      <c r="E14" s="44"/>
      <c r="F14" s="45" t="s">
        <v>91</v>
      </c>
      <c r="G14" s="45" t="s">
        <v>190</v>
      </c>
      <c r="H14" s="44"/>
      <c r="I14" s="54">
        <f>-7029</f>
        <v>-7029</v>
      </c>
      <c r="K14" s="189"/>
    </row>
    <row r="15" spans="1:11">
      <c r="B15" s="44"/>
      <c r="C15" s="44"/>
      <c r="D15" s="44"/>
      <c r="E15" s="46"/>
      <c r="F15" s="45"/>
      <c r="G15" s="45" t="str">
        <f t="shared" si="0"/>
        <v/>
      </c>
      <c r="H15" s="44"/>
      <c r="I15" s="54"/>
    </row>
    <row r="16" spans="1:11">
      <c r="B16" s="44"/>
      <c r="C16" s="44"/>
      <c r="D16" s="44" t="s">
        <v>103</v>
      </c>
      <c r="E16" s="44"/>
      <c r="F16" s="190" t="s">
        <v>385</v>
      </c>
      <c r="G16" s="45" t="str">
        <f t="shared" si="0"/>
        <v>mln EUR</v>
      </c>
      <c r="H16" s="44"/>
      <c r="I16" s="191">
        <v>930</v>
      </c>
    </row>
    <row r="17" spans="2:10">
      <c r="B17" s="44"/>
      <c r="C17" s="44"/>
      <c r="D17" s="44"/>
      <c r="E17" s="46"/>
      <c r="F17" s="45"/>
      <c r="G17" s="45" t="str">
        <f t="shared" si="0"/>
        <v/>
      </c>
      <c r="H17" s="44"/>
      <c r="I17" s="54"/>
    </row>
    <row r="18" spans="2:10">
      <c r="B18" s="44"/>
      <c r="C18" s="44"/>
      <c r="D18" s="44" t="s">
        <v>104</v>
      </c>
      <c r="E18" s="44"/>
      <c r="F18" s="190" t="s">
        <v>386</v>
      </c>
      <c r="G18" s="45" t="str">
        <f t="shared" si="0"/>
        <v>mln EUR</v>
      </c>
      <c r="H18" s="44"/>
      <c r="I18" s="191">
        <v>930</v>
      </c>
    </row>
    <row r="19" spans="2:10">
      <c r="B19" s="44"/>
      <c r="C19" s="44"/>
      <c r="D19" s="44"/>
      <c r="E19" s="46"/>
      <c r="F19" s="45"/>
      <c r="G19" s="45" t="str">
        <f t="shared" si="0"/>
        <v/>
      </c>
      <c r="H19" s="44"/>
      <c r="I19" s="54"/>
    </row>
    <row r="20" spans="2:10">
      <c r="B20" s="44"/>
      <c r="C20" s="44"/>
      <c r="D20" s="47" t="s">
        <v>105</v>
      </c>
      <c r="E20" s="48"/>
      <c r="F20" s="49" t="s">
        <v>91</v>
      </c>
      <c r="G20" s="49" t="str">
        <f t="shared" si="0"/>
        <v>mln EUR</v>
      </c>
      <c r="H20" s="48"/>
      <c r="I20" s="55">
        <f>I10+I12+I14+I16+I18</f>
        <v>10728</v>
      </c>
    </row>
    <row r="21" spans="2:10">
      <c r="B21" s="44"/>
      <c r="C21" s="44"/>
      <c r="D21" s="44"/>
      <c r="E21" s="46"/>
      <c r="F21" s="45"/>
      <c r="G21" s="45" t="str">
        <f t="shared" si="0"/>
        <v/>
      </c>
      <c r="H21" s="44"/>
      <c r="I21" s="54"/>
    </row>
    <row r="22" spans="2:10">
      <c r="B22" s="44"/>
      <c r="C22" s="44"/>
      <c r="D22" s="44" t="s">
        <v>106</v>
      </c>
      <c r="E22" s="192"/>
      <c r="F22" s="190" t="s">
        <v>387</v>
      </c>
      <c r="G22" s="45" t="str">
        <f t="shared" si="0"/>
        <v>mln EUR</v>
      </c>
      <c r="H22" s="44"/>
      <c r="I22" s="191">
        <v>1824</v>
      </c>
    </row>
    <row r="23" spans="2:10">
      <c r="B23" s="44"/>
      <c r="C23" s="44"/>
      <c r="D23" s="44"/>
      <c r="E23" s="46"/>
      <c r="F23" s="45"/>
      <c r="G23" s="45" t="str">
        <f t="shared" si="0"/>
        <v/>
      </c>
      <c r="H23" s="44"/>
      <c r="I23" s="54"/>
    </row>
    <row r="24" spans="2:10">
      <c r="B24" s="44"/>
      <c r="C24" s="44"/>
      <c r="D24" s="193" t="s">
        <v>107</v>
      </c>
      <c r="E24" s="193"/>
      <c r="F24" s="194" t="s">
        <v>91</v>
      </c>
      <c r="G24" s="194" t="str">
        <f t="shared" si="0"/>
        <v>mln EUR</v>
      </c>
      <c r="H24" s="193"/>
      <c r="I24" s="195">
        <f>I20+I22</f>
        <v>12552</v>
      </c>
    </row>
    <row r="25" spans="2:10">
      <c r="B25" s="44"/>
      <c r="C25" s="44"/>
      <c r="D25" s="44"/>
      <c r="E25" s="46"/>
      <c r="F25" s="45"/>
      <c r="G25" s="45" t="str">
        <f t="shared" si="0"/>
        <v/>
      </c>
      <c r="H25" s="44"/>
      <c r="I25" s="54"/>
    </row>
    <row r="26" spans="2:10">
      <c r="B26" s="44"/>
      <c r="C26" s="44"/>
      <c r="D26" s="44" t="s">
        <v>108</v>
      </c>
      <c r="E26" s="44"/>
      <c r="F26" s="45" t="s">
        <v>91</v>
      </c>
      <c r="G26" s="45" t="str">
        <f t="shared" si="0"/>
        <v>mln EUR</v>
      </c>
      <c r="H26" s="44"/>
      <c r="I26" s="54">
        <v>-2403</v>
      </c>
    </row>
    <row r="27" spans="2:10">
      <c r="B27" s="44"/>
      <c r="C27" s="44"/>
      <c r="D27" s="44"/>
      <c r="E27" s="46"/>
      <c r="F27" s="45"/>
      <c r="G27" s="45" t="str">
        <f t="shared" si="0"/>
        <v/>
      </c>
      <c r="H27" s="44"/>
      <c r="I27" s="54"/>
    </row>
    <row r="28" spans="2:10">
      <c r="B28" s="44"/>
      <c r="C28" s="44"/>
      <c r="D28" s="47" t="s">
        <v>109</v>
      </c>
      <c r="E28" s="48"/>
      <c r="F28" s="49" t="s">
        <v>91</v>
      </c>
      <c r="G28" s="49" t="str">
        <f t="shared" si="0"/>
        <v>mln EUR</v>
      </c>
      <c r="H28" s="48"/>
      <c r="I28" s="55">
        <f>I24+I26</f>
        <v>10149</v>
      </c>
    </row>
    <row r="29" spans="2:10">
      <c r="I29" s="52"/>
    </row>
    <row r="30" spans="2:10">
      <c r="I30" s="50"/>
    </row>
    <row r="31" spans="2:10">
      <c r="C31" s="68" t="s">
        <v>177</v>
      </c>
      <c r="D31" s="69"/>
      <c r="E31" s="69"/>
      <c r="F31" s="69"/>
      <c r="G31" s="69"/>
      <c r="H31" s="69"/>
      <c r="I31" s="196"/>
      <c r="J31" s="75"/>
    </row>
    <row r="32" spans="2:10">
      <c r="B32" s="44"/>
      <c r="C32" s="44"/>
      <c r="D32" s="44"/>
      <c r="E32" s="44"/>
      <c r="F32" s="44"/>
      <c r="G32" s="44"/>
      <c r="H32" s="44"/>
      <c r="I32" s="197"/>
      <c r="J32" s="44"/>
    </row>
    <row r="33" spans="2:9">
      <c r="B33" s="44"/>
      <c r="C33" s="44"/>
      <c r="D33" s="57" t="s">
        <v>186</v>
      </c>
      <c r="E33" s="44"/>
      <c r="F33" s="58" t="s">
        <v>172</v>
      </c>
      <c r="G33" s="45" t="str">
        <f t="shared" ref="G33:G41" si="1">IF(M33="","",IF(AND(M33&gt;=-1,M33&lt;=1), "%","mln EUR"))</f>
        <v/>
      </c>
      <c r="H33" s="44"/>
      <c r="I33" s="59">
        <f>I20</f>
        <v>10728</v>
      </c>
    </row>
    <row r="34" spans="2:9">
      <c r="B34" s="44"/>
      <c r="C34" s="44"/>
      <c r="D34" s="44" t="s">
        <v>185</v>
      </c>
      <c r="E34" s="44"/>
      <c r="F34" s="49" t="s">
        <v>388</v>
      </c>
      <c r="G34" s="45" t="str">
        <f t="shared" si="1"/>
        <v/>
      </c>
      <c r="H34" s="44"/>
      <c r="I34" s="198">
        <f>16866+8365</f>
        <v>25231</v>
      </c>
    </row>
    <row r="35" spans="2:9">
      <c r="B35" s="44"/>
      <c r="C35" s="44"/>
      <c r="D35" s="44"/>
      <c r="E35" s="44"/>
      <c r="F35" s="61"/>
      <c r="G35" s="45" t="str">
        <f t="shared" si="1"/>
        <v/>
      </c>
      <c r="H35" s="44"/>
      <c r="I35" s="62"/>
    </row>
    <row r="36" spans="2:9">
      <c r="B36" s="44"/>
      <c r="C36" s="44"/>
      <c r="D36" s="44" t="s">
        <v>183</v>
      </c>
      <c r="E36" s="44"/>
      <c r="F36" s="61"/>
      <c r="G36" s="45" t="str">
        <f t="shared" si="1"/>
        <v/>
      </c>
      <c r="H36" s="44"/>
      <c r="I36" s="197"/>
    </row>
    <row r="37" spans="2:9">
      <c r="B37" s="44"/>
      <c r="C37" s="44"/>
      <c r="D37" s="44"/>
      <c r="E37" s="44"/>
      <c r="F37" s="61"/>
      <c r="G37" s="45" t="str">
        <f t="shared" si="1"/>
        <v/>
      </c>
      <c r="H37" s="44"/>
      <c r="I37" s="197"/>
    </row>
    <row r="38" spans="2:9">
      <c r="B38" s="44"/>
      <c r="C38" s="44"/>
      <c r="D38" s="44" t="s">
        <v>182</v>
      </c>
      <c r="E38" s="44"/>
      <c r="F38" s="49" t="s">
        <v>91</v>
      </c>
      <c r="G38" s="45" t="str">
        <f t="shared" si="1"/>
        <v/>
      </c>
      <c r="H38" s="44"/>
      <c r="I38" s="60"/>
    </row>
    <row r="39" spans="2:9">
      <c r="B39" s="44"/>
      <c r="C39" s="44"/>
      <c r="D39" s="44" t="s">
        <v>181</v>
      </c>
      <c r="E39" s="44"/>
      <c r="F39" s="49" t="s">
        <v>91</v>
      </c>
      <c r="G39" s="45" t="str">
        <f t="shared" si="1"/>
        <v/>
      </c>
      <c r="H39" s="44"/>
      <c r="I39" s="60">
        <f>-I14</f>
        <v>7029</v>
      </c>
    </row>
    <row r="40" spans="2:9">
      <c r="B40" s="44"/>
      <c r="C40" s="44"/>
      <c r="D40" s="44" t="s">
        <v>179</v>
      </c>
      <c r="E40" s="44"/>
      <c r="F40" s="49" t="s">
        <v>91</v>
      </c>
      <c r="G40" s="45" t="str">
        <f t="shared" si="1"/>
        <v/>
      </c>
      <c r="H40" s="44"/>
      <c r="I40" s="60">
        <f>-I18</f>
        <v>-930</v>
      </c>
    </row>
    <row r="41" spans="2:9">
      <c r="B41" s="44"/>
      <c r="C41" s="44"/>
      <c r="D41" s="44" t="s">
        <v>178</v>
      </c>
      <c r="E41" s="44"/>
      <c r="F41" s="49" t="s">
        <v>91</v>
      </c>
      <c r="G41" s="45" t="str">
        <f t="shared" si="1"/>
        <v/>
      </c>
      <c r="H41" s="44"/>
      <c r="I41" s="60">
        <f>-I16</f>
        <v>-930</v>
      </c>
    </row>
    <row r="42" spans="2:9">
      <c r="B42" s="44"/>
      <c r="C42" s="44"/>
      <c r="D42" s="44"/>
      <c r="E42" s="44"/>
      <c r="F42" s="44"/>
      <c r="G42" s="44"/>
      <c r="H42" s="44"/>
      <c r="I42" s="197"/>
    </row>
    <row r="43" spans="2:9">
      <c r="B43" s="44"/>
      <c r="C43" s="44"/>
      <c r="D43" s="63" t="s">
        <v>177</v>
      </c>
      <c r="E43" s="44"/>
      <c r="F43" s="58" t="s">
        <v>93</v>
      </c>
      <c r="G43" s="44"/>
      <c r="H43" s="44"/>
      <c r="I43" s="72">
        <f>I33+I34+I38+I39+I40+I41</f>
        <v>41128</v>
      </c>
    </row>
    <row r="44" spans="2:9">
      <c r="B44" s="44"/>
      <c r="C44" s="44"/>
      <c r="D44" s="63"/>
      <c r="E44" s="44"/>
      <c r="F44" s="44"/>
      <c r="G44" s="44"/>
      <c r="H44" s="44"/>
      <c r="I44" s="199"/>
    </row>
    <row r="45" spans="2:9">
      <c r="B45" s="44"/>
      <c r="C45" s="68" t="s">
        <v>176</v>
      </c>
      <c r="D45" s="69"/>
      <c r="E45" s="69"/>
      <c r="F45" s="69"/>
      <c r="G45" s="69"/>
      <c r="H45" s="69"/>
      <c r="I45" s="196"/>
    </row>
    <row r="46" spans="2:9">
      <c r="B46" s="44"/>
      <c r="C46" s="44"/>
      <c r="D46" s="44"/>
      <c r="E46" s="44"/>
      <c r="F46" s="44"/>
      <c r="G46" s="44"/>
      <c r="H46" s="44"/>
      <c r="I46" s="197"/>
    </row>
    <row r="47" spans="2:9">
      <c r="B47" s="44"/>
      <c r="C47" s="44"/>
      <c r="D47" s="44" t="s">
        <v>176</v>
      </c>
      <c r="E47" s="44"/>
      <c r="F47" s="58" t="s">
        <v>172</v>
      </c>
      <c r="G47" s="45" t="str">
        <f>IF(M47="","",IF(AND(M47&gt;=-1,M47&lt;=1), "%","mln EUR"))</f>
        <v/>
      </c>
      <c r="H47" s="44"/>
      <c r="I47" s="59">
        <f>I28</f>
        <v>10149</v>
      </c>
    </row>
    <row r="48" spans="2:9">
      <c r="B48" s="44"/>
      <c r="C48" s="44"/>
      <c r="D48" s="44" t="s">
        <v>96</v>
      </c>
      <c r="E48" s="44"/>
      <c r="F48" s="58" t="s">
        <v>172</v>
      </c>
      <c r="G48" s="45" t="str">
        <f>IF(M48="","",IF(AND(M48&gt;=-1,M48&lt;=1), "%","mln EUR"))</f>
        <v/>
      </c>
      <c r="H48" s="44"/>
      <c r="I48" s="59">
        <f>I6</f>
        <v>321913</v>
      </c>
    </row>
    <row r="49" spans="2:15">
      <c r="B49" s="44"/>
      <c r="C49" s="44"/>
      <c r="D49" s="44"/>
      <c r="E49" s="46"/>
      <c r="F49" s="44"/>
      <c r="G49" s="44"/>
      <c r="H49" s="44"/>
      <c r="I49" s="197"/>
    </row>
    <row r="50" spans="2:15">
      <c r="B50" s="44"/>
      <c r="C50" s="68" t="s">
        <v>175</v>
      </c>
      <c r="D50" s="69"/>
      <c r="E50" s="69"/>
      <c r="F50" s="69"/>
      <c r="G50" s="69"/>
      <c r="H50" s="69"/>
      <c r="I50" s="196"/>
    </row>
    <row r="51" spans="2:15">
      <c r="B51" s="44"/>
      <c r="C51" s="44"/>
      <c r="D51" s="44"/>
      <c r="E51" s="44"/>
      <c r="F51" s="44"/>
      <c r="G51" s="44"/>
      <c r="H51" s="44"/>
      <c r="I51" s="197"/>
    </row>
    <row r="52" spans="2:15">
      <c r="B52" s="44"/>
      <c r="C52" s="44"/>
      <c r="D52" s="44" t="s">
        <v>174</v>
      </c>
      <c r="E52" s="44"/>
      <c r="F52" s="58" t="s">
        <v>93</v>
      </c>
      <c r="G52" s="45" t="str">
        <f>IF(M52="","",IF(AND(M52&gt;=-1,M52&lt;=1), "%","mln EUR"))</f>
        <v/>
      </c>
      <c r="H52" s="44"/>
      <c r="I52" s="65">
        <f>I43/I48</f>
        <v>0.12776122741237539</v>
      </c>
    </row>
    <row r="53" spans="2:15">
      <c r="B53" s="44"/>
      <c r="C53" s="44"/>
      <c r="D53" s="44" t="s">
        <v>173</v>
      </c>
      <c r="E53" s="44"/>
      <c r="F53" s="58" t="s">
        <v>172</v>
      </c>
      <c r="G53" s="45" t="str">
        <f>IF(M53="","",IF(AND(M53&gt;=-1,M53&lt;=1), "%","mln EUR"))</f>
        <v/>
      </c>
      <c r="H53" s="44"/>
      <c r="I53" s="66">
        <f>I33/I48</f>
        <v>3.332577435518292E-2</v>
      </c>
    </row>
    <row r="54" spans="2:15">
      <c r="B54" s="44"/>
      <c r="C54" s="44"/>
      <c r="D54" s="44"/>
      <c r="E54" s="44"/>
      <c r="F54" s="44"/>
      <c r="G54" s="44"/>
      <c r="H54" s="44"/>
      <c r="I54" s="197"/>
      <c r="J54" s="67"/>
    </row>
    <row r="55" spans="2:15">
      <c r="B55" s="43"/>
      <c r="C55" s="44"/>
      <c r="D55" s="44"/>
      <c r="E55" s="44"/>
      <c r="F55" s="44"/>
      <c r="G55" s="44"/>
      <c r="H55" s="44"/>
      <c r="I55" s="197"/>
      <c r="J55" s="44"/>
    </row>
    <row r="56" spans="2:15">
      <c r="B56" s="68" t="s">
        <v>213</v>
      </c>
      <c r="C56" s="70"/>
      <c r="D56" s="70"/>
      <c r="E56" s="71"/>
      <c r="F56" s="71" t="s">
        <v>27</v>
      </c>
      <c r="G56" s="71" t="s">
        <v>28</v>
      </c>
      <c r="H56" s="71"/>
      <c r="I56" s="71" t="s">
        <v>34</v>
      </c>
    </row>
    <row r="57" spans="2:15">
      <c r="I57" s="50"/>
    </row>
    <row r="58" spans="2:15">
      <c r="D58" s="40" t="s">
        <v>214</v>
      </c>
      <c r="F58" s="45" t="s">
        <v>91</v>
      </c>
      <c r="G58" s="45" t="s">
        <v>190</v>
      </c>
      <c r="I58" s="86">
        <v>644467</v>
      </c>
    </row>
    <row r="59" spans="2:15">
      <c r="F59" s="45"/>
      <c r="G59" s="45"/>
      <c r="I59" s="86"/>
    </row>
    <row r="60" spans="2:15">
      <c r="D60" s="40" t="s">
        <v>217</v>
      </c>
      <c r="F60" s="45" t="s">
        <v>91</v>
      </c>
      <c r="G60" s="45" t="s">
        <v>190</v>
      </c>
      <c r="I60" s="86">
        <v>38801</v>
      </c>
    </row>
    <row r="61" spans="2:15">
      <c r="I61" s="50"/>
    </row>
    <row r="62" spans="2:15">
      <c r="C62" s="68" t="s">
        <v>78</v>
      </c>
      <c r="D62" s="69"/>
      <c r="E62" s="69"/>
      <c r="F62" s="71" t="s">
        <v>27</v>
      </c>
      <c r="G62" s="71" t="s">
        <v>28</v>
      </c>
      <c r="H62" s="71"/>
      <c r="I62" s="71" t="s">
        <v>34</v>
      </c>
      <c r="J62" s="44"/>
      <c r="K62" s="44"/>
      <c r="L62" s="44"/>
      <c r="M62" s="44"/>
      <c r="O62" s="44"/>
    </row>
    <row r="63" spans="2:15">
      <c r="B63" s="44"/>
      <c r="C63" s="44"/>
      <c r="D63" s="44"/>
      <c r="E63" s="44"/>
      <c r="F63" s="44"/>
      <c r="G63" s="45"/>
      <c r="H63" s="44"/>
      <c r="I63" s="197"/>
      <c r="J63" s="44"/>
      <c r="K63" s="44"/>
      <c r="L63" s="44"/>
      <c r="M63" s="44"/>
      <c r="O63" s="44"/>
    </row>
    <row r="64" spans="2:15">
      <c r="B64" s="44"/>
      <c r="C64" s="68" t="s">
        <v>389</v>
      </c>
      <c r="D64" s="69"/>
      <c r="E64" s="69"/>
      <c r="F64" s="69"/>
      <c r="G64" s="44"/>
      <c r="H64" s="44"/>
      <c r="I64" s="197"/>
      <c r="J64" s="44"/>
      <c r="K64" s="44"/>
      <c r="L64" s="44"/>
      <c r="M64" s="44"/>
      <c r="O64" s="44"/>
    </row>
    <row r="65" spans="2:15">
      <c r="B65" s="44"/>
      <c r="C65" s="44"/>
      <c r="D65" s="44"/>
      <c r="E65" s="44"/>
      <c r="F65" s="44"/>
      <c r="G65" s="45"/>
      <c r="H65" s="44"/>
      <c r="I65" s="197"/>
      <c r="J65" s="44"/>
      <c r="K65" s="44"/>
      <c r="L65" s="44"/>
      <c r="M65" s="44"/>
      <c r="O65" s="44"/>
    </row>
    <row r="66" spans="2:15">
      <c r="B66" s="44"/>
      <c r="C66" s="44"/>
      <c r="D66" s="44" t="s">
        <v>80</v>
      </c>
      <c r="E66" s="44"/>
      <c r="F66" s="19" t="s">
        <v>390</v>
      </c>
      <c r="G66" s="45" t="s">
        <v>190</v>
      </c>
      <c r="H66" s="44"/>
      <c r="I66" s="200">
        <v>1283</v>
      </c>
      <c r="J66" s="44"/>
      <c r="K66" s="76"/>
      <c r="L66" s="76"/>
      <c r="M66" s="76"/>
      <c r="O66" s="44"/>
    </row>
    <row r="67" spans="2:15">
      <c r="B67" s="44"/>
      <c r="C67" s="44"/>
      <c r="D67" s="44"/>
      <c r="E67" s="46"/>
      <c r="F67" s="44"/>
      <c r="G67" s="44"/>
      <c r="H67" s="44"/>
      <c r="I67" s="200"/>
      <c r="J67" s="44"/>
      <c r="K67" s="77"/>
      <c r="L67" s="77"/>
      <c r="M67" s="77"/>
      <c r="O67" s="44"/>
    </row>
    <row r="68" spans="2:15">
      <c r="B68" s="44"/>
      <c r="C68" s="44"/>
      <c r="D68" s="44"/>
      <c r="E68" s="44"/>
      <c r="F68" s="44"/>
      <c r="G68" s="44"/>
      <c r="H68" s="44"/>
      <c r="I68" s="200"/>
      <c r="J68" s="44"/>
      <c r="K68" s="44"/>
      <c r="L68" s="44"/>
      <c r="M68" s="44"/>
      <c r="O68" s="44"/>
    </row>
    <row r="69" spans="2:15">
      <c r="B69" s="44"/>
      <c r="C69" s="44"/>
      <c r="D69" s="44" t="s">
        <v>81</v>
      </c>
      <c r="E69" s="44"/>
      <c r="F69" s="19" t="s">
        <v>390</v>
      </c>
      <c r="G69" s="45" t="s">
        <v>190</v>
      </c>
      <c r="H69" s="44"/>
      <c r="I69" s="200">
        <v>14551</v>
      </c>
      <c r="J69" s="44"/>
      <c r="K69" s="76"/>
      <c r="L69" s="76"/>
      <c r="M69" s="76"/>
      <c r="O69" s="44"/>
    </row>
    <row r="70" spans="2:15">
      <c r="B70" s="44"/>
      <c r="C70" s="44"/>
      <c r="D70" s="44"/>
      <c r="E70" s="46"/>
      <c r="F70" s="44"/>
      <c r="G70" s="44"/>
      <c r="H70" s="44"/>
      <c r="I70" s="200"/>
      <c r="J70" s="44"/>
      <c r="K70" s="77"/>
      <c r="L70" s="77"/>
      <c r="M70" s="77"/>
      <c r="O70" s="44"/>
    </row>
    <row r="71" spans="2:15">
      <c r="B71" s="44"/>
      <c r="C71" s="44"/>
      <c r="D71" s="44"/>
      <c r="E71" s="44"/>
      <c r="F71" s="44"/>
      <c r="G71" s="44"/>
      <c r="H71" s="44"/>
      <c r="I71" s="200"/>
      <c r="J71" s="44"/>
      <c r="O71" s="44"/>
    </row>
    <row r="72" spans="2:15">
      <c r="B72" s="44"/>
      <c r="C72" s="44"/>
      <c r="D72" s="44" t="s">
        <v>82</v>
      </c>
      <c r="E72" s="44"/>
      <c r="F72" s="19" t="s">
        <v>390</v>
      </c>
      <c r="G72" s="45" t="s">
        <v>190</v>
      </c>
      <c r="H72" s="44"/>
      <c r="I72" s="200">
        <v>161357</v>
      </c>
      <c r="J72" s="44"/>
      <c r="K72" s="76"/>
      <c r="L72" s="76"/>
      <c r="M72" s="76"/>
      <c r="O72" s="44"/>
    </row>
    <row r="73" spans="2:15">
      <c r="B73" s="44"/>
      <c r="C73" s="44"/>
      <c r="D73" s="44"/>
      <c r="E73" s="46"/>
      <c r="F73" s="44"/>
      <c r="G73" s="44"/>
      <c r="H73" s="44"/>
      <c r="I73" s="200"/>
      <c r="J73" s="44"/>
      <c r="K73" s="77"/>
      <c r="L73" s="77"/>
      <c r="M73" s="77"/>
      <c r="O73" s="44"/>
    </row>
    <row r="74" spans="2:15">
      <c r="B74" s="44"/>
      <c r="C74" s="44"/>
      <c r="D74" s="44"/>
      <c r="E74" s="44"/>
      <c r="F74" s="44"/>
      <c r="G74" s="44"/>
      <c r="H74" s="44"/>
      <c r="I74" s="200"/>
      <c r="J74" s="44"/>
      <c r="K74" s="44"/>
      <c r="L74" s="44"/>
      <c r="M74" s="44"/>
      <c r="O74" s="44"/>
    </row>
    <row r="75" spans="2:15">
      <c r="B75" s="44"/>
      <c r="C75" s="44"/>
      <c r="D75" s="44" t="s">
        <v>83</v>
      </c>
      <c r="E75" s="44"/>
      <c r="F75" s="19" t="s">
        <v>390</v>
      </c>
      <c r="G75" s="45" t="s">
        <v>190</v>
      </c>
      <c r="H75" s="44"/>
      <c r="I75" s="200">
        <v>-3190</v>
      </c>
      <c r="J75" s="44"/>
      <c r="K75" s="76"/>
      <c r="L75" s="76"/>
      <c r="M75" s="76"/>
      <c r="O75" s="44"/>
    </row>
    <row r="76" spans="2:15">
      <c r="B76" s="44"/>
      <c r="C76" s="44"/>
      <c r="D76" s="44"/>
      <c r="E76" s="46"/>
      <c r="F76" s="44"/>
      <c r="G76" s="44"/>
      <c r="H76" s="44"/>
      <c r="I76" s="200"/>
      <c r="J76" s="44"/>
      <c r="K76" s="77"/>
      <c r="L76" s="77"/>
      <c r="M76" s="77"/>
      <c r="O76" s="44"/>
    </row>
    <row r="77" spans="2:15">
      <c r="B77" s="44"/>
      <c r="C77" s="44"/>
      <c r="D77" s="44"/>
      <c r="E77" s="44"/>
      <c r="F77" s="44"/>
      <c r="G77" s="44"/>
      <c r="H77" s="44"/>
      <c r="I77" s="200"/>
      <c r="J77" s="44"/>
      <c r="K77" s="44"/>
      <c r="L77" s="44"/>
      <c r="M77" s="44"/>
      <c r="O77" s="44"/>
    </row>
    <row r="78" spans="2:15">
      <c r="B78" s="44"/>
      <c r="C78" s="44"/>
      <c r="D78" s="44" t="s">
        <v>84</v>
      </c>
      <c r="E78" s="44"/>
      <c r="F78" s="19" t="s">
        <v>390</v>
      </c>
      <c r="G78" s="45" t="s">
        <v>190</v>
      </c>
      <c r="H78" s="44"/>
      <c r="I78" s="201" t="s">
        <v>391</v>
      </c>
      <c r="J78" s="77"/>
      <c r="K78" s="76"/>
      <c r="L78" s="76"/>
      <c r="M78" s="76"/>
      <c r="O78" s="44"/>
    </row>
    <row r="79" spans="2:15">
      <c r="B79" s="44"/>
      <c r="C79" s="44"/>
      <c r="D79" s="44"/>
      <c r="E79" s="46"/>
      <c r="F79" s="45"/>
      <c r="G79" s="45"/>
      <c r="H79" s="44"/>
      <c r="I79" s="78"/>
      <c r="J79" s="44"/>
      <c r="K79" s="77"/>
      <c r="L79" s="77"/>
      <c r="M79" s="77"/>
      <c r="O79" s="44"/>
    </row>
    <row r="80" spans="2:15">
      <c r="B80" s="44"/>
      <c r="C80" s="44"/>
      <c r="D80" s="44"/>
      <c r="E80" s="44"/>
      <c r="F80" s="44"/>
      <c r="G80" s="45"/>
      <c r="H80" s="44"/>
      <c r="I80" s="78"/>
      <c r="J80" s="76"/>
      <c r="K80" s="44"/>
      <c r="L80" s="44"/>
      <c r="M80" s="44"/>
      <c r="O80" s="44"/>
    </row>
    <row r="81" spans="2:15">
      <c r="B81" s="2"/>
      <c r="C81" s="68" t="s">
        <v>85</v>
      </c>
      <c r="D81" s="69"/>
      <c r="E81" s="69"/>
      <c r="F81" s="69"/>
      <c r="G81" s="45"/>
      <c r="H81" s="44"/>
      <c r="I81" s="78"/>
      <c r="J81" s="77"/>
      <c r="K81" s="44"/>
      <c r="L81" s="44"/>
      <c r="M81" s="44"/>
      <c r="O81" s="44"/>
    </row>
    <row r="82" spans="2:15">
      <c r="B82" s="44"/>
      <c r="C82" s="44"/>
      <c r="D82" s="44"/>
      <c r="E82" s="44"/>
      <c r="F82" s="44"/>
      <c r="G82" s="45"/>
      <c r="H82" s="44"/>
      <c r="I82" s="78"/>
      <c r="J82" s="44"/>
      <c r="K82" s="44"/>
      <c r="L82" s="44"/>
      <c r="M82" s="44"/>
      <c r="O82" s="44"/>
    </row>
    <row r="83" spans="2:15">
      <c r="B83" s="44"/>
      <c r="C83" s="44"/>
      <c r="D83" s="44" t="s">
        <v>85</v>
      </c>
      <c r="E83" s="44"/>
      <c r="F83" s="45" t="s">
        <v>91</v>
      </c>
      <c r="G83" s="45" t="s">
        <v>190</v>
      </c>
      <c r="H83" s="44"/>
      <c r="I83" s="78">
        <f>SUM(I66:I79)</f>
        <v>174001</v>
      </c>
      <c r="J83" s="44"/>
      <c r="K83" s="62"/>
      <c r="L83" s="62"/>
      <c r="M83" s="62"/>
      <c r="O83" s="44"/>
    </row>
    <row r="84" spans="2:15">
      <c r="B84" s="44"/>
      <c r="C84" s="44"/>
      <c r="D84" s="44"/>
      <c r="E84" s="46"/>
      <c r="F84" s="45"/>
      <c r="G84" s="45"/>
      <c r="H84" s="44"/>
      <c r="I84" s="78"/>
      <c r="J84" s="44"/>
      <c r="K84" s="77"/>
      <c r="L84" s="77"/>
      <c r="M84" s="77"/>
      <c r="O84" s="44"/>
    </row>
    <row r="85" spans="2:15">
      <c r="B85" s="44"/>
      <c r="C85" s="44"/>
      <c r="D85" s="44"/>
      <c r="E85" s="44"/>
      <c r="F85" s="44"/>
      <c r="G85" s="45"/>
      <c r="H85" s="44"/>
      <c r="I85" s="78"/>
      <c r="J85" s="62"/>
      <c r="K85" s="44"/>
      <c r="L85" s="44"/>
      <c r="M85" s="44"/>
      <c r="O85" s="44"/>
    </row>
    <row r="86" spans="2:15">
      <c r="B86" s="44"/>
      <c r="C86" s="68" t="s">
        <v>86</v>
      </c>
      <c r="D86" s="69"/>
      <c r="E86" s="69"/>
      <c r="F86" s="69"/>
      <c r="G86" s="45"/>
      <c r="H86" s="44"/>
      <c r="I86" s="78"/>
      <c r="J86" s="77"/>
      <c r="K86" s="44"/>
      <c r="L86" s="44"/>
      <c r="M86" s="44"/>
      <c r="O86" s="44"/>
    </row>
    <row r="87" spans="2:15">
      <c r="B87" s="44"/>
      <c r="C87" s="44"/>
      <c r="D87" s="44"/>
      <c r="E87" s="44"/>
      <c r="F87" s="44"/>
      <c r="G87" s="45"/>
      <c r="H87" s="44"/>
      <c r="I87" s="78"/>
      <c r="J87" s="44"/>
      <c r="K87" s="44"/>
      <c r="L87" s="44"/>
      <c r="M87" s="44"/>
      <c r="O87" s="44"/>
    </row>
    <row r="88" spans="2:15">
      <c r="B88" s="44"/>
      <c r="C88" s="44"/>
      <c r="D88" s="44" t="s">
        <v>86</v>
      </c>
      <c r="E88" s="44"/>
      <c r="F88" s="45" t="s">
        <v>91</v>
      </c>
      <c r="G88" s="45" t="s">
        <v>190</v>
      </c>
      <c r="H88" s="44"/>
      <c r="I88" s="78">
        <v>14777</v>
      </c>
      <c r="J88" s="44"/>
      <c r="K88" s="62"/>
      <c r="L88" s="62"/>
      <c r="M88" s="62"/>
      <c r="O88" s="44"/>
    </row>
    <row r="89" spans="2:15">
      <c r="B89" s="44"/>
      <c r="C89" s="44"/>
      <c r="D89" s="44"/>
      <c r="E89" s="46"/>
      <c r="F89" s="45"/>
      <c r="G89" s="45"/>
      <c r="H89" s="44"/>
      <c r="I89" s="78"/>
      <c r="J89" s="44"/>
      <c r="K89" s="77"/>
      <c r="M89" s="77"/>
      <c r="O89" s="44"/>
    </row>
    <row r="90" spans="2:15">
      <c r="B90" s="44"/>
      <c r="C90" s="44"/>
      <c r="D90" s="44"/>
      <c r="E90" s="44"/>
      <c r="F90" s="44"/>
      <c r="G90" s="45"/>
      <c r="H90" s="44"/>
      <c r="I90" s="78"/>
      <c r="J90" s="62"/>
      <c r="K90" s="44"/>
      <c r="L90" s="44"/>
      <c r="M90" s="44"/>
      <c r="N90" s="82"/>
      <c r="O90" s="44"/>
    </row>
    <row r="91" spans="2:15">
      <c r="B91" s="44"/>
      <c r="C91" s="68" t="s">
        <v>216</v>
      </c>
      <c r="D91" s="69"/>
      <c r="E91" s="69"/>
      <c r="F91" s="69"/>
      <c r="G91" s="45"/>
      <c r="H91" s="44"/>
      <c r="I91" s="78"/>
      <c r="J91" s="77"/>
      <c r="K91" s="44"/>
      <c r="L91" s="44"/>
      <c r="M91" s="44"/>
      <c r="O91" s="44"/>
    </row>
    <row r="92" spans="2:15">
      <c r="B92" s="44"/>
      <c r="C92" s="44"/>
      <c r="D92" s="44"/>
      <c r="E92" s="44"/>
      <c r="F92" s="44"/>
      <c r="G92" s="45"/>
      <c r="H92" s="44"/>
      <c r="I92" s="78"/>
      <c r="J92" s="44"/>
      <c r="K92" s="44"/>
      <c r="L92" s="44"/>
      <c r="M92" s="44"/>
      <c r="O92" s="44"/>
    </row>
    <row r="93" spans="2:15">
      <c r="B93" s="44"/>
      <c r="C93" s="44"/>
      <c r="D93" s="44" t="s">
        <v>87</v>
      </c>
      <c r="E93" s="44"/>
      <c r="F93" s="45" t="s">
        <v>91</v>
      </c>
      <c r="G93" s="45" t="s">
        <v>190</v>
      </c>
      <c r="H93" s="44"/>
      <c r="I93" s="79">
        <f>I83+I88</f>
        <v>188778</v>
      </c>
      <c r="J93" s="44"/>
      <c r="K93" s="62"/>
      <c r="L93" s="62"/>
      <c r="M93" s="62"/>
      <c r="O93" s="44"/>
    </row>
    <row r="94" spans="2:15">
      <c r="B94" s="44"/>
      <c r="C94" s="44"/>
      <c r="D94" s="44"/>
      <c r="E94" s="46"/>
      <c r="F94" s="45"/>
      <c r="G94" s="45"/>
      <c r="H94" s="44"/>
      <c r="I94" s="197"/>
      <c r="J94" s="44"/>
      <c r="K94" s="77"/>
      <c r="L94" s="77"/>
      <c r="M94" s="77"/>
      <c r="O94" s="44"/>
    </row>
    <row r="95" spans="2:15">
      <c r="D95" s="44" t="s">
        <v>392</v>
      </c>
      <c r="E95" s="44"/>
      <c r="F95" s="45" t="s">
        <v>91</v>
      </c>
      <c r="G95" s="45" t="s">
        <v>190</v>
      </c>
      <c r="H95" s="44"/>
      <c r="I95" s="202">
        <f>I58-I93</f>
        <v>455689</v>
      </c>
      <c r="J95" s="62"/>
    </row>
    <row r="96" spans="2:15">
      <c r="D96" s="203" t="s">
        <v>393</v>
      </c>
      <c r="E96" s="44"/>
      <c r="F96" s="45" t="s">
        <v>91</v>
      </c>
      <c r="G96" s="45" t="s">
        <v>190</v>
      </c>
      <c r="H96" s="44"/>
      <c r="I96" s="202">
        <f>127489+137214</f>
        <v>264703</v>
      </c>
      <c r="J96" s="62"/>
    </row>
    <row r="97" spans="2:10">
      <c r="I97" s="50"/>
      <c r="J97" s="23"/>
    </row>
    <row r="98" spans="2:10">
      <c r="B98" s="71" t="s">
        <v>199</v>
      </c>
      <c r="C98" s="69"/>
      <c r="D98" s="69"/>
      <c r="E98" s="69"/>
      <c r="F98" s="71" t="s">
        <v>27</v>
      </c>
      <c r="G98" s="71" t="s">
        <v>28</v>
      </c>
      <c r="H98" s="71"/>
      <c r="I98" s="81"/>
    </row>
    <row r="99" spans="2:10">
      <c r="I99" s="50"/>
    </row>
    <row r="100" spans="2:10">
      <c r="D100" s="40" t="s">
        <v>209</v>
      </c>
      <c r="F100" s="80" t="str">
        <f>A2</f>
        <v>https://finance.yahoo.com/quote/VOW3.DE/history/</v>
      </c>
      <c r="G100" s="45" t="s">
        <v>198</v>
      </c>
      <c r="I100" s="51">
        <v>103</v>
      </c>
    </row>
    <row r="101" spans="2:10">
      <c r="I101" s="50"/>
    </row>
    <row r="102" spans="2:10">
      <c r="D102" s="40" t="s">
        <v>210</v>
      </c>
      <c r="F102" s="80" t="str">
        <f>F100</f>
        <v>https://finance.yahoo.com/quote/VOW3.DE/history/</v>
      </c>
      <c r="G102" s="45" t="s">
        <v>198</v>
      </c>
      <c r="I102" s="51">
        <v>88.5</v>
      </c>
    </row>
    <row r="103" spans="2:10">
      <c r="F103" s="80"/>
      <c r="G103" s="45"/>
      <c r="I103" s="51"/>
    </row>
    <row r="104" spans="2:10">
      <c r="D104" s="40" t="s">
        <v>394</v>
      </c>
      <c r="F104" s="45" t="s">
        <v>395</v>
      </c>
      <c r="G104" s="45" t="s">
        <v>201</v>
      </c>
      <c r="I104" s="89">
        <v>295089818</v>
      </c>
    </row>
    <row r="105" spans="2:10">
      <c r="I105" s="89"/>
    </row>
    <row r="106" spans="2:10">
      <c r="D106" s="40" t="s">
        <v>203</v>
      </c>
      <c r="F106" s="45" t="s">
        <v>395</v>
      </c>
      <c r="G106" s="45" t="s">
        <v>201</v>
      </c>
      <c r="I106" s="89">
        <v>206205445</v>
      </c>
    </row>
    <row r="107" spans="2:10">
      <c r="I107" s="51"/>
    </row>
    <row r="108" spans="2:10">
      <c r="D108" s="40" t="s">
        <v>204</v>
      </c>
      <c r="F108" s="45" t="s">
        <v>396</v>
      </c>
      <c r="G108" s="45" t="s">
        <v>198</v>
      </c>
      <c r="I108" s="90">
        <f>5.2</f>
        <v>5.2</v>
      </c>
    </row>
    <row r="109" spans="2:10">
      <c r="I109" s="90"/>
    </row>
    <row r="110" spans="2:10">
      <c r="D110" s="40" t="s">
        <v>205</v>
      </c>
      <c r="F110" s="45" t="s">
        <v>91</v>
      </c>
      <c r="G110" s="45" t="s">
        <v>198</v>
      </c>
      <c r="I110" s="90">
        <v>5.26</v>
      </c>
    </row>
    <row r="111" spans="2:10">
      <c r="I111" s="50"/>
    </row>
    <row r="112" spans="2:10">
      <c r="D112" s="40" t="s">
        <v>218</v>
      </c>
      <c r="F112" s="45" t="s">
        <v>93</v>
      </c>
      <c r="G112" s="45" t="s">
        <v>198</v>
      </c>
      <c r="I112" s="204">
        <f>(I104+I106)*I102</f>
        <v>44364630775.5</v>
      </c>
    </row>
    <row r="113" spans="2:9">
      <c r="I113" s="205"/>
    </row>
    <row r="114" spans="2:9">
      <c r="D114" s="40" t="s">
        <v>382</v>
      </c>
      <c r="F114" s="45" t="s">
        <v>93</v>
      </c>
      <c r="G114" s="45" t="s">
        <v>198</v>
      </c>
      <c r="I114" s="204">
        <f>I112+(I96-I60+I88)*1000000</f>
        <v>285043630775.5</v>
      </c>
    </row>
    <row r="115" spans="2:9">
      <c r="I115" s="50"/>
    </row>
    <row r="116" spans="2:9">
      <c r="B116" s="68" t="s">
        <v>206</v>
      </c>
      <c r="C116" s="69"/>
      <c r="D116" s="69"/>
      <c r="E116" s="69"/>
      <c r="F116" s="71" t="s">
        <v>27</v>
      </c>
      <c r="G116" s="71" t="s">
        <v>28</v>
      </c>
      <c r="H116" s="71"/>
      <c r="I116" s="81"/>
    </row>
    <row r="117" spans="2:9">
      <c r="I117" s="50"/>
    </row>
    <row r="118" spans="2:9">
      <c r="D118" s="40" t="s">
        <v>211</v>
      </c>
      <c r="F118" s="45" t="s">
        <v>93</v>
      </c>
      <c r="G118" s="45" t="s">
        <v>201</v>
      </c>
      <c r="I118" s="84">
        <f>I102/I124</f>
        <v>6.6292134831460672</v>
      </c>
    </row>
    <row r="119" spans="2:9">
      <c r="F119" s="45"/>
      <c r="G119" s="45"/>
      <c r="I119" s="84"/>
    </row>
    <row r="120" spans="2:9">
      <c r="D120" s="40" t="s">
        <v>212</v>
      </c>
      <c r="F120" s="45" t="s">
        <v>93</v>
      </c>
      <c r="G120" s="45" t="s">
        <v>201</v>
      </c>
      <c r="I120" s="84">
        <f>I100/I124</f>
        <v>7.7153558052434459</v>
      </c>
    </row>
    <row r="121" spans="2:9">
      <c r="I121" s="50"/>
    </row>
    <row r="122" spans="2:9">
      <c r="D122" s="40" t="s">
        <v>192</v>
      </c>
      <c r="F122" s="58" t="s">
        <v>397</v>
      </c>
      <c r="G122" s="45" t="s">
        <v>198</v>
      </c>
      <c r="I122" s="90">
        <v>13.29</v>
      </c>
    </row>
    <row r="123" spans="2:9">
      <c r="F123" s="45"/>
      <c r="G123" s="45"/>
      <c r="I123" s="56"/>
    </row>
    <row r="124" spans="2:9">
      <c r="D124" s="40" t="s">
        <v>193</v>
      </c>
      <c r="F124" s="58" t="s">
        <v>397</v>
      </c>
      <c r="G124" s="45" t="s">
        <v>198</v>
      </c>
      <c r="I124" s="90">
        <v>13.35</v>
      </c>
    </row>
    <row r="125" spans="2:9">
      <c r="I125" s="50"/>
    </row>
    <row r="126" spans="2:9">
      <c r="D126" s="40" t="s">
        <v>219</v>
      </c>
      <c r="F126" s="45" t="s">
        <v>93</v>
      </c>
      <c r="G126" s="45" t="s">
        <v>201</v>
      </c>
      <c r="I126" s="83">
        <f>I114/(I43*1000000)</f>
        <v>6.9306465370428905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1946C-8B39-A141-9643-1B3A893B3739}">
  <sheetPr>
    <tabColor theme="9" tint="0.79998168889431442"/>
  </sheetPr>
  <dimension ref="A1:O126"/>
  <sheetViews>
    <sheetView zoomScale="145" zoomScaleNormal="145" workbookViewId="0">
      <selection activeCell="E132" sqref="E132"/>
    </sheetView>
  </sheetViews>
  <sheetFormatPr baseColWidth="10" defaultColWidth="8.83203125" defaultRowHeight="15"/>
  <cols>
    <col min="1" max="3" width="8.83203125" style="40"/>
    <col min="4" max="4" width="40.5" style="40" bestFit="1" customWidth="1"/>
    <col min="5" max="5" width="10.5" style="40" bestFit="1" customWidth="1"/>
    <col min="6" max="6" width="23.5" style="40" customWidth="1"/>
    <col min="7" max="7" width="9.83203125" style="40" bestFit="1" customWidth="1"/>
    <col min="8" max="8" width="8.83203125" style="40"/>
    <col min="9" max="9" width="22.83203125" style="40" bestFit="1" customWidth="1"/>
    <col min="10" max="16384" width="8.83203125" style="40"/>
  </cols>
  <sheetData>
    <row r="1" spans="1:11">
      <c r="A1" s="40" t="s">
        <v>398</v>
      </c>
    </row>
    <row r="2" spans="1:11">
      <c r="A2" s="187" t="s">
        <v>399</v>
      </c>
    </row>
    <row r="3" spans="1:11">
      <c r="C3" s="41"/>
      <c r="D3" s="41"/>
      <c r="E3" s="42" t="s">
        <v>27</v>
      </c>
      <c r="F3" s="42" t="s">
        <v>28</v>
      </c>
      <c r="G3" s="42"/>
      <c r="H3" s="42" t="s">
        <v>29</v>
      </c>
      <c r="I3" s="42" t="s">
        <v>34</v>
      </c>
    </row>
    <row r="4" spans="1:11">
      <c r="B4" s="68" t="s">
        <v>94</v>
      </c>
      <c r="C4" s="70"/>
      <c r="D4" s="70"/>
      <c r="E4" s="71"/>
      <c r="F4" s="71" t="s">
        <v>27</v>
      </c>
      <c r="G4" s="71" t="s">
        <v>28</v>
      </c>
      <c r="H4" s="71"/>
      <c r="I4" s="71" t="s">
        <v>34</v>
      </c>
    </row>
    <row r="5" spans="1:11">
      <c r="B5" s="80"/>
      <c r="C5" s="44"/>
      <c r="D5" s="44"/>
      <c r="E5" s="44"/>
      <c r="F5" s="44"/>
      <c r="G5" s="44"/>
      <c r="H5" s="44"/>
      <c r="I5" s="44"/>
    </row>
    <row r="6" spans="1:11">
      <c r="B6" s="44"/>
      <c r="C6" s="44"/>
      <c r="D6" s="43" t="s">
        <v>96</v>
      </c>
      <c r="E6" s="44"/>
      <c r="F6" s="45" t="s">
        <v>91</v>
      </c>
      <c r="G6" s="45" t="s">
        <v>190</v>
      </c>
      <c r="H6" s="44"/>
      <c r="I6" s="53">
        <v>36272</v>
      </c>
    </row>
    <row r="7" spans="1:11">
      <c r="B7" s="44"/>
      <c r="C7" s="44"/>
      <c r="D7" s="44"/>
      <c r="E7" s="46"/>
      <c r="F7" s="45"/>
      <c r="G7" s="45" t="str">
        <f t="shared" ref="G7:G28" si="0">IF(I7="","",IF(AND(I7&gt;=-1,I7&lt;=1), "%","mln EUR"))</f>
        <v/>
      </c>
      <c r="H7" s="44"/>
      <c r="I7" s="54"/>
    </row>
    <row r="8" spans="1:11">
      <c r="B8" s="44"/>
      <c r="C8" s="44"/>
      <c r="D8" s="44" t="s">
        <v>97</v>
      </c>
      <c r="E8" s="44"/>
      <c r="F8" s="45" t="s">
        <v>91</v>
      </c>
      <c r="G8" s="45" t="str">
        <f t="shared" si="0"/>
        <v>mln EUR</v>
      </c>
      <c r="H8" s="44"/>
      <c r="I8" s="54">
        <v>-31221</v>
      </c>
    </row>
    <row r="9" spans="1:11">
      <c r="B9" s="44"/>
      <c r="C9" s="44"/>
      <c r="D9" s="44"/>
      <c r="E9" s="46"/>
      <c r="F9" s="45"/>
      <c r="G9" s="45" t="str">
        <f t="shared" si="0"/>
        <v/>
      </c>
      <c r="H9" s="44"/>
      <c r="I9" s="54"/>
    </row>
    <row r="10" spans="1:11">
      <c r="B10" s="44"/>
      <c r="C10" s="44"/>
      <c r="D10" s="47" t="s">
        <v>98</v>
      </c>
      <c r="E10" s="48"/>
      <c r="F10" s="49" t="s">
        <v>91</v>
      </c>
      <c r="G10" s="49" t="str">
        <f>IF(I10="","",IF(AND(I10&gt;=-1,I10&lt;=1), "%","mln EUR"))</f>
        <v>mln EUR</v>
      </c>
      <c r="H10" s="48"/>
      <c r="I10" s="55">
        <f>I6+I8</f>
        <v>5051</v>
      </c>
    </row>
    <row r="11" spans="1:11">
      <c r="B11" s="44"/>
      <c r="C11" s="44"/>
      <c r="D11" s="44"/>
      <c r="E11" s="44"/>
      <c r="F11" s="44"/>
      <c r="G11" s="45" t="str">
        <f t="shared" si="0"/>
        <v/>
      </c>
      <c r="H11" s="44"/>
      <c r="I11" s="54"/>
    </row>
    <row r="12" spans="1:11">
      <c r="B12" s="44"/>
      <c r="C12" s="44"/>
      <c r="D12" s="44" t="s">
        <v>191</v>
      </c>
      <c r="E12" s="44"/>
      <c r="F12" s="45" t="s">
        <v>91</v>
      </c>
      <c r="G12" s="45" t="str">
        <f t="shared" si="0"/>
        <v>mln EUR</v>
      </c>
      <c r="H12" s="44"/>
      <c r="I12" s="54">
        <v>-4694</v>
      </c>
    </row>
    <row r="13" spans="1:11">
      <c r="B13" s="44"/>
      <c r="C13" s="44"/>
      <c r="D13" s="44"/>
      <c r="E13" s="46"/>
      <c r="F13" s="45"/>
      <c r="G13" s="45" t="str">
        <f t="shared" si="0"/>
        <v/>
      </c>
      <c r="H13" s="44"/>
      <c r="I13" s="54"/>
    </row>
    <row r="14" spans="1:11">
      <c r="B14" s="44"/>
      <c r="C14" s="44"/>
      <c r="D14" s="44" t="s">
        <v>102</v>
      </c>
      <c r="E14" s="44"/>
      <c r="F14" s="45" t="s">
        <v>91</v>
      </c>
      <c r="G14" s="45" t="s">
        <v>190</v>
      </c>
      <c r="H14" s="44"/>
      <c r="I14" s="54">
        <f>1460-1403</f>
        <v>57</v>
      </c>
      <c r="K14" s="189"/>
    </row>
    <row r="15" spans="1:11">
      <c r="B15" s="44"/>
      <c r="C15" s="44"/>
      <c r="D15" s="44"/>
      <c r="E15" s="46"/>
      <c r="F15" s="45"/>
      <c r="G15" s="45" t="str">
        <f t="shared" si="0"/>
        <v/>
      </c>
      <c r="H15" s="44"/>
      <c r="I15" s="54"/>
    </row>
    <row r="16" spans="1:11">
      <c r="B16" s="44"/>
      <c r="C16" s="44"/>
      <c r="D16" s="44" t="s">
        <v>103</v>
      </c>
      <c r="E16" s="44"/>
      <c r="F16" s="45" t="s">
        <v>91</v>
      </c>
      <c r="G16" s="45" t="str">
        <f t="shared" si="0"/>
        <v>mln EUR</v>
      </c>
      <c r="H16" s="44"/>
      <c r="I16" s="54">
        <v>-35</v>
      </c>
    </row>
    <row r="17" spans="2:10">
      <c r="B17" s="44"/>
      <c r="C17" s="44"/>
      <c r="D17" s="44"/>
      <c r="E17" s="46"/>
      <c r="F17" s="45"/>
      <c r="G17" s="45" t="str">
        <f t="shared" si="0"/>
        <v/>
      </c>
      <c r="H17" s="44"/>
      <c r="I17" s="54"/>
    </row>
    <row r="18" spans="2:10">
      <c r="B18" s="44"/>
      <c r="C18" s="44"/>
      <c r="D18" s="44" t="s">
        <v>104</v>
      </c>
      <c r="E18" s="44"/>
      <c r="F18" s="45" t="s">
        <v>91</v>
      </c>
      <c r="G18" s="45" t="str">
        <f t="shared" si="0"/>
        <v>mln EUR</v>
      </c>
      <c r="H18" s="44"/>
      <c r="I18" s="54">
        <f>47</f>
        <v>47</v>
      </c>
    </row>
    <row r="19" spans="2:10">
      <c r="B19" s="44"/>
      <c r="C19" s="44"/>
      <c r="D19" s="44"/>
      <c r="E19" s="46"/>
      <c r="F19" s="45"/>
      <c r="G19" s="45" t="str">
        <f t="shared" si="0"/>
        <v/>
      </c>
      <c r="H19" s="44"/>
      <c r="I19" s="54"/>
    </row>
    <row r="20" spans="2:10">
      <c r="B20" s="44"/>
      <c r="C20" s="44"/>
      <c r="D20" s="47" t="s">
        <v>105</v>
      </c>
      <c r="E20" s="48"/>
      <c r="F20" s="49" t="s">
        <v>91</v>
      </c>
      <c r="G20" s="49" t="str">
        <f t="shared" si="0"/>
        <v>mln EUR</v>
      </c>
      <c r="H20" s="48"/>
      <c r="I20" s="55">
        <f>I10+I12+I14+I16+I18</f>
        <v>426</v>
      </c>
    </row>
    <row r="21" spans="2:10">
      <c r="B21" s="44"/>
      <c r="C21" s="44"/>
      <c r="D21" s="44"/>
      <c r="E21" s="46"/>
      <c r="F21" s="45"/>
      <c r="G21" s="45" t="str">
        <f t="shared" si="0"/>
        <v/>
      </c>
      <c r="H21" s="44"/>
      <c r="I21" s="54"/>
    </row>
    <row r="22" spans="2:10">
      <c r="B22" s="44"/>
      <c r="C22" s="44"/>
      <c r="D22" s="44" t="s">
        <v>106</v>
      </c>
      <c r="E22" s="44"/>
      <c r="F22" s="45" t="s">
        <v>91</v>
      </c>
      <c r="G22" s="45" t="str">
        <f t="shared" si="0"/>
        <v>mln EUR</v>
      </c>
      <c r="H22" s="44"/>
      <c r="I22" s="54">
        <f>188-169</f>
        <v>19</v>
      </c>
    </row>
    <row r="23" spans="2:10">
      <c r="B23" s="44"/>
      <c r="C23" s="44"/>
      <c r="D23" s="44"/>
      <c r="E23" s="46"/>
      <c r="F23" s="45"/>
      <c r="G23" s="45" t="str">
        <f t="shared" si="0"/>
        <v/>
      </c>
      <c r="H23" s="44"/>
      <c r="I23" s="54"/>
    </row>
    <row r="24" spans="2:10">
      <c r="B24" s="44"/>
      <c r="C24" s="44"/>
      <c r="D24" s="193" t="s">
        <v>107</v>
      </c>
      <c r="E24" s="193"/>
      <c r="F24" s="194" t="s">
        <v>91</v>
      </c>
      <c r="G24" s="194" t="str">
        <f t="shared" si="0"/>
        <v>mln EUR</v>
      </c>
      <c r="H24" s="193"/>
      <c r="I24" s="195">
        <f>I20+I22</f>
        <v>445</v>
      </c>
    </row>
    <row r="25" spans="2:10">
      <c r="B25" s="44"/>
      <c r="C25" s="44"/>
      <c r="D25" s="44"/>
      <c r="E25" s="46"/>
      <c r="F25" s="45"/>
      <c r="G25" s="45" t="str">
        <f t="shared" si="0"/>
        <v/>
      </c>
      <c r="H25" s="44"/>
      <c r="I25" s="54"/>
    </row>
    <row r="26" spans="2:10">
      <c r="B26" s="44"/>
      <c r="C26" s="44"/>
      <c r="D26" s="44" t="s">
        <v>108</v>
      </c>
      <c r="E26" s="44"/>
      <c r="F26" s="45" t="s">
        <v>91</v>
      </c>
      <c r="G26" s="45" t="str">
        <f t="shared" si="0"/>
        <v>mln EUR</v>
      </c>
      <c r="H26" s="44"/>
      <c r="I26" s="54">
        <v>-135</v>
      </c>
    </row>
    <row r="27" spans="2:10">
      <c r="B27" s="44"/>
      <c r="C27" s="44"/>
      <c r="D27" s="44"/>
      <c r="E27" s="46"/>
      <c r="F27" s="45"/>
      <c r="G27" s="45" t="str">
        <f t="shared" si="0"/>
        <v/>
      </c>
      <c r="H27" s="44"/>
      <c r="I27" s="54"/>
    </row>
    <row r="28" spans="2:10">
      <c r="B28" s="44"/>
      <c r="C28" s="44"/>
      <c r="D28" s="47" t="s">
        <v>109</v>
      </c>
      <c r="E28" s="48"/>
      <c r="F28" s="49" t="s">
        <v>91</v>
      </c>
      <c r="G28" s="49" t="str">
        <f t="shared" si="0"/>
        <v>mln EUR</v>
      </c>
      <c r="H28" s="48"/>
      <c r="I28" s="55">
        <f>I24+I26</f>
        <v>310</v>
      </c>
    </row>
    <row r="29" spans="2:10">
      <c r="I29" s="52"/>
    </row>
    <row r="31" spans="2:10">
      <c r="C31" s="68" t="s">
        <v>177</v>
      </c>
      <c r="D31" s="69"/>
      <c r="E31" s="69"/>
      <c r="F31" s="69"/>
      <c r="G31" s="69"/>
      <c r="H31" s="69"/>
      <c r="I31" s="69"/>
      <c r="J31" s="75"/>
    </row>
    <row r="32" spans="2:10">
      <c r="B32" s="44"/>
      <c r="C32" s="44"/>
      <c r="D32" s="44"/>
      <c r="E32" s="44"/>
      <c r="F32" s="44"/>
      <c r="G32" s="44"/>
      <c r="H32" s="44"/>
      <c r="I32" s="44"/>
      <c r="J32" s="44"/>
    </row>
    <row r="33" spans="2:9">
      <c r="B33" s="44"/>
      <c r="C33" s="44"/>
      <c r="D33" s="57" t="s">
        <v>186</v>
      </c>
      <c r="E33" s="44"/>
      <c r="F33" s="58" t="s">
        <v>172</v>
      </c>
      <c r="G33" s="45" t="str">
        <f t="shared" ref="G33:G41" si="1">IF(M33="","",IF(AND(M33&gt;=-1,M33&lt;=1), "%","mln EUR"))</f>
        <v/>
      </c>
      <c r="H33" s="44"/>
      <c r="I33" s="59">
        <f>I20</f>
        <v>426</v>
      </c>
    </row>
    <row r="34" spans="2:9">
      <c r="B34" s="44"/>
      <c r="C34" s="44"/>
      <c r="D34" s="44" t="s">
        <v>185</v>
      </c>
      <c r="E34" s="44"/>
      <c r="F34" s="58" t="s">
        <v>400</v>
      </c>
      <c r="G34" s="45" t="str">
        <f t="shared" si="1"/>
        <v/>
      </c>
      <c r="H34" s="44"/>
      <c r="I34" s="60">
        <v>3984</v>
      </c>
    </row>
    <row r="35" spans="2:9">
      <c r="B35" s="44"/>
      <c r="C35" s="44"/>
      <c r="D35" s="44"/>
      <c r="E35" s="44"/>
      <c r="F35" s="61"/>
      <c r="G35" s="45" t="str">
        <f t="shared" si="1"/>
        <v/>
      </c>
      <c r="H35" s="44"/>
      <c r="I35" s="62"/>
    </row>
    <row r="36" spans="2:9">
      <c r="B36" s="44"/>
      <c r="C36" s="44"/>
      <c r="D36" s="44" t="s">
        <v>183</v>
      </c>
      <c r="E36" s="44"/>
      <c r="F36" s="61"/>
      <c r="G36" s="45" t="str">
        <f t="shared" si="1"/>
        <v/>
      </c>
      <c r="H36" s="44"/>
      <c r="I36" s="44"/>
    </row>
    <row r="37" spans="2:9">
      <c r="B37" s="44"/>
      <c r="C37" s="44"/>
      <c r="D37" s="44"/>
      <c r="E37" s="44"/>
      <c r="F37" s="61"/>
      <c r="G37" s="45" t="str">
        <f t="shared" si="1"/>
        <v/>
      </c>
      <c r="H37" s="44"/>
      <c r="I37" s="44"/>
    </row>
    <row r="38" spans="2:9">
      <c r="B38" s="44"/>
      <c r="C38" s="44"/>
      <c r="D38" s="44" t="s">
        <v>182</v>
      </c>
      <c r="E38" s="44"/>
      <c r="F38" s="49" t="s">
        <v>91</v>
      </c>
      <c r="G38" s="45" t="str">
        <f t="shared" si="1"/>
        <v/>
      </c>
      <c r="H38" s="44"/>
      <c r="I38" s="60">
        <v>-1460</v>
      </c>
    </row>
    <row r="39" spans="2:9">
      <c r="B39" s="44"/>
      <c r="C39" s="44"/>
      <c r="D39" s="44" t="s">
        <v>181</v>
      </c>
      <c r="E39" s="44"/>
      <c r="F39" s="49" t="s">
        <v>91</v>
      </c>
      <c r="G39" s="45" t="str">
        <f t="shared" si="1"/>
        <v/>
      </c>
      <c r="H39" s="44"/>
      <c r="I39" s="60">
        <v>1403</v>
      </c>
    </row>
    <row r="40" spans="2:9">
      <c r="B40" s="44"/>
      <c r="C40" s="44"/>
      <c r="D40" s="44" t="s">
        <v>179</v>
      </c>
      <c r="E40" s="44"/>
      <c r="F40" s="49" t="s">
        <v>91</v>
      </c>
      <c r="G40" s="45" t="str">
        <f t="shared" si="1"/>
        <v/>
      </c>
      <c r="H40" s="44"/>
      <c r="I40" s="60">
        <f>-I18</f>
        <v>-47</v>
      </c>
    </row>
    <row r="41" spans="2:9">
      <c r="B41" s="44"/>
      <c r="C41" s="44"/>
      <c r="D41" s="44" t="s">
        <v>178</v>
      </c>
      <c r="E41" s="44"/>
      <c r="F41" s="49" t="s">
        <v>91</v>
      </c>
      <c r="G41" s="45" t="str">
        <f t="shared" si="1"/>
        <v/>
      </c>
      <c r="H41" s="44"/>
      <c r="I41" s="60">
        <f>-I16</f>
        <v>35</v>
      </c>
    </row>
    <row r="42" spans="2:9">
      <c r="B42" s="44"/>
      <c r="C42" s="44"/>
      <c r="D42" s="44"/>
      <c r="E42" s="44"/>
      <c r="F42" s="44"/>
      <c r="G42" s="44"/>
      <c r="H42" s="44"/>
      <c r="I42" s="44"/>
    </row>
    <row r="43" spans="2:9">
      <c r="B43" s="44"/>
      <c r="C43" s="44"/>
      <c r="D43" s="63" t="s">
        <v>177</v>
      </c>
      <c r="E43" s="44"/>
      <c r="F43" s="58" t="s">
        <v>93</v>
      </c>
      <c r="G43" s="44"/>
      <c r="H43" s="44"/>
      <c r="I43" s="72">
        <f>I33+I34+I38+I39+I40+I41</f>
        <v>4341</v>
      </c>
    </row>
    <row r="44" spans="2:9">
      <c r="B44" s="44"/>
      <c r="C44" s="44"/>
      <c r="D44" s="63"/>
      <c r="E44" s="44"/>
      <c r="F44" s="44"/>
      <c r="G44" s="44"/>
      <c r="H44" s="44"/>
      <c r="I44" s="64"/>
    </row>
    <row r="45" spans="2:9">
      <c r="B45" s="44"/>
      <c r="C45" s="68" t="s">
        <v>176</v>
      </c>
      <c r="D45" s="69"/>
      <c r="E45" s="69"/>
      <c r="F45" s="69"/>
      <c r="G45" s="69"/>
      <c r="H45" s="69"/>
      <c r="I45" s="69"/>
    </row>
    <row r="46" spans="2:9">
      <c r="B46" s="44"/>
      <c r="C46" s="44"/>
      <c r="D46" s="44"/>
      <c r="E46" s="44"/>
      <c r="F46" s="44"/>
      <c r="G46" s="44"/>
      <c r="H46" s="44"/>
      <c r="I46" s="44"/>
    </row>
    <row r="47" spans="2:9">
      <c r="B47" s="44"/>
      <c r="C47" s="44"/>
      <c r="D47" s="44" t="s">
        <v>176</v>
      </c>
      <c r="E47" s="44"/>
      <c r="F47" s="58" t="s">
        <v>172</v>
      </c>
      <c r="G47" s="45" t="str">
        <f>IF(M47="","",IF(AND(M47&gt;=-1,M47&lt;=1), "%","mln EUR"))</f>
        <v/>
      </c>
      <c r="H47" s="44"/>
      <c r="I47" s="59">
        <f>I28</f>
        <v>310</v>
      </c>
    </row>
    <row r="48" spans="2:9">
      <c r="B48" s="44"/>
      <c r="C48" s="44"/>
      <c r="D48" s="44" t="s">
        <v>96</v>
      </c>
      <c r="E48" s="44"/>
      <c r="F48" s="58" t="s">
        <v>172</v>
      </c>
      <c r="G48" s="45" t="str">
        <f>IF(M48="","",IF(AND(M48&gt;=-1,M48&lt;=1), "%","mln EUR"))</f>
        <v/>
      </c>
      <c r="H48" s="44"/>
      <c r="I48" s="59">
        <f>I6</f>
        <v>36272</v>
      </c>
    </row>
    <row r="49" spans="2:15">
      <c r="B49" s="44"/>
      <c r="C49" s="44"/>
      <c r="D49" s="44"/>
      <c r="E49" s="46"/>
      <c r="F49" s="44"/>
      <c r="G49" s="44"/>
      <c r="H49" s="44"/>
      <c r="I49" s="44"/>
    </row>
    <row r="50" spans="2:15">
      <c r="B50" s="44"/>
      <c r="C50" s="68" t="s">
        <v>175</v>
      </c>
      <c r="D50" s="69"/>
      <c r="E50" s="69"/>
      <c r="F50" s="69"/>
      <c r="G50" s="69"/>
      <c r="H50" s="69"/>
      <c r="I50" s="69"/>
    </row>
    <row r="51" spans="2:15">
      <c r="B51" s="44"/>
      <c r="C51" s="44"/>
      <c r="D51" s="44"/>
      <c r="E51" s="44"/>
      <c r="F51" s="44"/>
      <c r="G51" s="44"/>
      <c r="H51" s="44"/>
      <c r="I51" s="44"/>
    </row>
    <row r="52" spans="2:15">
      <c r="B52" s="44"/>
      <c r="C52" s="44"/>
      <c r="D52" s="44" t="s">
        <v>174</v>
      </c>
      <c r="E52" s="44"/>
      <c r="F52" s="58" t="s">
        <v>93</v>
      </c>
      <c r="G52" s="45" t="str">
        <f>IF(M52="","",IF(AND(M52&gt;=-1,M52&lt;=1), "%","mln EUR"))</f>
        <v/>
      </c>
      <c r="H52" s="44"/>
      <c r="I52" s="65">
        <f>I43/I48</f>
        <v>0.11967909131010146</v>
      </c>
    </row>
    <row r="53" spans="2:15">
      <c r="B53" s="44"/>
      <c r="C53" s="44"/>
      <c r="D53" s="44" t="s">
        <v>173</v>
      </c>
      <c r="E53" s="44"/>
      <c r="F53" s="58" t="s">
        <v>172</v>
      </c>
      <c r="G53" s="45" t="str">
        <f>IF(M53="","",IF(AND(M53&gt;=-1,M53&lt;=1), "%","mln EUR"))</f>
        <v/>
      </c>
      <c r="H53" s="44"/>
      <c r="I53" s="66">
        <f>I33/I48</f>
        <v>1.1744596382884869E-2</v>
      </c>
    </row>
    <row r="54" spans="2:15">
      <c r="B54" s="44"/>
      <c r="C54" s="44"/>
      <c r="D54" s="44"/>
      <c r="E54" s="44"/>
      <c r="F54" s="44"/>
      <c r="G54" s="44"/>
      <c r="H54" s="44"/>
      <c r="I54" s="44"/>
      <c r="J54" s="67"/>
    </row>
    <row r="55" spans="2:15">
      <c r="B55" s="43"/>
      <c r="C55" s="44"/>
      <c r="D55" s="44"/>
      <c r="E55" s="44"/>
      <c r="F55" s="44"/>
      <c r="G55" s="44"/>
      <c r="H55" s="44"/>
      <c r="I55" s="44"/>
      <c r="J55" s="44"/>
    </row>
    <row r="56" spans="2:15">
      <c r="B56" s="68" t="s">
        <v>213</v>
      </c>
      <c r="C56" s="70"/>
      <c r="D56" s="70"/>
      <c r="E56" s="71"/>
      <c r="F56" s="71" t="s">
        <v>27</v>
      </c>
      <c r="G56" s="71" t="s">
        <v>28</v>
      </c>
      <c r="H56" s="71"/>
      <c r="I56" s="71" t="s">
        <v>34</v>
      </c>
    </row>
    <row r="58" spans="2:15">
      <c r="D58" s="40" t="s">
        <v>214</v>
      </c>
      <c r="F58" s="45" t="s">
        <v>91</v>
      </c>
      <c r="G58" s="45" t="s">
        <v>190</v>
      </c>
      <c r="I58" s="86">
        <v>52715</v>
      </c>
    </row>
    <row r="59" spans="2:15">
      <c r="F59" s="45"/>
      <c r="G59" s="45"/>
      <c r="I59" s="86"/>
    </row>
    <row r="60" spans="2:15">
      <c r="D60" s="40" t="s">
        <v>217</v>
      </c>
      <c r="F60" s="45" t="s">
        <v>91</v>
      </c>
      <c r="G60" s="45" t="s">
        <v>190</v>
      </c>
      <c r="I60" s="86">
        <v>4996</v>
      </c>
    </row>
    <row r="62" spans="2:15">
      <c r="C62" s="68" t="s">
        <v>78</v>
      </c>
      <c r="D62" s="69"/>
      <c r="E62" s="69"/>
      <c r="F62" s="71" t="s">
        <v>27</v>
      </c>
      <c r="G62" s="71" t="s">
        <v>28</v>
      </c>
      <c r="H62" s="71"/>
      <c r="I62" s="71" t="s">
        <v>34</v>
      </c>
      <c r="J62" s="44"/>
      <c r="K62" s="44"/>
      <c r="L62" s="44"/>
      <c r="M62" s="44"/>
      <c r="O62" s="44"/>
    </row>
    <row r="63" spans="2:15">
      <c r="B63" s="44"/>
      <c r="C63" s="44"/>
      <c r="D63" s="44"/>
      <c r="E63" s="44"/>
      <c r="F63" s="44"/>
      <c r="G63" s="45"/>
      <c r="H63" s="44"/>
      <c r="I63" s="44"/>
      <c r="J63" s="44"/>
      <c r="K63" s="44"/>
      <c r="L63" s="44"/>
      <c r="M63" s="44"/>
      <c r="O63" s="44"/>
    </row>
    <row r="64" spans="2:15">
      <c r="B64" s="44"/>
      <c r="C64" s="68" t="s">
        <v>401</v>
      </c>
      <c r="D64" s="69"/>
      <c r="E64" s="69"/>
      <c r="F64" s="69"/>
      <c r="G64" s="44"/>
      <c r="H64" s="44"/>
      <c r="I64" s="44"/>
      <c r="J64" s="44"/>
      <c r="K64" s="44"/>
      <c r="L64" s="44"/>
      <c r="M64" s="44"/>
      <c r="O64" s="44"/>
    </row>
    <row r="65" spans="2:15">
      <c r="B65" s="44"/>
      <c r="C65" s="44"/>
      <c r="D65" s="44"/>
      <c r="E65" s="44"/>
      <c r="F65" s="44"/>
      <c r="G65" s="45"/>
      <c r="H65" s="44"/>
      <c r="I65" s="44"/>
      <c r="J65" s="44"/>
      <c r="K65" s="44"/>
      <c r="L65" s="44"/>
      <c r="M65" s="44"/>
      <c r="O65" s="44"/>
    </row>
    <row r="66" spans="2:15">
      <c r="B66" s="44"/>
      <c r="C66" s="44"/>
      <c r="D66" s="44" t="s">
        <v>80</v>
      </c>
      <c r="E66" s="44"/>
      <c r="F66" s="45" t="s">
        <v>91</v>
      </c>
      <c r="G66" s="45" t="s">
        <v>190</v>
      </c>
      <c r="H66" s="44"/>
      <c r="I66" s="78">
        <v>911</v>
      </c>
      <c r="J66" s="44"/>
      <c r="K66" s="76"/>
      <c r="L66" s="76"/>
      <c r="M66" s="76"/>
      <c r="O66" s="44"/>
    </row>
    <row r="67" spans="2:15">
      <c r="B67" s="44"/>
      <c r="C67" s="44"/>
      <c r="D67" s="44"/>
      <c r="E67" s="46"/>
      <c r="F67" s="45"/>
      <c r="G67" s="45"/>
      <c r="H67" s="44"/>
      <c r="I67" s="78"/>
      <c r="J67" s="44"/>
      <c r="K67" s="77"/>
      <c r="L67" s="77"/>
      <c r="M67" s="77"/>
      <c r="O67" s="44"/>
    </row>
    <row r="68" spans="2:15">
      <c r="B68" s="44"/>
      <c r="C68" s="44"/>
      <c r="D68" s="44"/>
      <c r="E68" s="44"/>
      <c r="F68" s="44"/>
      <c r="G68" s="45"/>
      <c r="H68" s="44"/>
      <c r="I68" s="78"/>
      <c r="J68" s="76"/>
      <c r="K68" s="44"/>
      <c r="L68" s="44"/>
      <c r="M68" s="44"/>
      <c r="O68" s="44"/>
    </row>
    <row r="69" spans="2:15">
      <c r="B69" s="44"/>
      <c r="C69" s="44"/>
      <c r="D69" s="44" t="s">
        <v>81</v>
      </c>
      <c r="E69" s="44"/>
      <c r="F69" s="45" t="s">
        <v>91</v>
      </c>
      <c r="G69" s="45" t="s">
        <v>190</v>
      </c>
      <c r="H69" s="44"/>
      <c r="I69" s="78">
        <v>3822</v>
      </c>
      <c r="J69" s="77"/>
      <c r="K69" s="76"/>
      <c r="L69" s="76"/>
      <c r="M69" s="76"/>
      <c r="O69" s="44"/>
    </row>
    <row r="70" spans="2:15">
      <c r="B70" s="44"/>
      <c r="C70" s="44"/>
      <c r="D70" s="44"/>
      <c r="E70" s="46"/>
      <c r="F70" s="45"/>
      <c r="G70" s="45"/>
      <c r="H70" s="44"/>
      <c r="I70" s="78"/>
      <c r="J70" s="44"/>
      <c r="K70" s="77"/>
      <c r="L70" s="77"/>
      <c r="M70" s="77"/>
      <c r="O70" s="44"/>
    </row>
    <row r="71" spans="2:15">
      <c r="B71" s="44"/>
      <c r="C71" s="44"/>
      <c r="D71" s="44"/>
      <c r="E71" s="44"/>
      <c r="F71" s="44"/>
      <c r="G71" s="45"/>
      <c r="H71" s="44"/>
      <c r="I71" s="78"/>
      <c r="J71" s="76"/>
      <c r="O71" s="44"/>
    </row>
    <row r="72" spans="2:15">
      <c r="B72" s="44"/>
      <c r="C72" s="44"/>
      <c r="D72" s="44" t="s">
        <v>82</v>
      </c>
      <c r="E72" s="44"/>
      <c r="F72" s="45" t="s">
        <v>91</v>
      </c>
      <c r="G72" s="45" t="s">
        <v>190</v>
      </c>
      <c r="H72" s="44"/>
      <c r="I72" s="78">
        <v>16886</v>
      </c>
      <c r="J72" s="77"/>
      <c r="K72" s="76"/>
      <c r="L72" s="76"/>
      <c r="M72" s="76"/>
      <c r="O72" s="44"/>
    </row>
    <row r="73" spans="2:15">
      <c r="B73" s="44"/>
      <c r="C73" s="44"/>
      <c r="D73" s="44"/>
      <c r="E73" s="46"/>
      <c r="F73" s="45"/>
      <c r="G73" s="45"/>
      <c r="H73" s="44"/>
      <c r="I73" s="78"/>
      <c r="J73" s="44"/>
      <c r="K73" s="77"/>
      <c r="L73" s="77"/>
      <c r="M73" s="77"/>
      <c r="O73" s="44"/>
    </row>
    <row r="74" spans="2:15">
      <c r="B74" s="44"/>
      <c r="C74" s="44"/>
      <c r="D74" s="44"/>
      <c r="E74" s="44"/>
      <c r="F74" s="44"/>
      <c r="G74" s="45"/>
      <c r="H74" s="44"/>
      <c r="I74" s="78"/>
      <c r="J74" s="76"/>
      <c r="K74" s="44"/>
      <c r="L74" s="44"/>
      <c r="M74" s="44"/>
      <c r="O74" s="44"/>
    </row>
    <row r="75" spans="2:15">
      <c r="B75" s="44"/>
      <c r="C75" s="44"/>
      <c r="D75" s="44" t="s">
        <v>83</v>
      </c>
      <c r="E75" s="44"/>
      <c r="F75" s="45" t="s">
        <v>91</v>
      </c>
      <c r="G75" s="45" t="s">
        <v>190</v>
      </c>
      <c r="H75" s="44"/>
      <c r="I75" s="78">
        <v>1372</v>
      </c>
      <c r="J75" s="77"/>
      <c r="K75" s="76"/>
      <c r="L75" s="76"/>
      <c r="M75" s="76"/>
      <c r="O75" s="44"/>
    </row>
    <row r="76" spans="2:15">
      <c r="B76" s="44"/>
      <c r="C76" s="44"/>
      <c r="D76" s="44"/>
      <c r="E76" s="46"/>
      <c r="F76" s="45"/>
      <c r="G76" s="45"/>
      <c r="H76" s="44"/>
      <c r="I76" s="78"/>
      <c r="J76" s="44"/>
      <c r="K76" s="77"/>
      <c r="L76" s="77"/>
      <c r="M76" s="77"/>
      <c r="O76" s="44"/>
    </row>
    <row r="77" spans="2:15">
      <c r="B77" s="44"/>
      <c r="C77" s="44"/>
      <c r="D77" s="44"/>
      <c r="E77" s="44"/>
      <c r="F77" s="44"/>
      <c r="G77" s="45"/>
      <c r="H77" s="44"/>
      <c r="I77" s="78"/>
      <c r="J77" s="76"/>
      <c r="K77" s="44"/>
      <c r="L77" s="44"/>
      <c r="M77" s="44"/>
      <c r="O77" s="44"/>
    </row>
    <row r="78" spans="2:15">
      <c r="B78" s="44"/>
      <c r="C78" s="44"/>
      <c r="D78" s="44" t="s">
        <v>84</v>
      </c>
      <c r="E78" s="44"/>
      <c r="F78" s="45" t="s">
        <v>91</v>
      </c>
      <c r="G78" s="45" t="s">
        <v>190</v>
      </c>
      <c r="H78" s="44"/>
      <c r="I78" s="78" t="s">
        <v>391</v>
      </c>
      <c r="J78" s="77"/>
      <c r="K78" s="76"/>
      <c r="L78" s="76"/>
      <c r="M78" s="76"/>
      <c r="O78" s="44"/>
    </row>
    <row r="79" spans="2:15">
      <c r="B79" s="44"/>
      <c r="C79" s="44"/>
      <c r="D79" s="44"/>
      <c r="E79" s="46"/>
      <c r="F79" s="45"/>
      <c r="G79" s="45"/>
      <c r="H79" s="44"/>
      <c r="I79" s="78"/>
      <c r="J79" s="44"/>
      <c r="K79" s="77"/>
      <c r="L79" s="77"/>
      <c r="M79" s="77"/>
      <c r="O79" s="44"/>
    </row>
    <row r="80" spans="2:15">
      <c r="B80" s="44"/>
      <c r="C80" s="44"/>
      <c r="D80" s="44"/>
      <c r="E80" s="44"/>
      <c r="F80" s="44"/>
      <c r="G80" s="45"/>
      <c r="H80" s="44"/>
      <c r="I80" s="78"/>
      <c r="J80" s="76"/>
      <c r="K80" s="44"/>
      <c r="L80" s="44"/>
      <c r="M80" s="44"/>
      <c r="O80" s="44"/>
    </row>
    <row r="81" spans="2:15">
      <c r="B81" s="2"/>
      <c r="C81" s="68" t="s">
        <v>85</v>
      </c>
      <c r="D81" s="69"/>
      <c r="E81" s="69"/>
      <c r="F81" s="69"/>
      <c r="G81" s="45"/>
      <c r="H81" s="44"/>
      <c r="I81" s="78"/>
      <c r="J81" s="77"/>
      <c r="K81" s="44"/>
      <c r="L81" s="44"/>
      <c r="M81" s="44"/>
      <c r="O81" s="44"/>
    </row>
    <row r="82" spans="2:15">
      <c r="B82" s="44"/>
      <c r="C82" s="44"/>
      <c r="D82" s="44"/>
      <c r="E82" s="44"/>
      <c r="F82" s="44"/>
      <c r="G82" s="45"/>
      <c r="H82" s="44"/>
      <c r="I82" s="78"/>
      <c r="J82" s="44"/>
      <c r="K82" s="44"/>
      <c r="L82" s="44"/>
      <c r="M82" s="44"/>
      <c r="O82" s="44"/>
    </row>
    <row r="83" spans="2:15">
      <c r="B83" s="44"/>
      <c r="C83" s="44"/>
      <c r="D83" s="44" t="s">
        <v>85</v>
      </c>
      <c r="E83" s="44"/>
      <c r="F83" s="45" t="s">
        <v>91</v>
      </c>
      <c r="G83" s="45" t="s">
        <v>190</v>
      </c>
      <c r="H83" s="44"/>
      <c r="I83" s="78">
        <f>SUM(I66:I79)</f>
        <v>22991</v>
      </c>
      <c r="J83" s="44"/>
      <c r="K83" s="62"/>
      <c r="L83" s="62"/>
      <c r="M83" s="62"/>
      <c r="O83" s="44"/>
    </row>
    <row r="84" spans="2:15">
      <c r="B84" s="44"/>
      <c r="C84" s="44"/>
      <c r="D84" s="44"/>
      <c r="E84" s="46"/>
      <c r="F84" s="45"/>
      <c r="G84" s="45"/>
      <c r="H84" s="44"/>
      <c r="I84" s="78"/>
      <c r="J84" s="44"/>
      <c r="K84" s="77"/>
      <c r="L84" s="77"/>
      <c r="M84" s="77"/>
      <c r="O84" s="44"/>
    </row>
    <row r="85" spans="2:15">
      <c r="B85" s="44"/>
      <c r="C85" s="44"/>
      <c r="D85" s="44"/>
      <c r="E85" s="44"/>
      <c r="F85" s="44"/>
      <c r="G85" s="45"/>
      <c r="H85" s="44"/>
      <c r="I85" s="78"/>
      <c r="J85" s="62"/>
      <c r="K85" s="44"/>
      <c r="L85" s="44"/>
      <c r="M85" s="44"/>
      <c r="O85" s="44"/>
    </row>
    <row r="86" spans="2:15">
      <c r="B86" s="44"/>
      <c r="C86" s="68" t="s">
        <v>86</v>
      </c>
      <c r="D86" s="69"/>
      <c r="E86" s="69"/>
      <c r="F86" s="69"/>
      <c r="G86" s="45"/>
      <c r="H86" s="44"/>
      <c r="I86" s="78"/>
      <c r="J86" s="77"/>
      <c r="K86" s="44"/>
      <c r="L86" s="44"/>
      <c r="M86" s="44"/>
      <c r="O86" s="44"/>
    </row>
    <row r="87" spans="2:15">
      <c r="B87" s="44"/>
      <c r="C87" s="44"/>
      <c r="D87" s="44"/>
      <c r="E87" s="44"/>
      <c r="F87" s="44"/>
      <c r="G87" s="45"/>
      <c r="H87" s="44"/>
      <c r="I87" s="78"/>
      <c r="J87" s="44"/>
      <c r="K87" s="44"/>
      <c r="L87" s="44"/>
      <c r="M87" s="44"/>
      <c r="O87" s="44"/>
    </row>
    <row r="88" spans="2:15">
      <c r="B88" s="44"/>
      <c r="C88" s="44"/>
      <c r="D88" s="44" t="s">
        <v>86</v>
      </c>
      <c r="E88" s="44"/>
      <c r="F88" s="45" t="s">
        <v>91</v>
      </c>
      <c r="G88" s="45" t="s">
        <v>190</v>
      </c>
      <c r="H88" s="44"/>
      <c r="I88" s="78">
        <v>130</v>
      </c>
      <c r="J88" s="44"/>
      <c r="K88" s="62"/>
      <c r="L88" s="62"/>
      <c r="M88" s="62"/>
      <c r="O88" s="44"/>
    </row>
    <row r="89" spans="2:15">
      <c r="B89" s="44"/>
      <c r="C89" s="44"/>
      <c r="D89" s="44"/>
      <c r="E89" s="46"/>
      <c r="F89" s="45"/>
      <c r="G89" s="45"/>
      <c r="H89" s="44"/>
      <c r="I89" s="78"/>
      <c r="J89" s="44"/>
      <c r="K89" s="77"/>
      <c r="M89" s="77"/>
      <c r="O89" s="44"/>
    </row>
    <row r="90" spans="2:15">
      <c r="B90" s="44"/>
      <c r="C90" s="44"/>
      <c r="D90" s="44"/>
      <c r="E90" s="44"/>
      <c r="F90" s="44"/>
      <c r="G90" s="45"/>
      <c r="H90" s="44"/>
      <c r="I90" s="78"/>
      <c r="J90" s="62"/>
      <c r="K90" s="44"/>
      <c r="L90" s="44"/>
      <c r="M90" s="44"/>
      <c r="N90" s="82"/>
      <c r="O90" s="44"/>
    </row>
    <row r="91" spans="2:15">
      <c r="B91" s="44"/>
      <c r="C91" s="68" t="s">
        <v>216</v>
      </c>
      <c r="D91" s="69"/>
      <c r="E91" s="69"/>
      <c r="F91" s="69"/>
      <c r="G91" s="45"/>
      <c r="H91" s="44"/>
      <c r="I91" s="78"/>
      <c r="J91" s="77"/>
      <c r="K91" s="44"/>
      <c r="L91" s="44"/>
      <c r="M91" s="44"/>
      <c r="O91" s="44"/>
    </row>
    <row r="92" spans="2:15">
      <c r="B92" s="44"/>
      <c r="C92" s="44"/>
      <c r="D92" s="44"/>
      <c r="E92" s="44"/>
      <c r="F92" s="44"/>
      <c r="G92" s="45"/>
      <c r="H92" s="44"/>
      <c r="I92" s="78"/>
      <c r="J92" s="44"/>
      <c r="K92" s="44"/>
      <c r="L92" s="44"/>
      <c r="M92" s="44"/>
      <c r="O92" s="44"/>
    </row>
    <row r="93" spans="2:15">
      <c r="B93" s="44"/>
      <c r="C93" s="44"/>
      <c r="D93" s="44" t="s">
        <v>87</v>
      </c>
      <c r="E93" s="44"/>
      <c r="F93" s="45" t="s">
        <v>91</v>
      </c>
      <c r="G93" s="45" t="s">
        <v>190</v>
      </c>
      <c r="H93" s="44"/>
      <c r="I93" s="79">
        <f>I83+I88</f>
        <v>23121</v>
      </c>
      <c r="J93" s="44"/>
      <c r="K93" s="62"/>
      <c r="L93" s="62"/>
      <c r="M93" s="62"/>
      <c r="O93" s="44"/>
    </row>
    <row r="94" spans="2:15">
      <c r="B94" s="44"/>
      <c r="C94" s="44"/>
      <c r="D94" s="44"/>
      <c r="E94" s="46"/>
      <c r="F94" s="45"/>
      <c r="G94" s="45"/>
      <c r="H94" s="44"/>
      <c r="I94" s="44"/>
      <c r="J94" s="44"/>
      <c r="K94" s="77"/>
      <c r="L94" s="77"/>
      <c r="M94" s="77"/>
      <c r="O94" s="44"/>
    </row>
    <row r="95" spans="2:15">
      <c r="D95" s="44" t="s">
        <v>392</v>
      </c>
      <c r="E95" s="44"/>
      <c r="F95" s="45" t="s">
        <v>91</v>
      </c>
      <c r="G95" s="45" t="s">
        <v>190</v>
      </c>
      <c r="H95" s="44"/>
      <c r="I95" s="202">
        <f>I58-I93</f>
        <v>29594</v>
      </c>
      <c r="J95" s="62"/>
    </row>
    <row r="96" spans="2:15">
      <c r="D96" s="203" t="s">
        <v>393</v>
      </c>
      <c r="E96" s="44"/>
      <c r="F96" s="58" t="s">
        <v>402</v>
      </c>
      <c r="G96" s="45" t="s">
        <v>190</v>
      </c>
      <c r="H96" s="44"/>
      <c r="I96" s="202">
        <v>11431</v>
      </c>
      <c r="J96" s="62"/>
    </row>
    <row r="97" spans="2:10">
      <c r="J97" s="23"/>
    </row>
    <row r="98" spans="2:10">
      <c r="B98" s="71" t="s">
        <v>199</v>
      </c>
      <c r="C98" s="69"/>
      <c r="D98" s="69"/>
      <c r="E98" s="69"/>
      <c r="F98" s="71" t="s">
        <v>27</v>
      </c>
      <c r="G98" s="71" t="s">
        <v>28</v>
      </c>
      <c r="H98" s="71"/>
      <c r="I98" s="81"/>
    </row>
    <row r="100" spans="2:10">
      <c r="D100" s="40" t="s">
        <v>209</v>
      </c>
      <c r="F100" s="188" t="s">
        <v>403</v>
      </c>
      <c r="G100" s="45" t="s">
        <v>198</v>
      </c>
      <c r="I100" s="51">
        <v>45.62</v>
      </c>
    </row>
    <row r="102" spans="2:10">
      <c r="D102" s="40" t="s">
        <v>210</v>
      </c>
      <c r="F102" s="80" t="s">
        <v>403</v>
      </c>
      <c r="G102" s="45" t="s">
        <v>198</v>
      </c>
      <c r="I102" s="51">
        <v>45.35</v>
      </c>
    </row>
    <row r="103" spans="2:10">
      <c r="I103" s="51"/>
    </row>
    <row r="104" spans="2:10">
      <c r="D104" s="40" t="s">
        <v>394</v>
      </c>
      <c r="F104" s="58" t="s">
        <v>404</v>
      </c>
      <c r="G104" s="45" t="s">
        <v>201</v>
      </c>
      <c r="I104" s="89">
        <v>455500000</v>
      </c>
    </row>
    <row r="105" spans="2:10">
      <c r="I105" s="89"/>
    </row>
    <row r="106" spans="2:10">
      <c r="D106" s="40" t="s">
        <v>203</v>
      </c>
      <c r="F106" s="58" t="s">
        <v>404</v>
      </c>
      <c r="G106" s="45" t="s">
        <v>201</v>
      </c>
      <c r="I106" s="89">
        <v>455500000</v>
      </c>
    </row>
    <row r="107" spans="2:10">
      <c r="I107" s="51"/>
    </row>
    <row r="108" spans="2:10">
      <c r="D108" s="40" t="s">
        <v>204</v>
      </c>
      <c r="F108" s="45" t="s">
        <v>91</v>
      </c>
      <c r="G108" s="45" t="s">
        <v>198</v>
      </c>
      <c r="I108" s="90">
        <f>(2101000000-4555000)/911000000</f>
        <v>2.3012568605927552</v>
      </c>
    </row>
    <row r="109" spans="2:10">
      <c r="I109" s="90"/>
    </row>
    <row r="110" spans="2:10">
      <c r="D110" s="40" t="s">
        <v>205</v>
      </c>
      <c r="F110" s="45" t="s">
        <v>91</v>
      </c>
      <c r="G110" s="45" t="s">
        <v>198</v>
      </c>
      <c r="I110" s="90">
        <f>I108+0.01</f>
        <v>2.311256860592755</v>
      </c>
    </row>
    <row r="112" spans="2:10">
      <c r="D112" s="40" t="s">
        <v>218</v>
      </c>
      <c r="F112" s="45" t="s">
        <v>93</v>
      </c>
      <c r="G112" s="45" t="s">
        <v>198</v>
      </c>
      <c r="I112" s="85">
        <f>(I104+I106)*I102</f>
        <v>41313850000</v>
      </c>
    </row>
    <row r="113" spans="2:10">
      <c r="I113" s="88"/>
    </row>
    <row r="114" spans="2:10">
      <c r="D114" s="40" t="s">
        <v>382</v>
      </c>
      <c r="F114" s="45" t="s">
        <v>93</v>
      </c>
      <c r="G114" s="45" t="s">
        <v>198</v>
      </c>
      <c r="I114" s="85">
        <f>I112+(I96-I60+I88)*1000000</f>
        <v>47878850000</v>
      </c>
    </row>
    <row r="116" spans="2:10">
      <c r="B116" s="68" t="s">
        <v>206</v>
      </c>
      <c r="C116" s="69"/>
      <c r="D116" s="69"/>
      <c r="E116" s="69"/>
      <c r="F116" s="71" t="s">
        <v>27</v>
      </c>
      <c r="G116" s="71" t="s">
        <v>28</v>
      </c>
      <c r="H116" s="71"/>
      <c r="I116" s="81"/>
    </row>
    <row r="118" spans="2:10">
      <c r="D118" s="40" t="s">
        <v>211</v>
      </c>
      <c r="F118" s="45" t="s">
        <v>93</v>
      </c>
      <c r="G118" s="45" t="s">
        <v>201</v>
      </c>
      <c r="I118" s="84">
        <f>I102/I124</f>
        <v>94.479166666666671</v>
      </c>
    </row>
    <row r="119" spans="2:10">
      <c r="F119" s="45"/>
      <c r="G119" s="45"/>
      <c r="I119" s="84"/>
    </row>
    <row r="120" spans="2:10">
      <c r="D120" s="40" t="s">
        <v>212</v>
      </c>
      <c r="F120" s="45" t="s">
        <v>93</v>
      </c>
      <c r="G120" s="45" t="s">
        <v>201</v>
      </c>
      <c r="I120" s="84">
        <f>I100/I124</f>
        <v>95.041666666666671</v>
      </c>
    </row>
    <row r="122" spans="2:10">
      <c r="D122" s="40" t="s">
        <v>192</v>
      </c>
      <c r="F122" s="58" t="s">
        <v>404</v>
      </c>
      <c r="G122" s="45" t="s">
        <v>198</v>
      </c>
      <c r="I122" s="90">
        <v>0.47</v>
      </c>
    </row>
    <row r="123" spans="2:10">
      <c r="F123" s="45"/>
      <c r="G123" s="45"/>
      <c r="I123" s="56"/>
    </row>
    <row r="124" spans="2:10">
      <c r="D124" s="40" t="s">
        <v>193</v>
      </c>
      <c r="F124" s="58" t="s">
        <v>404</v>
      </c>
      <c r="G124" s="45" t="s">
        <v>198</v>
      </c>
      <c r="I124" s="90">
        <v>0.48</v>
      </c>
    </row>
    <row r="126" spans="2:10">
      <c r="D126" s="40" t="s">
        <v>219</v>
      </c>
      <c r="F126" s="45" t="s">
        <v>93</v>
      </c>
      <c r="G126" s="45" t="s">
        <v>201</v>
      </c>
      <c r="I126" s="83">
        <f>I114/(I43*1000000)</f>
        <v>11.029451739230591</v>
      </c>
      <c r="J126" s="211"/>
    </row>
  </sheetData>
  <hyperlinks>
    <hyperlink ref="F100" r:id="rId1" xr:uid="{D7B67248-1760-804B-99F4-36030275C37B}"/>
  </hyperlink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6943F-E26C-EF4F-8DA6-3D418BDF4A50}">
  <sheetPr>
    <tabColor theme="9" tint="0.79998168889431442"/>
  </sheetPr>
  <dimension ref="B2:M29"/>
  <sheetViews>
    <sheetView zoomScale="59" zoomScaleNormal="145" workbookViewId="0">
      <selection activeCell="F9" sqref="F9"/>
    </sheetView>
  </sheetViews>
  <sheetFormatPr baseColWidth="10" defaultColWidth="8.83203125" defaultRowHeight="15"/>
  <cols>
    <col min="1" max="1" width="8.83203125" style="40"/>
    <col min="2" max="2" width="10" style="40" customWidth="1"/>
    <col min="3" max="3" width="12.1640625" style="40" customWidth="1"/>
    <col min="4" max="4" width="18.5" style="40" customWidth="1"/>
    <col min="5" max="5" width="16.6640625" style="40" customWidth="1"/>
    <col min="6" max="6" width="12.33203125" style="40" bestFit="1" customWidth="1"/>
    <col min="7" max="7" width="14.5" style="40" bestFit="1" customWidth="1"/>
    <col min="8" max="8" width="16.33203125" style="40" bestFit="1" customWidth="1"/>
    <col min="9" max="9" width="16.1640625" style="40" customWidth="1"/>
    <col min="10" max="10" width="16.83203125" style="40" bestFit="1" customWidth="1"/>
    <col min="11" max="11" width="13.5" style="40" bestFit="1" customWidth="1"/>
    <col min="12" max="16384" width="8.83203125" style="40"/>
  </cols>
  <sheetData>
    <row r="2" spans="2:13">
      <c r="B2" s="68" t="s">
        <v>220</v>
      </c>
      <c r="C2" s="70"/>
      <c r="D2" s="70"/>
      <c r="E2" s="71"/>
    </row>
    <row r="3" spans="2:13">
      <c r="F3" s="42"/>
      <c r="G3" s="42"/>
      <c r="H3" s="42"/>
      <c r="I3" s="42"/>
    </row>
    <row r="4" spans="2:13">
      <c r="C4" s="68" t="s">
        <v>442</v>
      </c>
      <c r="D4" s="70"/>
      <c r="E4" s="70"/>
      <c r="F4" s="71"/>
      <c r="H4" s="42"/>
    </row>
    <row r="6" spans="2:13">
      <c r="C6" s="91" t="s">
        <v>221</v>
      </c>
      <c r="D6" s="91" t="s">
        <v>224</v>
      </c>
      <c r="E6" s="91" t="s">
        <v>225</v>
      </c>
      <c r="F6" s="91" t="s">
        <v>207</v>
      </c>
      <c r="G6" s="91" t="s">
        <v>405</v>
      </c>
      <c r="H6" s="51"/>
    </row>
    <row r="7" spans="2:13">
      <c r="C7" s="92" t="s">
        <v>222</v>
      </c>
      <c r="D7" s="93">
        <f>BMW!I124</f>
        <v>11.89</v>
      </c>
      <c r="E7" s="51">
        <f>BMW!I102</f>
        <v>74.11</v>
      </c>
      <c r="F7" s="90">
        <f>E7/D7</f>
        <v>6.232968881412952</v>
      </c>
      <c r="G7" s="206">
        <f>0.6</f>
        <v>0.6</v>
      </c>
    </row>
    <row r="8" spans="2:13">
      <c r="C8" s="92" t="s">
        <v>223</v>
      </c>
      <c r="D8" s="90">
        <f>VW!I122</f>
        <v>13.29</v>
      </c>
      <c r="E8" s="51">
        <f>VW!I102</f>
        <v>88.5</v>
      </c>
      <c r="F8" s="90">
        <f>E8/D8</f>
        <v>6.6591422121896171</v>
      </c>
      <c r="G8" s="206">
        <f>0.35</f>
        <v>0.35</v>
      </c>
    </row>
    <row r="9" spans="2:13">
      <c r="C9" s="92" t="s">
        <v>406</v>
      </c>
      <c r="D9" s="90">
        <f>Porsche!I124</f>
        <v>0.48</v>
      </c>
      <c r="E9" s="51">
        <f>Porsche!I102</f>
        <v>45.35</v>
      </c>
      <c r="F9" s="90">
        <f>E9/D9</f>
        <v>94.479166666666671</v>
      </c>
      <c r="G9" s="207">
        <f>1-G7-G8</f>
        <v>5.0000000000000044E-2</v>
      </c>
    </row>
    <row r="10" spans="2:13">
      <c r="C10" s="94" t="s">
        <v>407</v>
      </c>
      <c r="D10" s="94"/>
      <c r="E10" s="94"/>
      <c r="F10" s="95">
        <f>SUMPRODUCT(F7:F9,G7:G9)</f>
        <v>10.794439436447474</v>
      </c>
    </row>
    <row r="11" spans="2:13">
      <c r="C11" s="51"/>
      <c r="D11" s="51"/>
      <c r="E11" s="51"/>
      <c r="F11" s="51"/>
      <c r="I11" s="51"/>
      <c r="J11" s="51"/>
      <c r="K11" s="51"/>
      <c r="L11" s="51"/>
    </row>
    <row r="12" spans="2:13">
      <c r="C12" s="91" t="s">
        <v>221</v>
      </c>
      <c r="D12" s="91" t="s">
        <v>432</v>
      </c>
      <c r="E12" s="91" t="s">
        <v>433</v>
      </c>
      <c r="F12" s="91" t="s">
        <v>219</v>
      </c>
      <c r="G12" s="91" t="s">
        <v>405</v>
      </c>
      <c r="I12" s="213"/>
      <c r="J12" s="213"/>
      <c r="K12" s="213"/>
      <c r="L12" s="213"/>
      <c r="M12" s="213"/>
    </row>
    <row r="13" spans="2:13">
      <c r="C13" s="92" t="s">
        <v>222</v>
      </c>
      <c r="D13" s="93">
        <f>BMW!I116/1000000</f>
        <v>139306.38936828999</v>
      </c>
      <c r="E13" s="51">
        <f>BMW!I43</f>
        <v>25208</v>
      </c>
      <c r="F13" s="90">
        <f>D13/E13</f>
        <v>5.5262769505034113</v>
      </c>
      <c r="G13" s="206">
        <f>0.5</f>
        <v>0.5</v>
      </c>
      <c r="I13" s="213"/>
      <c r="J13" s="214"/>
      <c r="K13" s="215"/>
      <c r="L13" s="216"/>
      <c r="M13" s="212"/>
    </row>
    <row r="14" spans="2:13">
      <c r="C14" s="92" t="s">
        <v>223</v>
      </c>
      <c r="D14" s="90">
        <f>VW!I114/1000000</f>
        <v>285043.63077549997</v>
      </c>
      <c r="E14" s="51">
        <f>VW!I43</f>
        <v>41128</v>
      </c>
      <c r="F14" s="90">
        <f t="shared" ref="F14:F15" si="0">D14/E14</f>
        <v>6.9306465370428896</v>
      </c>
      <c r="G14" s="206">
        <f>0.3</f>
        <v>0.3</v>
      </c>
      <c r="I14" s="213"/>
      <c r="J14" s="216"/>
      <c r="K14" s="215"/>
      <c r="L14" s="216"/>
      <c r="M14" s="212"/>
    </row>
    <row r="15" spans="2:13">
      <c r="C15" s="92" t="s">
        <v>406</v>
      </c>
      <c r="D15" s="90">
        <f>Porsche!I114/1000000</f>
        <v>47878.85</v>
      </c>
      <c r="E15" s="51">
        <f>Porsche!I43</f>
        <v>4341</v>
      </c>
      <c r="F15" s="90">
        <f t="shared" si="0"/>
        <v>11.029451739230591</v>
      </c>
      <c r="G15" s="207">
        <f>1-G13-G14</f>
        <v>0.2</v>
      </c>
      <c r="I15" s="213"/>
      <c r="J15" s="216"/>
      <c r="K15" s="215"/>
      <c r="L15" s="216"/>
      <c r="M15" s="212"/>
    </row>
    <row r="16" spans="2:13">
      <c r="C16" s="94" t="s">
        <v>407</v>
      </c>
      <c r="D16" s="94"/>
      <c r="E16" s="94"/>
      <c r="F16" s="95">
        <f>SUMPRODUCT(F13:F15,G13:G15)</f>
        <v>7.0482227842106902</v>
      </c>
      <c r="I16" s="215"/>
      <c r="J16" s="215"/>
      <c r="K16" s="215"/>
      <c r="L16" s="216"/>
      <c r="M16" s="217"/>
    </row>
    <row r="18" spans="3:10" ht="32">
      <c r="C18" s="50" t="s">
        <v>441</v>
      </c>
      <c r="D18" s="219" t="s">
        <v>434</v>
      </c>
      <c r="E18" s="226" t="s">
        <v>443</v>
      </c>
      <c r="F18" s="218" t="s">
        <v>433</v>
      </c>
      <c r="G18" s="220" t="s">
        <v>435</v>
      </c>
      <c r="H18" s="220" t="s">
        <v>436</v>
      </c>
      <c r="I18" s="220" t="s">
        <v>437</v>
      </c>
      <c r="J18" s="226" t="s">
        <v>438</v>
      </c>
    </row>
    <row r="19" spans="3:10">
      <c r="C19" s="92" t="s">
        <v>156</v>
      </c>
      <c r="D19" s="51">
        <f>PL!N65</f>
        <v>5.34</v>
      </c>
      <c r="E19" s="231">
        <f>D19*F10</f>
        <v>57.642306590629509</v>
      </c>
      <c r="F19" s="51">
        <f>EBITDA!N18</f>
        <v>19204</v>
      </c>
      <c r="G19" s="222">
        <f>F19*F16</f>
        <v>135354.07034798208</v>
      </c>
      <c r="H19" s="224">
        <f>G19-BS!N95-BS!N129+BS!N57-BS!N186</f>
        <v>46596.07034798208</v>
      </c>
      <c r="I19" s="225">
        <v>962903703</v>
      </c>
      <c r="J19" s="232">
        <f>H19*1000000/I19</f>
        <v>48.391204855489143</v>
      </c>
    </row>
    <row r="20" spans="3:10">
      <c r="E20" s="221"/>
      <c r="F20" s="221"/>
      <c r="H20" s="221"/>
      <c r="I20" s="221"/>
    </row>
    <row r="21" spans="3:10" ht="31" customHeight="1" thickBot="1">
      <c r="E21" s="221"/>
      <c r="F21" s="221"/>
    </row>
    <row r="22" spans="3:10" ht="32">
      <c r="C22" s="230" t="s">
        <v>441</v>
      </c>
      <c r="D22" s="229" t="s">
        <v>438</v>
      </c>
      <c r="F22" s="221"/>
    </row>
    <row r="23" spans="3:10" ht="23" customHeight="1" thickBot="1">
      <c r="C23" s="227" t="s">
        <v>156</v>
      </c>
      <c r="D23" s="228">
        <f>0.7*J19+0.3*E19</f>
        <v>51.166535376031248</v>
      </c>
      <c r="F23" s="221"/>
    </row>
    <row r="27" spans="3:10">
      <c r="C27" s="40" t="s">
        <v>229</v>
      </c>
      <c r="E27" s="223">
        <f>49.76</f>
        <v>49.76</v>
      </c>
      <c r="F27" s="221"/>
    </row>
    <row r="28" spans="3:10">
      <c r="C28" s="40" t="s">
        <v>230</v>
      </c>
      <c r="E28" s="221"/>
      <c r="F28" s="221"/>
    </row>
    <row r="29" spans="3:10" ht="29" customHeight="1"/>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
  <sheetViews>
    <sheetView showGridLines="0" workbookViewId="0">
      <selection activeCell="H9" sqref="H9"/>
    </sheetView>
  </sheetViews>
  <sheetFormatPr baseColWidth="10" defaultColWidth="8.83203125" defaultRowHeight="15"/>
  <cols>
    <col min="1" max="3" width="8.83203125" customWidth="1"/>
  </cols>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CCCCFF"/>
  </sheetPr>
  <dimension ref="B1:X360"/>
  <sheetViews>
    <sheetView showGridLines="0" workbookViewId="0">
      <selection activeCell="G7" sqref="G7"/>
    </sheetView>
  </sheetViews>
  <sheetFormatPr baseColWidth="10" defaultColWidth="8.83203125" defaultRowHeight="15"/>
  <cols>
    <col min="3" max="3" width="10.1640625" bestFit="1" customWidth="1"/>
    <col min="6" max="6" width="10.1640625" bestFit="1" customWidth="1"/>
    <col min="11" max="11" width="10.1640625" bestFit="1" customWidth="1"/>
  </cols>
  <sheetData>
    <row r="1" spans="2:24">
      <c r="B1" s="14"/>
      <c r="C1" s="14"/>
      <c r="D1" s="14" t="s">
        <v>156</v>
      </c>
      <c r="E1" s="14"/>
      <c r="F1" s="14" t="s">
        <v>157</v>
      </c>
      <c r="G1" s="14"/>
      <c r="H1" s="14"/>
      <c r="J1" s="14"/>
      <c r="K1" s="14" t="s">
        <v>160</v>
      </c>
      <c r="L1" s="239"/>
      <c r="M1" s="239"/>
      <c r="N1" s="239"/>
      <c r="O1" s="239"/>
      <c r="P1" s="239"/>
      <c r="Q1" s="239"/>
      <c r="R1" s="239"/>
      <c r="S1" s="239"/>
      <c r="T1" s="239"/>
      <c r="U1" s="239"/>
      <c r="V1" s="239"/>
      <c r="W1" s="239"/>
      <c r="X1" s="239"/>
    </row>
    <row r="2" spans="2:24">
      <c r="K2" s="38" t="s">
        <v>156</v>
      </c>
      <c r="L2" s="38" t="s">
        <v>161</v>
      </c>
      <c r="M2" s="37" t="s">
        <v>163</v>
      </c>
    </row>
    <row r="3" spans="2:24">
      <c r="C3" s="248" t="s">
        <v>155</v>
      </c>
      <c r="D3" s="248" t="s">
        <v>159</v>
      </c>
      <c r="E3" s="248" t="s">
        <v>158</v>
      </c>
      <c r="F3" s="248" t="s">
        <v>159</v>
      </c>
      <c r="G3" s="248" t="s">
        <v>158</v>
      </c>
      <c r="K3" t="s">
        <v>157</v>
      </c>
      <c r="L3" t="s">
        <v>161</v>
      </c>
      <c r="M3" s="37" t="s">
        <v>162</v>
      </c>
    </row>
    <row r="5" spans="2:24">
      <c r="C5" s="33">
        <v>46173</v>
      </c>
      <c r="D5" s="34">
        <v>50.349998474121001</v>
      </c>
      <c r="E5" s="35">
        <f>D5/D6-1</f>
        <v>1.5428040814221999E-2</v>
      </c>
      <c r="F5" s="34">
        <v>23950.5703125</v>
      </c>
      <c r="G5" s="35">
        <f>F5/F6-1</f>
        <v>-1.4070689441833206E-2</v>
      </c>
      <c r="H5" s="35"/>
      <c r="J5" s="14"/>
      <c r="K5" s="14" t="s">
        <v>167</v>
      </c>
      <c r="L5" s="239"/>
      <c r="M5" s="239"/>
      <c r="N5" s="239"/>
      <c r="O5" s="239"/>
      <c r="P5" s="239"/>
      <c r="Q5" s="239"/>
      <c r="R5" s="239"/>
      <c r="S5" s="239"/>
      <c r="T5" s="239"/>
      <c r="U5" s="239"/>
      <c r="V5" s="239"/>
      <c r="W5" s="239"/>
      <c r="X5" s="239"/>
    </row>
    <row r="6" spans="2:24">
      <c r="C6" s="33">
        <v>46142</v>
      </c>
      <c r="D6" s="34">
        <v>49.584999084472599</v>
      </c>
      <c r="E6" s="35">
        <f t="shared" ref="E6:E69" si="0">D6/D7-1</f>
        <v>1.291073684243238E-2</v>
      </c>
      <c r="F6" s="34">
        <v>24292.380859375</v>
      </c>
      <c r="G6" s="35">
        <f t="shared" ref="G6:G69" si="1">F6/F7-1</f>
        <v>7.1090785709487792E-2</v>
      </c>
      <c r="H6" s="35"/>
      <c r="K6" t="s">
        <v>164</v>
      </c>
      <c r="L6">
        <v>120</v>
      </c>
    </row>
    <row r="7" spans="2:24">
      <c r="C7" s="33">
        <v>46112</v>
      </c>
      <c r="D7" s="34">
        <v>48.952980041503899</v>
      </c>
      <c r="E7" s="35">
        <f t="shared" si="0"/>
        <v>-0.11203388582645279</v>
      </c>
      <c r="F7" s="34">
        <v>22680.0390625</v>
      </c>
      <c r="G7" s="35">
        <f t="shared" si="1"/>
        <v>-0.10299770399707509</v>
      </c>
      <c r="H7" s="35"/>
      <c r="K7" t="s">
        <v>165</v>
      </c>
      <c r="L7" s="33">
        <v>42400</v>
      </c>
      <c r="M7" s="33">
        <v>46022</v>
      </c>
    </row>
    <row r="8" spans="2:24">
      <c r="C8" s="33">
        <v>46081</v>
      </c>
      <c r="D8" s="34">
        <v>55.1293334960937</v>
      </c>
      <c r="E8" s="35">
        <f t="shared" si="0"/>
        <v>2.0937888256239212E-2</v>
      </c>
      <c r="F8" s="34">
        <v>25284.259765625</v>
      </c>
      <c r="G8" s="35">
        <f t="shared" si="1"/>
        <v>3.0378376218603398E-2</v>
      </c>
      <c r="H8" s="35"/>
    </row>
    <row r="9" spans="2:24">
      <c r="C9" s="33">
        <v>46053</v>
      </c>
      <c r="D9" s="34">
        <v>53.998714447021399</v>
      </c>
      <c r="E9" s="35">
        <f t="shared" si="0"/>
        <v>-3.795570125587322E-2</v>
      </c>
      <c r="F9" s="34">
        <v>24538.810546875</v>
      </c>
      <c r="G9" s="35">
        <f t="shared" si="1"/>
        <v>1.9762997155297057E-3</v>
      </c>
      <c r="H9" s="35"/>
      <c r="J9" s="14"/>
      <c r="K9" s="14" t="s">
        <v>166</v>
      </c>
      <c r="L9" s="239"/>
      <c r="M9" s="239"/>
      <c r="N9" s="239"/>
      <c r="O9" s="239"/>
      <c r="P9" s="239"/>
      <c r="Q9" s="239"/>
      <c r="R9" s="239"/>
      <c r="S9" s="239"/>
      <c r="T9" s="239"/>
      <c r="U9" s="239"/>
      <c r="V9" s="239"/>
      <c r="W9" s="239"/>
      <c r="X9" s="239"/>
    </row>
    <row r="10" spans="2:24">
      <c r="C10" s="33">
        <v>46022</v>
      </c>
      <c r="D10" s="34">
        <v>56.129135131835902</v>
      </c>
      <c r="E10" s="35">
        <f t="shared" si="0"/>
        <v>3.284042776993501E-2</v>
      </c>
      <c r="F10" s="34">
        <v>24490.41015625</v>
      </c>
      <c r="G10" s="35">
        <f t="shared" si="1"/>
        <v>2.7420685396686961E-2</v>
      </c>
      <c r="H10" s="35"/>
      <c r="K10" t="s">
        <v>168</v>
      </c>
      <c r="L10" s="39">
        <f>_xlfn.STDEV.S(G10:G129)</f>
        <v>4.6804063361548659E-2</v>
      </c>
    </row>
    <row r="11" spans="2:24">
      <c r="C11" s="33">
        <v>45991</v>
      </c>
      <c r="D11" s="34">
        <v>54.344440460205</v>
      </c>
      <c r="E11" s="35">
        <f t="shared" si="0"/>
        <v>3.4691334316838907E-2</v>
      </c>
      <c r="F11" s="34">
        <v>23836.7890625</v>
      </c>
      <c r="G11" s="35">
        <f t="shared" si="1"/>
        <v>-5.0718003692939995E-3</v>
      </c>
      <c r="H11" s="35"/>
      <c r="K11" t="s">
        <v>169</v>
      </c>
      <c r="L11">
        <f>_xlfn.VAR.S(G10:G129)</f>
        <v>2.1906203471518618E-3</v>
      </c>
    </row>
    <row r="12" spans="2:24">
      <c r="C12" s="33">
        <v>45961</v>
      </c>
      <c r="D12" s="34">
        <v>52.522369384765597</v>
      </c>
      <c r="E12" s="35">
        <f t="shared" si="0"/>
        <v>4.3050650413113845E-2</v>
      </c>
      <c r="F12" s="34">
        <v>23958.30078125</v>
      </c>
      <c r="G12" s="35">
        <f t="shared" si="1"/>
        <v>3.2486489452911993E-3</v>
      </c>
      <c r="H12" s="35"/>
      <c r="K12" t="s">
        <v>170</v>
      </c>
      <c r="L12">
        <f>_xlfn.COVARIANCE.S(G10:G129,E10:E129)</f>
        <v>2.9481961303182958E-3</v>
      </c>
    </row>
    <row r="13" spans="2:24">
      <c r="C13" s="33">
        <v>45930</v>
      </c>
      <c r="D13" s="34">
        <v>50.3545722961425</v>
      </c>
      <c r="E13" s="35">
        <f t="shared" si="0"/>
        <v>1.0121842276152648E-2</v>
      </c>
      <c r="F13" s="34">
        <v>23880.720703125</v>
      </c>
      <c r="G13" s="35">
        <f t="shared" si="1"/>
        <v>-8.9908981354036577E-4</v>
      </c>
      <c r="H13" s="35"/>
      <c r="K13" s="36" t="s">
        <v>171</v>
      </c>
      <c r="L13" s="36">
        <f>L12/L11</f>
        <v>1.3458270549487943</v>
      </c>
      <c r="M13" s="210" t="s">
        <v>431</v>
      </c>
    </row>
    <row r="14" spans="2:24">
      <c r="C14" s="33">
        <v>45900</v>
      </c>
      <c r="D14" s="34">
        <v>49.849998474121001</v>
      </c>
      <c r="E14" s="35">
        <f t="shared" si="0"/>
        <v>6.4870255821414036E-2</v>
      </c>
      <c r="F14" s="34">
        <v>23902.2109375</v>
      </c>
      <c r="G14" s="35">
        <f t="shared" si="1"/>
        <v>-6.7839838928976937E-3</v>
      </c>
      <c r="H14" s="35"/>
      <c r="K14" s="36" t="s">
        <v>427</v>
      </c>
      <c r="L14" s="36">
        <f>L13*2/3+1/3</f>
        <v>1.2305513699658628</v>
      </c>
    </row>
    <row r="15" spans="2:24">
      <c r="C15" s="33">
        <v>45869</v>
      </c>
      <c r="D15" s="34">
        <v>46.813213348388601</v>
      </c>
      <c r="E15" s="35">
        <f t="shared" si="0"/>
        <v>8.251163077302559E-3</v>
      </c>
      <c r="F15" s="34">
        <v>24065.470703125</v>
      </c>
      <c r="G15" s="35">
        <f t="shared" si="1"/>
        <v>6.5187735056837504E-3</v>
      </c>
      <c r="H15" s="35"/>
    </row>
    <row r="16" spans="2:24">
      <c r="C16" s="33">
        <v>45838</v>
      </c>
      <c r="D16" s="34">
        <v>46.430110931396399</v>
      </c>
      <c r="E16" s="35">
        <f t="shared" si="0"/>
        <v>-5.5143572065189495E-2</v>
      </c>
      <c r="F16" s="34">
        <v>23909.609375</v>
      </c>
      <c r="G16" s="35">
        <f t="shared" si="1"/>
        <v>-3.6616799777970943E-3</v>
      </c>
      <c r="H16" s="35"/>
    </row>
    <row r="17" spans="3:8">
      <c r="C17" s="33">
        <v>45808</v>
      </c>
      <c r="D17" s="34">
        <v>49.139858245849602</v>
      </c>
      <c r="E17" s="35">
        <f t="shared" si="0"/>
        <v>8.9021457115782132E-2</v>
      </c>
      <c r="F17" s="34">
        <v>23997.48046875</v>
      </c>
      <c r="G17" s="35">
        <f t="shared" si="1"/>
        <v>6.6697839831630246E-2</v>
      </c>
      <c r="H17" s="35"/>
    </row>
    <row r="18" spans="3:8">
      <c r="C18" s="33">
        <v>45777</v>
      </c>
      <c r="D18" s="34">
        <v>45.122947692871001</v>
      </c>
      <c r="E18" s="35">
        <f t="shared" si="0"/>
        <v>-3.1740201726146333E-2</v>
      </c>
      <c r="F18" s="34">
        <v>22496.98046875</v>
      </c>
      <c r="G18" s="35">
        <f t="shared" si="1"/>
        <v>1.5046828403306511E-2</v>
      </c>
      <c r="H18" s="35"/>
    </row>
    <row r="19" spans="3:8">
      <c r="C19" s="33">
        <v>45747</v>
      </c>
      <c r="D19" s="34">
        <v>46.602108001708899</v>
      </c>
      <c r="E19" s="35">
        <f t="shared" si="0"/>
        <v>-9.335788853014404E-2</v>
      </c>
      <c r="F19" s="34">
        <v>22163.490234375</v>
      </c>
      <c r="G19" s="35">
        <f t="shared" si="1"/>
        <v>-1.7202432772589593E-2</v>
      </c>
      <c r="H19" s="35"/>
    </row>
    <row r="20" spans="3:8">
      <c r="C20" s="33">
        <v>45716</v>
      </c>
      <c r="D20" s="34">
        <v>51.4007759094238</v>
      </c>
      <c r="E20" s="35">
        <f t="shared" si="0"/>
        <v>1.4426420609779722E-2</v>
      </c>
      <c r="F20" s="34">
        <v>22551.4296875</v>
      </c>
      <c r="G20" s="35">
        <f t="shared" si="1"/>
        <v>3.770370843035864E-2</v>
      </c>
      <c r="H20" s="35"/>
    </row>
    <row r="21" spans="3:8">
      <c r="C21" s="33">
        <v>45688</v>
      </c>
      <c r="D21" s="34">
        <v>50.669792175292898</v>
      </c>
      <c r="E21" s="35">
        <f t="shared" si="0"/>
        <v>9.5167250935850545E-2</v>
      </c>
      <c r="F21" s="34">
        <v>21732.05078125</v>
      </c>
      <c r="G21" s="35">
        <f t="shared" si="1"/>
        <v>9.1561468703524218E-2</v>
      </c>
      <c r="H21" s="35"/>
    </row>
    <row r="22" spans="3:8">
      <c r="C22" s="33">
        <v>45657</v>
      </c>
      <c r="D22" s="34">
        <v>46.266716003417898</v>
      </c>
      <c r="E22" s="35">
        <f t="shared" si="0"/>
        <v>1.586106375533225E-2</v>
      </c>
      <c r="F22" s="34">
        <v>19909.140625</v>
      </c>
      <c r="G22" s="35">
        <f t="shared" si="1"/>
        <v>1.4403594002114994E-2</v>
      </c>
      <c r="H22" s="35"/>
    </row>
    <row r="23" spans="3:8">
      <c r="C23" s="33">
        <v>45626</v>
      </c>
      <c r="D23" s="34">
        <v>45.544334411621001</v>
      </c>
      <c r="E23" s="35">
        <f t="shared" si="0"/>
        <v>-4.9192179518565693E-2</v>
      </c>
      <c r="F23" s="34">
        <v>19626.44921875</v>
      </c>
      <c r="G23" s="35">
        <f t="shared" si="1"/>
        <v>2.8772587200671662E-2</v>
      </c>
      <c r="H23" s="35"/>
    </row>
    <row r="24" spans="3:8">
      <c r="C24" s="33">
        <v>45596</v>
      </c>
      <c r="D24" s="34">
        <v>47.900672912597599</v>
      </c>
      <c r="E24" s="35">
        <f t="shared" si="0"/>
        <v>-4.0317024902483789E-2</v>
      </c>
      <c r="F24" s="34">
        <v>19077.5390625</v>
      </c>
      <c r="G24" s="35">
        <f t="shared" si="1"/>
        <v>-1.2801631312533091E-2</v>
      </c>
      <c r="H24" s="35"/>
    </row>
    <row r="25" spans="3:8">
      <c r="C25" s="33">
        <v>45565</v>
      </c>
      <c r="D25" s="34">
        <v>49.913017272949197</v>
      </c>
      <c r="E25" s="35">
        <f t="shared" si="0"/>
        <v>-6.8976536488868478E-2</v>
      </c>
      <c r="F25" s="34">
        <v>19324.9296875</v>
      </c>
      <c r="G25" s="35">
        <f t="shared" si="1"/>
        <v>2.2108824036503716E-2</v>
      </c>
      <c r="H25" s="35"/>
    </row>
    <row r="26" spans="3:8">
      <c r="C26" s="33">
        <v>45535</v>
      </c>
      <c r="D26" s="34">
        <v>53.610912322997997</v>
      </c>
      <c r="E26" s="35">
        <f t="shared" si="0"/>
        <v>1.9293630155957864E-2</v>
      </c>
      <c r="F26" s="34">
        <v>18906.919921875</v>
      </c>
      <c r="G26" s="35">
        <f t="shared" si="1"/>
        <v>2.1518021187094893E-2</v>
      </c>
      <c r="H26" s="35"/>
    </row>
    <row r="27" spans="3:8">
      <c r="C27" s="33">
        <v>45504</v>
      </c>
      <c r="D27" s="34">
        <v>52.596141815185497</v>
      </c>
      <c r="E27" s="35">
        <f t="shared" si="0"/>
        <v>-5.281089107584569E-2</v>
      </c>
      <c r="F27" s="34">
        <v>18508.650390625</v>
      </c>
      <c r="G27" s="35">
        <f t="shared" si="1"/>
        <v>1.4981872319004275E-2</v>
      </c>
      <c r="H27" s="35"/>
    </row>
    <row r="28" spans="3:8">
      <c r="C28" s="33">
        <v>45473</v>
      </c>
      <c r="D28" s="34">
        <v>55.528659820556598</v>
      </c>
      <c r="E28" s="35">
        <f t="shared" si="0"/>
        <v>-2.7560254968650777E-2</v>
      </c>
      <c r="F28" s="34">
        <v>18235.44921875</v>
      </c>
      <c r="G28" s="35">
        <f t="shared" si="1"/>
        <v>-1.4190241839647455E-2</v>
      </c>
      <c r="H28" s="35"/>
    </row>
    <row r="29" spans="3:8">
      <c r="C29" s="33">
        <v>45443</v>
      </c>
      <c r="D29" s="34">
        <v>57.1024169921875</v>
      </c>
      <c r="E29" s="35">
        <f t="shared" si="0"/>
        <v>8.9553297129538745E-3</v>
      </c>
      <c r="F29" s="34">
        <v>18497.939453125</v>
      </c>
      <c r="G29" s="35">
        <f t="shared" si="1"/>
        <v>3.1550533689725491E-2</v>
      </c>
      <c r="H29" s="35"/>
    </row>
    <row r="30" spans="3:8">
      <c r="C30" s="33">
        <v>45412</v>
      </c>
      <c r="D30" s="34">
        <v>56.595584869384702</v>
      </c>
      <c r="E30" s="35">
        <f t="shared" si="0"/>
        <v>-3.8883510193267523E-2</v>
      </c>
      <c r="F30" s="34">
        <v>17932.169921875</v>
      </c>
      <c r="G30" s="35">
        <f t="shared" si="1"/>
        <v>-3.0299884190742588E-2</v>
      </c>
      <c r="H30" s="35"/>
    </row>
    <row r="31" spans="3:8">
      <c r="C31" s="33">
        <v>45382</v>
      </c>
      <c r="D31" s="34">
        <v>58.885250091552699</v>
      </c>
      <c r="E31" s="35">
        <f t="shared" si="0"/>
        <v>2.3085071471979912E-3</v>
      </c>
      <c r="F31" s="34">
        <v>18492.490234375</v>
      </c>
      <c r="G31" s="35">
        <f t="shared" si="1"/>
        <v>4.6062453590577146E-2</v>
      </c>
      <c r="H31" s="35"/>
    </row>
    <row r="32" spans="3:8">
      <c r="C32" s="33">
        <v>45351</v>
      </c>
      <c r="D32" s="34">
        <v>58.749626159667898</v>
      </c>
      <c r="E32" s="35">
        <f t="shared" si="0"/>
        <v>0.1716785836446475</v>
      </c>
      <c r="F32" s="34">
        <v>17678.189453125</v>
      </c>
      <c r="G32" s="35">
        <f t="shared" si="1"/>
        <v>4.5814049550967795E-2</v>
      </c>
      <c r="H32" s="35"/>
    </row>
    <row r="33" spans="3:8">
      <c r="C33" s="33">
        <v>45322</v>
      </c>
      <c r="D33" s="34">
        <v>50.1414184570312</v>
      </c>
      <c r="E33" s="35">
        <f t="shared" si="0"/>
        <v>4.7960743435857545E-3</v>
      </c>
      <c r="F33" s="34">
        <v>16903.759765625</v>
      </c>
      <c r="G33" s="35">
        <f t="shared" si="1"/>
        <v>9.0808502898502841E-3</v>
      </c>
      <c r="H33" s="35"/>
    </row>
    <row r="34" spans="3:8">
      <c r="C34" s="33">
        <v>45291</v>
      </c>
      <c r="D34" s="34">
        <v>49.902084350585902</v>
      </c>
      <c r="E34" s="35">
        <f t="shared" si="0"/>
        <v>4.9848901258747969E-2</v>
      </c>
      <c r="F34" s="34">
        <v>16751.640625</v>
      </c>
      <c r="G34" s="35">
        <f t="shared" si="1"/>
        <v>3.3067945027281498E-2</v>
      </c>
      <c r="H34" s="35"/>
    </row>
    <row r="35" spans="3:8">
      <c r="C35" s="33">
        <v>45260</v>
      </c>
      <c r="D35" s="34">
        <v>47.532634735107401</v>
      </c>
      <c r="E35" s="35">
        <f t="shared" si="0"/>
        <v>7.4869350580384797E-2</v>
      </c>
      <c r="F35" s="34">
        <v>16215.4296875</v>
      </c>
      <c r="G35" s="35">
        <f t="shared" si="1"/>
        <v>9.4872221608267138E-2</v>
      </c>
      <c r="H35" s="35"/>
    </row>
    <row r="36" spans="3:8">
      <c r="C36" s="33">
        <v>45230</v>
      </c>
      <c r="D36" s="34">
        <v>44.221778869628899</v>
      </c>
      <c r="E36" s="35">
        <f t="shared" si="0"/>
        <v>-0.15874943550636134</v>
      </c>
      <c r="F36" s="34">
        <v>14810.33984375</v>
      </c>
      <c r="G36" s="35">
        <f t="shared" si="1"/>
        <v>-3.7450832572875403E-2</v>
      </c>
      <c r="H36" s="35"/>
    </row>
    <row r="37" spans="3:8">
      <c r="C37" s="33">
        <v>45199</v>
      </c>
      <c r="D37" s="34">
        <v>52.566715240478501</v>
      </c>
      <c r="E37" s="35">
        <f t="shared" si="0"/>
        <v>-2.4430081230419343E-2</v>
      </c>
      <c r="F37" s="34">
        <v>15386.580078125</v>
      </c>
      <c r="G37" s="35">
        <f t="shared" si="1"/>
        <v>-3.5147500185244041E-2</v>
      </c>
      <c r="H37" s="35"/>
    </row>
    <row r="38" spans="3:8">
      <c r="C38" s="33">
        <v>45169</v>
      </c>
      <c r="D38" s="34">
        <v>53.883083343505803</v>
      </c>
      <c r="E38" s="35">
        <f t="shared" si="0"/>
        <v>-7.0209204668383984E-2</v>
      </c>
      <c r="F38" s="34">
        <v>15947.080078125</v>
      </c>
      <c r="G38" s="35">
        <f t="shared" si="1"/>
        <v>-3.0385794565038315E-2</v>
      </c>
      <c r="H38" s="35"/>
    </row>
    <row r="39" spans="3:8">
      <c r="C39" s="33">
        <v>45138</v>
      </c>
      <c r="D39" s="34">
        <v>57.951835632324197</v>
      </c>
      <c r="E39" s="35">
        <f t="shared" si="0"/>
        <v>-1.3981247781465811E-2</v>
      </c>
      <c r="F39" s="34">
        <v>16446.830078125</v>
      </c>
      <c r="G39" s="35">
        <f t="shared" si="1"/>
        <v>1.8511984856777408E-2</v>
      </c>
      <c r="H39" s="35"/>
    </row>
    <row r="40" spans="3:8">
      <c r="C40" s="33">
        <v>45107</v>
      </c>
      <c r="D40" s="34">
        <v>58.773563385009702</v>
      </c>
      <c r="E40" s="35">
        <f t="shared" si="0"/>
        <v>5.5898018990643727E-2</v>
      </c>
      <c r="F40" s="34">
        <v>16147.900390625</v>
      </c>
      <c r="G40" s="35">
        <f t="shared" si="1"/>
        <v>3.0891231871209568E-2</v>
      </c>
      <c r="H40" s="35"/>
    </row>
    <row r="41" spans="3:8">
      <c r="C41" s="33">
        <v>45077</v>
      </c>
      <c r="D41" s="34">
        <v>55.662158966064403</v>
      </c>
      <c r="E41" s="35">
        <f t="shared" si="0"/>
        <v>6.7544626310752864E-2</v>
      </c>
      <c r="F41" s="34">
        <v>15664.01953125</v>
      </c>
      <c r="G41" s="35">
        <f t="shared" si="1"/>
        <v>-1.6226239636537576E-2</v>
      </c>
      <c r="H41" s="35"/>
    </row>
    <row r="42" spans="3:8">
      <c r="C42" s="33">
        <v>45046</v>
      </c>
      <c r="D42" s="34">
        <v>52.140357971191399</v>
      </c>
      <c r="E42" s="35">
        <f t="shared" si="0"/>
        <v>-2.8255611069710751E-3</v>
      </c>
      <c r="F42" s="34">
        <v>15922.3798828125</v>
      </c>
      <c r="G42" s="35">
        <f t="shared" si="1"/>
        <v>1.8781946836564867E-2</v>
      </c>
      <c r="H42" s="35"/>
    </row>
    <row r="43" spans="3:8">
      <c r="C43" s="33">
        <v>45016</v>
      </c>
      <c r="D43" s="34">
        <v>52.288101196288999</v>
      </c>
      <c r="E43" s="35">
        <f t="shared" si="0"/>
        <v>-2.5739932708093605E-2</v>
      </c>
      <c r="F43" s="34">
        <v>15628.83984375</v>
      </c>
      <c r="G43" s="35">
        <f t="shared" si="1"/>
        <v>1.7162238765549676E-2</v>
      </c>
      <c r="H43" s="35"/>
    </row>
    <row r="44" spans="3:8">
      <c r="C44" s="33">
        <v>44985</v>
      </c>
      <c r="D44" s="34">
        <v>53.669551849365199</v>
      </c>
      <c r="E44" s="35">
        <f t="shared" si="0"/>
        <v>6.6030843565421549E-2</v>
      </c>
      <c r="F44" s="34">
        <v>15365.1396484375</v>
      </c>
      <c r="G44" s="35">
        <f t="shared" si="1"/>
        <v>1.565744956475057E-2</v>
      </c>
      <c r="H44" s="35"/>
    </row>
    <row r="45" spans="3:8">
      <c r="C45" s="33">
        <v>44957</v>
      </c>
      <c r="D45" s="34">
        <v>50.34521484375</v>
      </c>
      <c r="E45" s="35">
        <f t="shared" si="0"/>
        <v>0.10993486067969993</v>
      </c>
      <c r="F45" s="34">
        <v>15128.26953125</v>
      </c>
      <c r="G45" s="35">
        <f t="shared" si="1"/>
        <v>8.6520768064764164E-2</v>
      </c>
      <c r="H45" s="35"/>
    </row>
    <row r="46" spans="3:8">
      <c r="C46" s="33">
        <v>44926</v>
      </c>
      <c r="D46" s="34">
        <v>45.358711242675703</v>
      </c>
      <c r="E46" s="35">
        <f t="shared" si="0"/>
        <v>-4.6583794405204437E-2</v>
      </c>
      <c r="F46" s="34">
        <v>13923.58984375</v>
      </c>
      <c r="G46" s="35">
        <f t="shared" si="1"/>
        <v>-3.2885245441279576E-2</v>
      </c>
      <c r="H46" s="35"/>
    </row>
    <row r="47" spans="3:8">
      <c r="C47" s="33">
        <v>44895</v>
      </c>
      <c r="D47" s="34">
        <v>47.574932098388601</v>
      </c>
      <c r="E47" s="35">
        <f t="shared" si="0"/>
        <v>9.8976099891833424E-2</v>
      </c>
      <c r="F47" s="34">
        <v>14397.0400390625</v>
      </c>
      <c r="G47" s="35">
        <f t="shared" si="1"/>
        <v>8.6262427395568553E-2</v>
      </c>
      <c r="H47" s="35"/>
    </row>
    <row r="48" spans="3:8">
      <c r="C48" s="33">
        <v>44865</v>
      </c>
      <c r="D48" s="34">
        <v>43.290233612060497</v>
      </c>
      <c r="E48" s="35">
        <f t="shared" si="0"/>
        <v>0.11938866761847211</v>
      </c>
      <c r="F48" s="34">
        <v>13253.740234375</v>
      </c>
      <c r="G48" s="35">
        <f t="shared" si="1"/>
        <v>9.4052005202696742E-2</v>
      </c>
      <c r="H48" s="35"/>
    </row>
    <row r="49" spans="3:8">
      <c r="C49" s="33">
        <v>44834</v>
      </c>
      <c r="D49" s="34">
        <v>38.673103332519503</v>
      </c>
      <c r="E49" s="35">
        <f t="shared" si="0"/>
        <v>-6.7177450290563212E-2</v>
      </c>
      <c r="F49" s="34">
        <v>12114.3603515625</v>
      </c>
      <c r="G49" s="35">
        <f t="shared" si="1"/>
        <v>-5.6143502711976212E-2</v>
      </c>
      <c r="H49" s="35"/>
    </row>
    <row r="50" spans="3:8">
      <c r="C50" s="33">
        <v>44804</v>
      </c>
      <c r="D50" s="34">
        <v>41.458156585693303</v>
      </c>
      <c r="E50" s="35">
        <f t="shared" si="0"/>
        <v>-1.9224026938293171E-2</v>
      </c>
      <c r="F50" s="34">
        <v>12834.9599609375</v>
      </c>
      <c r="G50" s="35">
        <f t="shared" si="1"/>
        <v>-4.8137603550259422E-2</v>
      </c>
      <c r="H50" s="35"/>
    </row>
    <row r="51" spans="3:8">
      <c r="C51" s="33">
        <v>44773</v>
      </c>
      <c r="D51" s="34">
        <v>42.2707710266113</v>
      </c>
      <c r="E51" s="35">
        <f t="shared" si="0"/>
        <v>3.6218747533597995E-2</v>
      </c>
      <c r="F51" s="34">
        <v>13484.0498046875</v>
      </c>
      <c r="G51" s="35">
        <f t="shared" si="1"/>
        <v>5.4778856246247232E-2</v>
      </c>
      <c r="H51" s="35"/>
    </row>
    <row r="52" spans="3:8">
      <c r="C52" s="33">
        <v>44742</v>
      </c>
      <c r="D52" s="34">
        <v>40.793289184570298</v>
      </c>
      <c r="E52" s="35">
        <f t="shared" si="0"/>
        <v>-0.16586095046015403</v>
      </c>
      <c r="F52" s="34">
        <v>12783.76953125</v>
      </c>
      <c r="G52" s="35">
        <f t="shared" si="1"/>
        <v>-0.11151939740743477</v>
      </c>
      <c r="H52" s="35"/>
    </row>
    <row r="53" spans="3:8">
      <c r="C53" s="33">
        <v>44712</v>
      </c>
      <c r="D53" s="34">
        <v>48.9046630859375</v>
      </c>
      <c r="E53" s="35">
        <f t="shared" si="0"/>
        <v>6.6022377710298619E-2</v>
      </c>
      <c r="F53" s="34">
        <v>14388.349609375</v>
      </c>
      <c r="G53" s="35">
        <f t="shared" si="1"/>
        <v>2.0603787872857993E-2</v>
      </c>
      <c r="H53" s="35"/>
    </row>
    <row r="54" spans="3:8">
      <c r="C54" s="33">
        <v>44681</v>
      </c>
      <c r="D54" s="34">
        <v>45.875831604003899</v>
      </c>
      <c r="E54" s="35">
        <f t="shared" si="0"/>
        <v>5.1559316639299357E-2</v>
      </c>
      <c r="F54" s="34">
        <v>14097.8798828125</v>
      </c>
      <c r="G54" s="35">
        <f t="shared" si="1"/>
        <v>-2.1982352603236222E-2</v>
      </c>
      <c r="H54" s="35"/>
    </row>
    <row r="55" spans="3:8">
      <c r="C55" s="33">
        <v>44651</v>
      </c>
      <c r="D55" s="34">
        <v>43.626480102538999</v>
      </c>
      <c r="E55" s="35">
        <f t="shared" si="0"/>
        <v>-9.0637006215978921E-2</v>
      </c>
      <c r="F55" s="34">
        <v>14414.75</v>
      </c>
      <c r="G55" s="35">
        <f t="shared" si="1"/>
        <v>-3.1996036759380786E-3</v>
      </c>
      <c r="H55" s="35"/>
    </row>
    <row r="56" spans="3:8">
      <c r="C56" s="33">
        <v>44620</v>
      </c>
      <c r="D56" s="34">
        <v>47.974769592285099</v>
      </c>
      <c r="E56" s="35">
        <f t="shared" si="0"/>
        <v>3.4319815939702902E-3</v>
      </c>
      <c r="F56" s="34">
        <v>14461.01953125</v>
      </c>
      <c r="G56" s="35">
        <f t="shared" si="1"/>
        <v>-6.5294266204930063E-2</v>
      </c>
      <c r="H56" s="35"/>
    </row>
    <row r="57" spans="3:8">
      <c r="C57" s="33">
        <v>44592</v>
      </c>
      <c r="D57" s="34">
        <v>47.810684204101499</v>
      </c>
      <c r="E57" s="35">
        <f t="shared" si="0"/>
        <v>3.4620491592505909E-2</v>
      </c>
      <c r="F57" s="34">
        <v>15471.2001953125</v>
      </c>
      <c r="G57" s="35">
        <f t="shared" si="1"/>
        <v>-2.6041157875795307E-2</v>
      </c>
      <c r="H57" s="35"/>
    </row>
    <row r="58" spans="3:8">
      <c r="C58" s="33">
        <v>44561</v>
      </c>
      <c r="D58" s="34">
        <v>46.210842132568303</v>
      </c>
      <c r="E58" s="35">
        <f t="shared" si="0"/>
        <v>-2.0931904067952645E-2</v>
      </c>
      <c r="F58" s="34">
        <v>15884.8603515625</v>
      </c>
      <c r="G58" s="35">
        <f t="shared" si="1"/>
        <v>5.1968458207979351E-2</v>
      </c>
      <c r="H58" s="35"/>
    </row>
    <row r="59" spans="3:8">
      <c r="C59" s="33">
        <v>44530</v>
      </c>
      <c r="D59" s="34">
        <v>47.198802947997997</v>
      </c>
      <c r="E59" s="35">
        <f t="shared" si="0"/>
        <v>-3.1957063646784523E-2</v>
      </c>
      <c r="F59" s="34">
        <v>15100.1298828125</v>
      </c>
      <c r="G59" s="35">
        <f t="shared" si="1"/>
        <v>-3.7519809776350277E-2</v>
      </c>
      <c r="H59" s="35"/>
    </row>
    <row r="60" spans="3:8">
      <c r="C60" s="33">
        <v>44500</v>
      </c>
      <c r="D60" s="34">
        <v>48.756931304931598</v>
      </c>
      <c r="E60" s="35">
        <f t="shared" si="0"/>
        <v>0.11757035541140337</v>
      </c>
      <c r="F60" s="34">
        <v>15688.76953125</v>
      </c>
      <c r="G60" s="35">
        <f t="shared" si="1"/>
        <v>2.8051096608953774E-2</v>
      </c>
      <c r="H60" s="35"/>
    </row>
    <row r="61" spans="3:8">
      <c r="C61" s="33">
        <v>44469</v>
      </c>
      <c r="D61" s="34">
        <v>43.627616882324197</v>
      </c>
      <c r="E61" s="35">
        <f t="shared" si="0"/>
        <v>7.4208938367610777E-2</v>
      </c>
      <c r="F61" s="34">
        <v>15260.6904296875</v>
      </c>
      <c r="G61" s="35">
        <f t="shared" si="1"/>
        <v>-3.6273833601847993E-2</v>
      </c>
      <c r="H61" s="35"/>
    </row>
    <row r="62" spans="3:8">
      <c r="C62" s="33">
        <v>44439</v>
      </c>
      <c r="D62" s="34">
        <v>40.613716125488203</v>
      </c>
      <c r="E62" s="35">
        <f t="shared" si="0"/>
        <v>-5.1275274334757648E-2</v>
      </c>
      <c r="F62" s="34">
        <v>15835.08984375</v>
      </c>
      <c r="G62" s="35">
        <f t="shared" si="1"/>
        <v>1.8701293642733763E-2</v>
      </c>
      <c r="H62" s="35"/>
    </row>
    <row r="63" spans="3:8">
      <c r="C63" s="33">
        <v>44408</v>
      </c>
      <c r="D63" s="34">
        <v>42.808746337890597</v>
      </c>
      <c r="E63" s="35">
        <f t="shared" si="0"/>
        <v>-2.6556705336422404E-4</v>
      </c>
      <c r="F63" s="34">
        <v>15544.3896484375</v>
      </c>
      <c r="G63" s="35">
        <f t="shared" si="1"/>
        <v>8.5954381299790938E-4</v>
      </c>
      <c r="H63" s="35"/>
    </row>
    <row r="64" spans="3:8">
      <c r="C64" s="33">
        <v>44377</v>
      </c>
      <c r="D64" s="34">
        <v>42.820117950439403</v>
      </c>
      <c r="E64" s="35">
        <f t="shared" si="0"/>
        <v>-1.1421848993488859E-2</v>
      </c>
      <c r="F64" s="34">
        <v>15531.0400390625</v>
      </c>
      <c r="G64" s="35">
        <f t="shared" si="1"/>
        <v>7.1272440531415793E-3</v>
      </c>
      <c r="H64" s="35"/>
    </row>
    <row r="65" spans="3:8">
      <c r="C65" s="33">
        <v>44347</v>
      </c>
      <c r="D65" s="34">
        <v>43.314853668212798</v>
      </c>
      <c r="E65" s="35">
        <f t="shared" si="0"/>
        <v>2.8629279591732892E-2</v>
      </c>
      <c r="F65" s="34">
        <v>15421.1298828125</v>
      </c>
      <c r="G65" s="35">
        <f t="shared" si="1"/>
        <v>1.8843909855313479E-2</v>
      </c>
      <c r="H65" s="35"/>
    </row>
    <row r="66" spans="3:8">
      <c r="C66" s="33">
        <v>44316</v>
      </c>
      <c r="D66" s="34">
        <v>42.109294891357401</v>
      </c>
      <c r="E66" s="35">
        <f t="shared" si="0"/>
        <v>-4.529204504349682E-3</v>
      </c>
      <c r="F66" s="34">
        <v>15135.91015625</v>
      </c>
      <c r="G66" s="35">
        <f t="shared" si="1"/>
        <v>8.4999616098861974E-3</v>
      </c>
      <c r="H66" s="35"/>
    </row>
    <row r="67" spans="3:8">
      <c r="C67" s="33">
        <v>44286</v>
      </c>
      <c r="D67" s="34">
        <v>42.300884246826101</v>
      </c>
      <c r="E67" s="35">
        <f t="shared" si="0"/>
        <v>0.1473207768312621</v>
      </c>
      <c r="F67" s="34">
        <v>15008.33984375</v>
      </c>
      <c r="G67" s="35">
        <f t="shared" si="1"/>
        <v>8.8642397717218158E-2</v>
      </c>
      <c r="H67" s="35"/>
    </row>
    <row r="68" spans="3:8">
      <c r="C68" s="33">
        <v>44255</v>
      </c>
      <c r="D68" s="34">
        <v>36.869274139404297</v>
      </c>
      <c r="E68" s="35">
        <f t="shared" si="0"/>
        <v>0.13988301911359446</v>
      </c>
      <c r="F68" s="34">
        <v>13786.2900390625</v>
      </c>
      <c r="G68" s="35">
        <f t="shared" si="1"/>
        <v>2.6310082565511816E-2</v>
      </c>
      <c r="H68" s="35"/>
    </row>
    <row r="69" spans="3:8">
      <c r="C69" s="33">
        <v>44227</v>
      </c>
      <c r="D69" s="34">
        <v>32.3447875976562</v>
      </c>
      <c r="E69" s="35">
        <f t="shared" si="0"/>
        <v>5.7104575957231951E-3</v>
      </c>
      <c r="F69" s="34">
        <v>13432.8701171875</v>
      </c>
      <c r="G69" s="35">
        <f t="shared" si="1"/>
        <v>-2.0840785445305432E-2</v>
      </c>
      <c r="H69" s="35"/>
    </row>
    <row r="70" spans="3:8">
      <c r="C70" s="33">
        <v>44196</v>
      </c>
      <c r="D70" s="34">
        <v>32.1611328125</v>
      </c>
      <c r="E70" s="35">
        <f t="shared" ref="E70:E133" si="2">D70/D71-1</f>
        <v>2.3737700825327446E-2</v>
      </c>
      <c r="F70" s="34">
        <v>13718.7802734375</v>
      </c>
      <c r="G70" s="35">
        <f t="shared" ref="G70:G133" si="3">F70/F71-1</f>
        <v>3.2173272472863612E-2</v>
      </c>
      <c r="H70" s="35"/>
    </row>
    <row r="71" spans="3:8">
      <c r="C71" s="33">
        <v>44165</v>
      </c>
      <c r="D71" s="34">
        <v>31.4154033660888</v>
      </c>
      <c r="E71" s="35">
        <f t="shared" si="2"/>
        <v>0.27139619298689466</v>
      </c>
      <c r="F71" s="34">
        <v>13291.16015625</v>
      </c>
      <c r="G71" s="35">
        <f t="shared" si="3"/>
        <v>0.15010449696953709</v>
      </c>
      <c r="H71" s="35"/>
    </row>
    <row r="72" spans="3:8">
      <c r="C72" s="33">
        <v>44135</v>
      </c>
      <c r="D72" s="34">
        <v>24.709373474121001</v>
      </c>
      <c r="E72" s="35">
        <f t="shared" si="2"/>
        <v>-3.5516254689031523E-2</v>
      </c>
      <c r="F72" s="34">
        <v>11556.48046875</v>
      </c>
      <c r="G72" s="35">
        <f t="shared" si="3"/>
        <v>-9.4371556781103649E-2</v>
      </c>
      <c r="H72" s="35"/>
    </row>
    <row r="73" spans="3:8">
      <c r="C73" s="33">
        <v>44104</v>
      </c>
      <c r="D73" s="34">
        <v>25.619274139404201</v>
      </c>
      <c r="E73" s="35">
        <f t="shared" si="2"/>
        <v>7.9493369678964587E-2</v>
      </c>
      <c r="F73" s="34">
        <v>12760.73046875</v>
      </c>
      <c r="G73" s="35">
        <f t="shared" si="3"/>
        <v>-1.4263730823972032E-2</v>
      </c>
      <c r="H73" s="35"/>
    </row>
    <row r="74" spans="3:8">
      <c r="C74" s="33">
        <v>44074</v>
      </c>
      <c r="D74" s="34">
        <v>23.732683181762599</v>
      </c>
      <c r="E74" s="35">
        <f t="shared" si="2"/>
        <v>0.14024076101329741</v>
      </c>
      <c r="F74" s="34">
        <v>12945.3798828125</v>
      </c>
      <c r="G74" s="35">
        <f t="shared" si="3"/>
        <v>5.1327948927426537E-2</v>
      </c>
      <c r="H74" s="35"/>
    </row>
    <row r="75" spans="3:8">
      <c r="C75" s="33">
        <v>44043</v>
      </c>
      <c r="D75" s="34">
        <v>20.813747406005799</v>
      </c>
      <c r="E75" s="35">
        <f t="shared" si="2"/>
        <v>6.572891411829529E-2</v>
      </c>
      <c r="F75" s="34">
        <v>12313.3603515625</v>
      </c>
      <c r="G75" s="35">
        <f t="shared" si="3"/>
        <v>1.9743952115724994E-4</v>
      </c>
      <c r="H75" s="35"/>
    </row>
    <row r="76" spans="3:8">
      <c r="C76" s="33">
        <v>44012</v>
      </c>
      <c r="D76" s="34">
        <v>19.5300579071044</v>
      </c>
      <c r="E76" s="35">
        <f t="shared" si="2"/>
        <v>8.2834034239733123E-2</v>
      </c>
      <c r="F76" s="34">
        <v>12310.9296875</v>
      </c>
      <c r="G76" s="35">
        <f t="shared" si="3"/>
        <v>6.2491540197358031E-2</v>
      </c>
      <c r="H76" s="35"/>
    </row>
    <row r="77" spans="3:8">
      <c r="C77" s="33">
        <v>43982</v>
      </c>
      <c r="D77" s="34">
        <v>18.036058425903299</v>
      </c>
      <c r="E77" s="35">
        <f t="shared" si="2"/>
        <v>5.8506563831900227E-2</v>
      </c>
      <c r="F77" s="34">
        <v>11586.849609375</v>
      </c>
      <c r="G77" s="35">
        <f t="shared" si="3"/>
        <v>6.6768000450265763E-2</v>
      </c>
      <c r="H77" s="35"/>
    </row>
    <row r="78" spans="3:8">
      <c r="C78" s="33">
        <v>43951</v>
      </c>
      <c r="D78" s="34">
        <v>17.039155960083001</v>
      </c>
      <c r="E78" s="35">
        <f t="shared" si="2"/>
        <v>0.14589368721245988</v>
      </c>
      <c r="F78" s="34">
        <v>10861.6396484375</v>
      </c>
      <c r="G78" s="35">
        <f t="shared" si="3"/>
        <v>9.3177810758479751E-2</v>
      </c>
      <c r="H78" s="35"/>
    </row>
    <row r="79" spans="3:8">
      <c r="C79" s="33">
        <v>43921</v>
      </c>
      <c r="D79" s="34">
        <v>14.869752883911101</v>
      </c>
      <c r="E79" s="35">
        <f t="shared" si="2"/>
        <v>-0.26691518349892895</v>
      </c>
      <c r="F79" s="34">
        <v>9935.83984375</v>
      </c>
      <c r="G79" s="35">
        <f t="shared" si="3"/>
        <v>-0.16437782149685132</v>
      </c>
      <c r="H79" s="35"/>
    </row>
    <row r="80" spans="3:8">
      <c r="C80" s="33">
        <v>43890</v>
      </c>
      <c r="D80" s="34">
        <v>20.283809661865199</v>
      </c>
      <c r="E80" s="35">
        <f t="shared" si="2"/>
        <v>-0.10202136762890257</v>
      </c>
      <c r="F80" s="34">
        <v>11890.349609375</v>
      </c>
      <c r="G80" s="35">
        <f t="shared" si="3"/>
        <v>-8.4087402773242337E-2</v>
      </c>
      <c r="H80" s="35"/>
    </row>
    <row r="81" spans="3:8">
      <c r="C81" s="33">
        <v>43861</v>
      </c>
      <c r="D81" s="34">
        <v>22.588298797607401</v>
      </c>
      <c r="E81" s="35">
        <f t="shared" si="2"/>
        <v>-0.15323064083709892</v>
      </c>
      <c r="F81" s="34">
        <v>12981.9697265625</v>
      </c>
      <c r="G81" s="35">
        <f t="shared" si="3"/>
        <v>-2.0155471524773483E-2</v>
      </c>
      <c r="H81" s="35"/>
    </row>
    <row r="82" spans="3:8">
      <c r="C82" s="33">
        <v>43830</v>
      </c>
      <c r="D82" s="34">
        <v>26.675857543945298</v>
      </c>
      <c r="E82" s="35">
        <f t="shared" si="2"/>
        <v>-3.5742090384028535E-2</v>
      </c>
      <c r="F82" s="34">
        <v>13249.009765625</v>
      </c>
      <c r="G82" s="35">
        <f t="shared" si="3"/>
        <v>9.5417953581855564E-4</v>
      </c>
      <c r="H82" s="35"/>
    </row>
    <row r="83" spans="3:8">
      <c r="C83" s="33">
        <v>43799</v>
      </c>
      <c r="D83" s="34">
        <v>27.664649963378899</v>
      </c>
      <c r="E83" s="35">
        <f t="shared" si="2"/>
        <v>-2.3087389303564909E-2</v>
      </c>
      <c r="F83" s="34">
        <v>13236.3798828125</v>
      </c>
      <c r="G83" s="35">
        <f t="shared" si="3"/>
        <v>2.8724323831192944E-2</v>
      </c>
      <c r="H83" s="35"/>
    </row>
    <row r="84" spans="3:8">
      <c r="C84" s="33">
        <v>43769</v>
      </c>
      <c r="D84" s="34">
        <v>28.3184490203857</v>
      </c>
      <c r="E84" s="35">
        <f t="shared" si="2"/>
        <v>0.14883836889810653</v>
      </c>
      <c r="F84" s="34">
        <v>12866.7900390625</v>
      </c>
      <c r="G84" s="35">
        <f t="shared" si="3"/>
        <v>3.5299898148362097E-2</v>
      </c>
      <c r="H84" s="35"/>
    </row>
    <row r="85" spans="3:8">
      <c r="C85" s="33">
        <v>43738</v>
      </c>
      <c r="D85" s="34">
        <v>24.64963722229</v>
      </c>
      <c r="E85" s="35">
        <f t="shared" si="2"/>
        <v>6.8259003961901543E-2</v>
      </c>
      <c r="F85" s="34">
        <v>12428.080078125</v>
      </c>
      <c r="G85" s="35">
        <f t="shared" si="3"/>
        <v>4.0940474927536608E-2</v>
      </c>
      <c r="H85" s="35"/>
    </row>
    <row r="86" spans="3:8">
      <c r="C86" s="33">
        <v>43708</v>
      </c>
      <c r="D86" s="34">
        <v>23.074588775634702</v>
      </c>
      <c r="E86" s="35">
        <f t="shared" si="2"/>
        <v>-8.9348580649060483E-2</v>
      </c>
      <c r="F86" s="34">
        <v>11939.2802734375</v>
      </c>
      <c r="G86" s="35">
        <f t="shared" si="3"/>
        <v>-2.0490519747624836E-2</v>
      </c>
      <c r="H86" s="35"/>
    </row>
    <row r="87" spans="3:8">
      <c r="C87" s="33">
        <v>43677</v>
      </c>
      <c r="D87" s="34">
        <v>25.338552474975501</v>
      </c>
      <c r="E87" s="35">
        <f t="shared" si="2"/>
        <v>-4.1492102682803789E-2</v>
      </c>
      <c r="F87" s="34">
        <v>12189.0400390625</v>
      </c>
      <c r="G87" s="35">
        <f t="shared" si="3"/>
        <v>-1.6917747598900523E-2</v>
      </c>
      <c r="H87" s="35"/>
    </row>
    <row r="88" spans="3:8">
      <c r="C88" s="33">
        <v>43646</v>
      </c>
      <c r="D88" s="34">
        <v>26.4354133605957</v>
      </c>
      <c r="E88" s="35">
        <f t="shared" si="2"/>
        <v>5.3623483452595044E-2</v>
      </c>
      <c r="F88" s="34">
        <v>12398.7998046875</v>
      </c>
      <c r="G88" s="35">
        <f t="shared" si="3"/>
        <v>5.7301026524689158E-2</v>
      </c>
      <c r="H88" s="35"/>
    </row>
    <row r="89" spans="3:8">
      <c r="C89" s="33">
        <v>43616</v>
      </c>
      <c r="D89" s="34">
        <v>25.090000152587798</v>
      </c>
      <c r="E89" s="35">
        <f t="shared" si="2"/>
        <v>-0.13778142214042277</v>
      </c>
      <c r="F89" s="34">
        <v>11726.83984375</v>
      </c>
      <c r="G89" s="35">
        <f t="shared" si="3"/>
        <v>-5.0002935048097608E-2</v>
      </c>
      <c r="H89" s="35"/>
    </row>
    <row r="90" spans="3:8">
      <c r="C90" s="33">
        <v>43585</v>
      </c>
      <c r="D90" s="34">
        <v>29.099349975585898</v>
      </c>
      <c r="E90" s="35">
        <f t="shared" si="2"/>
        <v>0.11655491559443854</v>
      </c>
      <c r="F90" s="34">
        <v>12344.080078125</v>
      </c>
      <c r="G90" s="35">
        <f t="shared" si="3"/>
        <v>7.0973208169510915E-2</v>
      </c>
      <c r="H90" s="35"/>
    </row>
    <row r="91" spans="3:8">
      <c r="C91" s="33">
        <v>43555</v>
      </c>
      <c r="D91" s="34">
        <v>26.0617275238037</v>
      </c>
      <c r="E91" s="35">
        <f t="shared" si="2"/>
        <v>-7.7857427045064931E-3</v>
      </c>
      <c r="F91" s="34">
        <v>11526.0400390625</v>
      </c>
      <c r="G91" s="35">
        <f t="shared" si="3"/>
        <v>9.0315353228431761E-4</v>
      </c>
      <c r="H91" s="35"/>
    </row>
    <row r="92" spans="3:8">
      <c r="C92" s="33">
        <v>43524</v>
      </c>
      <c r="D92" s="34">
        <v>26.266229629516602</v>
      </c>
      <c r="E92" s="35">
        <f t="shared" si="2"/>
        <v>1.9357253725716062E-2</v>
      </c>
      <c r="F92" s="34">
        <v>11515.6396484375</v>
      </c>
      <c r="G92" s="35">
        <f t="shared" si="3"/>
        <v>3.0657566032534556E-2</v>
      </c>
      <c r="H92" s="35"/>
    </row>
    <row r="93" spans="3:8">
      <c r="C93" s="33">
        <v>43496</v>
      </c>
      <c r="D93" s="34">
        <v>25.767442703246999</v>
      </c>
      <c r="E93" s="35">
        <f t="shared" si="2"/>
        <v>0.12524509859041477</v>
      </c>
      <c r="F93" s="34">
        <v>11173.099609375</v>
      </c>
      <c r="G93" s="35">
        <f t="shared" si="3"/>
        <v>5.816289205655556E-2</v>
      </c>
      <c r="H93" s="35"/>
    </row>
    <row r="94" spans="3:8">
      <c r="C94" s="33">
        <v>43465</v>
      </c>
      <c r="D94" s="34">
        <v>22.8994045257568</v>
      </c>
      <c r="E94" s="35">
        <f t="shared" si="2"/>
        <v>-7.6164677905668388E-2</v>
      </c>
      <c r="F94" s="34">
        <v>10558.9599609375</v>
      </c>
      <c r="G94" s="35">
        <f t="shared" si="3"/>
        <v>-6.2029436957846795E-2</v>
      </c>
      <c r="H94" s="35"/>
    </row>
    <row r="95" spans="3:8">
      <c r="C95" s="33">
        <v>43434</v>
      </c>
      <c r="D95" s="34">
        <v>24.7873229980468</v>
      </c>
      <c r="E95" s="35">
        <f t="shared" si="2"/>
        <v>-5.0897574948601254E-2</v>
      </c>
      <c r="F95" s="34">
        <v>11257.240234375</v>
      </c>
      <c r="G95" s="35">
        <f t="shared" si="3"/>
        <v>-1.6621041182366847E-2</v>
      </c>
      <c r="H95" s="35"/>
    </row>
    <row r="96" spans="3:8">
      <c r="C96" s="33">
        <v>43404</v>
      </c>
      <c r="D96" s="34">
        <v>26.116594314575099</v>
      </c>
      <c r="E96" s="35">
        <f t="shared" si="2"/>
        <v>-3.6614458898563851E-2</v>
      </c>
      <c r="F96" s="34">
        <v>11447.509765625</v>
      </c>
      <c r="G96" s="35">
        <f t="shared" si="3"/>
        <v>-6.5259924284638449E-2</v>
      </c>
      <c r="H96" s="35"/>
    </row>
    <row r="97" spans="3:8">
      <c r="C97" s="33">
        <v>43373</v>
      </c>
      <c r="D97" s="34">
        <v>27.109182357788001</v>
      </c>
      <c r="E97" s="35">
        <f t="shared" si="2"/>
        <v>-2.423689873476409E-2</v>
      </c>
      <c r="F97" s="34">
        <v>12246.73046875</v>
      </c>
      <c r="G97" s="35">
        <f t="shared" si="3"/>
        <v>-9.4895289767302771E-3</v>
      </c>
      <c r="H97" s="35"/>
    </row>
    <row r="98" spans="3:8">
      <c r="C98" s="33">
        <v>43343</v>
      </c>
      <c r="D98" s="34">
        <v>27.782545089721602</v>
      </c>
      <c r="E98" s="35">
        <f t="shared" si="2"/>
        <v>-5.832639385559979E-2</v>
      </c>
      <c r="F98" s="34">
        <v>12364.0595703125</v>
      </c>
      <c r="G98" s="35">
        <f t="shared" si="3"/>
        <v>-3.4472721072000279E-2</v>
      </c>
      <c r="H98" s="35"/>
    </row>
    <row r="99" spans="3:8">
      <c r="C99" s="33">
        <v>43312</v>
      </c>
      <c r="D99" s="34">
        <v>29.503370285034102</v>
      </c>
      <c r="E99" s="35">
        <f t="shared" si="2"/>
        <v>7.2918811849322918E-2</v>
      </c>
      <c r="F99" s="34">
        <v>12805.5</v>
      </c>
      <c r="G99" s="35">
        <f t="shared" si="3"/>
        <v>4.058995611896643E-2</v>
      </c>
      <c r="H99" s="35"/>
    </row>
    <row r="100" spans="3:8">
      <c r="C100" s="33">
        <v>43281</v>
      </c>
      <c r="D100" s="34">
        <v>27.498231887817301</v>
      </c>
      <c r="E100" s="35">
        <f t="shared" si="2"/>
        <v>-0.10619341247424041</v>
      </c>
      <c r="F100" s="34">
        <v>12306</v>
      </c>
      <c r="G100" s="35">
        <f t="shared" si="3"/>
        <v>-2.3712198739839874E-2</v>
      </c>
      <c r="H100" s="35"/>
    </row>
    <row r="101" spans="3:8">
      <c r="C101" s="33">
        <v>43251</v>
      </c>
      <c r="D101" s="34">
        <v>30.765304565429599</v>
      </c>
      <c r="E101" s="35">
        <f t="shared" si="2"/>
        <v>-5.8320573180536961E-2</v>
      </c>
      <c r="F101" s="34">
        <v>12604.8896484375</v>
      </c>
      <c r="G101" s="35">
        <f t="shared" si="3"/>
        <v>-5.7252140393027062E-4</v>
      </c>
      <c r="H101" s="35"/>
    </row>
    <row r="102" spans="3:8">
      <c r="C102" s="33">
        <v>43220</v>
      </c>
      <c r="D102" s="34">
        <v>32.670677185058501</v>
      </c>
      <c r="E102" s="35">
        <f t="shared" si="2"/>
        <v>1.3586766456569199E-2</v>
      </c>
      <c r="F102" s="34">
        <v>12612.1103515625</v>
      </c>
      <c r="G102" s="35">
        <f t="shared" si="3"/>
        <v>4.2604890978095611E-2</v>
      </c>
      <c r="H102" s="35"/>
    </row>
    <row r="103" spans="3:8">
      <c r="C103" s="33">
        <v>43190</v>
      </c>
      <c r="D103" s="34">
        <v>32.232738494872997</v>
      </c>
      <c r="E103" s="35">
        <f t="shared" si="2"/>
        <v>-2.1285623045233737E-2</v>
      </c>
      <c r="F103" s="34">
        <v>12096.73046875</v>
      </c>
      <c r="G103" s="35">
        <f t="shared" si="3"/>
        <v>-2.72694790687521E-2</v>
      </c>
      <c r="H103" s="35"/>
    </row>
    <row r="104" spans="3:8">
      <c r="C104" s="33">
        <v>43159</v>
      </c>
      <c r="D104" s="34">
        <v>32.933753967285099</v>
      </c>
      <c r="E104" s="35">
        <f t="shared" si="2"/>
        <v>-4.4215643120122494E-2</v>
      </c>
      <c r="F104" s="34">
        <v>12435.849609375</v>
      </c>
      <c r="G104" s="35">
        <f t="shared" si="3"/>
        <v>-5.7138782771663177E-2</v>
      </c>
      <c r="H104" s="35"/>
    </row>
    <row r="105" spans="3:8">
      <c r="C105" s="33">
        <v>43131</v>
      </c>
      <c r="D105" s="34">
        <v>34.457305908203097</v>
      </c>
      <c r="E105" s="35">
        <f t="shared" si="2"/>
        <v>4.1384562777113221E-2</v>
      </c>
      <c r="F105" s="34">
        <v>13189.48046875</v>
      </c>
      <c r="G105" s="35">
        <f t="shared" si="3"/>
        <v>2.1044155721233526E-2</v>
      </c>
      <c r="H105" s="35"/>
    </row>
    <row r="106" spans="3:8">
      <c r="C106" s="33">
        <v>43100</v>
      </c>
      <c r="D106" s="34">
        <v>33.087974548339801</v>
      </c>
      <c r="E106" s="35">
        <f t="shared" si="2"/>
        <v>1.8411762544117805E-2</v>
      </c>
      <c r="F106" s="34">
        <v>12917.6396484375</v>
      </c>
      <c r="G106" s="35">
        <f t="shared" si="3"/>
        <v>-8.1650015191327974E-3</v>
      </c>
      <c r="H106" s="35"/>
    </row>
    <row r="107" spans="3:8">
      <c r="C107" s="33">
        <v>43069</v>
      </c>
      <c r="D107" s="34">
        <v>32.489780426025298</v>
      </c>
      <c r="E107" s="35">
        <f t="shared" si="2"/>
        <v>-2.4828122685013332E-2</v>
      </c>
      <c r="F107" s="34">
        <v>13023.98046875</v>
      </c>
      <c r="G107" s="35">
        <f t="shared" si="3"/>
        <v>-1.5540175447402715E-2</v>
      </c>
      <c r="H107" s="35"/>
    </row>
    <row r="108" spans="3:8">
      <c r="C108" s="33">
        <v>43039</v>
      </c>
      <c r="D108" s="34">
        <v>33.316978454589801</v>
      </c>
      <c r="E108" s="35">
        <f t="shared" si="2"/>
        <v>5.6617757007988878E-2</v>
      </c>
      <c r="F108" s="34">
        <v>13229.5703125</v>
      </c>
      <c r="G108" s="35">
        <f t="shared" si="3"/>
        <v>3.1235039587027336E-2</v>
      </c>
      <c r="H108" s="35"/>
    </row>
    <row r="109" spans="3:8">
      <c r="C109" s="33">
        <v>43008</v>
      </c>
      <c r="D109" s="34">
        <v>31.531723022460898</v>
      </c>
      <c r="E109" s="35">
        <f t="shared" si="2"/>
        <v>0.10191070150949511</v>
      </c>
      <c r="F109" s="34">
        <v>12828.8603515625</v>
      </c>
      <c r="G109" s="35">
        <f t="shared" si="3"/>
        <v>6.4120004730591207E-2</v>
      </c>
      <c r="H109" s="35"/>
    </row>
    <row r="110" spans="3:8">
      <c r="C110" s="33">
        <v>42978</v>
      </c>
      <c r="D110" s="34">
        <v>28.6154975891113</v>
      </c>
      <c r="E110" s="35">
        <f t="shared" si="2"/>
        <v>3.2720544884202285E-2</v>
      </c>
      <c r="F110" s="34">
        <v>12055.83984375</v>
      </c>
      <c r="G110" s="35">
        <f t="shared" si="3"/>
        <v>-5.1500964454438414E-3</v>
      </c>
      <c r="H110" s="35"/>
    </row>
    <row r="111" spans="3:8">
      <c r="C111" s="33">
        <v>42947</v>
      </c>
      <c r="D111" s="34">
        <v>27.708848953246999</v>
      </c>
      <c r="E111" s="35">
        <f t="shared" si="2"/>
        <v>-6.4383653132080498E-2</v>
      </c>
      <c r="F111" s="34">
        <v>12118.25</v>
      </c>
      <c r="G111" s="35">
        <f t="shared" si="3"/>
        <v>-1.6784430108637838E-2</v>
      </c>
      <c r="H111" s="35"/>
    </row>
    <row r="112" spans="3:8">
      <c r="C112" s="33">
        <v>42916</v>
      </c>
      <c r="D112" s="34">
        <v>29.6156101226806</v>
      </c>
      <c r="E112" s="35">
        <f t="shared" si="2"/>
        <v>-1.9192227372475945E-2</v>
      </c>
      <c r="F112" s="34">
        <v>12325.1201171875</v>
      </c>
      <c r="G112" s="35">
        <f t="shared" si="3"/>
        <v>-2.2983597620682361E-2</v>
      </c>
      <c r="H112" s="35"/>
    </row>
    <row r="113" spans="3:8">
      <c r="C113" s="33">
        <v>42886</v>
      </c>
      <c r="D113" s="34">
        <v>30.195121765136701</v>
      </c>
      <c r="E113" s="35">
        <f t="shared" si="2"/>
        <v>-5.5409221295885103E-2</v>
      </c>
      <c r="F113" s="34">
        <v>12615.0595703125</v>
      </c>
      <c r="G113" s="35">
        <f t="shared" si="3"/>
        <v>1.4234576754941441E-2</v>
      </c>
      <c r="H113" s="35"/>
    </row>
    <row r="114" spans="3:8">
      <c r="C114" s="33">
        <v>42855</v>
      </c>
      <c r="D114" s="34">
        <v>31.966352462768501</v>
      </c>
      <c r="E114" s="35">
        <f t="shared" si="2"/>
        <v>-1.1560843983306701E-2</v>
      </c>
      <c r="F114" s="34">
        <v>12438.009765625</v>
      </c>
      <c r="G114" s="35">
        <f t="shared" si="3"/>
        <v>1.0163320756776173E-2</v>
      </c>
      <c r="H114" s="35"/>
    </row>
    <row r="115" spans="3:8">
      <c r="C115" s="33">
        <v>42825</v>
      </c>
      <c r="D115" s="34">
        <v>32.340232849121001</v>
      </c>
      <c r="E115" s="35">
        <f t="shared" si="2"/>
        <v>6.5706761874418707E-2</v>
      </c>
      <c r="F115" s="34">
        <v>12312.8701171875</v>
      </c>
      <c r="G115" s="35">
        <f t="shared" si="3"/>
        <v>4.0429557081458345E-2</v>
      </c>
      <c r="H115" s="35"/>
    </row>
    <row r="116" spans="3:8">
      <c r="C116" s="33">
        <v>42794</v>
      </c>
      <c r="D116" s="34">
        <v>30.346277236938398</v>
      </c>
      <c r="E116" s="35">
        <f t="shared" si="2"/>
        <v>-1.0238097430232407E-2</v>
      </c>
      <c r="F116" s="34">
        <v>11834.41015625</v>
      </c>
      <c r="G116" s="35">
        <f t="shared" si="3"/>
        <v>2.5929133857601094E-2</v>
      </c>
      <c r="H116" s="35"/>
    </row>
    <row r="117" spans="3:8">
      <c r="C117" s="33">
        <v>42766</v>
      </c>
      <c r="D117" s="34">
        <v>30.660179138183501</v>
      </c>
      <c r="E117" s="35">
        <f t="shared" si="2"/>
        <v>-1.9372182788781389E-2</v>
      </c>
      <c r="F117" s="34">
        <v>11535.3095703125</v>
      </c>
      <c r="G117" s="35">
        <f t="shared" si="3"/>
        <v>4.7251736364366526E-3</v>
      </c>
      <c r="H117" s="35"/>
    </row>
    <row r="118" spans="3:8">
      <c r="C118" s="33">
        <v>42735</v>
      </c>
      <c r="D118" s="34">
        <v>31.2658672332763</v>
      </c>
      <c r="E118" s="35">
        <f t="shared" si="2"/>
        <v>0.12683260544104025</v>
      </c>
      <c r="F118" s="34">
        <v>11481.0595703125</v>
      </c>
      <c r="G118" s="35">
        <f t="shared" si="3"/>
        <v>7.9016548505015827E-2</v>
      </c>
      <c r="H118" s="35"/>
    </row>
    <row r="119" spans="3:8">
      <c r="C119" s="33">
        <v>42704</v>
      </c>
      <c r="D119" s="34">
        <v>27.7466831207275</v>
      </c>
      <c r="E119" s="35">
        <f t="shared" si="2"/>
        <v>-3.3122762427965746E-2</v>
      </c>
      <c r="F119" s="34">
        <v>10640.2998046875</v>
      </c>
      <c r="G119" s="35">
        <f t="shared" si="3"/>
        <v>-2.3169187352405363E-3</v>
      </c>
      <c r="H119" s="35"/>
    </row>
    <row r="120" spans="3:8">
      <c r="C120" s="33">
        <v>42674</v>
      </c>
      <c r="D120" s="34">
        <v>28.6972141265869</v>
      </c>
      <c r="E120" s="35">
        <f t="shared" si="2"/>
        <v>3.5082128692720538E-2</v>
      </c>
      <c r="F120" s="34">
        <v>10665.009765625</v>
      </c>
      <c r="G120" s="35">
        <f t="shared" si="3"/>
        <v>1.4650361358113484E-2</v>
      </c>
      <c r="H120" s="35"/>
    </row>
    <row r="121" spans="3:8">
      <c r="C121" s="33">
        <v>42643</v>
      </c>
      <c r="D121" s="34">
        <v>27.7245769500732</v>
      </c>
      <c r="E121" s="35">
        <f t="shared" si="2"/>
        <v>1.0147997479019955E-2</v>
      </c>
      <c r="F121" s="34">
        <v>10511.01953125</v>
      </c>
      <c r="G121" s="35">
        <f t="shared" si="3"/>
        <v>-7.7101184991308358E-3</v>
      </c>
      <c r="H121" s="35"/>
    </row>
    <row r="122" spans="3:8">
      <c r="C122" s="33">
        <v>42613</v>
      </c>
      <c r="D122" s="34">
        <v>27.4460544586181</v>
      </c>
      <c r="E122" s="35">
        <f t="shared" si="2"/>
        <v>2.071703527492641E-2</v>
      </c>
      <c r="F122" s="34">
        <v>10592.6904296875</v>
      </c>
      <c r="G122" s="35">
        <f t="shared" si="3"/>
        <v>2.4685894044740087E-2</v>
      </c>
      <c r="H122" s="35"/>
    </row>
    <row r="123" spans="3:8">
      <c r="C123" s="33">
        <v>42582</v>
      </c>
      <c r="D123" s="34">
        <v>26.888994216918899</v>
      </c>
      <c r="E123" s="35">
        <f t="shared" si="2"/>
        <v>0.13639741537200534</v>
      </c>
      <c r="F123" s="34">
        <v>10337.5</v>
      </c>
      <c r="G123" s="35">
        <f t="shared" si="3"/>
        <v>6.7913642007616293E-2</v>
      </c>
      <c r="H123" s="35"/>
    </row>
    <row r="124" spans="3:8">
      <c r="C124" s="33">
        <v>42551</v>
      </c>
      <c r="D124" s="34">
        <v>23.6616115570068</v>
      </c>
      <c r="E124" s="35">
        <f t="shared" si="2"/>
        <v>-0.12819666810942509</v>
      </c>
      <c r="F124" s="34">
        <v>9680.08984375</v>
      </c>
      <c r="G124" s="35">
        <f t="shared" si="3"/>
        <v>-5.6773374100750895E-2</v>
      </c>
      <c r="H124" s="35"/>
    </row>
    <row r="125" spans="3:8">
      <c r="C125" s="33">
        <v>42521</v>
      </c>
      <c r="D125" s="34">
        <v>27.140996932983398</v>
      </c>
      <c r="E125" s="35">
        <f t="shared" si="2"/>
        <v>1.1534078258993219E-2</v>
      </c>
      <c r="F125" s="34">
        <v>10262.740234375</v>
      </c>
      <c r="G125" s="35">
        <f t="shared" si="3"/>
        <v>2.2290186533824974E-2</v>
      </c>
      <c r="H125" s="35"/>
    </row>
    <row r="126" spans="3:8">
      <c r="C126" s="33">
        <v>42490</v>
      </c>
      <c r="D126" s="34">
        <v>26.831520080566399</v>
      </c>
      <c r="E126" s="35">
        <f t="shared" si="2"/>
        <v>-3.907810148809987E-2</v>
      </c>
      <c r="F126" s="34">
        <v>10038.9697265625</v>
      </c>
      <c r="G126" s="35">
        <f t="shared" si="3"/>
        <v>7.371420295115616E-3</v>
      </c>
      <c r="H126" s="35"/>
    </row>
    <row r="127" spans="3:8">
      <c r="C127" s="33">
        <v>42460</v>
      </c>
      <c r="D127" s="34">
        <v>27.922685623168899</v>
      </c>
      <c r="E127" s="35">
        <f t="shared" si="2"/>
        <v>6.7670382045756039E-2</v>
      </c>
      <c r="F127" s="34">
        <v>9965.509765625</v>
      </c>
      <c r="G127" s="35">
        <f t="shared" si="3"/>
        <v>4.9509168193070385E-2</v>
      </c>
      <c r="H127" s="35"/>
    </row>
    <row r="128" spans="3:8">
      <c r="C128" s="33">
        <v>42429</v>
      </c>
      <c r="D128" s="34">
        <v>26.152908325195298</v>
      </c>
      <c r="E128" s="35">
        <f t="shared" si="2"/>
        <v>-1.6521236738357925E-2</v>
      </c>
      <c r="F128" s="34">
        <v>9495.400390625</v>
      </c>
      <c r="G128" s="35">
        <f t="shared" si="3"/>
        <v>-3.0894728685029293E-2</v>
      </c>
      <c r="H128" s="35"/>
    </row>
    <row r="129" spans="3:8">
      <c r="C129" s="33">
        <v>42400</v>
      </c>
      <c r="D129" s="34">
        <v>26.5922451019287</v>
      </c>
      <c r="E129" s="35">
        <f t="shared" si="2"/>
        <v>-0.17298269574519398</v>
      </c>
      <c r="F129" s="34">
        <v>9798.1103515625</v>
      </c>
      <c r="G129" s="35">
        <f t="shared" si="3"/>
        <v>-8.7954812913411562E-2</v>
      </c>
      <c r="H129" s="35"/>
    </row>
    <row r="130" spans="3:8">
      <c r="C130" s="33">
        <v>42369</v>
      </c>
      <c r="D130" s="34">
        <v>32.154399871826101</v>
      </c>
      <c r="E130" s="35">
        <f t="shared" si="2"/>
        <v>-8.4385698264988096E-2</v>
      </c>
      <c r="F130" s="34">
        <v>10743.009765625</v>
      </c>
      <c r="G130" s="35">
        <f t="shared" si="3"/>
        <v>-5.6159529090540339E-2</v>
      </c>
      <c r="H130" s="35"/>
    </row>
    <row r="131" spans="3:8">
      <c r="C131" s="33">
        <v>42338</v>
      </c>
      <c r="D131" s="34">
        <v>35.117843627929602</v>
      </c>
      <c r="E131" s="35">
        <f t="shared" si="2"/>
        <v>7.2938942027303444E-2</v>
      </c>
      <c r="F131" s="34">
        <v>11382.23046875</v>
      </c>
      <c r="G131" s="35">
        <f t="shared" si="3"/>
        <v>4.9039997415067926E-2</v>
      </c>
      <c r="H131" s="35"/>
    </row>
    <row r="132" spans="3:8">
      <c r="C132" s="33">
        <v>42308</v>
      </c>
      <c r="D132" s="34">
        <v>32.730514526367102</v>
      </c>
      <c r="E132" s="35">
        <f t="shared" si="2"/>
        <v>0.21773320823103548</v>
      </c>
      <c r="F132" s="34">
        <v>10850.1396484375</v>
      </c>
      <c r="G132" s="35">
        <f t="shared" si="3"/>
        <v>0.12315165415170259</v>
      </c>
      <c r="H132" s="35"/>
    </row>
    <row r="133" spans="3:8">
      <c r="C133" s="33">
        <v>42277</v>
      </c>
      <c r="D133" s="34">
        <v>26.878231048583899</v>
      </c>
      <c r="E133" s="35">
        <f t="shared" si="2"/>
        <v>-9.5032093374220805E-2</v>
      </c>
      <c r="F133" s="34">
        <v>9660.4404296875</v>
      </c>
      <c r="G133" s="35">
        <f t="shared" si="3"/>
        <v>-5.8387043131972183E-2</v>
      </c>
      <c r="H133" s="35"/>
    </row>
    <row r="134" spans="3:8">
      <c r="C134" s="33">
        <v>42247</v>
      </c>
      <c r="D134" s="34">
        <v>29.700756072998001</v>
      </c>
      <c r="E134" s="35">
        <f t="shared" ref="E134:E197" si="4">D134/D135-1</f>
        <v>-0.11954768948235128</v>
      </c>
      <c r="F134" s="34">
        <v>10259.4599609375</v>
      </c>
      <c r="G134" s="35">
        <f t="shared" ref="G134:G197" si="5">F134/F135-1</f>
        <v>-9.2804950016432963E-2</v>
      </c>
      <c r="H134" s="35"/>
    </row>
    <row r="135" spans="3:8">
      <c r="C135" s="33">
        <v>42216</v>
      </c>
      <c r="D135" s="34">
        <v>33.7335205078125</v>
      </c>
      <c r="E135" s="35">
        <f t="shared" si="4"/>
        <v>-3.0621625076856507E-3</v>
      </c>
      <c r="F135" s="34">
        <v>11308.990234375</v>
      </c>
      <c r="G135" s="35">
        <f t="shared" si="5"/>
        <v>3.3259160774931518E-2</v>
      </c>
      <c r="H135" s="35"/>
    </row>
    <row r="136" spans="3:8">
      <c r="C136" s="33">
        <v>42185</v>
      </c>
      <c r="D136" s="34">
        <v>33.837135314941399</v>
      </c>
      <c r="E136" s="35">
        <f t="shared" si="4"/>
        <v>-4.2683059761334574E-2</v>
      </c>
      <c r="F136" s="34">
        <v>10944.9697265625</v>
      </c>
      <c r="G136" s="35">
        <f t="shared" si="5"/>
        <v>-4.1077445859563078E-2</v>
      </c>
      <c r="H136" s="35"/>
    </row>
    <row r="137" spans="3:8">
      <c r="C137" s="33">
        <v>42155</v>
      </c>
      <c r="D137" s="34">
        <v>35.345802307128899</v>
      </c>
      <c r="E137" s="35">
        <f t="shared" si="4"/>
        <v>-1.2162661079324844E-2</v>
      </c>
      <c r="F137" s="34">
        <v>11413.8203125</v>
      </c>
      <c r="G137" s="35">
        <f t="shared" si="5"/>
        <v>-3.5409660520654418E-3</v>
      </c>
      <c r="H137" s="35"/>
    </row>
    <row r="138" spans="3:8">
      <c r="C138" s="33">
        <v>42124</v>
      </c>
      <c r="D138" s="34">
        <v>35.780994415283203</v>
      </c>
      <c r="E138" s="35">
        <f t="shared" si="4"/>
        <v>-5.3931686883389451E-3</v>
      </c>
      <c r="F138" s="34">
        <v>11454.3798828125</v>
      </c>
      <c r="G138" s="35">
        <f t="shared" si="5"/>
        <v>-4.2769745240447521E-2</v>
      </c>
      <c r="H138" s="35"/>
    </row>
    <row r="139" spans="3:8">
      <c r="C139" s="33">
        <v>42094</v>
      </c>
      <c r="D139" s="34">
        <v>35.975013732910099</v>
      </c>
      <c r="E139" s="35">
        <f t="shared" si="4"/>
        <v>3.7220857318140288E-2</v>
      </c>
      <c r="F139" s="34">
        <v>11966.169921875</v>
      </c>
      <c r="G139" s="35">
        <f t="shared" si="5"/>
        <v>4.9511190290613571E-2</v>
      </c>
      <c r="H139" s="35"/>
    </row>
    <row r="140" spans="3:8">
      <c r="C140" s="33">
        <v>42063</v>
      </c>
      <c r="D140" s="34">
        <v>34.684043884277301</v>
      </c>
      <c r="E140" s="35">
        <f t="shared" si="4"/>
        <v>7.4925713410173733E-2</v>
      </c>
      <c r="F140" s="34">
        <v>11401.66015625</v>
      </c>
      <c r="G140" s="35">
        <f t="shared" si="5"/>
        <v>6.6141636221914046E-2</v>
      </c>
      <c r="H140" s="35"/>
    </row>
    <row r="141" spans="3:8">
      <c r="C141" s="33">
        <v>42035</v>
      </c>
      <c r="D141" s="34">
        <v>32.266456604003899</v>
      </c>
      <c r="E141" s="35">
        <f t="shared" si="4"/>
        <v>0.16688416377128767</v>
      </c>
      <c r="F141" s="34">
        <v>10694.3203125</v>
      </c>
      <c r="G141" s="35">
        <f t="shared" si="5"/>
        <v>9.0639538375260509E-2</v>
      </c>
      <c r="H141" s="35"/>
    </row>
    <row r="142" spans="3:8">
      <c r="C142" s="33">
        <v>42004</v>
      </c>
      <c r="D142" s="34">
        <v>27.651807785034102</v>
      </c>
      <c r="E142" s="35">
        <f t="shared" si="4"/>
        <v>1.7256687962087902E-2</v>
      </c>
      <c r="F142" s="34">
        <v>9805.5498046875</v>
      </c>
      <c r="G142" s="35">
        <f t="shared" si="5"/>
        <v>-1.7563615478469963E-2</v>
      </c>
      <c r="H142" s="35"/>
    </row>
    <row r="143" spans="3:8">
      <c r="C143" s="33">
        <v>41973</v>
      </c>
      <c r="D143" s="34">
        <v>27.182723999023398</v>
      </c>
      <c r="E143" s="35">
        <f t="shared" si="4"/>
        <v>9.3019560202226792E-2</v>
      </c>
      <c r="F143" s="34">
        <v>9980.849609375</v>
      </c>
      <c r="G143" s="35">
        <f t="shared" si="5"/>
        <v>7.0117786992911046E-2</v>
      </c>
      <c r="H143" s="35"/>
    </row>
    <row r="144" spans="3:8">
      <c r="C144" s="33">
        <v>41943</v>
      </c>
      <c r="D144" s="34">
        <v>24.869384765625</v>
      </c>
      <c r="E144" s="35">
        <f t="shared" si="4"/>
        <v>2.1406040768443102E-2</v>
      </c>
      <c r="F144" s="34">
        <v>9326.8701171875</v>
      </c>
      <c r="G144" s="35">
        <f t="shared" si="5"/>
        <v>-1.5561011424512605E-2</v>
      </c>
      <c r="H144" s="35"/>
    </row>
    <row r="145" spans="3:8">
      <c r="C145" s="33">
        <v>41912</v>
      </c>
      <c r="D145" s="34">
        <v>24.348186492919901</v>
      </c>
      <c r="E145" s="35">
        <f t="shared" si="4"/>
        <v>-2.4260895779393055E-2</v>
      </c>
      <c r="F145" s="34">
        <v>9474.2998046875</v>
      </c>
      <c r="G145" s="35">
        <f t="shared" si="5"/>
        <v>4.3609384483800362E-4</v>
      </c>
      <c r="H145" s="35"/>
    </row>
    <row r="146" spans="3:8">
      <c r="C146" s="33">
        <v>41882</v>
      </c>
      <c r="D146" s="34">
        <v>24.9535827636718</v>
      </c>
      <c r="E146" s="35">
        <f t="shared" si="4"/>
        <v>5.8178591994098028E-3</v>
      </c>
      <c r="F146" s="34">
        <v>9470.169921875</v>
      </c>
      <c r="G146" s="35">
        <f t="shared" si="5"/>
        <v>6.6637877520174804E-3</v>
      </c>
      <c r="H146" s="35"/>
    </row>
    <row r="147" spans="3:8">
      <c r="C147" s="33">
        <v>41851</v>
      </c>
      <c r="D147" s="34">
        <v>24.809246063232401</v>
      </c>
      <c r="E147" s="35">
        <f t="shared" si="4"/>
        <v>-9.5321733376351747E-2</v>
      </c>
      <c r="F147" s="34">
        <v>9407.48046875</v>
      </c>
      <c r="G147" s="35">
        <f t="shared" si="5"/>
        <v>-4.3281480781133141E-2</v>
      </c>
      <c r="H147" s="35"/>
    </row>
    <row r="148" spans="3:8">
      <c r="C148" s="33">
        <v>41820</v>
      </c>
      <c r="D148" s="34">
        <v>27.423280715942301</v>
      </c>
      <c r="E148" s="35">
        <f t="shared" si="4"/>
        <v>-1.8651207378632462E-2</v>
      </c>
      <c r="F148" s="34">
        <v>9833.0703125</v>
      </c>
      <c r="G148" s="35">
        <f t="shared" si="5"/>
        <v>-1.1082795091057585E-2</v>
      </c>
      <c r="H148" s="35"/>
    </row>
    <row r="149" spans="3:8">
      <c r="C149" s="33">
        <v>41790</v>
      </c>
      <c r="D149" s="34">
        <v>27.944478988647401</v>
      </c>
      <c r="E149" s="35">
        <f t="shared" si="4"/>
        <v>4.4507595606138706E-2</v>
      </c>
      <c r="F149" s="34">
        <v>9943.26953125</v>
      </c>
      <c r="G149" s="35">
        <f t="shared" si="5"/>
        <v>3.5408820355455006E-2</v>
      </c>
      <c r="H149" s="35"/>
    </row>
    <row r="150" spans="3:8">
      <c r="C150" s="33">
        <v>41759</v>
      </c>
      <c r="D150" s="34">
        <v>26.753734588623001</v>
      </c>
      <c r="E150" s="35">
        <f t="shared" si="4"/>
        <v>1.174254077055803E-2</v>
      </c>
      <c r="F150" s="34">
        <v>9603.23046875</v>
      </c>
      <c r="G150" s="35">
        <f t="shared" si="5"/>
        <v>4.9519419632728656E-3</v>
      </c>
      <c r="H150" s="35"/>
    </row>
    <row r="151" spans="3:8">
      <c r="C151" s="33">
        <v>41729</v>
      </c>
      <c r="D151" s="34">
        <v>26.443223953246999</v>
      </c>
      <c r="E151" s="35">
        <f t="shared" si="4"/>
        <v>1.5847194694972977E-2</v>
      </c>
      <c r="F151" s="34">
        <v>9555.91015625</v>
      </c>
      <c r="G151" s="35">
        <f t="shared" si="5"/>
        <v>-1.4049607594796454E-2</v>
      </c>
      <c r="H151" s="35"/>
    </row>
    <row r="152" spans="3:8">
      <c r="C152" s="33">
        <v>41698</v>
      </c>
      <c r="D152" s="34">
        <v>26.0307102203369</v>
      </c>
      <c r="E152" s="35">
        <f t="shared" si="4"/>
        <v>8.6753369072733344E-2</v>
      </c>
      <c r="F152" s="34">
        <v>9692.080078125</v>
      </c>
      <c r="G152" s="35">
        <f t="shared" si="5"/>
        <v>4.1433451740407801E-2</v>
      </c>
      <c r="H152" s="35"/>
    </row>
    <row r="153" spans="3:8">
      <c r="C153" s="33">
        <v>41670</v>
      </c>
      <c r="D153" s="34">
        <v>23.952730178833001</v>
      </c>
      <c r="E153" s="35">
        <f t="shared" si="4"/>
        <v>-1.2241379676495301E-2</v>
      </c>
      <c r="F153" s="34">
        <v>9306.48046875</v>
      </c>
      <c r="G153" s="35">
        <f t="shared" si="5"/>
        <v>-2.5719804052830031E-2</v>
      </c>
      <c r="H153" s="35"/>
    </row>
    <row r="154" spans="3:8">
      <c r="C154" s="33">
        <v>41639</v>
      </c>
      <c r="D154" s="34">
        <v>24.249578475952099</v>
      </c>
      <c r="E154" s="35">
        <f t="shared" si="4"/>
        <v>3.1147328914470807E-2</v>
      </c>
      <c r="F154" s="34">
        <v>9552.16015625</v>
      </c>
      <c r="G154" s="35">
        <f t="shared" si="5"/>
        <v>1.5614637982013679E-2</v>
      </c>
      <c r="H154" s="35"/>
    </row>
    <row r="155" spans="3:8">
      <c r="C155" s="33">
        <v>41608</v>
      </c>
      <c r="D155" s="34">
        <v>23.517084121704102</v>
      </c>
      <c r="E155" s="35">
        <f t="shared" si="4"/>
        <v>9.2653113178187141E-3</v>
      </c>
      <c r="F155" s="34">
        <v>9405.2998046875</v>
      </c>
      <c r="G155" s="35">
        <f t="shared" si="5"/>
        <v>4.1109494662801893E-2</v>
      </c>
      <c r="H155" s="35"/>
    </row>
    <row r="156" spans="3:8">
      <c r="C156" s="33">
        <v>41578</v>
      </c>
      <c r="D156" s="34">
        <v>23.301191329956001</v>
      </c>
      <c r="E156" s="35">
        <f t="shared" si="4"/>
        <v>4.8941324881264014E-2</v>
      </c>
      <c r="F156" s="34">
        <v>9033.919921875</v>
      </c>
      <c r="G156" s="35">
        <f t="shared" si="5"/>
        <v>5.1140220524219515E-2</v>
      </c>
      <c r="H156" s="35"/>
    </row>
    <row r="157" spans="3:8">
      <c r="C157" s="33">
        <v>41547</v>
      </c>
      <c r="D157" s="34">
        <v>22.2140083312988</v>
      </c>
      <c r="E157" s="35">
        <f t="shared" si="4"/>
        <v>0.10978428909240878</v>
      </c>
      <c r="F157" s="34">
        <v>8594.400390625</v>
      </c>
      <c r="G157" s="35">
        <f t="shared" si="5"/>
        <v>6.0624632914560994E-2</v>
      </c>
      <c r="H157" s="35"/>
    </row>
    <row r="158" spans="3:8">
      <c r="C158" s="33">
        <v>41517</v>
      </c>
      <c r="D158" s="34">
        <v>20.0165100097656</v>
      </c>
      <c r="E158" s="35">
        <f t="shared" si="4"/>
        <v>-5.7448314091812502E-3</v>
      </c>
      <c r="F158" s="34">
        <v>8103.14990234375</v>
      </c>
      <c r="G158" s="35">
        <f t="shared" si="5"/>
        <v>-2.08821237786877E-2</v>
      </c>
      <c r="H158" s="35"/>
    </row>
    <row r="159" spans="3:8">
      <c r="C159" s="33">
        <v>41486</v>
      </c>
      <c r="D159" s="34">
        <v>20.132165908813398</v>
      </c>
      <c r="E159" s="35">
        <f t="shared" si="4"/>
        <v>0.12337321900207643</v>
      </c>
      <c r="F159" s="34">
        <v>8275.9697265625</v>
      </c>
      <c r="G159" s="35">
        <f t="shared" si="5"/>
        <v>3.9796550813862464E-2</v>
      </c>
      <c r="H159" s="35"/>
    </row>
    <row r="160" spans="3:8">
      <c r="C160" s="33">
        <v>41455</v>
      </c>
      <c r="D160" s="34">
        <v>17.9211730957031</v>
      </c>
      <c r="E160" s="35">
        <f t="shared" si="4"/>
        <v>-5.9198696555685881E-2</v>
      </c>
      <c r="F160" s="34">
        <v>7959.22021484375</v>
      </c>
      <c r="G160" s="35">
        <f t="shared" si="5"/>
        <v>-4.6667517427337213E-2</v>
      </c>
      <c r="H160" s="35"/>
    </row>
    <row r="161" spans="3:8">
      <c r="C161" s="33">
        <v>41425</v>
      </c>
      <c r="D161" s="34">
        <v>19.048839569091701</v>
      </c>
      <c r="E161" s="35">
        <f t="shared" si="4"/>
        <v>0.17600876082591643</v>
      </c>
      <c r="F161" s="34">
        <v>8348.83984375</v>
      </c>
      <c r="G161" s="35">
        <f t="shared" si="5"/>
        <v>5.4984310135236747E-2</v>
      </c>
      <c r="H161" s="35"/>
    </row>
    <row r="162" spans="3:8">
      <c r="C162" s="33">
        <v>41394</v>
      </c>
      <c r="D162" s="34">
        <v>16.197872161865199</v>
      </c>
      <c r="E162" s="35">
        <f t="shared" si="4"/>
        <v>5.5308656672423906E-2</v>
      </c>
      <c r="F162" s="34">
        <v>7913.7099609375</v>
      </c>
      <c r="G162" s="35">
        <f t="shared" si="5"/>
        <v>1.5188607182240688E-2</v>
      </c>
      <c r="H162" s="35"/>
    </row>
    <row r="163" spans="3:8">
      <c r="C163" s="33">
        <v>41364</v>
      </c>
      <c r="D163" s="34">
        <v>15.3489427566528</v>
      </c>
      <c r="E163" s="35">
        <f t="shared" si="4"/>
        <v>-7.0513594977729577E-2</v>
      </c>
      <c r="F163" s="34">
        <v>7795.31005859375</v>
      </c>
      <c r="G163" s="35">
        <f t="shared" si="5"/>
        <v>6.9248177956711121E-3</v>
      </c>
      <c r="H163" s="35"/>
    </row>
    <row r="164" spans="3:8">
      <c r="C164" s="33">
        <v>41333</v>
      </c>
      <c r="D164" s="34">
        <v>16.513359069824201</v>
      </c>
      <c r="E164" s="35">
        <f t="shared" si="4"/>
        <v>6.5072957031808487E-2</v>
      </c>
      <c r="F164" s="34">
        <v>7741.7001953125</v>
      </c>
      <c r="G164" s="35">
        <f t="shared" si="5"/>
        <v>-4.4173597440558821E-3</v>
      </c>
      <c r="H164" s="35"/>
    </row>
    <row r="165" spans="3:8">
      <c r="C165" s="33">
        <v>41305</v>
      </c>
      <c r="D165" s="34">
        <v>15.5044393539428</v>
      </c>
      <c r="E165" s="35">
        <f t="shared" si="4"/>
        <v>3.7633132454032214E-2</v>
      </c>
      <c r="F165" s="34">
        <v>7776.0498046875</v>
      </c>
      <c r="G165" s="35">
        <f t="shared" si="5"/>
        <v>2.1499117232487874E-2</v>
      </c>
      <c r="H165" s="35"/>
    </row>
    <row r="166" spans="3:8">
      <c r="C166" s="33">
        <v>41274</v>
      </c>
      <c r="D166" s="34">
        <v>14.942120552062899</v>
      </c>
      <c r="E166" s="35">
        <f t="shared" si="4"/>
        <v>8.7941179881187326E-2</v>
      </c>
      <c r="F166" s="34">
        <v>7612.39013671875</v>
      </c>
      <c r="G166" s="35">
        <f t="shared" si="5"/>
        <v>2.7937362327830728E-2</v>
      </c>
      <c r="H166" s="35"/>
    </row>
    <row r="167" spans="3:8">
      <c r="C167" s="33">
        <v>41243</v>
      </c>
      <c r="D167" s="34">
        <v>13.7343091964721</v>
      </c>
      <c r="E167" s="35">
        <f t="shared" si="4"/>
        <v>5.426773520458128E-2</v>
      </c>
      <c r="F167" s="34">
        <v>7405.5</v>
      </c>
      <c r="G167" s="35">
        <f t="shared" si="5"/>
        <v>1.995283047417673E-2</v>
      </c>
      <c r="H167" s="35"/>
    </row>
    <row r="168" spans="3:8">
      <c r="C168" s="33">
        <v>41213</v>
      </c>
      <c r="D168" s="34">
        <v>13.0273447036743</v>
      </c>
      <c r="E168" s="35">
        <f t="shared" si="4"/>
        <v>-4.354172465038697E-2</v>
      </c>
      <c r="F168" s="34">
        <v>7260.6298828125</v>
      </c>
      <c r="G168" s="35">
        <f t="shared" si="5"/>
        <v>6.163949068505703E-3</v>
      </c>
      <c r="H168" s="35"/>
    </row>
    <row r="169" spans="3:8">
      <c r="C169" s="33">
        <v>41182</v>
      </c>
      <c r="D169" s="34">
        <v>13.6204004287719</v>
      </c>
      <c r="E169" s="35">
        <f t="shared" si="4"/>
        <v>-3.4230654690659335E-2</v>
      </c>
      <c r="F169" s="34">
        <v>7216.14990234375</v>
      </c>
      <c r="G169" s="35">
        <f t="shared" si="5"/>
        <v>3.5198286264012779E-2</v>
      </c>
      <c r="H169" s="35"/>
    </row>
    <row r="170" spans="3:8">
      <c r="C170" s="33">
        <v>41152</v>
      </c>
      <c r="D170" s="34">
        <v>14.103160858154199</v>
      </c>
      <c r="E170" s="35">
        <f t="shared" si="4"/>
        <v>-4.2004590893645499E-2</v>
      </c>
      <c r="F170" s="34">
        <v>6970.7900390625</v>
      </c>
      <c r="G170" s="35">
        <f t="shared" si="5"/>
        <v>2.9315218303528567E-2</v>
      </c>
      <c r="H170" s="35"/>
    </row>
    <row r="171" spans="3:8">
      <c r="C171" s="33">
        <v>41121</v>
      </c>
      <c r="D171" s="34">
        <v>14.721532821655201</v>
      </c>
      <c r="E171" s="35">
        <f t="shared" si="4"/>
        <v>0.15178960886903115</v>
      </c>
      <c r="F171" s="34">
        <v>6772.259765625</v>
      </c>
      <c r="G171" s="35">
        <f t="shared" si="5"/>
        <v>5.54807446664487E-2</v>
      </c>
      <c r="H171" s="35"/>
    </row>
    <row r="172" spans="3:8">
      <c r="C172" s="33">
        <v>41090</v>
      </c>
      <c r="D172" s="34">
        <v>12.7814426422119</v>
      </c>
      <c r="E172" s="35">
        <f t="shared" si="4"/>
        <v>-5.5704052944153148E-2</v>
      </c>
      <c r="F172" s="34">
        <v>6416.27978515625</v>
      </c>
      <c r="G172" s="35">
        <f t="shared" si="5"/>
        <v>2.424819458355576E-2</v>
      </c>
      <c r="H172" s="35"/>
    </row>
    <row r="173" spans="3:8">
      <c r="C173" s="33">
        <v>41060</v>
      </c>
      <c r="D173" s="34">
        <v>13.5354204177856</v>
      </c>
      <c r="E173" s="35">
        <f t="shared" si="4"/>
        <v>-0.10379489797232522</v>
      </c>
      <c r="F173" s="34">
        <v>6264.3798828125</v>
      </c>
      <c r="G173" s="35">
        <f t="shared" si="5"/>
        <v>-7.3479677822868461E-2</v>
      </c>
      <c r="H173" s="35"/>
    </row>
    <row r="174" spans="3:8">
      <c r="C174" s="33">
        <v>41029</v>
      </c>
      <c r="D174" s="34">
        <v>15.103038787841699</v>
      </c>
      <c r="E174" s="35">
        <f t="shared" si="4"/>
        <v>-1.8104695304131613E-2</v>
      </c>
      <c r="F174" s="34">
        <v>6761.18994140625</v>
      </c>
      <c r="G174" s="35">
        <f t="shared" si="5"/>
        <v>-2.6722999502077349E-2</v>
      </c>
      <c r="H174" s="35"/>
    </row>
    <row r="175" spans="3:8">
      <c r="C175" s="33">
        <v>40999</v>
      </c>
      <c r="D175" s="34">
        <v>15.381516456604</v>
      </c>
      <c r="E175" s="35">
        <f t="shared" si="4"/>
        <v>-4.0755946454513747E-3</v>
      </c>
      <c r="F175" s="34">
        <v>6946.830078125</v>
      </c>
      <c r="G175" s="35">
        <f t="shared" si="5"/>
        <v>1.3236426495301101E-2</v>
      </c>
      <c r="H175" s="35"/>
    </row>
    <row r="176" spans="3:8">
      <c r="C176" s="33">
        <v>40968</v>
      </c>
      <c r="D176" s="34">
        <v>15.4444618225097</v>
      </c>
      <c r="E176" s="35">
        <f t="shared" si="4"/>
        <v>7.456494553188886E-2</v>
      </c>
      <c r="F176" s="34">
        <v>6856.080078125</v>
      </c>
      <c r="G176" s="35">
        <f t="shared" si="5"/>
        <v>6.1491786116683489E-2</v>
      </c>
      <c r="H176" s="35"/>
    </row>
    <row r="177" spans="3:8">
      <c r="C177" s="33">
        <v>40939</v>
      </c>
      <c r="D177" s="34">
        <v>14.3727579116821</v>
      </c>
      <c r="E177" s="35">
        <f t="shared" si="4"/>
        <v>0.2454305556600076</v>
      </c>
      <c r="F177" s="34">
        <v>6458.91015625</v>
      </c>
      <c r="G177" s="35">
        <f t="shared" si="5"/>
        <v>9.5036755925439698E-2</v>
      </c>
      <c r="H177" s="35"/>
    </row>
    <row r="178" spans="3:8">
      <c r="C178" s="33">
        <v>40908</v>
      </c>
      <c r="D178" s="34">
        <v>11.5403928756713</v>
      </c>
      <c r="E178" s="35">
        <f t="shared" si="4"/>
        <v>9.2235570417433799E-3</v>
      </c>
      <c r="F178" s="34">
        <v>5898.35009765625</v>
      </c>
      <c r="G178" s="35">
        <f t="shared" si="5"/>
        <v>-3.1285064311435518E-2</v>
      </c>
      <c r="H178" s="35"/>
    </row>
    <row r="179" spans="3:8">
      <c r="C179" s="33">
        <v>40877</v>
      </c>
      <c r="D179" s="34">
        <v>11.434922218322701</v>
      </c>
      <c r="E179" s="35">
        <f t="shared" si="4"/>
        <v>-9.1621741013538482E-2</v>
      </c>
      <c r="F179" s="34">
        <v>6088.83984375</v>
      </c>
      <c r="G179" s="35">
        <f t="shared" si="5"/>
        <v>-8.548623156464652E-3</v>
      </c>
      <c r="H179" s="35"/>
    </row>
    <row r="180" spans="3:8">
      <c r="C180" s="33">
        <v>40847</v>
      </c>
      <c r="D180" s="34">
        <v>12.588282585144</v>
      </c>
      <c r="E180" s="35">
        <f t="shared" si="4"/>
        <v>0.10020820134426001</v>
      </c>
      <c r="F180" s="34">
        <v>6141.33984375</v>
      </c>
      <c r="G180" s="35">
        <f t="shared" si="5"/>
        <v>0.11619729153097791</v>
      </c>
      <c r="H180" s="35"/>
    </row>
    <row r="181" spans="3:8">
      <c r="C181" s="33">
        <v>40816</v>
      </c>
      <c r="D181" s="34">
        <v>11.4417276382446</v>
      </c>
      <c r="E181" s="35">
        <f t="shared" si="4"/>
        <v>-0.10724713149461695</v>
      </c>
      <c r="F181" s="34">
        <v>5502.02001953125</v>
      </c>
      <c r="G181" s="35">
        <f t="shared" si="5"/>
        <v>-4.8891513755834337E-2</v>
      </c>
      <c r="H181" s="35"/>
    </row>
    <row r="182" spans="3:8">
      <c r="C182" s="33">
        <v>40786</v>
      </c>
      <c r="D182" s="34">
        <v>12.8162317276</v>
      </c>
      <c r="E182" s="35">
        <f t="shared" si="4"/>
        <v>-0.25641537667493264</v>
      </c>
      <c r="F182" s="34">
        <v>5784.85009765625</v>
      </c>
      <c r="G182" s="35">
        <f t="shared" si="5"/>
        <v>-0.19192122642947584</v>
      </c>
      <c r="H182" s="35"/>
    </row>
    <row r="183" spans="3:8">
      <c r="C183" s="33">
        <v>40755</v>
      </c>
      <c r="D183" s="34">
        <v>17.235740661621001</v>
      </c>
      <c r="E183" s="35">
        <f t="shared" si="4"/>
        <v>-2.3892062771258438E-2</v>
      </c>
      <c r="F183" s="34">
        <v>7158.77001953125</v>
      </c>
      <c r="G183" s="35">
        <f t="shared" si="5"/>
        <v>-2.9482528759067317E-2</v>
      </c>
      <c r="H183" s="35"/>
    </row>
    <row r="184" spans="3:8">
      <c r="C184" s="33">
        <v>40724</v>
      </c>
      <c r="D184" s="34">
        <v>17.657617568969702</v>
      </c>
      <c r="E184" s="35">
        <f t="shared" si="4"/>
        <v>5.6918738060304674E-2</v>
      </c>
      <c r="F184" s="34">
        <v>7376.240234375</v>
      </c>
      <c r="G184" s="35">
        <f t="shared" si="5"/>
        <v>1.1318042531546668E-2</v>
      </c>
      <c r="H184" s="35"/>
    </row>
    <row r="185" spans="3:8">
      <c r="C185" s="33">
        <v>40694</v>
      </c>
      <c r="D185" s="34">
        <v>16.7066936492919</v>
      </c>
      <c r="E185" s="35">
        <f t="shared" si="4"/>
        <v>-5.9110860564036694E-2</v>
      </c>
      <c r="F185" s="34">
        <v>7293.68994140625</v>
      </c>
      <c r="G185" s="35">
        <f t="shared" si="5"/>
        <v>-2.9379359352352807E-2</v>
      </c>
      <c r="H185" s="35"/>
    </row>
    <row r="186" spans="3:8">
      <c r="C186" s="33">
        <v>40663</v>
      </c>
      <c r="D186" s="34">
        <v>17.756282806396399</v>
      </c>
      <c r="E186" s="35">
        <f t="shared" si="4"/>
        <v>9.4584997655483782E-2</v>
      </c>
      <c r="F186" s="34">
        <v>7514.4599609375</v>
      </c>
      <c r="G186" s="35">
        <f t="shared" si="5"/>
        <v>6.7196288532455961E-2</v>
      </c>
      <c r="H186" s="35"/>
    </row>
    <row r="187" spans="3:8">
      <c r="C187" s="33">
        <v>40633</v>
      </c>
      <c r="D187" s="34">
        <v>16.221931457519499</v>
      </c>
      <c r="E187" s="35">
        <f t="shared" si="4"/>
        <v>-2.350644075144559E-2</v>
      </c>
      <c r="F187" s="34">
        <v>7041.31005859375</v>
      </c>
      <c r="G187" s="35">
        <f t="shared" si="5"/>
        <v>-3.1765622416065398E-2</v>
      </c>
      <c r="H187" s="35"/>
    </row>
    <row r="188" spans="3:8">
      <c r="C188" s="33">
        <v>40602</v>
      </c>
      <c r="D188" s="34">
        <v>16.612430572509702</v>
      </c>
      <c r="E188" s="35">
        <f t="shared" si="4"/>
        <v>-4.4365262624886492E-2</v>
      </c>
      <c r="F188" s="34">
        <v>7272.31982421875</v>
      </c>
      <c r="G188" s="35">
        <f t="shared" si="5"/>
        <v>2.7529550671663738E-2</v>
      </c>
      <c r="H188" s="35"/>
    </row>
    <row r="189" spans="3:8">
      <c r="C189" s="33">
        <v>40574</v>
      </c>
      <c r="D189" s="34">
        <v>17.383661270141602</v>
      </c>
      <c r="E189" s="35">
        <f t="shared" si="4"/>
        <v>5.3025718241104469E-2</v>
      </c>
      <c r="F189" s="34">
        <v>7077.47998046875</v>
      </c>
      <c r="G189" s="35">
        <f t="shared" si="5"/>
        <v>2.3616655088490202E-2</v>
      </c>
      <c r="H189" s="35"/>
    </row>
    <row r="190" spans="3:8">
      <c r="C190" s="33">
        <v>40543</v>
      </c>
      <c r="D190" s="34">
        <v>16.508296966552699</v>
      </c>
      <c r="E190" s="35">
        <f t="shared" si="4"/>
        <v>1.7244649920350241E-2</v>
      </c>
      <c r="F190" s="34">
        <v>6914.18994140625</v>
      </c>
      <c r="G190" s="35">
        <f t="shared" si="5"/>
        <v>3.3744492272902438E-2</v>
      </c>
      <c r="H190" s="35"/>
    </row>
    <row r="191" spans="3:8">
      <c r="C191" s="33">
        <v>40512</v>
      </c>
      <c r="D191" s="34">
        <v>16.2284431457519</v>
      </c>
      <c r="E191" s="35">
        <f t="shared" si="4"/>
        <v>5.144433709676477E-2</v>
      </c>
      <c r="F191" s="34">
        <v>6688.490234375</v>
      </c>
      <c r="G191" s="35">
        <f t="shared" si="5"/>
        <v>1.319727808635851E-2</v>
      </c>
      <c r="H191" s="35"/>
    </row>
    <row r="192" spans="3:8">
      <c r="C192" s="33">
        <v>40482</v>
      </c>
      <c r="D192" s="34">
        <v>15.434429168701101</v>
      </c>
      <c r="E192" s="35">
        <f t="shared" si="4"/>
        <v>2.0878329551964114E-2</v>
      </c>
      <c r="F192" s="34">
        <v>6601.3701171875</v>
      </c>
      <c r="G192" s="35">
        <f t="shared" si="5"/>
        <v>5.977667377673157E-2</v>
      </c>
      <c r="H192" s="35"/>
    </row>
    <row r="193" spans="3:8">
      <c r="C193" s="33">
        <v>40451</v>
      </c>
      <c r="D193" s="34">
        <v>15.1187744140625</v>
      </c>
      <c r="E193" s="35">
        <f t="shared" si="4"/>
        <v>0.21115727779193794</v>
      </c>
      <c r="F193" s="34">
        <v>6229.02001953125</v>
      </c>
      <c r="G193" s="35">
        <f t="shared" si="5"/>
        <v>5.1272322997620634E-2</v>
      </c>
      <c r="H193" s="35"/>
    </row>
    <row r="194" spans="3:8">
      <c r="C194" s="33">
        <v>40421</v>
      </c>
      <c r="D194" s="34">
        <v>12.482915878295801</v>
      </c>
      <c r="E194" s="35">
        <f t="shared" si="4"/>
        <v>-7.2869819926486112E-2</v>
      </c>
      <c r="F194" s="34">
        <v>5925.22021484375</v>
      </c>
      <c r="G194" s="35">
        <f t="shared" si="5"/>
        <v>-3.6231470260247756E-2</v>
      </c>
      <c r="H194" s="35"/>
    </row>
    <row r="195" spans="3:8">
      <c r="C195" s="33">
        <v>40390</v>
      </c>
      <c r="D195" s="34">
        <v>13.464037895202599</v>
      </c>
      <c r="E195" s="35">
        <f t="shared" si="4"/>
        <v>-1.3001293760546151E-2</v>
      </c>
      <c r="F195" s="34">
        <v>6147.97021484375</v>
      </c>
      <c r="G195" s="35">
        <f t="shared" si="5"/>
        <v>3.0584122543408476E-2</v>
      </c>
      <c r="H195" s="35"/>
    </row>
    <row r="196" spans="3:8">
      <c r="C196" s="33">
        <v>40359</v>
      </c>
      <c r="D196" s="34">
        <v>13.641393661499</v>
      </c>
      <c r="E196" s="35">
        <f t="shared" si="4"/>
        <v>2.2439134154183638E-2</v>
      </c>
      <c r="F196" s="34">
        <v>5965.52001953125</v>
      </c>
      <c r="G196" s="35">
        <f t="shared" si="5"/>
        <v>1.9950964997961229E-4</v>
      </c>
      <c r="H196" s="35"/>
    </row>
    <row r="197" spans="3:8">
      <c r="C197" s="33">
        <v>40329</v>
      </c>
      <c r="D197" s="34">
        <v>13.3420104980468</v>
      </c>
      <c r="E197" s="35">
        <f t="shared" si="4"/>
        <v>5.6292542521098277E-2</v>
      </c>
      <c r="F197" s="34">
        <v>5964.330078125</v>
      </c>
      <c r="G197" s="35">
        <f t="shared" si="5"/>
        <v>-2.793000174917637E-2</v>
      </c>
      <c r="H197" s="35"/>
    </row>
    <row r="198" spans="3:8">
      <c r="C198" s="33">
        <v>40298</v>
      </c>
      <c r="D198" s="34">
        <v>12.6309804916381</v>
      </c>
      <c r="E198" s="35">
        <f t="shared" ref="E198:E261" si="6">D198/D199-1</f>
        <v>0.11361361209864285</v>
      </c>
      <c r="F198" s="34">
        <v>6135.7001953125</v>
      </c>
      <c r="G198" s="35">
        <f t="shared" ref="G198:G261" si="7">F198/F199-1</f>
        <v>-2.9007012117465703E-3</v>
      </c>
      <c r="H198" s="35"/>
    </row>
    <row r="199" spans="3:8">
      <c r="C199" s="33">
        <v>40268</v>
      </c>
      <c r="D199" s="34">
        <v>11.342336654663001</v>
      </c>
      <c r="E199" s="35">
        <f t="shared" si="6"/>
        <v>0.13682339672828325</v>
      </c>
      <c r="F199" s="34">
        <v>6153.5498046875</v>
      </c>
      <c r="G199" s="35">
        <f t="shared" si="7"/>
        <v>9.915045345024609E-2</v>
      </c>
      <c r="H199" s="35"/>
    </row>
    <row r="200" spans="3:8">
      <c r="C200" s="33">
        <v>40237</v>
      </c>
      <c r="D200" s="34">
        <v>9.9772195816040004</v>
      </c>
      <c r="E200" s="35">
        <f t="shared" si="6"/>
        <v>-8.2722721037617686E-2</v>
      </c>
      <c r="F200" s="34">
        <v>5598.4599609375</v>
      </c>
      <c r="G200" s="35">
        <f t="shared" si="7"/>
        <v>-1.8417658805296444E-3</v>
      </c>
      <c r="H200" s="35"/>
    </row>
    <row r="201" spans="3:8">
      <c r="C201" s="33">
        <v>40209</v>
      </c>
      <c r="D201" s="34">
        <v>10.8769941329956</v>
      </c>
      <c r="E201" s="35">
        <f t="shared" si="6"/>
        <v>-0.1022023263610603</v>
      </c>
      <c r="F201" s="34">
        <v>5608.7900390625</v>
      </c>
      <c r="G201" s="35">
        <f t="shared" si="7"/>
        <v>-5.8521900623540235E-2</v>
      </c>
      <c r="H201" s="35"/>
    </row>
    <row r="202" spans="3:8">
      <c r="C202" s="33">
        <v>40178</v>
      </c>
      <c r="D202" s="34">
        <v>12.115195274353001</v>
      </c>
      <c r="E202" s="35">
        <f t="shared" si="6"/>
        <v>0.10409233779028093</v>
      </c>
      <c r="F202" s="34">
        <v>5957.43017578125</v>
      </c>
      <c r="G202" s="35">
        <f t="shared" si="7"/>
        <v>5.8919821356566038E-2</v>
      </c>
      <c r="H202" s="35"/>
    </row>
    <row r="203" spans="3:8">
      <c r="C203" s="33">
        <v>40147</v>
      </c>
      <c r="D203" s="34">
        <v>10.972990989685</v>
      </c>
      <c r="E203" s="35">
        <f t="shared" si="6"/>
        <v>1.9347285479770715E-2</v>
      </c>
      <c r="F203" s="34">
        <v>5625.9501953125</v>
      </c>
      <c r="G203" s="35">
        <f t="shared" si="7"/>
        <v>3.8964320308376044E-2</v>
      </c>
      <c r="H203" s="35"/>
    </row>
    <row r="204" spans="3:8">
      <c r="C204" s="33">
        <v>40117</v>
      </c>
      <c r="D204" s="34">
        <v>10.7647228240966</v>
      </c>
      <c r="E204" s="35">
        <f t="shared" si="6"/>
        <v>-3.8511893353777582E-2</v>
      </c>
      <c r="F204" s="34">
        <v>5414.9599609375</v>
      </c>
      <c r="G204" s="35">
        <f t="shared" si="7"/>
        <v>-4.5848960760330959E-2</v>
      </c>
      <c r="H204" s="35"/>
    </row>
    <row r="205" spans="3:8">
      <c r="C205" s="33">
        <v>40086</v>
      </c>
      <c r="D205" s="34">
        <v>11.195898056030201</v>
      </c>
      <c r="E205" s="35">
        <f t="shared" si="6"/>
        <v>9.1182914871881016E-2</v>
      </c>
      <c r="F205" s="34">
        <v>5675.16015625</v>
      </c>
      <c r="G205" s="35">
        <f t="shared" si="7"/>
        <v>3.8529794118243643E-2</v>
      </c>
      <c r="H205" s="35"/>
    </row>
    <row r="206" spans="3:8">
      <c r="C206" s="33">
        <v>40056</v>
      </c>
      <c r="D206" s="34">
        <v>10.2603311538696</v>
      </c>
      <c r="E206" s="35">
        <f t="shared" si="6"/>
        <v>-2.8949808682461553E-2</v>
      </c>
      <c r="F206" s="34">
        <v>5464.60986328125</v>
      </c>
      <c r="G206" s="35">
        <f t="shared" si="7"/>
        <v>2.4843631856235948E-2</v>
      </c>
      <c r="H206" s="35"/>
    </row>
    <row r="207" spans="3:8">
      <c r="C207" s="33">
        <v>40025</v>
      </c>
      <c r="D207" s="34">
        <v>10.566221237182599</v>
      </c>
      <c r="E207" s="35">
        <f t="shared" si="6"/>
        <v>0.25950366887248966</v>
      </c>
      <c r="F207" s="34">
        <v>5332.14013671875</v>
      </c>
      <c r="G207" s="35">
        <f t="shared" si="7"/>
        <v>0.10886653713230832</v>
      </c>
      <c r="H207" s="35"/>
    </row>
    <row r="208" spans="3:8">
      <c r="C208" s="33">
        <v>39994</v>
      </c>
      <c r="D208" s="34">
        <v>8.3891944885253906</v>
      </c>
      <c r="E208" s="35">
        <f t="shared" si="6"/>
        <v>-2.7080939551121785E-3</v>
      </c>
      <c r="F208" s="34">
        <v>4808.64013671875</v>
      </c>
      <c r="G208" s="35">
        <f t="shared" si="7"/>
        <v>-2.6752582001085323E-2</v>
      </c>
      <c r="H208" s="35"/>
    </row>
    <row r="209" spans="3:8">
      <c r="C209" s="33">
        <v>39964</v>
      </c>
      <c r="D209" s="34">
        <v>8.4119749069213796</v>
      </c>
      <c r="E209" s="35">
        <f t="shared" si="6"/>
        <v>-4.770657435441672E-2</v>
      </c>
      <c r="F209" s="34">
        <v>4940.81982421875</v>
      </c>
      <c r="G209" s="35">
        <f t="shared" si="7"/>
        <v>3.5930688420790169E-2</v>
      </c>
      <c r="H209" s="35"/>
    </row>
    <row r="210" spans="3:8">
      <c r="C210" s="33">
        <v>39933</v>
      </c>
      <c r="D210" s="34">
        <v>8.8333854675292898</v>
      </c>
      <c r="E210" s="35">
        <f t="shared" si="6"/>
        <v>0.46605451774278817</v>
      </c>
      <c r="F210" s="34">
        <v>4769.4501953125</v>
      </c>
      <c r="G210" s="35">
        <f t="shared" si="7"/>
        <v>0.16762066410510301</v>
      </c>
      <c r="H210" s="35"/>
    </row>
    <row r="211" spans="3:8">
      <c r="C211" s="33">
        <v>39903</v>
      </c>
      <c r="D211" s="34">
        <v>6.0252776145934996</v>
      </c>
      <c r="E211" s="35">
        <f t="shared" si="6"/>
        <v>5.9411498189364309E-2</v>
      </c>
      <c r="F211" s="34">
        <v>4084.76000976562</v>
      </c>
      <c r="G211" s="35">
        <f t="shared" si="7"/>
        <v>6.2704558618324802E-2</v>
      </c>
      <c r="H211" s="35"/>
    </row>
    <row r="212" spans="3:8">
      <c r="C212" s="33">
        <v>39872</v>
      </c>
      <c r="D212" s="34">
        <v>5.6873817443847603</v>
      </c>
      <c r="E212" s="35">
        <f t="shared" si="6"/>
        <v>-0.18136370883646835</v>
      </c>
      <c r="F212" s="34">
        <v>3843.73999023437</v>
      </c>
      <c r="G212" s="35">
        <f t="shared" si="7"/>
        <v>-0.11400880433533667</v>
      </c>
      <c r="H212" s="35"/>
    </row>
    <row r="213" spans="3:8">
      <c r="C213" s="33">
        <v>39844</v>
      </c>
      <c r="D213" s="34">
        <v>6.9473853111267001</v>
      </c>
      <c r="E213" s="35">
        <f t="shared" si="6"/>
        <v>-0.17602988608297654</v>
      </c>
      <c r="F213" s="34">
        <v>4338.35009765625</v>
      </c>
      <c r="G213" s="35">
        <f t="shared" si="7"/>
        <v>-9.8093650679251132E-2</v>
      </c>
      <c r="H213" s="35"/>
    </row>
    <row r="214" spans="3:8">
      <c r="C214" s="33">
        <v>39813</v>
      </c>
      <c r="D214" s="34">
        <v>8.4315986633300692</v>
      </c>
      <c r="E214" s="35">
        <f t="shared" si="6"/>
        <v>8.2944712038280466E-2</v>
      </c>
      <c r="F214" s="34">
        <v>4810.2001953125</v>
      </c>
      <c r="G214" s="35">
        <f t="shared" si="7"/>
        <v>3.0144997188647604E-2</v>
      </c>
      <c r="H214" s="35"/>
    </row>
    <row r="215" spans="3:8">
      <c r="C215" s="33">
        <v>39782</v>
      </c>
      <c r="D215" s="34">
        <v>7.7858071327209402</v>
      </c>
      <c r="E215" s="35">
        <f t="shared" si="6"/>
        <v>-8.0380384552348194E-2</v>
      </c>
      <c r="F215" s="34">
        <v>4669.43994140625</v>
      </c>
      <c r="G215" s="35">
        <f t="shared" si="7"/>
        <v>-6.385969837782568E-2</v>
      </c>
      <c r="H215" s="35"/>
    </row>
    <row r="216" spans="3:8">
      <c r="C216" s="33">
        <v>39752</v>
      </c>
      <c r="D216" s="34">
        <v>8.4663343429565394</v>
      </c>
      <c r="E216" s="35">
        <f t="shared" si="6"/>
        <v>-0.24265552204213381</v>
      </c>
      <c r="F216" s="34">
        <v>4987.97021484375</v>
      </c>
      <c r="G216" s="35">
        <f t="shared" si="7"/>
        <v>-0.14458015953703962</v>
      </c>
      <c r="H216" s="35"/>
    </row>
    <row r="217" spans="3:8">
      <c r="C217" s="33">
        <v>39721</v>
      </c>
      <c r="D217" s="34">
        <v>11.1789741516113</v>
      </c>
      <c r="E217" s="35">
        <f t="shared" si="6"/>
        <v>-0.11278193781467838</v>
      </c>
      <c r="F217" s="34">
        <v>5831.02001953125</v>
      </c>
      <c r="G217" s="35">
        <f t="shared" si="7"/>
        <v>-9.2066674421628081E-2</v>
      </c>
      <c r="H217" s="35"/>
    </row>
    <row r="218" spans="3:8">
      <c r="C218" s="33">
        <v>39691</v>
      </c>
      <c r="D218" s="34">
        <v>12.6000299453735</v>
      </c>
      <c r="E218" s="35">
        <f t="shared" si="6"/>
        <v>6.8845499310578262E-2</v>
      </c>
      <c r="F218" s="34">
        <v>6422.2998046875</v>
      </c>
      <c r="G218" s="35">
        <f t="shared" si="7"/>
        <v>-8.8370589034523217E-3</v>
      </c>
      <c r="H218" s="35"/>
    </row>
    <row r="219" spans="3:8">
      <c r="C219" s="33">
        <v>39660</v>
      </c>
      <c r="D219" s="34">
        <v>11.788448333740201</v>
      </c>
      <c r="E219" s="35">
        <f t="shared" si="6"/>
        <v>-4.9643543789871791E-2</v>
      </c>
      <c r="F219" s="34">
        <v>6479.56005859375</v>
      </c>
      <c r="G219" s="35">
        <f t="shared" si="7"/>
        <v>9.5414744126518514E-3</v>
      </c>
      <c r="H219" s="35"/>
    </row>
    <row r="220" spans="3:8">
      <c r="C220" s="33">
        <v>39629</v>
      </c>
      <c r="D220" s="34">
        <v>12.404238700866699</v>
      </c>
      <c r="E220" s="35">
        <f t="shared" si="6"/>
        <v>-0.19705655013373324</v>
      </c>
      <c r="F220" s="34">
        <v>6418.31982421875</v>
      </c>
      <c r="G220" s="35">
        <f t="shared" si="7"/>
        <v>-9.5602407723672345E-2</v>
      </c>
      <c r="H220" s="35"/>
    </row>
    <row r="221" spans="3:8">
      <c r="C221" s="33">
        <v>39599</v>
      </c>
      <c r="D221" s="34">
        <v>15.448458671569799</v>
      </c>
      <c r="E221" s="35">
        <f t="shared" si="6"/>
        <v>-2.0228238449100377E-2</v>
      </c>
      <c r="F221" s="34">
        <v>7096.7900390625</v>
      </c>
      <c r="G221" s="35">
        <f t="shared" si="7"/>
        <v>2.1294294367516731E-2</v>
      </c>
      <c r="H221" s="35"/>
    </row>
    <row r="222" spans="3:8">
      <c r="C222" s="33">
        <v>39568</v>
      </c>
      <c r="D222" s="34">
        <v>15.7674055099487</v>
      </c>
      <c r="E222" s="35">
        <f t="shared" si="6"/>
        <v>-3.376067631807611E-2</v>
      </c>
      <c r="F222" s="34">
        <v>6948.81982421875</v>
      </c>
      <c r="G222" s="35">
        <f t="shared" si="7"/>
        <v>6.3328461457248686E-2</v>
      </c>
      <c r="H222" s="35"/>
    </row>
    <row r="223" spans="3:8">
      <c r="C223" s="33">
        <v>39538</v>
      </c>
      <c r="D223" s="34">
        <v>16.318323135375898</v>
      </c>
      <c r="E223" s="35">
        <f t="shared" si="6"/>
        <v>-2.9395841950654922E-2</v>
      </c>
      <c r="F223" s="34">
        <v>6534.97021484375</v>
      </c>
      <c r="G223" s="35">
        <f t="shared" si="7"/>
        <v>-3.1587961653149033E-2</v>
      </c>
      <c r="H223" s="35"/>
    </row>
    <row r="224" spans="3:8">
      <c r="C224" s="33">
        <v>39507</v>
      </c>
      <c r="D224" s="34">
        <v>16.812541961669901</v>
      </c>
      <c r="E224" s="35">
        <f t="shared" si="6"/>
        <v>6.8978639864911928E-2</v>
      </c>
      <c r="F224" s="34">
        <v>6748.1298828125</v>
      </c>
      <c r="G224" s="35">
        <f t="shared" si="7"/>
        <v>-1.5123160825701421E-2</v>
      </c>
      <c r="H224" s="35"/>
    </row>
    <row r="225" spans="3:8">
      <c r="C225" s="33">
        <v>39478</v>
      </c>
      <c r="D225" s="34">
        <v>15.727668762206999</v>
      </c>
      <c r="E225" s="35">
        <f t="shared" si="6"/>
        <v>-0.21518794337547764</v>
      </c>
      <c r="F225" s="34">
        <v>6851.75</v>
      </c>
      <c r="G225" s="35">
        <f t="shared" si="7"/>
        <v>-0.15067827366525255</v>
      </c>
      <c r="H225" s="35"/>
    </row>
    <row r="226" spans="3:8">
      <c r="C226" s="33">
        <v>39447</v>
      </c>
      <c r="D226" s="34">
        <v>20.040044784545898</v>
      </c>
      <c r="E226" s="35">
        <f t="shared" si="6"/>
        <v>-4.3853363526924594E-2</v>
      </c>
      <c r="F226" s="34">
        <v>8067.31982421875</v>
      </c>
      <c r="G226" s="35">
        <f t="shared" si="7"/>
        <v>2.5004676209338994E-2</v>
      </c>
      <c r="H226" s="35"/>
    </row>
    <row r="227" spans="3:8">
      <c r="C227" s="33">
        <v>39416</v>
      </c>
      <c r="D227" s="34">
        <v>20.9591751098632</v>
      </c>
      <c r="E227" s="35">
        <f t="shared" si="6"/>
        <v>-8.4265854343304136E-2</v>
      </c>
      <c r="F227" s="34">
        <v>7870.52001953125</v>
      </c>
      <c r="G227" s="35">
        <f t="shared" si="7"/>
        <v>-1.854297442003805E-2</v>
      </c>
      <c r="H227" s="35"/>
    </row>
    <row r="228" spans="3:8">
      <c r="C228" s="33">
        <v>39386</v>
      </c>
      <c r="D228" s="34">
        <v>22.887838363647401</v>
      </c>
      <c r="E228" s="35">
        <f t="shared" si="6"/>
        <v>7.5169841317771047E-2</v>
      </c>
      <c r="F228" s="34">
        <v>8019.22021484375</v>
      </c>
      <c r="G228" s="35">
        <f t="shared" si="7"/>
        <v>2.0061089271726118E-2</v>
      </c>
      <c r="H228" s="35"/>
    </row>
    <row r="229" spans="3:8">
      <c r="C229" s="33">
        <v>39355</v>
      </c>
      <c r="D229" s="34">
        <v>21.287649154663001</v>
      </c>
      <c r="E229" s="35">
        <f t="shared" si="6"/>
        <v>8.3767834789781892E-2</v>
      </c>
      <c r="F229" s="34">
        <v>7861.509765625</v>
      </c>
      <c r="G229" s="35">
        <f t="shared" si="7"/>
        <v>2.9239967954938439E-2</v>
      </c>
      <c r="H229" s="35"/>
    </row>
    <row r="230" spans="3:8">
      <c r="C230" s="33">
        <v>39325</v>
      </c>
      <c r="D230" s="34">
        <v>19.642259597778299</v>
      </c>
      <c r="E230" s="35">
        <f t="shared" si="6"/>
        <v>-2.5564384306954402E-2</v>
      </c>
      <c r="F230" s="34">
        <v>7638.169921875</v>
      </c>
      <c r="G230" s="35">
        <f t="shared" si="7"/>
        <v>7.124048894437518E-3</v>
      </c>
      <c r="H230" s="35"/>
    </row>
    <row r="231" spans="3:8">
      <c r="C231" s="33">
        <v>39294</v>
      </c>
      <c r="D231" s="34">
        <v>20.157575607299801</v>
      </c>
      <c r="E231" s="35">
        <f t="shared" si="6"/>
        <v>-2.4784884480603342E-2</v>
      </c>
      <c r="F231" s="34">
        <v>7584.14013671875</v>
      </c>
      <c r="G231" s="35">
        <f t="shared" si="7"/>
        <v>-5.284910516750696E-2</v>
      </c>
      <c r="H231" s="35"/>
    </row>
    <row r="232" spans="3:8">
      <c r="C232" s="33">
        <v>39263</v>
      </c>
      <c r="D232" s="34">
        <v>20.669876098632798</v>
      </c>
      <c r="E232" s="35">
        <f t="shared" si="6"/>
        <v>6.4565908706140096E-3</v>
      </c>
      <c r="F232" s="34">
        <v>8007.31982421875</v>
      </c>
      <c r="G232" s="35">
        <f t="shared" si="7"/>
        <v>1.5765464153475239E-2</v>
      </c>
      <c r="H232" s="35"/>
    </row>
    <row r="233" spans="3:8">
      <c r="C233" s="33">
        <v>39233</v>
      </c>
      <c r="D233" s="34">
        <v>20.537275314331001</v>
      </c>
      <c r="E233" s="35">
        <f t="shared" si="6"/>
        <v>0.1382993771169756</v>
      </c>
      <c r="F233" s="34">
        <v>7883.0400390625</v>
      </c>
      <c r="G233" s="35">
        <f t="shared" si="7"/>
        <v>6.400030158107306E-2</v>
      </c>
      <c r="H233" s="35"/>
    </row>
    <row r="234" spans="3:8">
      <c r="C234" s="33">
        <v>39202</v>
      </c>
      <c r="D234" s="34">
        <v>18.042068481445298</v>
      </c>
      <c r="E234" s="35">
        <f t="shared" si="6"/>
        <v>4.7375161955243161E-3</v>
      </c>
      <c r="F234" s="34">
        <v>7408.8701171875</v>
      </c>
      <c r="G234" s="35">
        <f t="shared" si="7"/>
        <v>7.1105712611896799E-2</v>
      </c>
      <c r="H234" s="35"/>
    </row>
    <row r="235" spans="3:8">
      <c r="C235" s="33">
        <v>39172</v>
      </c>
      <c r="D235" s="34">
        <v>17.956996917724599</v>
      </c>
      <c r="E235" s="35">
        <f t="shared" si="6"/>
        <v>0.19432004453722773</v>
      </c>
      <c r="F235" s="34">
        <v>6917.02978515625</v>
      </c>
      <c r="G235" s="35">
        <f t="shared" si="7"/>
        <v>3.0018858854954811E-2</v>
      </c>
      <c r="H235" s="35"/>
    </row>
    <row r="236" spans="3:8">
      <c r="C236" s="33">
        <v>39141</v>
      </c>
      <c r="D236" s="34">
        <v>15.035330772399901</v>
      </c>
      <c r="E236" s="35">
        <f t="shared" si="6"/>
        <v>7.8682508822029762E-2</v>
      </c>
      <c r="F236" s="34">
        <v>6715.43994140625</v>
      </c>
      <c r="G236" s="35">
        <f t="shared" si="7"/>
        <v>-1.0851190120437115E-2</v>
      </c>
      <c r="H236" s="35"/>
    </row>
    <row r="237" spans="3:8">
      <c r="C237" s="33">
        <v>39113</v>
      </c>
      <c r="D237" s="34">
        <v>13.938606262206999</v>
      </c>
      <c r="E237" s="35">
        <f t="shared" si="6"/>
        <v>1.837603181058034E-2</v>
      </c>
      <c r="F237" s="34">
        <v>6789.10986328125</v>
      </c>
      <c r="G237" s="35">
        <f t="shared" si="7"/>
        <v>2.9133283969229318E-2</v>
      </c>
      <c r="H237" s="35"/>
    </row>
    <row r="238" spans="3:8">
      <c r="C238" s="33">
        <v>39082</v>
      </c>
      <c r="D238" s="34">
        <v>13.6870918273925</v>
      </c>
      <c r="E238" s="35">
        <f t="shared" si="6"/>
        <v>6.7518045662420478E-2</v>
      </c>
      <c r="F238" s="34">
        <v>6596.919921875</v>
      </c>
      <c r="G238" s="35">
        <f t="shared" si="7"/>
        <v>4.5604900651416758E-2</v>
      </c>
      <c r="H238" s="35"/>
    </row>
    <row r="239" spans="3:8">
      <c r="C239" s="33">
        <v>39051</v>
      </c>
      <c r="D239" s="34">
        <v>12.8214149475097</v>
      </c>
      <c r="E239" s="35">
        <f t="shared" si="6"/>
        <v>-1.9239260928637703E-2</v>
      </c>
      <c r="F239" s="34">
        <v>6309.18994140625</v>
      </c>
      <c r="G239" s="35">
        <f t="shared" si="7"/>
        <v>6.4237572074785643E-3</v>
      </c>
      <c r="H239" s="35"/>
    </row>
    <row r="240" spans="3:8">
      <c r="C240" s="33">
        <v>39021</v>
      </c>
      <c r="D240" s="34">
        <v>13.072928428649901</v>
      </c>
      <c r="E240" s="35">
        <f t="shared" si="6"/>
        <v>0.13422981444680304</v>
      </c>
      <c r="F240" s="34">
        <v>6268.919921875</v>
      </c>
      <c r="G240" s="35">
        <f t="shared" si="7"/>
        <v>4.4066505389827704E-2</v>
      </c>
      <c r="H240" s="35"/>
    </row>
    <row r="241" spans="3:8">
      <c r="C241" s="33">
        <v>38990</v>
      </c>
      <c r="D241" s="34">
        <v>11.525819778442299</v>
      </c>
      <c r="E241" s="35">
        <f t="shared" si="6"/>
        <v>-4.3446622497056886E-2</v>
      </c>
      <c r="F241" s="34">
        <v>6004.330078125</v>
      </c>
      <c r="G241" s="35">
        <f t="shared" si="7"/>
        <v>2.4704928561125383E-2</v>
      </c>
      <c r="H241" s="35"/>
    </row>
    <row r="242" spans="3:8">
      <c r="C242" s="33">
        <v>38960</v>
      </c>
      <c r="D242" s="34">
        <v>12.049322128295801</v>
      </c>
      <c r="E242" s="35">
        <f t="shared" si="6"/>
        <v>1.9549537154525343E-2</v>
      </c>
      <c r="F242" s="34">
        <v>5859.56982421875</v>
      </c>
      <c r="G242" s="35">
        <f t="shared" si="7"/>
        <v>3.1256694889218783E-2</v>
      </c>
      <c r="H242" s="35"/>
    </row>
    <row r="243" spans="3:8">
      <c r="C243" s="33">
        <v>38929</v>
      </c>
      <c r="D243" s="34">
        <v>11.818280220031699</v>
      </c>
      <c r="E243" s="35">
        <f t="shared" si="6"/>
        <v>4.6078431455311986E-2</v>
      </c>
      <c r="F243" s="34">
        <v>5681.97021484375</v>
      </c>
      <c r="G243" s="35">
        <f t="shared" si="7"/>
        <v>-2.3575059889158201E-4</v>
      </c>
      <c r="H243" s="35"/>
    </row>
    <row r="244" spans="3:8">
      <c r="C244" s="33">
        <v>38898</v>
      </c>
      <c r="D244" s="34">
        <v>11.297699928283601</v>
      </c>
      <c r="E244" s="35">
        <f t="shared" si="6"/>
        <v>-5.7805120024994605E-2</v>
      </c>
      <c r="F244" s="34">
        <v>5683.31005859375</v>
      </c>
      <c r="G244" s="35">
        <f t="shared" si="7"/>
        <v>-1.6775056679501077E-3</v>
      </c>
      <c r="H244" s="35"/>
    </row>
    <row r="245" spans="3:8">
      <c r="C245" s="33">
        <v>38868</v>
      </c>
      <c r="D245" s="34">
        <v>11.990831375121999</v>
      </c>
      <c r="E245" s="35">
        <f t="shared" si="6"/>
        <v>-5.6603569725083847E-2</v>
      </c>
      <c r="F245" s="34">
        <v>5692.85986328125</v>
      </c>
      <c r="G245" s="35">
        <f t="shared" si="7"/>
        <v>-5.2751425770753091E-2</v>
      </c>
      <c r="H245" s="35"/>
    </row>
    <row r="246" spans="3:8">
      <c r="C246" s="33">
        <v>38837</v>
      </c>
      <c r="D246" s="34">
        <v>12.710278511047299</v>
      </c>
      <c r="E246" s="35">
        <f t="shared" si="6"/>
        <v>-4.688976977652759E-2</v>
      </c>
      <c r="F246" s="34">
        <v>6009.89013671875</v>
      </c>
      <c r="G246" s="35">
        <f t="shared" si="7"/>
        <v>6.6682620790328162E-3</v>
      </c>
      <c r="H246" s="35"/>
    </row>
    <row r="247" spans="3:8">
      <c r="C247" s="33">
        <v>38807</v>
      </c>
      <c r="D247" s="34">
        <v>13.3355808258056</v>
      </c>
      <c r="E247" s="35">
        <f t="shared" si="6"/>
        <v>1.9354688211318472E-2</v>
      </c>
      <c r="F247" s="34">
        <v>5970.080078125</v>
      </c>
      <c r="G247" s="35">
        <f t="shared" si="7"/>
        <v>3.0027404553721881E-2</v>
      </c>
      <c r="H247" s="35"/>
    </row>
    <row r="248" spans="3:8">
      <c r="C248" s="33">
        <v>38776</v>
      </c>
      <c r="D248" s="34">
        <v>13.0823755264282</v>
      </c>
      <c r="E248" s="35">
        <f t="shared" si="6"/>
        <v>-1.6081396217046628E-2</v>
      </c>
      <c r="F248" s="34">
        <v>5796.0400390625</v>
      </c>
      <c r="G248" s="35">
        <f t="shared" si="7"/>
        <v>2.1481656074754385E-2</v>
      </c>
      <c r="H248" s="35"/>
    </row>
    <row r="249" spans="3:8">
      <c r="C249" s="33">
        <v>38748</v>
      </c>
      <c r="D249" s="34">
        <v>13.296196937561</v>
      </c>
      <c r="E249" s="35">
        <f t="shared" si="6"/>
        <v>9.5503399327209859E-2</v>
      </c>
      <c r="F249" s="34">
        <v>5674.14990234375</v>
      </c>
      <c r="G249" s="35">
        <f t="shared" si="7"/>
        <v>4.9163714067277819E-2</v>
      </c>
      <c r="H249" s="35"/>
    </row>
    <row r="250" spans="3:8">
      <c r="C250" s="33">
        <v>38717</v>
      </c>
      <c r="D250" s="34">
        <v>12.137065887451101</v>
      </c>
      <c r="E250" s="35">
        <f t="shared" si="6"/>
        <v>4.6573796946174362E-3</v>
      </c>
      <c r="F250" s="34">
        <v>5408.259765625</v>
      </c>
      <c r="G250" s="35">
        <f t="shared" si="7"/>
        <v>4.1371715508425444E-2</v>
      </c>
      <c r="H250" s="35"/>
    </row>
    <row r="251" spans="3:8">
      <c r="C251" s="33">
        <v>38686</v>
      </c>
      <c r="D251" s="34">
        <v>12.0808010101318</v>
      </c>
      <c r="E251" s="35">
        <f t="shared" si="6"/>
        <v>2.7518624104486245E-2</v>
      </c>
      <c r="F251" s="34">
        <v>5193.39990234375</v>
      </c>
      <c r="G251" s="35">
        <f t="shared" si="7"/>
        <v>5.3626766824488303E-2</v>
      </c>
      <c r="H251" s="35"/>
    </row>
    <row r="252" spans="3:8">
      <c r="C252" s="33">
        <v>38656</v>
      </c>
      <c r="D252" s="34">
        <v>11.7572574615478</v>
      </c>
      <c r="E252" s="35">
        <f t="shared" si="6"/>
        <v>-5.3239950390312152E-2</v>
      </c>
      <c r="F252" s="34">
        <v>4929.06982421875</v>
      </c>
      <c r="G252" s="35">
        <f t="shared" si="7"/>
        <v>-2.2808793267377614E-2</v>
      </c>
      <c r="H252" s="35"/>
    </row>
    <row r="253" spans="3:8">
      <c r="C253" s="33">
        <v>38625</v>
      </c>
      <c r="D253" s="34">
        <v>12.418413162231399</v>
      </c>
      <c r="E253" s="35">
        <f t="shared" si="6"/>
        <v>5.8513761861651803E-2</v>
      </c>
      <c r="F253" s="34">
        <v>5044.1201171875</v>
      </c>
      <c r="G253" s="35">
        <f t="shared" si="7"/>
        <v>4.439833164917717E-2</v>
      </c>
      <c r="H253" s="35"/>
    </row>
    <row r="254" spans="3:8">
      <c r="C254" s="33">
        <v>38595</v>
      </c>
      <c r="D254" s="34">
        <v>11.73193359375</v>
      </c>
      <c r="E254" s="35">
        <f t="shared" si="6"/>
        <v>3.9381478906727496E-2</v>
      </c>
      <c r="F254" s="34">
        <v>4829.68994140625</v>
      </c>
      <c r="G254" s="35">
        <f t="shared" si="7"/>
        <v>-1.1625920105136633E-2</v>
      </c>
      <c r="H254" s="35"/>
    </row>
    <row r="255" spans="3:8">
      <c r="C255" s="33">
        <v>38564</v>
      </c>
      <c r="D255" s="34">
        <v>11.2874183654785</v>
      </c>
      <c r="E255" s="35">
        <f t="shared" si="6"/>
        <v>0.19475896451603814</v>
      </c>
      <c r="F255" s="34">
        <v>4886.5</v>
      </c>
      <c r="G255" s="35">
        <f t="shared" si="7"/>
        <v>6.5460510240877401E-2</v>
      </c>
      <c r="H255" s="35"/>
    </row>
    <row r="256" spans="3:8">
      <c r="C256" s="33">
        <v>38533</v>
      </c>
      <c r="D256" s="34">
        <v>9.4474439620971609</v>
      </c>
      <c r="E256" s="35">
        <f t="shared" si="6"/>
        <v>2.9745091816612002E-2</v>
      </c>
      <c r="F256" s="34">
        <v>4586.27978515625</v>
      </c>
      <c r="G256" s="35">
        <f t="shared" si="7"/>
        <v>2.8168645604939924E-2</v>
      </c>
      <c r="H256" s="35"/>
    </row>
    <row r="257" spans="3:8">
      <c r="C257" s="33">
        <v>38503</v>
      </c>
      <c r="D257" s="34">
        <v>9.1745462417602504</v>
      </c>
      <c r="E257" s="35">
        <f t="shared" si="6"/>
        <v>7.4464945951789874E-2</v>
      </c>
      <c r="F257" s="34">
        <v>4460.6298828125</v>
      </c>
      <c r="G257" s="35">
        <f t="shared" si="7"/>
        <v>6.5902172928884895E-2</v>
      </c>
      <c r="H257" s="35"/>
    </row>
    <row r="258" spans="3:8">
      <c r="C258" s="33">
        <v>38472</v>
      </c>
      <c r="D258" s="34">
        <v>8.5387115478515607</v>
      </c>
      <c r="E258" s="35">
        <f t="shared" si="6"/>
        <v>-7.2707551547990357E-2</v>
      </c>
      <c r="F258" s="34">
        <v>4184.83984375</v>
      </c>
      <c r="G258" s="35">
        <f t="shared" si="7"/>
        <v>-3.7695756511612388E-2</v>
      </c>
      <c r="H258" s="35"/>
    </row>
    <row r="259" spans="3:8">
      <c r="C259" s="33">
        <v>38442</v>
      </c>
      <c r="D259" s="34">
        <v>9.2082185745239205</v>
      </c>
      <c r="E259" s="35">
        <f t="shared" si="6"/>
        <v>-1.3146575403369054E-2</v>
      </c>
      <c r="F259" s="34">
        <v>4348.77001953125</v>
      </c>
      <c r="G259" s="35">
        <f t="shared" si="7"/>
        <v>-3.954071268009729E-4</v>
      </c>
      <c r="H259" s="35"/>
    </row>
    <row r="260" spans="3:8">
      <c r="C260" s="33">
        <v>38411</v>
      </c>
      <c r="D260" s="34">
        <v>9.33088779449462</v>
      </c>
      <c r="E260" s="35">
        <f t="shared" si="6"/>
        <v>3.1533654609694484E-3</v>
      </c>
      <c r="F260" s="34">
        <v>4350.490234375</v>
      </c>
      <c r="G260" s="35">
        <f t="shared" si="7"/>
        <v>2.2477909802611551E-2</v>
      </c>
      <c r="H260" s="35"/>
    </row>
    <row r="261" spans="3:8">
      <c r="C261" s="33">
        <v>38383</v>
      </c>
      <c r="D261" s="34">
        <v>9.3015565872192294</v>
      </c>
      <c r="E261" s="35">
        <f t="shared" si="6"/>
        <v>-1.0776958929357261E-2</v>
      </c>
      <c r="F261" s="34">
        <v>4254.85009765625</v>
      </c>
      <c r="G261" s="35">
        <f t="shared" si="7"/>
        <v>-2.8899373277113671E-4</v>
      </c>
      <c r="H261" s="35"/>
    </row>
    <row r="262" spans="3:8">
      <c r="C262" s="33">
        <v>38352</v>
      </c>
      <c r="D262" s="34">
        <v>9.4028911590576101</v>
      </c>
      <c r="E262" s="35">
        <f t="shared" ref="E262:E325" si="8">D262/D263-1</f>
        <v>4.7845648707229849E-2</v>
      </c>
      <c r="F262" s="34">
        <v>4256.080078125</v>
      </c>
      <c r="G262" s="35">
        <f t="shared" ref="G262:G325" si="9">F262/F263-1</f>
        <v>3.1526921503877814E-2</v>
      </c>
      <c r="H262" s="35"/>
    </row>
    <row r="263" spans="3:8">
      <c r="C263" s="33">
        <v>38321</v>
      </c>
      <c r="D263" s="34">
        <v>8.9735460281371999</v>
      </c>
      <c r="E263" s="35">
        <f t="shared" si="8"/>
        <v>3.9221494356119768E-2</v>
      </c>
      <c r="F263" s="34">
        <v>4126</v>
      </c>
      <c r="G263" s="35">
        <f t="shared" si="9"/>
        <v>4.1853418344801385E-2</v>
      </c>
      <c r="H263" s="35"/>
    </row>
    <row r="264" spans="3:8">
      <c r="C264" s="33">
        <v>38291</v>
      </c>
      <c r="D264" s="34">
        <v>8.6348733901977504</v>
      </c>
      <c r="E264" s="35">
        <f t="shared" si="8"/>
        <v>-2.4698678768850346E-2</v>
      </c>
      <c r="F264" s="34">
        <v>3960.25</v>
      </c>
      <c r="G264" s="35">
        <f t="shared" si="9"/>
        <v>1.7300752484208815E-2</v>
      </c>
      <c r="H264" s="35"/>
    </row>
    <row r="265" spans="3:8">
      <c r="C265" s="33">
        <v>38260</v>
      </c>
      <c r="D265" s="34">
        <v>8.8535442352294904</v>
      </c>
      <c r="E265" s="35">
        <f t="shared" si="8"/>
        <v>-2.7533653039873762E-2</v>
      </c>
      <c r="F265" s="34">
        <v>3892.89990234375</v>
      </c>
      <c r="G265" s="35">
        <f t="shared" si="9"/>
        <v>2.8450189690290673E-2</v>
      </c>
      <c r="H265" s="35"/>
    </row>
    <row r="266" spans="3:8">
      <c r="C266" s="33">
        <v>38230</v>
      </c>
      <c r="D266" s="34">
        <v>9.1042165756225497</v>
      </c>
      <c r="E266" s="35">
        <f t="shared" si="8"/>
        <v>-8.0032606858387867E-2</v>
      </c>
      <c r="F266" s="34">
        <v>3785.2099609375</v>
      </c>
      <c r="G266" s="35">
        <f t="shared" si="9"/>
        <v>-2.8339629336631256E-2</v>
      </c>
      <c r="H266" s="35"/>
    </row>
    <row r="267" spans="3:8">
      <c r="C267" s="33">
        <v>38199</v>
      </c>
      <c r="D267" s="34">
        <v>9.8962383270263601</v>
      </c>
      <c r="E267" s="35">
        <f t="shared" si="8"/>
        <v>-3.3593675204942719E-2</v>
      </c>
      <c r="F267" s="34">
        <v>3895.61010742187</v>
      </c>
      <c r="G267" s="35">
        <f t="shared" si="9"/>
        <v>-3.8768897460251472E-2</v>
      </c>
      <c r="H267" s="35"/>
    </row>
    <row r="268" spans="3:8">
      <c r="C268" s="33">
        <v>38168</v>
      </c>
      <c r="D268" s="34">
        <v>10.240245819091699</v>
      </c>
      <c r="E268" s="35">
        <f t="shared" si="8"/>
        <v>4.7463385231052868E-2</v>
      </c>
      <c r="F268" s="34">
        <v>4052.72998046875</v>
      </c>
      <c r="G268" s="35">
        <f t="shared" si="9"/>
        <v>3.3487972770676722E-2</v>
      </c>
      <c r="H268" s="35"/>
    </row>
    <row r="269" spans="3:8">
      <c r="C269" s="33">
        <v>38138</v>
      </c>
      <c r="D269" s="34">
        <v>9.7762327194213796</v>
      </c>
      <c r="E269" s="35">
        <f t="shared" si="8"/>
        <v>-1.9523969343252068E-2</v>
      </c>
      <c r="F269" s="34">
        <v>3921.40991210937</v>
      </c>
      <c r="G269" s="35">
        <f t="shared" si="9"/>
        <v>-1.6009206404051346E-2</v>
      </c>
      <c r="H269" s="35"/>
    </row>
    <row r="270" spans="3:8">
      <c r="C270" s="33">
        <v>38107</v>
      </c>
      <c r="D270" s="34">
        <v>9.9709043502807599</v>
      </c>
      <c r="E270" s="35">
        <f t="shared" si="8"/>
        <v>0.15945423232221345</v>
      </c>
      <c r="F270" s="34">
        <v>3985.2099609375</v>
      </c>
      <c r="G270" s="35">
        <f t="shared" si="9"/>
        <v>3.332123613261162E-2</v>
      </c>
      <c r="H270" s="35"/>
    </row>
    <row r="271" spans="3:8">
      <c r="C271" s="33">
        <v>38077</v>
      </c>
      <c r="D271" s="34">
        <v>8.5996532440185494</v>
      </c>
      <c r="E271" s="35">
        <f t="shared" si="8"/>
        <v>-6.0027623589502865E-2</v>
      </c>
      <c r="F271" s="34">
        <v>3856.69995117187</v>
      </c>
      <c r="G271" s="35">
        <f t="shared" si="9"/>
        <v>-4.0182562284520995E-2</v>
      </c>
      <c r="H271" s="35"/>
    </row>
    <row r="272" spans="3:8">
      <c r="C272" s="33">
        <v>38046</v>
      </c>
      <c r="D272" s="34">
        <v>9.1488361358642507</v>
      </c>
      <c r="E272" s="35">
        <f t="shared" si="8"/>
        <v>-5.4902125365597021E-2</v>
      </c>
      <c r="F272" s="34">
        <v>4018.15991210937</v>
      </c>
      <c r="G272" s="35">
        <f t="shared" si="9"/>
        <v>-9.9640724816010273E-3</v>
      </c>
      <c r="H272" s="35"/>
    </row>
    <row r="273" spans="3:8">
      <c r="C273" s="33">
        <v>38017</v>
      </c>
      <c r="D273" s="34">
        <v>9.6803054809570295</v>
      </c>
      <c r="E273" s="35">
        <f t="shared" si="8"/>
        <v>3.3783798234797713E-2</v>
      </c>
      <c r="F273" s="34">
        <v>4058.60009765625</v>
      </c>
      <c r="G273" s="35">
        <f t="shared" si="9"/>
        <v>2.3565300673377365E-2</v>
      </c>
      <c r="H273" s="35"/>
    </row>
    <row r="274" spans="3:8">
      <c r="C274" s="33">
        <v>37986</v>
      </c>
      <c r="D274" s="34">
        <v>9.3639554977416992</v>
      </c>
      <c r="E274" s="35">
        <f t="shared" si="8"/>
        <v>0.16425444129934164</v>
      </c>
      <c r="F274" s="34">
        <v>3965.15991210937</v>
      </c>
      <c r="G274" s="35">
        <f t="shared" si="9"/>
        <v>5.8519191071659371E-2</v>
      </c>
      <c r="H274" s="35"/>
    </row>
    <row r="275" spans="3:8">
      <c r="C275" s="33">
        <v>37955</v>
      </c>
      <c r="D275" s="34">
        <v>8.0428771972656197</v>
      </c>
      <c r="E275" s="35">
        <f t="shared" si="8"/>
        <v>-9.6604736940063551E-3</v>
      </c>
      <c r="F275" s="34">
        <v>3745.94995117187</v>
      </c>
      <c r="G275" s="35">
        <f t="shared" si="9"/>
        <v>2.4606183599461318E-2</v>
      </c>
      <c r="H275" s="35"/>
    </row>
    <row r="276" spans="3:8">
      <c r="C276" s="33">
        <v>37925</v>
      </c>
      <c r="D276" s="34">
        <v>8.1213331222534109</v>
      </c>
      <c r="E276" s="35">
        <f t="shared" si="8"/>
        <v>6.4698237031348915E-2</v>
      </c>
      <c r="F276" s="34">
        <v>3655.98999023437</v>
      </c>
      <c r="G276" s="35">
        <f t="shared" si="9"/>
        <v>0.12257811622103576</v>
      </c>
      <c r="H276" s="35"/>
    </row>
    <row r="277" spans="3:8">
      <c r="C277" s="33">
        <v>37894</v>
      </c>
      <c r="D277" s="34">
        <v>7.6278262138366699</v>
      </c>
      <c r="E277" s="35">
        <f t="shared" si="8"/>
        <v>-0.13116175065624269</v>
      </c>
      <c r="F277" s="34">
        <v>3256.78002929687</v>
      </c>
      <c r="G277" s="35">
        <f t="shared" si="9"/>
        <v>-6.537374481883218E-2</v>
      </c>
      <c r="H277" s="35"/>
    </row>
    <row r="278" spans="3:8">
      <c r="C278" s="33">
        <v>37864</v>
      </c>
      <c r="D278" s="34">
        <v>8.7793397903442294</v>
      </c>
      <c r="E278" s="35">
        <f t="shared" si="8"/>
        <v>8.102200195283249E-2</v>
      </c>
      <c r="F278" s="34">
        <v>3484.580078125</v>
      </c>
      <c r="G278" s="35">
        <f t="shared" si="9"/>
        <v>-9.4041308878478613E-4</v>
      </c>
      <c r="H278" s="35"/>
    </row>
    <row r="279" spans="3:8">
      <c r="C279" s="33">
        <v>37833</v>
      </c>
      <c r="D279" s="34">
        <v>8.1213331222534109</v>
      </c>
      <c r="E279" s="35">
        <f t="shared" si="8"/>
        <v>5.5592015945251649E-2</v>
      </c>
      <c r="F279" s="34">
        <v>3487.86010742187</v>
      </c>
      <c r="G279" s="35">
        <f t="shared" si="9"/>
        <v>8.2991269526972555E-2</v>
      </c>
      <c r="H279" s="35"/>
    </row>
    <row r="280" spans="3:8">
      <c r="C280" s="33">
        <v>37802</v>
      </c>
      <c r="D280" s="34">
        <v>7.6936287879943803</v>
      </c>
      <c r="E280" s="35">
        <f t="shared" si="8"/>
        <v>0.13644871227508548</v>
      </c>
      <c r="F280" s="34">
        <v>3220.580078125</v>
      </c>
      <c r="G280" s="35">
        <f t="shared" si="9"/>
        <v>7.9760534799831362E-2</v>
      </c>
      <c r="H280" s="35"/>
    </row>
    <row r="281" spans="3:8">
      <c r="C281" s="33">
        <v>37772</v>
      </c>
      <c r="D281" s="34">
        <v>6.7698864936828604</v>
      </c>
      <c r="E281" s="35">
        <f t="shared" si="8"/>
        <v>-7.4394346023443636E-2</v>
      </c>
      <c r="F281" s="34">
        <v>2982.67993164062</v>
      </c>
      <c r="G281" s="35">
        <f t="shared" si="9"/>
        <v>1.3813507647254974E-2</v>
      </c>
      <c r="H281" s="35"/>
    </row>
    <row r="282" spans="3:8">
      <c r="C282" s="33">
        <v>37741</v>
      </c>
      <c r="D282" s="34">
        <v>7.3140072822570801</v>
      </c>
      <c r="E282" s="35">
        <f t="shared" si="8"/>
        <v>0.1463668030575398</v>
      </c>
      <c r="F282" s="34">
        <v>2942.0400390625</v>
      </c>
      <c r="G282" s="35">
        <f t="shared" si="9"/>
        <v>0.21377792407303176</v>
      </c>
      <c r="H282" s="35"/>
    </row>
    <row r="283" spans="3:8">
      <c r="C283" s="33">
        <v>37711</v>
      </c>
      <c r="D283" s="34">
        <v>6.3801631927490199</v>
      </c>
      <c r="E283" s="35">
        <f t="shared" si="8"/>
        <v>-5.6690215267857225E-2</v>
      </c>
      <c r="F283" s="34">
        <v>2423.8701171875</v>
      </c>
      <c r="G283" s="35">
        <f t="shared" si="9"/>
        <v>-4.8361802586994407E-2</v>
      </c>
      <c r="H283" s="35"/>
    </row>
    <row r="284" spans="3:8">
      <c r="C284" s="33">
        <v>37680</v>
      </c>
      <c r="D284" s="34">
        <v>6.7635927200317303</v>
      </c>
      <c r="E284" s="35">
        <f t="shared" si="8"/>
        <v>-2.8089380119304952E-3</v>
      </c>
      <c r="F284" s="34">
        <v>2547.05004882812</v>
      </c>
      <c r="G284" s="35">
        <f t="shared" si="9"/>
        <v>-7.3068575417110093E-2</v>
      </c>
      <c r="H284" s="35"/>
    </row>
    <row r="285" spans="3:8">
      <c r="C285" s="33">
        <v>37652</v>
      </c>
      <c r="D285" s="34">
        <v>6.7826447486877397</v>
      </c>
      <c r="E285" s="35">
        <f t="shared" si="8"/>
        <v>-2.9642217227862089E-2</v>
      </c>
      <c r="F285" s="34">
        <v>2747.830078125</v>
      </c>
      <c r="G285" s="35">
        <f t="shared" si="9"/>
        <v>-5.0058185994646287E-2</v>
      </c>
      <c r="H285" s="35"/>
    </row>
    <row r="286" spans="3:8">
      <c r="C286" s="33">
        <v>37621</v>
      </c>
      <c r="D286" s="34">
        <v>6.9898390769958496</v>
      </c>
      <c r="E286" s="35">
        <f t="shared" si="8"/>
        <v>-0.19896296785273504</v>
      </c>
      <c r="F286" s="34">
        <v>2892.6298828125</v>
      </c>
      <c r="G286" s="35">
        <f t="shared" si="9"/>
        <v>-0.12880992697737104</v>
      </c>
      <c r="H286" s="35"/>
    </row>
    <row r="287" spans="3:8">
      <c r="C287" s="33">
        <v>37590</v>
      </c>
      <c r="D287" s="34">
        <v>8.7259874343871999</v>
      </c>
      <c r="E287" s="35">
        <f t="shared" si="8"/>
        <v>5.4388610678433924E-2</v>
      </c>
      <c r="F287" s="34">
        <v>3320.32006835937</v>
      </c>
      <c r="G287" s="35">
        <f t="shared" si="9"/>
        <v>5.3117010170452783E-2</v>
      </c>
      <c r="H287" s="35"/>
    </row>
    <row r="288" spans="3:8">
      <c r="C288" s="33">
        <v>37560</v>
      </c>
      <c r="D288" s="34">
        <v>8.2758741378784109</v>
      </c>
      <c r="E288" s="35">
        <f t="shared" si="8"/>
        <v>2.5073532712311941E-2</v>
      </c>
      <c r="F288" s="34">
        <v>3152.85009765625</v>
      </c>
      <c r="G288" s="35">
        <f t="shared" si="9"/>
        <v>0.13861173923666037</v>
      </c>
      <c r="H288" s="35"/>
    </row>
    <row r="289" spans="3:8">
      <c r="C289" s="33">
        <v>37529</v>
      </c>
      <c r="D289" s="34">
        <v>8.0734443664550692</v>
      </c>
      <c r="E289" s="35">
        <f t="shared" si="8"/>
        <v>-0.23076909097649223</v>
      </c>
      <c r="F289" s="34">
        <v>2769.03002929687</v>
      </c>
      <c r="G289" s="35">
        <f t="shared" si="9"/>
        <v>-0.25422170221042706</v>
      </c>
      <c r="H289" s="35"/>
    </row>
    <row r="290" spans="3:8">
      <c r="C290" s="33">
        <v>37499</v>
      </c>
      <c r="D290" s="34">
        <v>10.495475769042899</v>
      </c>
      <c r="E290" s="35">
        <f t="shared" si="8"/>
        <v>4.7879723126269536E-3</v>
      </c>
      <c r="F290" s="34">
        <v>3712.93994140625</v>
      </c>
      <c r="G290" s="35">
        <f t="shared" si="9"/>
        <v>3.4593418626698291E-3</v>
      </c>
      <c r="H290" s="35"/>
    </row>
    <row r="291" spans="3:8">
      <c r="C291" s="33">
        <v>37468</v>
      </c>
      <c r="D291" s="34">
        <v>10.4454631805419</v>
      </c>
      <c r="E291" s="35">
        <f t="shared" si="8"/>
        <v>-0.10744826814017039</v>
      </c>
      <c r="F291" s="34">
        <v>3700.13989257812</v>
      </c>
      <c r="G291" s="35">
        <f t="shared" si="9"/>
        <v>-0.15571267863801985</v>
      </c>
      <c r="H291" s="35"/>
    </row>
    <row r="292" spans="3:8">
      <c r="C292" s="33">
        <v>37437</v>
      </c>
      <c r="D292" s="34">
        <v>11.7029218673706</v>
      </c>
      <c r="E292" s="35">
        <f t="shared" si="8"/>
        <v>-6.4712512769173447E-2</v>
      </c>
      <c r="F292" s="34">
        <v>4382.56005859375</v>
      </c>
      <c r="G292" s="35">
        <f t="shared" si="9"/>
        <v>-9.0434336541250326E-2</v>
      </c>
      <c r="H292" s="35"/>
    </row>
    <row r="293" spans="3:8">
      <c r="C293" s="33">
        <v>37407</v>
      </c>
      <c r="D293" s="34">
        <v>12.512646675109799</v>
      </c>
      <c r="E293" s="35">
        <f t="shared" si="8"/>
        <v>2.0590228907546138E-2</v>
      </c>
      <c r="F293" s="34">
        <v>4818.2998046875</v>
      </c>
      <c r="G293" s="35">
        <f t="shared" si="9"/>
        <v>-4.4215738710845387E-2</v>
      </c>
      <c r="H293" s="35"/>
    </row>
    <row r="294" spans="3:8">
      <c r="C294" s="33">
        <v>37376</v>
      </c>
      <c r="D294" s="34">
        <v>12.2602062225341</v>
      </c>
      <c r="E294" s="35">
        <f t="shared" si="8"/>
        <v>7.6185737633613915E-3</v>
      </c>
      <c r="F294" s="34">
        <v>5041.2001953125</v>
      </c>
      <c r="G294" s="35">
        <f t="shared" si="9"/>
        <v>-6.5975673193922391E-2</v>
      </c>
      <c r="H294" s="35"/>
    </row>
    <row r="295" spans="3:8">
      <c r="C295" s="33">
        <v>37346</v>
      </c>
      <c r="D295" s="34">
        <v>12.167507171630801</v>
      </c>
      <c r="E295" s="35">
        <f t="shared" si="8"/>
        <v>0.1269124791594709</v>
      </c>
      <c r="F295" s="34">
        <v>5397.2900390625</v>
      </c>
      <c r="G295" s="35">
        <f t="shared" si="9"/>
        <v>7.1086379931232901E-2</v>
      </c>
      <c r="H295" s="35"/>
    </row>
    <row r="296" spans="3:8">
      <c r="C296" s="33">
        <v>37315</v>
      </c>
      <c r="D296" s="34">
        <v>10.7972068786621</v>
      </c>
      <c r="E296" s="35">
        <f t="shared" si="8"/>
        <v>-1.1501970283309015E-2</v>
      </c>
      <c r="F296" s="34">
        <v>5039.080078125</v>
      </c>
      <c r="G296" s="35">
        <f t="shared" si="9"/>
        <v>-1.3417192579431858E-2</v>
      </c>
      <c r="H296" s="35"/>
    </row>
    <row r="297" spans="3:8">
      <c r="C297" s="33">
        <v>37287</v>
      </c>
      <c r="D297" s="34">
        <v>10.9228410720825</v>
      </c>
      <c r="E297" s="35">
        <f t="shared" si="8"/>
        <v>-2.8955343284020829E-2</v>
      </c>
      <c r="F297" s="34">
        <v>5107.60986328125</v>
      </c>
      <c r="G297" s="35">
        <f t="shared" si="9"/>
        <v>-1.0172328710995604E-2</v>
      </c>
      <c r="H297" s="35"/>
    </row>
    <row r="298" spans="3:8">
      <c r="C298" s="33">
        <v>37256</v>
      </c>
      <c r="D298" s="34">
        <v>11.248546600341699</v>
      </c>
      <c r="E298" s="35">
        <f t="shared" si="8"/>
        <v>3.8444695460315481E-2</v>
      </c>
      <c r="F298" s="34">
        <v>5160.10009765625</v>
      </c>
      <c r="G298" s="35">
        <f t="shared" si="9"/>
        <v>3.4106814767613125E-2</v>
      </c>
      <c r="H298" s="35"/>
    </row>
    <row r="299" spans="3:8">
      <c r="C299" s="33">
        <v>37225</v>
      </c>
      <c r="D299" s="34">
        <v>10.832109451293899</v>
      </c>
      <c r="E299" s="35">
        <f t="shared" si="8"/>
        <v>0.20154904681975339</v>
      </c>
      <c r="F299" s="34">
        <v>4989.91015625</v>
      </c>
      <c r="G299" s="35">
        <f t="shared" si="9"/>
        <v>9.4487387837205894E-2</v>
      </c>
      <c r="H299" s="35"/>
    </row>
    <row r="300" spans="3:8">
      <c r="C300" s="33">
        <v>37195</v>
      </c>
      <c r="D300" s="34">
        <v>9.0151205062866193</v>
      </c>
      <c r="E300" s="35">
        <f t="shared" si="8"/>
        <v>0.18537781740027892</v>
      </c>
      <c r="F300" s="34">
        <v>4559.1298828125</v>
      </c>
      <c r="G300" s="35">
        <f t="shared" si="9"/>
        <v>5.8257021263863118E-2</v>
      </c>
      <c r="H300" s="35"/>
    </row>
    <row r="301" spans="3:8">
      <c r="C301" s="33">
        <v>37164</v>
      </c>
      <c r="D301" s="34">
        <v>7.6052718162536603</v>
      </c>
      <c r="E301" s="35">
        <f t="shared" si="8"/>
        <v>-0.31824839876494848</v>
      </c>
      <c r="F301" s="34">
        <v>4308.14990234375</v>
      </c>
      <c r="G301" s="35">
        <f t="shared" si="9"/>
        <v>-0.16962050834549602</v>
      </c>
      <c r="H301" s="35"/>
    </row>
    <row r="302" spans="3:8">
      <c r="C302" s="33">
        <v>37134</v>
      </c>
      <c r="D302" s="34">
        <v>11.155488014221101</v>
      </c>
      <c r="E302" s="35">
        <f t="shared" si="8"/>
        <v>-0.15461900867186984</v>
      </c>
      <c r="F302" s="34">
        <v>5188.169921875</v>
      </c>
      <c r="G302" s="35">
        <f t="shared" si="9"/>
        <v>-0.11482651582005809</v>
      </c>
      <c r="H302" s="35"/>
    </row>
    <row r="303" spans="3:8">
      <c r="C303" s="33">
        <v>37103</v>
      </c>
      <c r="D303" s="34">
        <v>13.195811271667401</v>
      </c>
      <c r="E303" s="35">
        <f t="shared" si="8"/>
        <v>4.5529869942827039E-2</v>
      </c>
      <c r="F303" s="34">
        <v>5861.18994140625</v>
      </c>
      <c r="G303" s="35">
        <f t="shared" si="9"/>
        <v>-3.2548295950485695E-2</v>
      </c>
      <c r="H303" s="35"/>
    </row>
    <row r="304" spans="3:8">
      <c r="C304" s="33">
        <v>37072</v>
      </c>
      <c r="D304" s="34">
        <v>12.6211709976196</v>
      </c>
      <c r="E304" s="35">
        <f t="shared" si="8"/>
        <v>5.3741728842291447E-3</v>
      </c>
      <c r="F304" s="34">
        <v>6058.3798828125</v>
      </c>
      <c r="G304" s="35">
        <f t="shared" si="9"/>
        <v>-1.0595644361966361E-2</v>
      </c>
      <c r="H304" s="35"/>
    </row>
    <row r="305" spans="3:8">
      <c r="C305" s="33">
        <v>37042</v>
      </c>
      <c r="D305" s="34">
        <v>12.5537052154541</v>
      </c>
      <c r="E305" s="35">
        <f t="shared" si="8"/>
        <v>-4.3940140482944479E-2</v>
      </c>
      <c r="F305" s="34">
        <v>6123.259765625</v>
      </c>
      <c r="G305" s="35">
        <f t="shared" si="9"/>
        <v>-2.2547654211519608E-2</v>
      </c>
      <c r="H305" s="35"/>
    </row>
    <row r="306" spans="3:8">
      <c r="C306" s="33">
        <v>37011</v>
      </c>
      <c r="D306" s="34">
        <v>13.130668640136699</v>
      </c>
      <c r="E306" s="35">
        <f t="shared" si="8"/>
        <v>0.1743685867561231</v>
      </c>
      <c r="F306" s="34">
        <v>6264.509765625</v>
      </c>
      <c r="G306" s="35">
        <f t="shared" si="9"/>
        <v>7.45391565543565E-2</v>
      </c>
      <c r="H306" s="35"/>
    </row>
    <row r="307" spans="3:8">
      <c r="C307" s="33">
        <v>36981</v>
      </c>
      <c r="D307" s="34">
        <v>11.1810455322265</v>
      </c>
      <c r="E307" s="35">
        <f t="shared" si="8"/>
        <v>-5.0786991345974197E-2</v>
      </c>
      <c r="F307" s="34">
        <v>5829.9501953125</v>
      </c>
      <c r="G307" s="35">
        <f t="shared" si="9"/>
        <v>-6.093353748907937E-2</v>
      </c>
      <c r="H307" s="35"/>
    </row>
    <row r="308" spans="3:8">
      <c r="C308" s="33">
        <v>36950</v>
      </c>
      <c r="D308" s="34">
        <v>11.779279708862299</v>
      </c>
      <c r="E308" s="35">
        <f t="shared" si="8"/>
        <v>4.5249782427751351E-2</v>
      </c>
      <c r="F308" s="34">
        <v>6208.240234375</v>
      </c>
      <c r="G308" s="35">
        <f t="shared" si="9"/>
        <v>-8.6370536962487643E-2</v>
      </c>
      <c r="H308" s="35"/>
    </row>
    <row r="309" spans="3:8">
      <c r="C309" s="33">
        <v>36922</v>
      </c>
      <c r="D309" s="34">
        <v>11.269344329833901</v>
      </c>
      <c r="E309" s="35">
        <f t="shared" si="8"/>
        <v>0.14103688788984026</v>
      </c>
      <c r="F309" s="34">
        <v>6795.14013671875</v>
      </c>
      <c r="G309" s="35">
        <f t="shared" si="9"/>
        <v>5.619400012128084E-2</v>
      </c>
      <c r="H309" s="35"/>
    </row>
    <row r="310" spans="3:8">
      <c r="C310" s="33">
        <v>36891</v>
      </c>
      <c r="D310" s="34">
        <v>9.8764066696166992</v>
      </c>
      <c r="E310" s="35">
        <f t="shared" si="8"/>
        <v>1.658721063893398E-2</v>
      </c>
      <c r="F310" s="34">
        <v>6433.60986328125</v>
      </c>
      <c r="G310" s="35">
        <f t="shared" si="9"/>
        <v>9.6165428351886462E-3</v>
      </c>
      <c r="H310" s="35"/>
    </row>
    <row r="311" spans="3:8">
      <c r="C311" s="33">
        <v>36860</v>
      </c>
      <c r="D311" s="34">
        <v>9.7152576446533203</v>
      </c>
      <c r="E311" s="35">
        <f t="shared" si="8"/>
        <v>-0.15414182292518042</v>
      </c>
      <c r="F311" s="34">
        <v>6372.330078125</v>
      </c>
      <c r="G311" s="35">
        <f t="shared" si="9"/>
        <v>-9.9627813039576019E-2</v>
      </c>
      <c r="H311" s="35"/>
    </row>
    <row r="312" spans="3:8">
      <c r="C312" s="33">
        <v>36830</v>
      </c>
      <c r="D312" s="34">
        <v>11.4856815338134</v>
      </c>
      <c r="E312" s="35">
        <f t="shared" si="8"/>
        <v>2.3406812707686075E-2</v>
      </c>
      <c r="F312" s="34">
        <v>7077.43994140625</v>
      </c>
      <c r="G312" s="35">
        <f t="shared" si="9"/>
        <v>4.1087803599197059E-2</v>
      </c>
      <c r="H312" s="35"/>
    </row>
    <row r="313" spans="3:8">
      <c r="C313" s="33">
        <v>36799</v>
      </c>
      <c r="D313" s="34">
        <v>11.222987174987701</v>
      </c>
      <c r="E313" s="35">
        <f t="shared" si="8"/>
        <v>-0.12193438411313595</v>
      </c>
      <c r="F313" s="34">
        <v>6798.1201171875</v>
      </c>
      <c r="G313" s="35">
        <f t="shared" si="9"/>
        <v>-5.7968955206914585E-2</v>
      </c>
      <c r="H313" s="35"/>
    </row>
    <row r="314" spans="3:8">
      <c r="C314" s="33">
        <v>36769</v>
      </c>
      <c r="D314" s="34">
        <v>12.781490325927701</v>
      </c>
      <c r="E314" s="35">
        <f t="shared" si="8"/>
        <v>1.3832744985402767E-2</v>
      </c>
      <c r="F314" s="34">
        <v>7216.4501953125</v>
      </c>
      <c r="G314" s="35">
        <f t="shared" si="9"/>
        <v>3.627084239051781E-3</v>
      </c>
      <c r="H314" s="35"/>
    </row>
    <row r="315" spans="3:8">
      <c r="C315" s="33">
        <v>36738</v>
      </c>
      <c r="D315" s="34">
        <v>12.607099533081</v>
      </c>
      <c r="E315" s="35">
        <f t="shared" si="8"/>
        <v>4.53966769525882E-2</v>
      </c>
      <c r="F315" s="34">
        <v>7190.3701171875</v>
      </c>
      <c r="G315" s="35">
        <f t="shared" si="9"/>
        <v>4.2353039107886792E-2</v>
      </c>
      <c r="H315" s="35"/>
    </row>
    <row r="316" spans="3:8">
      <c r="C316" s="33">
        <v>36707</v>
      </c>
      <c r="D316" s="34">
        <v>12.059632301330501</v>
      </c>
      <c r="E316" s="35">
        <f t="shared" si="8"/>
        <v>-6.2950348919332821E-2</v>
      </c>
      <c r="F316" s="34">
        <v>6898.2099609375</v>
      </c>
      <c r="G316" s="35">
        <f t="shared" si="9"/>
        <v>-2.9742584854309584E-2</v>
      </c>
      <c r="H316" s="35"/>
    </row>
    <row r="317" spans="3:8">
      <c r="C317" s="33">
        <v>36677</v>
      </c>
      <c r="D317" s="34">
        <v>12.8697900772094</v>
      </c>
      <c r="E317" s="35">
        <f t="shared" si="8"/>
        <v>-9.1192530606950539E-2</v>
      </c>
      <c r="F317" s="34">
        <v>7109.669921875</v>
      </c>
      <c r="G317" s="35">
        <f t="shared" si="9"/>
        <v>-4.1135995980313811E-2</v>
      </c>
      <c r="H317" s="35"/>
    </row>
    <row r="318" spans="3:8">
      <c r="C318" s="33">
        <v>36646</v>
      </c>
      <c r="D318" s="34">
        <v>14.161184310913001</v>
      </c>
      <c r="E318" s="35">
        <f t="shared" si="8"/>
        <v>-1.582160039200009E-2</v>
      </c>
      <c r="F318" s="34">
        <v>7414.68017578125</v>
      </c>
      <c r="G318" s="35">
        <f t="shared" si="9"/>
        <v>-2.4305892659072459E-2</v>
      </c>
      <c r="H318" s="35"/>
    </row>
    <row r="319" spans="3:8">
      <c r="C319" s="33">
        <v>36616</v>
      </c>
      <c r="D319" s="34">
        <v>14.3888387680053</v>
      </c>
      <c r="E319" s="35">
        <f t="shared" si="8"/>
        <v>-2.8285852018274937E-2</v>
      </c>
      <c r="F319" s="34">
        <v>7599.39013671875</v>
      </c>
      <c r="G319" s="35">
        <f t="shared" si="9"/>
        <v>-5.9074332854838207E-3</v>
      </c>
      <c r="H319" s="35"/>
    </row>
    <row r="320" spans="3:8">
      <c r="C320" s="33">
        <v>36585</v>
      </c>
      <c r="D320" s="34">
        <v>14.807686805725</v>
      </c>
      <c r="E320" s="35">
        <f t="shared" si="8"/>
        <v>5.4216963587417455E-2</v>
      </c>
      <c r="F320" s="34">
        <v>7644.5498046875</v>
      </c>
      <c r="G320" s="35">
        <f t="shared" si="9"/>
        <v>0.11834362681758082</v>
      </c>
      <c r="H320" s="35"/>
    </row>
    <row r="321" spans="3:8">
      <c r="C321" s="33">
        <v>36556</v>
      </c>
      <c r="D321" s="34">
        <v>14.0461473464965</v>
      </c>
      <c r="E321" s="35">
        <f t="shared" si="8"/>
        <v>-0.13315904841589099</v>
      </c>
      <c r="F321" s="34">
        <v>6835.60009765625</v>
      </c>
      <c r="G321" s="35">
        <f t="shared" si="9"/>
        <v>-1.7611033502450635E-2</v>
      </c>
      <c r="H321" s="35"/>
    </row>
    <row r="322" spans="3:8">
      <c r="C322" s="33">
        <v>36525</v>
      </c>
      <c r="D322" s="34">
        <v>16.203834533691399</v>
      </c>
      <c r="E322" s="35">
        <f t="shared" si="8"/>
        <v>0.13313594708718424</v>
      </c>
      <c r="F322" s="34">
        <v>6958.14013671875</v>
      </c>
      <c r="G322" s="35">
        <f t="shared" si="9"/>
        <v>0.18013787060800368</v>
      </c>
      <c r="H322" s="35"/>
    </row>
    <row r="323" spans="3:8">
      <c r="C323" s="33">
        <v>36494</v>
      </c>
      <c r="D323" s="34">
        <v>14.299991607666</v>
      </c>
      <c r="E323" s="35">
        <f t="shared" si="8"/>
        <v>-8.0897211233815991E-2</v>
      </c>
      <c r="F323" s="34">
        <v>5896.0400390625</v>
      </c>
      <c r="G323" s="35">
        <f t="shared" si="9"/>
        <v>6.7079332404797132E-2</v>
      </c>
      <c r="H323" s="35"/>
    </row>
    <row r="324" spans="3:8">
      <c r="C324" s="33">
        <v>36464</v>
      </c>
      <c r="D324" s="34">
        <v>15.558642387390099</v>
      </c>
      <c r="E324" s="35">
        <f t="shared" si="8"/>
        <v>0.12461773526390196</v>
      </c>
      <c r="F324" s="34">
        <v>5525.39990234375</v>
      </c>
      <c r="G324" s="35">
        <f t="shared" si="9"/>
        <v>7.29285857050046E-2</v>
      </c>
      <c r="H324" s="35"/>
    </row>
    <row r="325" spans="3:8">
      <c r="C325" s="33">
        <v>36433</v>
      </c>
      <c r="D325" s="34">
        <v>13.834605216979901</v>
      </c>
      <c r="E325" s="35">
        <f t="shared" si="8"/>
        <v>-0.11008310353306361</v>
      </c>
      <c r="F325" s="34">
        <v>5149.830078125</v>
      </c>
      <c r="G325" s="35">
        <f t="shared" si="9"/>
        <v>-2.2945402845902518E-2</v>
      </c>
      <c r="H325" s="35"/>
    </row>
    <row r="326" spans="3:8">
      <c r="C326" s="33">
        <v>36403</v>
      </c>
      <c r="D326" s="34">
        <v>15.545951843261699</v>
      </c>
      <c r="E326" s="35">
        <f t="shared" ref="E326:E359" si="10">D326/D327-1</f>
        <v>-6.891882942834382E-3</v>
      </c>
      <c r="F326" s="34">
        <v>5270.77001953125</v>
      </c>
      <c r="G326" s="35">
        <f t="shared" ref="G326:G359" si="11">F326/F327-1</f>
        <v>3.3105488470737354E-2</v>
      </c>
      <c r="H326" s="35"/>
    </row>
    <row r="327" spans="3:8">
      <c r="C327" s="33">
        <v>36372</v>
      </c>
      <c r="D327" s="34">
        <v>15.653836250305099</v>
      </c>
      <c r="E327" s="35">
        <f t="shared" si="10"/>
        <v>-0.12971894261795214</v>
      </c>
      <c r="F327" s="34">
        <v>5101.8701171875</v>
      </c>
      <c r="G327" s="35">
        <f t="shared" si="11"/>
        <v>-5.1436064445077756E-2</v>
      </c>
      <c r="H327" s="35"/>
    </row>
    <row r="328" spans="3:8">
      <c r="C328" s="33">
        <v>36341</v>
      </c>
      <c r="D328" s="34">
        <v>17.987104415893501</v>
      </c>
      <c r="E328" s="35">
        <f t="shared" si="10"/>
        <v>2.322497147196545E-2</v>
      </c>
      <c r="F328" s="34">
        <v>5378.52001953125</v>
      </c>
      <c r="G328" s="35">
        <f t="shared" si="11"/>
        <v>6.1147219509864348E-2</v>
      </c>
      <c r="H328" s="35"/>
    </row>
    <row r="329" spans="3:8">
      <c r="C329" s="33">
        <v>36311</v>
      </c>
      <c r="D329" s="34">
        <v>17.57883644104</v>
      </c>
      <c r="E329" s="35">
        <f t="shared" si="10"/>
        <v>-7.1810237188408177E-2</v>
      </c>
      <c r="F329" s="34">
        <v>5068.58984375</v>
      </c>
      <c r="G329" s="35">
        <f t="shared" si="11"/>
        <v>-5.4445176300153886E-2</v>
      </c>
      <c r="H329" s="35"/>
    </row>
    <row r="330" spans="3:8">
      <c r="C330" s="33">
        <v>36280</v>
      </c>
      <c r="D330" s="34">
        <v>18.938838958740199</v>
      </c>
      <c r="E330" s="35">
        <f t="shared" si="10"/>
        <v>0.14897575932690144</v>
      </c>
      <c r="F330" s="34">
        <v>5360.43994140625</v>
      </c>
      <c r="G330" s="35">
        <f t="shared" si="11"/>
        <v>0.10177645226003462</v>
      </c>
      <c r="H330" s="35"/>
    </row>
    <row r="331" spans="3:8">
      <c r="C331" s="33">
        <v>36250</v>
      </c>
      <c r="D331" s="34">
        <v>16.4832363128662</v>
      </c>
      <c r="E331" s="35">
        <f t="shared" si="10"/>
        <v>-7.4137954678201057E-2</v>
      </c>
      <c r="F331" s="34">
        <v>4865.27001953125</v>
      </c>
      <c r="G331" s="35">
        <f t="shared" si="11"/>
        <v>-7.8895304436485958E-3</v>
      </c>
      <c r="H331" s="35"/>
    </row>
    <row r="332" spans="3:8">
      <c r="C332" s="33">
        <v>36219</v>
      </c>
      <c r="D332" s="34">
        <v>17.803123474121001</v>
      </c>
      <c r="E332" s="35">
        <f t="shared" si="10"/>
        <v>-5.3730742271718146E-2</v>
      </c>
      <c r="F332" s="34">
        <v>4903.9599609375</v>
      </c>
      <c r="G332" s="35">
        <f t="shared" si="11"/>
        <v>-5.3342588164235094E-2</v>
      </c>
      <c r="H332" s="35"/>
    </row>
    <row r="333" spans="3:8">
      <c r="C333" s="33">
        <v>36191</v>
      </c>
      <c r="D333" s="34">
        <v>18.8140144348144</v>
      </c>
      <c r="E333" s="35">
        <f t="shared" si="10"/>
        <v>9.9810899587237545E-2</v>
      </c>
      <c r="F333" s="34">
        <v>5180.2900390625</v>
      </c>
      <c r="G333" s="35">
        <f t="shared" si="11"/>
        <v>3.4698450424759164E-2</v>
      </c>
      <c r="H333" s="35"/>
    </row>
    <row r="334" spans="3:8">
      <c r="C334" s="33">
        <v>36160</v>
      </c>
      <c r="D334" s="34">
        <v>17.106590270996001</v>
      </c>
      <c r="E334" s="35">
        <f t="shared" si="10"/>
        <v>3.1220450422935864E-2</v>
      </c>
      <c r="F334" s="34">
        <v>5006.56982421875</v>
      </c>
      <c r="G334" s="35">
        <f t="shared" si="11"/>
        <v>-3.893706098050842E-3</v>
      </c>
      <c r="H334" s="35"/>
    </row>
    <row r="335" spans="3:8">
      <c r="C335" s="33">
        <v>36129</v>
      </c>
      <c r="D335" s="34">
        <v>16.5886840820312</v>
      </c>
      <c r="E335" s="35">
        <f t="shared" si="10"/>
        <v>0.21494192067103635</v>
      </c>
      <c r="F335" s="34">
        <v>5026.14013671875</v>
      </c>
      <c r="G335" s="35">
        <f t="shared" si="11"/>
        <v>7.1445448742956774E-2</v>
      </c>
      <c r="H335" s="35"/>
    </row>
    <row r="336" spans="3:8">
      <c r="C336" s="33">
        <v>36099</v>
      </c>
      <c r="D336" s="34">
        <v>13.6538906097412</v>
      </c>
      <c r="E336" s="35">
        <f t="shared" si="10"/>
        <v>-6.1151192831742529E-2</v>
      </c>
      <c r="F336" s="34">
        <v>4690.990234375</v>
      </c>
      <c r="G336" s="35">
        <f t="shared" si="11"/>
        <v>5.8696761828525235E-2</v>
      </c>
      <c r="H336" s="35"/>
    </row>
    <row r="337" spans="3:8">
      <c r="C337" s="33">
        <v>36068</v>
      </c>
      <c r="D337" s="34">
        <v>14.543226242065399</v>
      </c>
      <c r="E337" s="35">
        <f t="shared" si="10"/>
        <v>-0.126884409307366</v>
      </c>
      <c r="F337" s="34">
        <v>4430.91015625</v>
      </c>
      <c r="G337" s="35">
        <f t="shared" si="11"/>
        <v>-7.9057890185427526E-2</v>
      </c>
      <c r="H337" s="35"/>
    </row>
    <row r="338" spans="3:8">
      <c r="C338" s="33">
        <v>36038</v>
      </c>
      <c r="D338" s="34">
        <v>16.656702041625898</v>
      </c>
      <c r="E338" s="35">
        <f t="shared" si="10"/>
        <v>-0.12358934097707674</v>
      </c>
      <c r="F338" s="34">
        <v>4811.27978515625</v>
      </c>
      <c r="G338" s="35">
        <f t="shared" si="11"/>
        <v>-0.17912918140272716</v>
      </c>
      <c r="H338" s="35"/>
    </row>
    <row r="339" spans="3:8">
      <c r="C339" s="33">
        <v>36007</v>
      </c>
      <c r="D339" s="34">
        <v>19.005590438842699</v>
      </c>
      <c r="E339" s="35">
        <f t="shared" si="10"/>
        <v>3.504348897345233E-2</v>
      </c>
      <c r="F339" s="34">
        <v>5861.18994140625</v>
      </c>
      <c r="G339" s="35">
        <f t="shared" si="11"/>
        <v>3.3140065736838586E-3</v>
      </c>
      <c r="H339" s="35"/>
    </row>
    <row r="340" spans="3:8">
      <c r="C340" s="33">
        <v>35976</v>
      </c>
      <c r="D340" s="34">
        <v>18.362117767333899</v>
      </c>
      <c r="E340" s="35">
        <f t="shared" si="10"/>
        <v>-1.3213781004027481E-2</v>
      </c>
      <c r="F340" s="34">
        <v>5841.830078125</v>
      </c>
      <c r="G340" s="35">
        <f t="shared" si="11"/>
        <v>5.1257934913761183E-2</v>
      </c>
      <c r="H340" s="35"/>
    </row>
    <row r="341" spans="3:8">
      <c r="C341" s="33">
        <v>35946</v>
      </c>
      <c r="D341" s="34">
        <v>18.6079998016357</v>
      </c>
      <c r="E341" s="35">
        <f t="shared" si="10"/>
        <v>0</v>
      </c>
      <c r="F341" s="34">
        <v>5556.990234375</v>
      </c>
      <c r="G341" s="35">
        <f t="shared" si="11"/>
        <v>6.0245449080257751E-2</v>
      </c>
      <c r="H341" s="35"/>
    </row>
    <row r="342" spans="3:8">
      <c r="C342" s="33">
        <v>35915</v>
      </c>
      <c r="D342" s="34">
        <v>18.6079998016357</v>
      </c>
      <c r="E342" s="35">
        <f t="shared" si="10"/>
        <v>4.4640845619380531E-2</v>
      </c>
      <c r="F342" s="34">
        <v>5241.22998046875</v>
      </c>
      <c r="G342" s="35">
        <f t="shared" si="11"/>
        <v>2.8246599729020661E-2</v>
      </c>
      <c r="H342" s="35"/>
    </row>
    <row r="343" spans="3:8">
      <c r="C343" s="33">
        <v>35885</v>
      </c>
      <c r="D343" s="34">
        <v>17.812820434570298</v>
      </c>
      <c r="E343" s="35">
        <f t="shared" si="10"/>
        <v>0.1515045589247912</v>
      </c>
      <c r="F343" s="34">
        <v>5097.25</v>
      </c>
      <c r="G343" s="35">
        <f t="shared" si="11"/>
        <v>8.5939961666593012E-2</v>
      </c>
      <c r="H343" s="35"/>
    </row>
    <row r="344" spans="3:8">
      <c r="C344" s="33">
        <v>35854</v>
      </c>
      <c r="D344" s="34">
        <v>15.4691705703735</v>
      </c>
      <c r="E344" s="35">
        <f t="shared" si="10"/>
        <v>0.15507718079322008</v>
      </c>
      <c r="F344" s="34">
        <v>4693.85986328125</v>
      </c>
      <c r="G344" s="35">
        <f t="shared" si="11"/>
        <v>5.6573639408060927E-2</v>
      </c>
      <c r="H344" s="35"/>
    </row>
    <row r="345" spans="3:8">
      <c r="C345" s="33">
        <v>35826</v>
      </c>
      <c r="D345" s="34">
        <v>13.392326354980399</v>
      </c>
      <c r="E345" s="35">
        <f t="shared" si="10"/>
        <v>1.5873319015630161E-2</v>
      </c>
      <c r="F345" s="34">
        <v>4442.52978515625</v>
      </c>
      <c r="G345" s="35">
        <f t="shared" si="11"/>
        <v>5.1660627928583835E-2</v>
      </c>
      <c r="H345" s="35"/>
    </row>
    <row r="346" spans="3:8">
      <c r="C346" s="33">
        <v>35795</v>
      </c>
      <c r="D346" s="34">
        <v>13.183067321777299</v>
      </c>
      <c r="E346" s="35">
        <f t="shared" si="10"/>
        <v>3.984723483546837E-3</v>
      </c>
      <c r="F346" s="34">
        <v>4224.2998046875</v>
      </c>
      <c r="G346" s="35">
        <f t="shared" si="11"/>
        <v>6.3498147469765787E-2</v>
      </c>
      <c r="H346" s="35"/>
    </row>
    <row r="347" spans="3:8">
      <c r="C347" s="33">
        <v>35764</v>
      </c>
      <c r="D347" s="34">
        <v>13.130744934081999</v>
      </c>
      <c r="E347" s="35">
        <f t="shared" si="10"/>
        <v>8.3764568273761553E-2</v>
      </c>
      <c r="F347" s="34">
        <v>3972.080078125</v>
      </c>
      <c r="G347" s="35">
        <f t="shared" si="11"/>
        <v>5.8188586907141682E-2</v>
      </c>
      <c r="H347" s="35"/>
    </row>
    <row r="348" spans="3:8">
      <c r="C348" s="33">
        <v>35734</v>
      </c>
      <c r="D348" s="34">
        <v>12.1158647537231</v>
      </c>
      <c r="E348" s="35">
        <f t="shared" si="10"/>
        <v>-0.19833840991984297</v>
      </c>
      <c r="F348" s="34">
        <v>3753.65991210937</v>
      </c>
      <c r="G348" s="35">
        <f t="shared" si="11"/>
        <v>-9.6568191072855747E-2</v>
      </c>
      <c r="H348" s="35"/>
    </row>
    <row r="349" spans="3:8">
      <c r="C349" s="33">
        <v>35703</v>
      </c>
      <c r="D349" s="34">
        <v>15.113440513610801</v>
      </c>
      <c r="E349" s="35">
        <f t="shared" si="10"/>
        <v>9.4318642352481552E-2</v>
      </c>
      <c r="F349" s="34">
        <v>4154.89013671875</v>
      </c>
      <c r="G349" s="35">
        <f t="shared" si="11"/>
        <v>5.9977727203082365E-2</v>
      </c>
      <c r="H349" s="35"/>
    </row>
    <row r="350" spans="3:8">
      <c r="C350" s="33">
        <v>35673</v>
      </c>
      <c r="D350" s="34">
        <v>13.810822486877401</v>
      </c>
      <c r="E350" s="35">
        <f t="shared" si="10"/>
        <v>-0.13640902270489041</v>
      </c>
      <c r="F350" s="34">
        <v>3919.7900390625</v>
      </c>
      <c r="G350" s="35">
        <f t="shared" si="11"/>
        <v>-0.1102548571599572</v>
      </c>
      <c r="H350" s="35"/>
    </row>
    <row r="351" spans="3:8">
      <c r="C351" s="33">
        <v>35642</v>
      </c>
      <c r="D351" s="34">
        <v>15.9923191070556</v>
      </c>
      <c r="E351" s="35">
        <f t="shared" si="10"/>
        <v>8.7127616683888798E-2</v>
      </c>
      <c r="F351" s="34">
        <v>4405.52001953125</v>
      </c>
      <c r="G351" s="35">
        <f t="shared" si="11"/>
        <v>0.16953777391036007</v>
      </c>
      <c r="H351" s="35"/>
    </row>
    <row r="352" spans="3:8">
      <c r="C352" s="33">
        <v>35611</v>
      </c>
      <c r="D352" s="34">
        <v>14.710618019104</v>
      </c>
      <c r="E352" s="35">
        <f t="shared" si="10"/>
        <v>6.3942196239156202E-2</v>
      </c>
      <c r="F352" s="34">
        <v>3766.88989257812</v>
      </c>
      <c r="G352" s="35">
        <f t="shared" si="11"/>
        <v>5.7304346169537279E-2</v>
      </c>
      <c r="H352" s="35"/>
    </row>
    <row r="353" spans="3:8">
      <c r="C353" s="33">
        <v>35581</v>
      </c>
      <c r="D353" s="34">
        <v>13.826519966125399</v>
      </c>
      <c r="E353" s="35">
        <f t="shared" si="10"/>
        <v>3.0408739772864735E-2</v>
      </c>
      <c r="F353" s="34">
        <v>3562.72998046875</v>
      </c>
      <c r="G353" s="35">
        <f t="shared" si="11"/>
        <v>3.625265464018157E-2</v>
      </c>
      <c r="H353" s="35"/>
    </row>
    <row r="354" spans="3:8">
      <c r="C354" s="33">
        <v>35550</v>
      </c>
      <c r="D354" s="34">
        <v>13.418480873107899</v>
      </c>
      <c r="E354" s="35">
        <f t="shared" si="10"/>
        <v>-3.5352124350421787E-2</v>
      </c>
      <c r="F354" s="34">
        <v>3438.09008789062</v>
      </c>
      <c r="G354" s="35">
        <f t="shared" si="11"/>
        <v>8.8795535786423407E-3</v>
      </c>
      <c r="H354" s="35"/>
    </row>
    <row r="355" spans="3:8">
      <c r="C355" s="33">
        <v>35520</v>
      </c>
      <c r="D355" s="34">
        <v>13.9102373123168</v>
      </c>
      <c r="E355" s="35">
        <f t="shared" si="10"/>
        <v>8.6194248449356303E-2</v>
      </c>
      <c r="F355" s="34">
        <v>3407.830078125</v>
      </c>
      <c r="G355" s="35">
        <f t="shared" si="11"/>
        <v>4.5013258746954721E-2</v>
      </c>
      <c r="H355" s="35"/>
    </row>
    <row r="356" spans="3:8">
      <c r="C356" s="33">
        <v>35489</v>
      </c>
      <c r="D356" s="34">
        <v>12.806399345397899</v>
      </c>
      <c r="E356" s="35">
        <f t="shared" si="10"/>
        <v>4.8842038963693657E-2</v>
      </c>
      <c r="F356" s="34">
        <v>3261.0400390625</v>
      </c>
      <c r="G356" s="35">
        <f t="shared" si="11"/>
        <v>7.3522761128685721E-2</v>
      </c>
      <c r="H356" s="35"/>
    </row>
    <row r="357" spans="3:8">
      <c r="C357" s="33">
        <v>35461</v>
      </c>
      <c r="D357" s="34">
        <v>12.2100362777709</v>
      </c>
      <c r="E357" s="35">
        <f t="shared" si="10"/>
        <v>9.9388984618088427E-2</v>
      </c>
      <c r="F357" s="34">
        <v>3037.69995117187</v>
      </c>
      <c r="G357" s="35">
        <f t="shared" si="11"/>
        <v>5.4731266625847708E-2</v>
      </c>
      <c r="H357" s="35"/>
    </row>
    <row r="358" spans="3:8">
      <c r="C358" s="33">
        <v>35430</v>
      </c>
      <c r="D358" s="34">
        <v>11.1062021255493</v>
      </c>
      <c r="E358" s="35">
        <f t="shared" si="10"/>
        <v>5.3075347575449516E-2</v>
      </c>
      <c r="F358" s="34">
        <v>2880.07006835937</v>
      </c>
      <c r="G358" s="35">
        <f t="shared" si="11"/>
        <v>1.096234941423968E-2</v>
      </c>
      <c r="H358" s="35"/>
    </row>
    <row r="359" spans="3:8">
      <c r="C359" s="33">
        <v>35399</v>
      </c>
      <c r="D359" s="34">
        <v>10.546445846557599</v>
      </c>
      <c r="E359" s="35">
        <f t="shared" si="10"/>
        <v>0.12650812277677792</v>
      </c>
      <c r="F359" s="34">
        <v>2848.84008789062</v>
      </c>
      <c r="G359" s="35">
        <f t="shared" si="11"/>
        <v>6.6422172656064316E-2</v>
      </c>
      <c r="H359" s="35"/>
    </row>
    <row r="360" spans="3:8">
      <c r="C360" s="33">
        <v>35369</v>
      </c>
      <c r="D360" s="34">
        <v>9.3620681762695295</v>
      </c>
      <c r="E360" s="35" t="e">
        <f>D360/#REF!-1</f>
        <v>#REF!</v>
      </c>
      <c r="F360" s="34">
        <v>2671.39990234375</v>
      </c>
      <c r="G360" s="35" t="e">
        <f>F360/#REF!-1</f>
        <v>#REF!</v>
      </c>
      <c r="H360" s="35"/>
    </row>
  </sheetData>
  <hyperlinks>
    <hyperlink ref="M2" r:id="rId1" xr:uid="{78715210-ACB5-7649-A81C-57F8FBB1161D}"/>
    <hyperlink ref="M3" r:id="rId2" xr:uid="{ACEA3CAD-3C9F-C141-A6A7-864E32DB38F1}"/>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AB04D-BE66-0C47-96FC-9766E6C6D8FA}">
  <sheetPr>
    <tabColor rgb="FFCCCCFF"/>
  </sheetPr>
  <dimension ref="H1:R10"/>
  <sheetViews>
    <sheetView showGridLines="0" zoomScale="82" workbookViewId="0">
      <selection activeCell="I8" sqref="I8"/>
    </sheetView>
  </sheetViews>
  <sheetFormatPr baseColWidth="10" defaultRowHeight="16"/>
  <cols>
    <col min="1" max="7" width="10.83203125" style="165"/>
    <col min="8" max="8" width="17.33203125" style="165" bestFit="1" customWidth="1"/>
    <col min="9" max="16384" width="10.83203125" style="165"/>
  </cols>
  <sheetData>
    <row r="1" spans="8:18">
      <c r="H1" s="163" t="s">
        <v>241</v>
      </c>
      <c r="I1" s="164">
        <v>3.15E-2</v>
      </c>
      <c r="J1" s="165" t="s">
        <v>284</v>
      </c>
    </row>
    <row r="2" spans="8:18">
      <c r="H2" s="165" t="s">
        <v>285</v>
      </c>
      <c r="I2" s="164">
        <v>4.6559999999999997E-2</v>
      </c>
    </row>
    <row r="3" spans="8:18">
      <c r="H3" s="165" t="s">
        <v>286</v>
      </c>
      <c r="I3" s="164">
        <v>0</v>
      </c>
    </row>
    <row r="4" spans="8:18">
      <c r="H4" s="165" t="s">
        <v>287</v>
      </c>
      <c r="I4" s="164">
        <f>((1+I5)/(1+I6))-1</f>
        <v>0</v>
      </c>
      <c r="K4" s="164">
        <f>I2+I3+I4</f>
        <v>4.6559999999999997E-2</v>
      </c>
    </row>
    <row r="5" spans="8:18">
      <c r="H5" s="165" t="s">
        <v>288</v>
      </c>
      <c r="I5" s="164">
        <v>0.02</v>
      </c>
    </row>
    <row r="6" spans="8:18">
      <c r="H6" s="165" t="s">
        <v>289</v>
      </c>
      <c r="I6" s="164">
        <v>0.02</v>
      </c>
    </row>
    <row r="7" spans="8:18">
      <c r="H7" s="163" t="s">
        <v>171</v>
      </c>
      <c r="I7" s="166">
        <f>Beta!L13</f>
        <v>1.3458270549487943</v>
      </c>
      <c r="J7" s="165" t="s">
        <v>290</v>
      </c>
      <c r="R7" s="165" t="s">
        <v>291</v>
      </c>
    </row>
    <row r="8" spans="8:18">
      <c r="H8" s="163" t="s">
        <v>292</v>
      </c>
      <c r="I8" s="164">
        <v>8.5999999999999993E-2</v>
      </c>
      <c r="J8" s="165" t="s">
        <v>293</v>
      </c>
    </row>
    <row r="10" spans="8:18">
      <c r="H10" s="167" t="s">
        <v>294</v>
      </c>
      <c r="I10" s="168">
        <f>I1+I7*(I8-I1)</f>
        <v>0.10484757449470927</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07B2C-E14E-5B40-9921-B6FBEED9BEA4}">
  <sheetPr>
    <tabColor rgb="FFCCCCFF"/>
  </sheetPr>
  <dimension ref="A1:R16"/>
  <sheetViews>
    <sheetView showGridLines="0" workbookViewId="0">
      <selection activeCell="N24" sqref="N24"/>
    </sheetView>
  </sheetViews>
  <sheetFormatPr baseColWidth="10" defaultRowHeight="16"/>
  <cols>
    <col min="1" max="1" width="13" style="165" customWidth="1"/>
    <col min="2" max="4" width="10.83203125" style="165"/>
    <col min="5" max="5" width="12.33203125" style="165" bestFit="1" customWidth="1"/>
    <col min="6" max="16384" width="10.83203125" style="165"/>
  </cols>
  <sheetData>
    <row r="1" spans="1:18">
      <c r="A1" s="165" t="s">
        <v>295</v>
      </c>
      <c r="E1" s="163" t="s">
        <v>241</v>
      </c>
      <c r="F1" s="164">
        <f>COE!$I$1</f>
        <v>3.15E-2</v>
      </c>
    </row>
    <row r="2" spans="1:18">
      <c r="E2" s="163" t="s">
        <v>296</v>
      </c>
      <c r="F2" s="164">
        <v>7.1999999999999998E-3</v>
      </c>
    </row>
    <row r="3" spans="1:18">
      <c r="A3" s="163" t="s">
        <v>297</v>
      </c>
      <c r="B3" s="165" t="s">
        <v>298</v>
      </c>
    </row>
    <row r="6" spans="1:18">
      <c r="A6" s="165" t="s">
        <v>299</v>
      </c>
      <c r="E6" s="167" t="s">
        <v>300</v>
      </c>
      <c r="F6" s="169">
        <f>F1+F2</f>
        <v>3.8699999999999998E-2</v>
      </c>
    </row>
    <row r="16" spans="1:18">
      <c r="R16" s="165" t="s">
        <v>301</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88D40-3861-6E45-8347-A0B05163997C}">
  <sheetPr>
    <tabColor rgb="FFCCCCFF"/>
  </sheetPr>
  <dimension ref="H1:K11"/>
  <sheetViews>
    <sheetView showGridLines="0" workbookViewId="0">
      <selection activeCell="I2" sqref="I2"/>
    </sheetView>
  </sheetViews>
  <sheetFormatPr baseColWidth="10" defaultRowHeight="16"/>
  <cols>
    <col min="1" max="8" width="10.83203125" style="165"/>
    <col min="9" max="9" width="13.1640625" style="165" bestFit="1" customWidth="1"/>
    <col min="10" max="16384" width="10.83203125" style="165"/>
  </cols>
  <sheetData>
    <row r="1" spans="8:11">
      <c r="H1" s="163" t="s">
        <v>78</v>
      </c>
      <c r="I1" s="170">
        <f>BS!N191</f>
        <v>94263</v>
      </c>
      <c r="J1" s="165" t="s">
        <v>302</v>
      </c>
    </row>
    <row r="2" spans="8:11">
      <c r="H2" s="163" t="s">
        <v>303</v>
      </c>
      <c r="I2" s="170">
        <f>BS!N95+BS!N129</f>
        <v>100006</v>
      </c>
      <c r="J2" s="165" t="s">
        <v>302</v>
      </c>
    </row>
    <row r="3" spans="8:11">
      <c r="H3" s="163" t="s">
        <v>304</v>
      </c>
      <c r="I3" s="170">
        <f>SUM(I1:I2)</f>
        <v>194269</v>
      </c>
      <c r="J3" s="165" t="s">
        <v>302</v>
      </c>
    </row>
    <row r="4" spans="8:11">
      <c r="H4" s="163" t="s">
        <v>294</v>
      </c>
      <c r="I4" s="164">
        <f>COE!I10</f>
        <v>0.10484757449470927</v>
      </c>
    </row>
    <row r="5" spans="8:11">
      <c r="H5" s="163" t="s">
        <v>305</v>
      </c>
      <c r="I5" s="164">
        <f>COD!F6</f>
        <v>3.8699999999999998E-2</v>
      </c>
    </row>
    <row r="6" spans="8:11">
      <c r="H6" s="171" t="s">
        <v>306</v>
      </c>
      <c r="I6" s="170">
        <v>6248</v>
      </c>
      <c r="J6" s="165" t="s">
        <v>302</v>
      </c>
      <c r="K6" s="250" t="s">
        <v>307</v>
      </c>
    </row>
    <row r="7" spans="8:11">
      <c r="H7" s="171" t="s">
        <v>308</v>
      </c>
      <c r="I7" s="165">
        <v>953</v>
      </c>
      <c r="J7" s="165" t="s">
        <v>302</v>
      </c>
      <c r="K7" s="250"/>
    </row>
    <row r="8" spans="8:11">
      <c r="H8" s="171" t="s">
        <v>309</v>
      </c>
      <c r="I8" s="172">
        <f>I7/I6</f>
        <v>0.15252880921895007</v>
      </c>
    </row>
    <row r="9" spans="8:11">
      <c r="H9" s="163" t="s">
        <v>310</v>
      </c>
      <c r="I9" s="173">
        <v>0.3</v>
      </c>
    </row>
    <row r="11" spans="8:11">
      <c r="H11" s="167" t="s">
        <v>311</v>
      </c>
      <c r="I11" s="168">
        <f>((I1/I3)*I4)+((I2/I3)*I5*(1-I9))</f>
        <v>6.4819448571798791E-2</v>
      </c>
    </row>
  </sheetData>
  <mergeCells count="1">
    <mergeCell ref="K6:K7"/>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CCCCFF"/>
  </sheetPr>
  <dimension ref="B1:T61"/>
  <sheetViews>
    <sheetView showGridLines="0" topLeftCell="A39" zoomScale="131" zoomScaleNormal="131" workbookViewId="0">
      <pane xSplit="5" topLeftCell="F1" activePane="topRight" state="frozen"/>
      <selection pane="topRight" activeCell="E49" sqref="E49"/>
    </sheetView>
  </sheetViews>
  <sheetFormatPr baseColWidth="10" defaultColWidth="8.83203125" defaultRowHeight="15"/>
  <cols>
    <col min="3" max="3" width="27.83203125" bestFit="1" customWidth="1"/>
    <col min="4" max="4" width="12.1640625" bestFit="1" customWidth="1"/>
    <col min="5" max="5" width="42.83203125" customWidth="1"/>
  </cols>
  <sheetData>
    <row r="1" spans="2:20">
      <c r="B1" s="239"/>
      <c r="C1" s="14" t="s">
        <v>335</v>
      </c>
      <c r="D1" s="14"/>
      <c r="E1" s="239"/>
      <c r="F1" s="239"/>
      <c r="G1" s="239"/>
      <c r="H1" s="239"/>
      <c r="I1" s="239"/>
      <c r="J1" s="239"/>
      <c r="K1" s="239"/>
      <c r="L1" s="239"/>
      <c r="M1" s="239"/>
      <c r="N1" s="239"/>
      <c r="O1" s="239"/>
      <c r="P1" s="239"/>
      <c r="Q1" s="239"/>
      <c r="R1" s="239"/>
      <c r="S1" s="239"/>
      <c r="T1" s="239"/>
    </row>
    <row r="3" spans="2:20" ht="16">
      <c r="C3" t="s">
        <v>336</v>
      </c>
      <c r="D3" s="240" t="s">
        <v>27</v>
      </c>
      <c r="E3" s="240" t="s">
        <v>337</v>
      </c>
      <c r="F3" s="11">
        <v>2021</v>
      </c>
      <c r="G3" s="11">
        <f t="shared" ref="G3:T3" si="0">F3+1</f>
        <v>2022</v>
      </c>
      <c r="H3" s="11">
        <f t="shared" si="0"/>
        <v>2023</v>
      </c>
      <c r="I3" s="11">
        <f t="shared" si="0"/>
        <v>2024</v>
      </c>
      <c r="J3" s="11">
        <v>2025</v>
      </c>
      <c r="K3" s="11">
        <f>J3+1</f>
        <v>2026</v>
      </c>
      <c r="L3" s="11">
        <f t="shared" si="0"/>
        <v>2027</v>
      </c>
      <c r="M3" s="11">
        <f t="shared" si="0"/>
        <v>2028</v>
      </c>
      <c r="N3" s="11">
        <f t="shared" si="0"/>
        <v>2029</v>
      </c>
      <c r="O3" s="11">
        <f t="shared" si="0"/>
        <v>2030</v>
      </c>
      <c r="P3" s="11">
        <f t="shared" si="0"/>
        <v>2031</v>
      </c>
      <c r="Q3" s="11">
        <f t="shared" si="0"/>
        <v>2032</v>
      </c>
      <c r="R3" s="11">
        <f t="shared" si="0"/>
        <v>2033</v>
      </c>
      <c r="S3" s="11">
        <f t="shared" si="0"/>
        <v>2034</v>
      </c>
      <c r="T3" s="11">
        <f t="shared" si="0"/>
        <v>2035</v>
      </c>
    </row>
    <row r="4" spans="2:20" ht="16">
      <c r="D4" s="240"/>
      <c r="E4" s="241"/>
    </row>
    <row r="5" spans="2:20" ht="16">
      <c r="C5" t="s">
        <v>96</v>
      </c>
      <c r="D5" s="240" t="s">
        <v>172</v>
      </c>
      <c r="E5" s="241"/>
      <c r="F5" s="242">
        <f>PL!J11</f>
        <v>133893</v>
      </c>
      <c r="G5" s="242">
        <f>PL!K11</f>
        <v>150017</v>
      </c>
      <c r="H5" s="242">
        <f>PL!L11</f>
        <v>152390</v>
      </c>
      <c r="I5" s="242">
        <f>PL!M11</f>
        <v>145594</v>
      </c>
      <c r="J5" s="242">
        <f>PL!N11</f>
        <v>132214</v>
      </c>
      <c r="K5" s="242">
        <f>J5*(1+K6)</f>
        <v>125735.514</v>
      </c>
      <c r="L5" s="242">
        <f t="shared" ref="L5:T5" si="1">K5*(1+L6)</f>
        <v>122592.12615</v>
      </c>
      <c r="M5" s="242">
        <f t="shared" si="1"/>
        <v>121979.16551924999</v>
      </c>
      <c r="N5" s="242">
        <f t="shared" si="1"/>
        <v>121979.16551924999</v>
      </c>
      <c r="O5" s="242">
        <f t="shared" si="1"/>
        <v>122101.14468476923</v>
      </c>
      <c r="P5" s="242">
        <f t="shared" si="1"/>
        <v>122345.34697413877</v>
      </c>
      <c r="Q5" s="242">
        <f t="shared" si="1"/>
        <v>122712.38301506118</v>
      </c>
      <c r="R5" s="242">
        <f t="shared" si="1"/>
        <v>123203.23254712143</v>
      </c>
      <c r="S5" s="242">
        <f t="shared" si="1"/>
        <v>123819.24870985703</v>
      </c>
      <c r="T5" s="242">
        <f t="shared" si="1"/>
        <v>124438.3449534063</v>
      </c>
    </row>
    <row r="6" spans="2:20" ht="16">
      <c r="C6" t="s">
        <v>338</v>
      </c>
      <c r="D6" s="240" t="s">
        <v>93</v>
      </c>
      <c r="E6" s="241" t="s">
        <v>414</v>
      </c>
      <c r="F6" t="s">
        <v>428</v>
      </c>
      <c r="G6" s="243">
        <f t="shared" ref="G6:J6" si="2">G5/F5-1</f>
        <v>0.12042451808533672</v>
      </c>
      <c r="H6" s="243">
        <f t="shared" si="2"/>
        <v>1.5818207269842732E-2</v>
      </c>
      <c r="I6" s="243">
        <f t="shared" si="2"/>
        <v>-4.4596102106437385E-2</v>
      </c>
      <c r="J6" s="243">
        <f t="shared" si="2"/>
        <v>-9.1899391458439172E-2</v>
      </c>
      <c r="K6" s="243">
        <f>-4.9%</f>
        <v>-4.9000000000000002E-2</v>
      </c>
      <c r="L6" s="243">
        <v>-2.5000000000000001E-2</v>
      </c>
      <c r="M6" s="243">
        <v>-5.0000000000000001E-3</v>
      </c>
      <c r="N6" s="243">
        <v>0</v>
      </c>
      <c r="O6" s="243">
        <v>1E-3</v>
      </c>
      <c r="P6" s="243">
        <v>2E-3</v>
      </c>
      <c r="Q6" s="243">
        <v>3.0000000000000001E-3</v>
      </c>
      <c r="R6" s="243">
        <v>4.0000000000000001E-3</v>
      </c>
      <c r="S6" s="243">
        <v>5.0000000000000001E-3</v>
      </c>
      <c r="T6" s="243">
        <v>5.0000000000000001E-3</v>
      </c>
    </row>
    <row r="7" spans="2:20" ht="16">
      <c r="D7" s="240"/>
      <c r="E7" s="241"/>
    </row>
    <row r="8" spans="2:20" ht="16">
      <c r="C8" t="s">
        <v>177</v>
      </c>
      <c r="D8" s="240" t="s">
        <v>172</v>
      </c>
      <c r="E8" s="241"/>
      <c r="F8" s="242">
        <f>EBITDA!J18</f>
        <v>28272</v>
      </c>
      <c r="G8" s="242">
        <f>EBITDA!K18</f>
        <v>30243</v>
      </c>
      <c r="H8" s="242">
        <f>EBITDA!L18</f>
        <v>29430</v>
      </c>
      <c r="I8" s="242">
        <f>EBITDA!M18</f>
        <v>25154</v>
      </c>
      <c r="J8" s="242">
        <f>EBITDA!N18</f>
        <v>19204</v>
      </c>
      <c r="K8" s="242">
        <f t="shared" ref="K8:T8" si="3">K5*K9</f>
        <v>18860.327099999999</v>
      </c>
      <c r="L8" s="242">
        <f t="shared" si="3"/>
        <v>18388.818922499999</v>
      </c>
      <c r="M8" s="242">
        <f t="shared" si="3"/>
        <v>19516.66648308</v>
      </c>
      <c r="N8" s="242">
        <f t="shared" si="3"/>
        <v>19516.66648308</v>
      </c>
      <c r="O8" s="242">
        <f t="shared" si="3"/>
        <v>19536.183149563076</v>
      </c>
      <c r="P8" s="242">
        <f t="shared" si="3"/>
        <v>19575.255515862202</v>
      </c>
      <c r="Q8" s="242">
        <f t="shared" si="3"/>
        <v>20861.105112560403</v>
      </c>
      <c r="R8" s="242">
        <f t="shared" si="3"/>
        <v>20944.549533010646</v>
      </c>
      <c r="S8" s="242">
        <f t="shared" si="3"/>
        <v>21049.272280675697</v>
      </c>
      <c r="T8" s="242">
        <f t="shared" si="3"/>
        <v>21154.518642079071</v>
      </c>
    </row>
    <row r="9" spans="2:20" ht="16">
      <c r="C9" t="s">
        <v>339</v>
      </c>
      <c r="D9" s="240" t="s">
        <v>93</v>
      </c>
      <c r="E9" s="241" t="s">
        <v>408</v>
      </c>
      <c r="F9" s="243">
        <f t="shared" ref="F9:J9" si="4">F8/F5</f>
        <v>0.21115368241805024</v>
      </c>
      <c r="G9" s="243">
        <f t="shared" si="4"/>
        <v>0.20159715232273676</v>
      </c>
      <c r="H9" s="243">
        <f t="shared" si="4"/>
        <v>0.19312290832731807</v>
      </c>
      <c r="I9" s="243">
        <f t="shared" si="4"/>
        <v>0.17276810857590286</v>
      </c>
      <c r="J9" s="243">
        <f t="shared" si="4"/>
        <v>0.14524936844812197</v>
      </c>
      <c r="K9" s="243">
        <v>0.15</v>
      </c>
      <c r="L9" s="243">
        <v>0.15</v>
      </c>
      <c r="M9" s="243">
        <v>0.16</v>
      </c>
      <c r="N9" s="243">
        <v>0.16</v>
      </c>
      <c r="O9" s="243">
        <v>0.16</v>
      </c>
      <c r="P9" s="243">
        <v>0.16</v>
      </c>
      <c r="Q9" s="243">
        <v>0.17</v>
      </c>
      <c r="R9" s="243">
        <v>0.17</v>
      </c>
      <c r="S9" s="243">
        <v>0.17</v>
      </c>
      <c r="T9" s="243">
        <v>0.17</v>
      </c>
    </row>
    <row r="10" spans="2:20" ht="16">
      <c r="D10" s="240"/>
      <c r="E10" s="241"/>
    </row>
    <row r="11" spans="2:20" ht="16">
      <c r="C11" t="s">
        <v>340</v>
      </c>
      <c r="D11" s="240" t="s">
        <v>341</v>
      </c>
      <c r="E11" s="241"/>
      <c r="F11" s="242">
        <f>CF!J21</f>
        <v>6980</v>
      </c>
      <c r="G11" s="242">
        <f>CF!K21</f>
        <v>6521</v>
      </c>
      <c r="H11" s="242">
        <f>CF!L21</f>
        <v>6663</v>
      </c>
      <c r="I11" s="242">
        <f>CF!M21</f>
        <v>6772</v>
      </c>
      <c r="J11" s="242">
        <f>CF!N21</f>
        <v>7223</v>
      </c>
      <c r="K11" s="242">
        <f>J11+J12*5%</f>
        <v>7710.1</v>
      </c>
      <c r="L11" s="242">
        <f t="shared" ref="L11:T11" si="5">K11+K12*5%</f>
        <v>8275.9098130000002</v>
      </c>
      <c r="M11" s="242">
        <f t="shared" si="5"/>
        <v>8796.9263491375004</v>
      </c>
      <c r="N11" s="242">
        <f t="shared" si="5"/>
        <v>9284.8430112144997</v>
      </c>
      <c r="O11" s="242">
        <f t="shared" si="5"/>
        <v>9711.7700905318743</v>
      </c>
      <c r="P11" s="242">
        <f t="shared" si="5"/>
        <v>10078.073524586182</v>
      </c>
      <c r="Q11" s="242">
        <f t="shared" si="5"/>
        <v>10414.523228765063</v>
      </c>
      <c r="R11" s="242">
        <f t="shared" si="5"/>
        <v>10751.982282056482</v>
      </c>
      <c r="S11" s="242">
        <f t="shared" si="5"/>
        <v>11059.990363424286</v>
      </c>
      <c r="T11" s="242">
        <f t="shared" si="5"/>
        <v>11369.538485198927</v>
      </c>
    </row>
    <row r="12" spans="2:20" ht="16">
      <c r="C12" t="s">
        <v>342</v>
      </c>
      <c r="D12" s="240" t="s">
        <v>341</v>
      </c>
      <c r="E12" s="241" t="s">
        <v>413</v>
      </c>
      <c r="F12" s="242">
        <f>-1*SUM(CF!J44:J45)</f>
        <v>7320</v>
      </c>
      <c r="G12" s="242">
        <f>-1*SUM(CF!K44:K45)</f>
        <v>6899</v>
      </c>
      <c r="H12" s="242">
        <f>-1*SUM(CF!L44:L45)</f>
        <v>8213</v>
      </c>
      <c r="I12" s="242">
        <f>-1*SUM(CF!M44:M45)</f>
        <v>8665</v>
      </c>
      <c r="J12" s="242">
        <f>-1*SUM(CF!N44:N45)</f>
        <v>9742</v>
      </c>
      <c r="K12" s="242">
        <f>K5*K13</f>
        <v>11316.196259999999</v>
      </c>
      <c r="L12" s="242">
        <f t="shared" ref="L12:T12" si="6">L5*L13</f>
        <v>10420.330722750001</v>
      </c>
      <c r="M12" s="242">
        <f t="shared" si="6"/>
        <v>9758.33324154</v>
      </c>
      <c r="N12" s="242">
        <f t="shared" si="6"/>
        <v>8538.5415863475009</v>
      </c>
      <c r="O12" s="242">
        <f t="shared" si="6"/>
        <v>7326.0686810861534</v>
      </c>
      <c r="P12" s="242">
        <f t="shared" si="6"/>
        <v>6728.9940835776324</v>
      </c>
      <c r="Q12" s="242">
        <f t="shared" si="6"/>
        <v>6749.1810658283648</v>
      </c>
      <c r="R12" s="242">
        <f t="shared" si="6"/>
        <v>6160.1616273560721</v>
      </c>
      <c r="S12" s="242">
        <f t="shared" si="6"/>
        <v>6190.9624354928519</v>
      </c>
      <c r="T12" s="242">
        <f t="shared" si="6"/>
        <v>6221.9172476703152</v>
      </c>
    </row>
    <row r="13" spans="2:20" ht="16">
      <c r="C13" t="s">
        <v>409</v>
      </c>
      <c r="D13" s="240" t="s">
        <v>93</v>
      </c>
      <c r="E13" s="241"/>
      <c r="F13" s="244">
        <f>F12/F5</f>
        <v>5.4670520490242208E-2</v>
      </c>
      <c r="G13" s="244">
        <f t="shared" ref="G13:J13" si="7">G12/G5</f>
        <v>4.5988121346247426E-2</v>
      </c>
      <c r="H13" s="244">
        <f t="shared" si="7"/>
        <v>5.3894612507382374E-2</v>
      </c>
      <c r="I13" s="244">
        <f t="shared" si="7"/>
        <v>5.9514815170954846E-2</v>
      </c>
      <c r="J13" s="244">
        <f t="shared" si="7"/>
        <v>7.3683573600375155E-2</v>
      </c>
      <c r="K13" s="244">
        <v>0.09</v>
      </c>
      <c r="L13" s="244">
        <v>8.5000000000000006E-2</v>
      </c>
      <c r="M13" s="244">
        <v>0.08</v>
      </c>
      <c r="N13" s="244">
        <v>7.0000000000000007E-2</v>
      </c>
      <c r="O13" s="244">
        <v>0.06</v>
      </c>
      <c r="P13" s="244">
        <v>5.5E-2</v>
      </c>
      <c r="Q13" s="244">
        <v>5.5E-2</v>
      </c>
      <c r="R13" s="244">
        <v>0.05</v>
      </c>
      <c r="S13" s="244">
        <v>0.05</v>
      </c>
      <c r="T13" s="244">
        <v>0.05</v>
      </c>
    </row>
    <row r="14" spans="2:20" ht="16">
      <c r="D14" s="240"/>
      <c r="E14" s="241"/>
      <c r="F14" s="39"/>
      <c r="G14" s="39"/>
      <c r="H14" s="39"/>
      <c r="I14" s="39"/>
      <c r="J14" s="39"/>
      <c r="K14" s="39"/>
      <c r="L14" s="39"/>
      <c r="M14" s="39"/>
      <c r="N14" s="39"/>
      <c r="O14" s="39"/>
      <c r="P14" s="39"/>
      <c r="Q14" s="39"/>
      <c r="R14" s="39"/>
      <c r="S14" s="242"/>
      <c r="T14" s="242"/>
    </row>
    <row r="15" spans="2:20" ht="16">
      <c r="C15" t="s">
        <v>343</v>
      </c>
      <c r="D15" s="240" t="s">
        <v>344</v>
      </c>
      <c r="E15" s="245" t="s">
        <v>411</v>
      </c>
      <c r="F15" s="242">
        <v>367</v>
      </c>
      <c r="G15" s="242">
        <v>486</v>
      </c>
      <c r="H15" s="242">
        <v>3068</v>
      </c>
      <c r="I15" s="242">
        <v>3902</v>
      </c>
      <c r="J15" s="242">
        <v>4003</v>
      </c>
      <c r="K15" s="242">
        <f>K17*K16</f>
        <v>4065.8040762897349</v>
      </c>
      <c r="L15" s="242">
        <f t="shared" ref="L15:T15" si="8">L17*L16</f>
        <v>3743.9279202501316</v>
      </c>
      <c r="M15" s="242">
        <f t="shared" si="8"/>
        <v>3005.2100415318696</v>
      </c>
      <c r="N15" s="242">
        <f t="shared" si="8"/>
        <v>2191.2989886169885</v>
      </c>
      <c r="O15" s="242">
        <f t="shared" si="8"/>
        <v>1880.1345322333757</v>
      </c>
      <c r="P15" s="242">
        <f t="shared" si="8"/>
        <v>1381.5228542850846</v>
      </c>
      <c r="Q15" s="242">
        <f t="shared" si="8"/>
        <v>1385.6674228479396</v>
      </c>
      <c r="R15" s="242">
        <f t="shared" si="8"/>
        <v>1264.7364477630288</v>
      </c>
      <c r="S15" s="242">
        <f t="shared" si="8"/>
        <v>1271.0601300018436</v>
      </c>
      <c r="T15" s="242">
        <f t="shared" si="8"/>
        <v>1277.4154306518526</v>
      </c>
    </row>
    <row r="16" spans="2:20" ht="16">
      <c r="C16" t="s">
        <v>345</v>
      </c>
      <c r="D16" s="240" t="s">
        <v>346</v>
      </c>
      <c r="E16" s="241" t="s">
        <v>410</v>
      </c>
      <c r="F16" s="243" t="s">
        <v>428</v>
      </c>
      <c r="G16" s="243">
        <f t="shared" ref="G16:J16" si="9">G15/(F17+G17)*2</f>
        <v>4.0895321440592393E-3</v>
      </c>
      <c r="H16" s="243">
        <f t="shared" si="9"/>
        <v>2.7731077245693007E-2</v>
      </c>
      <c r="I16" s="243">
        <f t="shared" si="9"/>
        <v>3.5116928933667524E-2</v>
      </c>
      <c r="J16" s="243">
        <f t="shared" si="9"/>
        <v>3.7621473280577432E-2</v>
      </c>
      <c r="K16" s="243">
        <v>3.5000000000000003E-2</v>
      </c>
      <c r="L16" s="243">
        <v>3.5000000000000003E-2</v>
      </c>
      <c r="M16" s="243">
        <v>0.03</v>
      </c>
      <c r="N16" s="243">
        <v>2.5000000000000001E-2</v>
      </c>
      <c r="O16" s="243">
        <v>2.5000000000000001E-2</v>
      </c>
      <c r="P16" s="243">
        <v>0.02</v>
      </c>
      <c r="Q16" s="243">
        <v>0.02</v>
      </c>
      <c r="R16" s="243">
        <v>0.02</v>
      </c>
      <c r="S16" s="243">
        <v>0.02</v>
      </c>
      <c r="T16" s="243">
        <v>0.02</v>
      </c>
    </row>
    <row r="17" spans="3:20" ht="16">
      <c r="C17" t="s">
        <v>303</v>
      </c>
      <c r="D17" s="240" t="s">
        <v>172</v>
      </c>
      <c r="E17" s="241" t="s">
        <v>415</v>
      </c>
      <c r="F17" s="242">
        <f>BS!J95+BS!J129</f>
        <v>125843</v>
      </c>
      <c r="G17" s="242">
        <f>BS!K95+BS!K129</f>
        <v>111837</v>
      </c>
      <c r="H17" s="242">
        <f>BS!L95+BS!L129</f>
        <v>109431</v>
      </c>
      <c r="I17" s="242">
        <f>BS!M95+BS!M129</f>
        <v>112798</v>
      </c>
      <c r="J17" s="242">
        <f>BS!N95+BS!N129</f>
        <v>100006</v>
      </c>
      <c r="K17" s="242">
        <f>J17*(1+K18)</f>
        <v>116165.83075113528</v>
      </c>
      <c r="L17" s="242">
        <f t="shared" ref="L17:T17" si="10">K17*(1+L18)</f>
        <v>106969.36915000375</v>
      </c>
      <c r="M17" s="242">
        <f t="shared" si="10"/>
        <v>100173.66805106233</v>
      </c>
      <c r="N17" s="242">
        <f t="shared" si="10"/>
        <v>87651.959544679543</v>
      </c>
      <c r="O17" s="242">
        <f t="shared" si="10"/>
        <v>75205.381289335026</v>
      </c>
      <c r="P17" s="242">
        <f t="shared" si="10"/>
        <v>69076.142714254223</v>
      </c>
      <c r="Q17" s="242">
        <f t="shared" si="10"/>
        <v>69283.37114239698</v>
      </c>
      <c r="R17" s="242">
        <f t="shared" si="10"/>
        <v>63236.822388151435</v>
      </c>
      <c r="S17" s="242">
        <f t="shared" si="10"/>
        <v>63553.006500092182</v>
      </c>
      <c r="T17" s="242">
        <f t="shared" si="10"/>
        <v>63870.771532592633</v>
      </c>
    </row>
    <row r="18" spans="3:20" ht="16">
      <c r="C18" t="s">
        <v>338</v>
      </c>
      <c r="D18" s="240"/>
      <c r="E18" s="241" t="s">
        <v>412</v>
      </c>
      <c r="F18" s="242"/>
      <c r="G18" s="39">
        <f t="shared" ref="G18:J18" si="11">G12/F12-1</f>
        <v>-5.7513661202185817E-2</v>
      </c>
      <c r="H18" s="39">
        <f t="shared" si="11"/>
        <v>0.19046238585302211</v>
      </c>
      <c r="I18" s="39">
        <f t="shared" si="11"/>
        <v>5.503470108364783E-2</v>
      </c>
      <c r="J18" s="39">
        <f t="shared" si="11"/>
        <v>0.12429313329486447</v>
      </c>
      <c r="K18" s="39">
        <f>K12/J12-1</f>
        <v>0.16158861219462106</v>
      </c>
      <c r="L18" s="39">
        <f t="shared" ref="L18:T18" si="12">L12/K12-1</f>
        <v>-7.9166666666666496E-2</v>
      </c>
      <c r="M18" s="39">
        <f t="shared" si="12"/>
        <v>-6.3529411764705945E-2</v>
      </c>
      <c r="N18" s="39">
        <f t="shared" si="12"/>
        <v>-0.12499999999999989</v>
      </c>
      <c r="O18" s="39">
        <f t="shared" si="12"/>
        <v>-0.14200000000000024</v>
      </c>
      <c r="P18" s="39">
        <f t="shared" si="12"/>
        <v>-8.1499999999999906E-2</v>
      </c>
      <c r="Q18" s="39">
        <f t="shared" si="12"/>
        <v>2.9999999999998916E-3</v>
      </c>
      <c r="R18" s="39">
        <f t="shared" si="12"/>
        <v>-8.7272727272727169E-2</v>
      </c>
      <c r="S18" s="39">
        <f t="shared" si="12"/>
        <v>4.9999999999998934E-3</v>
      </c>
      <c r="T18" s="39">
        <f t="shared" si="12"/>
        <v>4.9999999999998934E-3</v>
      </c>
    </row>
    <row r="19" spans="3:20" ht="16">
      <c r="C19" t="s">
        <v>347</v>
      </c>
      <c r="D19" s="240" t="s">
        <v>93</v>
      </c>
      <c r="E19" s="241"/>
      <c r="F19" s="242"/>
      <c r="G19" s="242">
        <f>G17-F17</f>
        <v>-14006</v>
      </c>
      <c r="H19" s="242">
        <f t="shared" ref="H19:J19" si="13">H17-G17</f>
        <v>-2406</v>
      </c>
      <c r="I19" s="242">
        <f t="shared" si="13"/>
        <v>3367</v>
      </c>
      <c r="J19" s="242">
        <f t="shared" si="13"/>
        <v>-12792</v>
      </c>
      <c r="K19" s="242">
        <f>K17-J17</f>
        <v>16159.830751135276</v>
      </c>
      <c r="L19" s="242">
        <f>L17-K17</f>
        <v>-9196.4616011315229</v>
      </c>
      <c r="M19" s="242">
        <f>M17-L17</f>
        <v>-6795.7010989414266</v>
      </c>
      <c r="N19" s="242">
        <f t="shared" ref="N19:T19" si="14">N17-M17</f>
        <v>-12521.708506382784</v>
      </c>
      <c r="O19" s="242">
        <f t="shared" si="14"/>
        <v>-12446.578255344517</v>
      </c>
      <c r="P19" s="242">
        <f t="shared" si="14"/>
        <v>-6129.2385750808025</v>
      </c>
      <c r="Q19" s="242">
        <f t="shared" si="14"/>
        <v>207.22842814275646</v>
      </c>
      <c r="R19" s="242">
        <f t="shared" si="14"/>
        <v>-6046.5487542455448</v>
      </c>
      <c r="S19" s="242">
        <f t="shared" si="14"/>
        <v>316.18411194074724</v>
      </c>
      <c r="T19" s="242">
        <f t="shared" si="14"/>
        <v>317.76503250045062</v>
      </c>
    </row>
    <row r="20" spans="3:20" ht="16">
      <c r="D20" s="240"/>
      <c r="E20" s="241"/>
    </row>
    <row r="21" spans="3:20" ht="16">
      <c r="C21" t="s">
        <v>348</v>
      </c>
      <c r="D21" s="240" t="s">
        <v>172</v>
      </c>
      <c r="E21" s="240"/>
      <c r="F21" s="242">
        <f>PL!J46</f>
        <v>15811</v>
      </c>
      <c r="G21" s="242">
        <f>PL!K46</f>
        <v>20304</v>
      </c>
      <c r="H21" s="242">
        <f>PL!L46</f>
        <v>20084</v>
      </c>
      <c r="I21" s="242">
        <f>PL!M46</f>
        <v>14147</v>
      </c>
      <c r="J21" s="242">
        <f>PL!N46</f>
        <v>6284</v>
      </c>
      <c r="K21" s="242">
        <f t="shared" ref="K21:T21" si="15">K8-K11-K15</f>
        <v>7084.4230237102638</v>
      </c>
      <c r="L21" s="242">
        <f t="shared" si="15"/>
        <v>6368.9811892498674</v>
      </c>
      <c r="M21" s="242">
        <f t="shared" si="15"/>
        <v>7714.5300924106305</v>
      </c>
      <c r="N21" s="242">
        <f t="shared" si="15"/>
        <v>8040.5244832485114</v>
      </c>
      <c r="O21" s="242">
        <f t="shared" si="15"/>
        <v>7944.2785267978261</v>
      </c>
      <c r="P21" s="242">
        <f t="shared" si="15"/>
        <v>8115.6591369909356</v>
      </c>
      <c r="Q21" s="242">
        <f t="shared" si="15"/>
        <v>9060.9144609473988</v>
      </c>
      <c r="R21" s="242">
        <f t="shared" si="15"/>
        <v>8927.8308031911347</v>
      </c>
      <c r="S21" s="242">
        <f t="shared" si="15"/>
        <v>8718.2217872495676</v>
      </c>
      <c r="T21" s="242">
        <f t="shared" si="15"/>
        <v>8507.564726228291</v>
      </c>
    </row>
    <row r="22" spans="3:20" ht="16">
      <c r="C22" t="s">
        <v>349</v>
      </c>
      <c r="D22" s="240" t="s">
        <v>350</v>
      </c>
      <c r="E22" s="241" t="s">
        <v>416</v>
      </c>
      <c r="F22" s="243">
        <f>-1*PL!J49/PL!J46</f>
        <v>0.30111947378407439</v>
      </c>
      <c r="G22" s="243">
        <f>-1*PL!K49/PL!K46</f>
        <v>0.27063632781717889</v>
      </c>
      <c r="H22" s="243">
        <f>-1*PL!L49/PL!L46</f>
        <v>0.27648874726150169</v>
      </c>
      <c r="I22" s="243">
        <f>-1*PL!M49/PL!M46</f>
        <v>0.26422563087580409</v>
      </c>
      <c r="J22" s="243">
        <f>-1*PL!N49/PL!N46</f>
        <v>0.15165499681731381</v>
      </c>
      <c r="K22" s="243">
        <v>0.3</v>
      </c>
      <c r="L22" s="243">
        <f t="shared" ref="L22:T22" si="16">K22</f>
        <v>0.3</v>
      </c>
      <c r="M22" s="243">
        <f>L22-0.5%</f>
        <v>0.29499999999999998</v>
      </c>
      <c r="N22" s="243">
        <f t="shared" ref="N22:Q22" si="17">M22-0.5%</f>
        <v>0.28999999999999998</v>
      </c>
      <c r="O22" s="243">
        <f t="shared" si="17"/>
        <v>0.28499999999999998</v>
      </c>
      <c r="P22" s="243">
        <f t="shared" si="17"/>
        <v>0.27999999999999997</v>
      </c>
      <c r="Q22" s="243">
        <f t="shared" si="17"/>
        <v>0.27499999999999997</v>
      </c>
      <c r="R22" s="243">
        <f t="shared" si="16"/>
        <v>0.27499999999999997</v>
      </c>
      <c r="S22" s="243">
        <f t="shared" si="16"/>
        <v>0.27499999999999997</v>
      </c>
      <c r="T22" s="243">
        <f t="shared" si="16"/>
        <v>0.27499999999999997</v>
      </c>
    </row>
    <row r="23" spans="3:20" ht="16">
      <c r="D23" s="240"/>
      <c r="E23" s="241"/>
    </row>
    <row r="24" spans="3:20" ht="16">
      <c r="C24" t="s">
        <v>351</v>
      </c>
      <c r="D24" s="240" t="s">
        <v>93</v>
      </c>
      <c r="E24" s="241"/>
      <c r="F24" s="242">
        <f t="shared" ref="F24:J24" si="18">F25-F26</f>
        <v>52154</v>
      </c>
      <c r="G24" s="242">
        <f t="shared" si="18"/>
        <v>58829</v>
      </c>
      <c r="H24" s="242">
        <f t="shared" si="18"/>
        <v>60189</v>
      </c>
      <c r="I24" s="242">
        <f t="shared" si="18"/>
        <v>61544</v>
      </c>
      <c r="J24" s="242">
        <f t="shared" si="18"/>
        <v>54117</v>
      </c>
      <c r="K24" s="242">
        <f t="shared" ref="K24:T24" si="19">K5/365*K27</f>
        <v>50511.958297187201</v>
      </c>
      <c r="L24" s="242">
        <f t="shared" si="19"/>
        <v>49249.15933975752</v>
      </c>
      <c r="M24" s="242">
        <f t="shared" si="19"/>
        <v>49002.913543058727</v>
      </c>
      <c r="N24" s="242">
        <f t="shared" si="19"/>
        <v>49002.913543058727</v>
      </c>
      <c r="O24" s="242">
        <f t="shared" si="19"/>
        <v>49051.916456601779</v>
      </c>
      <c r="P24" s="242">
        <f t="shared" si="19"/>
        <v>49150.020289514985</v>
      </c>
      <c r="Q24" s="242">
        <f t="shared" si="19"/>
        <v>49297.470350383534</v>
      </c>
      <c r="R24" s="242">
        <f t="shared" si="19"/>
        <v>49494.660231785063</v>
      </c>
      <c r="S24" s="242">
        <f t="shared" si="19"/>
        <v>49742.13353294399</v>
      </c>
      <c r="T24" s="242">
        <f t="shared" si="19"/>
        <v>49990.844200608699</v>
      </c>
    </row>
    <row r="25" spans="3:20" ht="16">
      <c r="C25" t="s">
        <v>352</v>
      </c>
      <c r="D25" s="240" t="s">
        <v>172</v>
      </c>
      <c r="E25" s="241"/>
      <c r="F25" s="242">
        <f>BS!J48+BS!J51+BS!J54+BS!J66</f>
        <v>62809</v>
      </c>
      <c r="G25" s="242">
        <f>BS!K48+BS!K51+BS!K54+BS!K66</f>
        <v>71033</v>
      </c>
      <c r="H25" s="242">
        <f>BS!L48+BS!L51+BS!L54+BS!L66</f>
        <v>73842</v>
      </c>
      <c r="I25" s="242">
        <f>BS!M48+BS!M51+BS!M54+BS!M66</f>
        <v>73561</v>
      </c>
      <c r="J25" s="242">
        <f>BS!N48+BS!N51+BS!N54+BS!N66</f>
        <v>65428</v>
      </c>
      <c r="K25" s="242"/>
      <c r="L25" s="242"/>
      <c r="M25" s="242"/>
      <c r="N25" s="242"/>
      <c r="O25" s="242"/>
      <c r="P25" s="242"/>
      <c r="Q25" s="242"/>
      <c r="R25" s="242"/>
      <c r="S25" s="242"/>
      <c r="T25" s="242"/>
    </row>
    <row r="26" spans="3:20" ht="16">
      <c r="C26" t="s">
        <v>353</v>
      </c>
      <c r="D26" s="240" t="s">
        <v>172</v>
      </c>
      <c r="E26" s="241"/>
      <c r="F26" s="242">
        <f>BS!J123+BS!J141</f>
        <v>10655</v>
      </c>
      <c r="G26" s="242">
        <f>BS!K123+BS!K141</f>
        <v>12204</v>
      </c>
      <c r="H26" s="242">
        <f>BS!L123+BS!L141</f>
        <v>13653</v>
      </c>
      <c r="I26" s="242">
        <f>BS!M123+BS!M141</f>
        <v>12017</v>
      </c>
      <c r="J26" s="242">
        <f>BS!N123+BS!N141</f>
        <v>11311</v>
      </c>
      <c r="K26" s="242"/>
      <c r="L26" s="242"/>
      <c r="M26" s="242"/>
      <c r="N26" s="242"/>
      <c r="O26" s="242"/>
      <c r="P26" s="242"/>
      <c r="Q26" s="242"/>
      <c r="R26" s="242"/>
      <c r="S26" s="242"/>
      <c r="T26" s="242"/>
    </row>
    <row r="27" spans="3:20" ht="16">
      <c r="C27" t="s">
        <v>354</v>
      </c>
      <c r="D27" s="240" t="s">
        <v>93</v>
      </c>
      <c r="E27" s="241"/>
      <c r="F27" s="242">
        <f t="shared" ref="F27:J27" si="20">F24/F5*365</f>
        <v>142.17479629256198</v>
      </c>
      <c r="G27" s="242">
        <f t="shared" si="20"/>
        <v>143.13434477425892</v>
      </c>
      <c r="H27" s="242">
        <f t="shared" si="20"/>
        <v>144.16290439005184</v>
      </c>
      <c r="I27" s="242">
        <f t="shared" si="20"/>
        <v>154.28905037295493</v>
      </c>
      <c r="J27" s="242">
        <f t="shared" si="20"/>
        <v>149.39949627119671</v>
      </c>
      <c r="K27" s="242">
        <f>AVERAGE(F27:J27)</f>
        <v>146.63211842020488</v>
      </c>
      <c r="L27" s="242">
        <f t="shared" ref="L27:T27" si="21">K27</f>
        <v>146.63211842020488</v>
      </c>
      <c r="M27" s="242">
        <f t="shared" si="21"/>
        <v>146.63211842020488</v>
      </c>
      <c r="N27" s="242">
        <f t="shared" si="21"/>
        <v>146.63211842020488</v>
      </c>
      <c r="O27" s="242">
        <f t="shared" si="21"/>
        <v>146.63211842020488</v>
      </c>
      <c r="P27" s="242">
        <f t="shared" si="21"/>
        <v>146.63211842020488</v>
      </c>
      <c r="Q27" s="242">
        <f t="shared" si="21"/>
        <v>146.63211842020488</v>
      </c>
      <c r="R27" s="242">
        <f t="shared" si="21"/>
        <v>146.63211842020488</v>
      </c>
      <c r="S27" s="242">
        <f t="shared" si="21"/>
        <v>146.63211842020488</v>
      </c>
      <c r="T27" s="242">
        <f t="shared" si="21"/>
        <v>146.63211842020488</v>
      </c>
    </row>
    <row r="28" spans="3:20" ht="16">
      <c r="C28" t="s">
        <v>355</v>
      </c>
      <c r="D28" s="240" t="s">
        <v>93</v>
      </c>
      <c r="E28" s="241"/>
      <c r="F28" s="242"/>
      <c r="G28" s="242">
        <f t="shared" ref="G28:J28" si="22">G25-F25</f>
        <v>8224</v>
      </c>
      <c r="H28" s="242">
        <f t="shared" si="22"/>
        <v>2809</v>
      </c>
      <c r="I28" s="242">
        <f t="shared" si="22"/>
        <v>-281</v>
      </c>
      <c r="J28" s="242">
        <f t="shared" si="22"/>
        <v>-8133</v>
      </c>
      <c r="K28" s="242">
        <f>K24-J24</f>
        <v>-3605.0417028127995</v>
      </c>
      <c r="L28" s="242">
        <f t="shared" ref="L28:T28" si="23">L24-K24</f>
        <v>-1262.7989574296807</v>
      </c>
      <c r="M28" s="242">
        <f t="shared" si="23"/>
        <v>-246.24579669879313</v>
      </c>
      <c r="N28" s="242">
        <f t="shared" si="23"/>
        <v>0</v>
      </c>
      <c r="O28" s="242">
        <f t="shared" si="23"/>
        <v>49.002913543052273</v>
      </c>
      <c r="P28" s="242">
        <f t="shared" si="23"/>
        <v>98.103832913206134</v>
      </c>
      <c r="Q28" s="242">
        <f t="shared" si="23"/>
        <v>147.45006086854846</v>
      </c>
      <c r="R28" s="242">
        <f t="shared" si="23"/>
        <v>197.18988140152942</v>
      </c>
      <c r="S28" s="242">
        <f t="shared" si="23"/>
        <v>247.47330115892692</v>
      </c>
      <c r="T28" s="242">
        <f t="shared" si="23"/>
        <v>248.71066766470904</v>
      </c>
    </row>
    <row r="29" spans="3:20">
      <c r="E29" s="242"/>
    </row>
    <row r="30" spans="3:20">
      <c r="E30" s="242"/>
    </row>
    <row r="31" spans="3:20">
      <c r="C31" t="s">
        <v>356</v>
      </c>
      <c r="E31" s="242"/>
      <c r="K31" s="242">
        <f t="shared" ref="K31:T31" si="24">(K8-K11)*(1-K22)</f>
        <v>7805.1589699999986</v>
      </c>
      <c r="L31" s="242">
        <f t="shared" si="24"/>
        <v>7079.0363766499986</v>
      </c>
      <c r="M31" s="242">
        <f t="shared" si="24"/>
        <v>7557.4167944294632</v>
      </c>
      <c r="N31" s="242">
        <f t="shared" si="24"/>
        <v>7264.594665024505</v>
      </c>
      <c r="O31" s="242">
        <f t="shared" si="24"/>
        <v>7024.4553372073096</v>
      </c>
      <c r="P31" s="242">
        <f t="shared" si="24"/>
        <v>6837.9710337187344</v>
      </c>
      <c r="Q31" s="242">
        <f t="shared" si="24"/>
        <v>7573.7718657516216</v>
      </c>
      <c r="R31" s="242">
        <f t="shared" si="24"/>
        <v>7389.6112569417692</v>
      </c>
      <c r="S31" s="242">
        <f t="shared" si="24"/>
        <v>7242.2293900072746</v>
      </c>
      <c r="T31" s="242">
        <f t="shared" si="24"/>
        <v>7094.1106137381048</v>
      </c>
    </row>
    <row r="32" spans="3:20">
      <c r="C32" t="s">
        <v>357</v>
      </c>
      <c r="E32" s="242"/>
      <c r="K32" s="242">
        <f t="shared" ref="K32:T32" si="25">K11</f>
        <v>7710.1</v>
      </c>
      <c r="L32" s="242">
        <f t="shared" si="25"/>
        <v>8275.9098130000002</v>
      </c>
      <c r="M32" s="242">
        <f t="shared" si="25"/>
        <v>8796.9263491375004</v>
      </c>
      <c r="N32" s="242">
        <f t="shared" si="25"/>
        <v>9284.8430112144997</v>
      </c>
      <c r="O32" s="242">
        <f t="shared" si="25"/>
        <v>9711.7700905318743</v>
      </c>
      <c r="P32" s="242">
        <f t="shared" si="25"/>
        <v>10078.073524586182</v>
      </c>
      <c r="Q32" s="242">
        <f t="shared" si="25"/>
        <v>10414.523228765063</v>
      </c>
      <c r="R32" s="242">
        <f t="shared" si="25"/>
        <v>10751.982282056482</v>
      </c>
      <c r="S32" s="242">
        <f t="shared" si="25"/>
        <v>11059.990363424286</v>
      </c>
      <c r="T32" s="242">
        <f t="shared" si="25"/>
        <v>11369.538485198927</v>
      </c>
    </row>
    <row r="33" spans="3:20">
      <c r="C33" t="s">
        <v>355</v>
      </c>
      <c r="E33" s="242"/>
      <c r="K33" s="242">
        <f t="shared" ref="K33:T33" si="26">-K28</f>
        <v>3605.0417028127995</v>
      </c>
      <c r="L33" s="242">
        <f t="shared" si="26"/>
        <v>1262.7989574296807</v>
      </c>
      <c r="M33" s="242">
        <f t="shared" si="26"/>
        <v>246.24579669879313</v>
      </c>
      <c r="N33" s="242">
        <f t="shared" si="26"/>
        <v>0</v>
      </c>
      <c r="O33" s="242">
        <f t="shared" si="26"/>
        <v>-49.002913543052273</v>
      </c>
      <c r="P33" s="242">
        <f t="shared" si="26"/>
        <v>-98.103832913206134</v>
      </c>
      <c r="Q33" s="242">
        <f t="shared" si="26"/>
        <v>-147.45006086854846</v>
      </c>
      <c r="R33" s="242">
        <f t="shared" si="26"/>
        <v>-197.18988140152942</v>
      </c>
      <c r="S33" s="242">
        <f t="shared" si="26"/>
        <v>-247.47330115892692</v>
      </c>
      <c r="T33" s="242">
        <f t="shared" si="26"/>
        <v>-248.71066766470904</v>
      </c>
    </row>
    <row r="34" spans="3:20">
      <c r="C34" t="s">
        <v>358</v>
      </c>
      <c r="E34" s="242"/>
      <c r="K34" s="242">
        <f t="shared" ref="K34:T34" si="27">-K12</f>
        <v>-11316.196259999999</v>
      </c>
      <c r="L34" s="242">
        <f t="shared" si="27"/>
        <v>-10420.330722750001</v>
      </c>
      <c r="M34" s="242">
        <f t="shared" si="27"/>
        <v>-9758.33324154</v>
      </c>
      <c r="N34" s="242">
        <f t="shared" si="27"/>
        <v>-8538.5415863475009</v>
      </c>
      <c r="O34" s="242">
        <f t="shared" si="27"/>
        <v>-7326.0686810861534</v>
      </c>
      <c r="P34" s="242">
        <f t="shared" si="27"/>
        <v>-6728.9940835776324</v>
      </c>
      <c r="Q34" s="242">
        <f t="shared" si="27"/>
        <v>-6749.1810658283648</v>
      </c>
      <c r="R34" s="242">
        <f t="shared" si="27"/>
        <v>-6160.1616273560721</v>
      </c>
      <c r="S34" s="242">
        <f t="shared" si="27"/>
        <v>-6190.9624354928519</v>
      </c>
      <c r="T34" s="242">
        <f t="shared" si="27"/>
        <v>-6221.9172476703152</v>
      </c>
    </row>
    <row r="35" spans="3:20">
      <c r="C35" s="36" t="s">
        <v>359</v>
      </c>
      <c r="E35" s="242"/>
      <c r="K35" s="246">
        <f t="shared" ref="K35:T35" si="28">SUM(K31:K34)</f>
        <v>7804.1044128127996</v>
      </c>
      <c r="L35" s="246">
        <f t="shared" si="28"/>
        <v>6197.4144243296796</v>
      </c>
      <c r="M35" s="246">
        <f t="shared" si="28"/>
        <v>6842.2556987257558</v>
      </c>
      <c r="N35" s="246">
        <f t="shared" si="28"/>
        <v>8010.8960898915047</v>
      </c>
      <c r="O35" s="246">
        <f t="shared" si="28"/>
        <v>9361.1538331099782</v>
      </c>
      <c r="P35" s="246">
        <f t="shared" si="28"/>
        <v>10088.946641814076</v>
      </c>
      <c r="Q35" s="246">
        <f t="shared" si="28"/>
        <v>11091.663967819772</v>
      </c>
      <c r="R35" s="246">
        <f t="shared" si="28"/>
        <v>11784.24203024065</v>
      </c>
      <c r="S35" s="246">
        <f t="shared" si="28"/>
        <v>11863.78401677978</v>
      </c>
      <c r="T35" s="246">
        <f t="shared" si="28"/>
        <v>11993.021183602008</v>
      </c>
    </row>
    <row r="36" spans="3:20">
      <c r="E36" s="242"/>
    </row>
    <row r="37" spans="3:20" ht="16">
      <c r="C37" t="s">
        <v>360</v>
      </c>
      <c r="D37" s="39">
        <f>WACC!I11</f>
        <v>6.4819448571798791E-2</v>
      </c>
      <c r="E37" s="241"/>
    </row>
    <row r="38" spans="3:20" ht="16">
      <c r="C38" t="s">
        <v>262</v>
      </c>
      <c r="E38" s="241"/>
      <c r="J38">
        <v>1</v>
      </c>
      <c r="K38" s="247">
        <f>J38/(1+$D$37)</f>
        <v>0.93912634798440375</v>
      </c>
      <c r="L38" s="247">
        <f t="shared" ref="L38:T38" si="29">K38/(1+$D$37)</f>
        <v>0.88195829747852339</v>
      </c>
      <c r="M38" s="247">
        <f t="shared" si="29"/>
        <v>0.82827027498554806</v>
      </c>
      <c r="N38" s="247">
        <f t="shared" si="29"/>
        <v>0.7778504384912156</v>
      </c>
      <c r="O38" s="247">
        <f t="shared" si="29"/>
        <v>0.73049984157832237</v>
      </c>
      <c r="P38" s="247">
        <f t="shared" si="29"/>
        <v>0.68603164842463538</v>
      </c>
      <c r="Q38" s="247">
        <f t="shared" si="29"/>
        <v>0.64427039658674823</v>
      </c>
      <c r="R38" s="247">
        <f t="shared" si="29"/>
        <v>0.60505130466097634</v>
      </c>
      <c r="S38" s="247">
        <f t="shared" si="29"/>
        <v>0.56821962208946153</v>
      </c>
      <c r="T38" s="247">
        <f t="shared" si="29"/>
        <v>0.53363001854595404</v>
      </c>
    </row>
    <row r="39" spans="3:20" ht="16">
      <c r="C39" t="s">
        <v>361</v>
      </c>
      <c r="E39" s="241"/>
      <c r="K39" s="242">
        <f t="shared" ref="K39:T39" si="30">K35*K38</f>
        <v>7329.040076493854</v>
      </c>
      <c r="L39" s="242">
        <f t="shared" si="30"/>
        <v>5465.8610744506477</v>
      </c>
      <c r="M39" s="242">
        <f t="shared" si="30"/>
        <v>5667.2370091050152</v>
      </c>
      <c r="N39" s="242">
        <f t="shared" si="30"/>
        <v>6231.2790362296719</v>
      </c>
      <c r="O39" s="242">
        <f t="shared" si="30"/>
        <v>6838.3213920771441</v>
      </c>
      <c r="P39" s="242">
        <f t="shared" si="30"/>
        <v>6921.3366955519004</v>
      </c>
      <c r="Q39" s="242">
        <f t="shared" si="30"/>
        <v>7146.0307433541893</v>
      </c>
      <c r="R39" s="242">
        <f t="shared" si="30"/>
        <v>7130.0710148378175</v>
      </c>
      <c r="S39" s="242">
        <f t="shared" si="30"/>
        <v>6741.2348705656004</v>
      </c>
      <c r="T39" s="242">
        <f t="shared" si="30"/>
        <v>6399.836116627559</v>
      </c>
    </row>
    <row r="40" spans="3:20" ht="16">
      <c r="C40" t="s">
        <v>362</v>
      </c>
      <c r="D40" s="243">
        <v>6.0000000000000001E-3</v>
      </c>
      <c r="E40" s="241" t="s">
        <v>430</v>
      </c>
    </row>
    <row r="41" spans="3:20" ht="16">
      <c r="C41" t="s">
        <v>363</v>
      </c>
      <c r="E41" s="241"/>
      <c r="T41" s="242">
        <f>T35*(1+D40)/(D37-D40)*T38</f>
        <v>109457.59080805394</v>
      </c>
    </row>
    <row r="42" spans="3:20" ht="16">
      <c r="E42" s="241"/>
    </row>
    <row r="43" spans="3:20" ht="16">
      <c r="C43" t="s">
        <v>364</v>
      </c>
      <c r="D43" s="242">
        <f>SUM(K39:T39)+T41</f>
        <v>175327.83883734734</v>
      </c>
      <c r="E43" s="241"/>
    </row>
    <row r="44" spans="3:20" ht="16">
      <c r="C44" t="s">
        <v>365</v>
      </c>
      <c r="D44" s="242">
        <f>Ratios!D7</f>
        <v>88640</v>
      </c>
      <c r="E44" s="240" t="s">
        <v>373</v>
      </c>
      <c r="K44" s="247"/>
      <c r="L44" s="247"/>
      <c r="M44" s="247"/>
      <c r="N44" s="247"/>
      <c r="O44" s="247"/>
      <c r="P44" s="247"/>
      <c r="Q44" s="247"/>
      <c r="R44" s="247"/>
      <c r="S44" s="247"/>
      <c r="T44" s="247"/>
    </row>
    <row r="45" spans="3:20" ht="16">
      <c r="C45" t="s">
        <v>366</v>
      </c>
      <c r="D45" s="242">
        <f>D43-D44</f>
        <v>86687.838837347343</v>
      </c>
      <c r="E45" s="241"/>
    </row>
    <row r="46" spans="3:20" ht="16">
      <c r="C46" t="s">
        <v>367</v>
      </c>
      <c r="D46" s="242">
        <f>Ratios!D4</f>
        <v>962.90370299999995</v>
      </c>
      <c r="E46" s="240"/>
    </row>
    <row r="47" spans="3:20" ht="16">
      <c r="C47" t="s">
        <v>368</v>
      </c>
      <c r="D47" s="185">
        <f>D45/D46</f>
        <v>90.027526706216591</v>
      </c>
      <c r="E47" s="241" t="s">
        <v>198</v>
      </c>
    </row>
    <row r="48" spans="3:20" ht="16">
      <c r="E48" s="240"/>
    </row>
    <row r="49" spans="2:20" ht="16">
      <c r="B49" s="11"/>
      <c r="C49" s="11" t="s">
        <v>369</v>
      </c>
      <c r="D49" s="11"/>
      <c r="E49" s="240"/>
      <c r="K49" s="242">
        <f t="shared" ref="K49:T49" si="31">K35-K15*(1-K22)+K19</f>
        <v>21117.872310545259</v>
      </c>
      <c r="L49" s="242">
        <f t="shared" si="31"/>
        <v>-5619.7967209769358</v>
      </c>
      <c r="M49" s="242">
        <f t="shared" si="31"/>
        <v>-2072.1184794956389</v>
      </c>
      <c r="N49" s="242">
        <f t="shared" si="31"/>
        <v>-6066.6346984093407</v>
      </c>
      <c r="O49" s="242">
        <f t="shared" si="31"/>
        <v>-4429.7206127814025</v>
      </c>
      <c r="P49" s="242">
        <f t="shared" si="31"/>
        <v>2965.0116116480131</v>
      </c>
      <c r="Q49" s="242">
        <f t="shared" si="31"/>
        <v>10294.283514397772</v>
      </c>
      <c r="R49" s="242">
        <f t="shared" si="31"/>
        <v>4820.759351366909</v>
      </c>
      <c r="S49" s="242">
        <f t="shared" si="31"/>
        <v>11258.449534469191</v>
      </c>
      <c r="T49" s="242">
        <f t="shared" si="31"/>
        <v>11384.660028879865</v>
      </c>
    </row>
    <row r="50" spans="2:20" ht="16">
      <c r="D50" s="39"/>
      <c r="E50" s="240"/>
    </row>
    <row r="51" spans="2:20" ht="16">
      <c r="C51" t="s">
        <v>370</v>
      </c>
      <c r="D51" s="39">
        <f>COE!I10</f>
        <v>0.10484757449470927</v>
      </c>
      <c r="E51" s="240"/>
    </row>
    <row r="52" spans="2:20" ht="16">
      <c r="C52" t="s">
        <v>262</v>
      </c>
      <c r="E52" s="240"/>
      <c r="J52">
        <v>1</v>
      </c>
      <c r="K52" s="247">
        <f>J52/(1+$D$51)</f>
        <v>0.90510222684549024</v>
      </c>
      <c r="L52" s="247">
        <f t="shared" ref="L52:T52" si="32">K52/(1+$D$51)</f>
        <v>0.8192100410406653</v>
      </c>
      <c r="M52" s="247">
        <f t="shared" si="32"/>
        <v>0.74146883240009165</v>
      </c>
      <c r="N52" s="247">
        <f t="shared" si="32"/>
        <v>0.67110509134184848</v>
      </c>
      <c r="O52" s="247">
        <f t="shared" si="32"/>
        <v>0.60741871262085323</v>
      </c>
      <c r="P52" s="247">
        <f t="shared" si="32"/>
        <v>0.5497760294207551</v>
      </c>
      <c r="Q52" s="247">
        <f t="shared" si="32"/>
        <v>0.49760350849499718</v>
      </c>
      <c r="R52" s="247">
        <f t="shared" si="32"/>
        <v>0.45038204362495077</v>
      </c>
      <c r="S52" s="247">
        <f t="shared" si="32"/>
        <v>0.40764179061616568</v>
      </c>
      <c r="T52" s="247">
        <f t="shared" si="32"/>
        <v>0.36895749244197462</v>
      </c>
    </row>
    <row r="53" spans="2:20" ht="16">
      <c r="C53" t="s">
        <v>361</v>
      </c>
      <c r="E53" s="240"/>
      <c r="K53" s="242">
        <f t="shared" ref="K53:T53" si="33">K49*K52</f>
        <v>19113.833254513233</v>
      </c>
      <c r="L53" s="242">
        <f t="shared" si="33"/>
        <v>-4603.793902431712</v>
      </c>
      <c r="M53" s="242">
        <f t="shared" si="33"/>
        <v>-1536.4112695862846</v>
      </c>
      <c r="N53" s="242">
        <f t="shared" si="33"/>
        <v>-4071.349433413628</v>
      </c>
      <c r="O53" s="242">
        <f t="shared" si="33"/>
        <v>-2690.6951918857367</v>
      </c>
      <c r="P53" s="242">
        <f t="shared" si="33"/>
        <v>1630.0923110382785</v>
      </c>
      <c r="Q53" s="242">
        <f t="shared" si="33"/>
        <v>5122.4715942065413</v>
      </c>
      <c r="R53" s="242">
        <f t="shared" si="33"/>
        <v>2171.1834484927203</v>
      </c>
      <c r="S53" s="242">
        <f t="shared" si="33"/>
        <v>4589.4145277927582</v>
      </c>
      <c r="T53" s="242">
        <f t="shared" si="33"/>
        <v>4200.4556165598933</v>
      </c>
    </row>
    <row r="54" spans="2:20" ht="16">
      <c r="C54" t="s">
        <v>362</v>
      </c>
      <c r="D54" s="243">
        <f>D40</f>
        <v>6.0000000000000001E-3</v>
      </c>
      <c r="E54" s="240"/>
    </row>
    <row r="55" spans="2:20" ht="16">
      <c r="C55" t="s">
        <v>363</v>
      </c>
      <c r="E55" s="240"/>
      <c r="T55" s="242">
        <f>T49*(1+D54)/(D51-D54)*T52</f>
        <v>42749.236608586965</v>
      </c>
    </row>
    <row r="56" spans="2:20" ht="16">
      <c r="E56" s="240"/>
    </row>
    <row r="57" spans="2:20" ht="16">
      <c r="C57" t="s">
        <v>366</v>
      </c>
      <c r="D57" s="242">
        <f>SUM(K53:T53)+T55+Ratios!D5</f>
        <v>78928.437563873027</v>
      </c>
      <c r="E57" s="240" t="s">
        <v>429</v>
      </c>
    </row>
    <row r="58" spans="2:20" ht="16">
      <c r="C58" t="s">
        <v>367</v>
      </c>
      <c r="D58" s="242">
        <f>D46</f>
        <v>962.90370299999995</v>
      </c>
      <c r="E58" s="240"/>
    </row>
    <row r="59" spans="2:20" ht="16">
      <c r="C59" t="s">
        <v>368</v>
      </c>
      <c r="D59" s="185">
        <f>D57/D58</f>
        <v>81.969191018754486</v>
      </c>
      <c r="E59" s="241" t="s">
        <v>198</v>
      </c>
    </row>
    <row r="60" spans="2:20" ht="16">
      <c r="C60" t="s">
        <v>239</v>
      </c>
      <c r="D60">
        <f>Ratios!D3</f>
        <v>52.19</v>
      </c>
      <c r="E60" s="240" t="s">
        <v>198</v>
      </c>
    </row>
    <row r="61" spans="2:20" ht="16">
      <c r="C61" t="s">
        <v>380</v>
      </c>
      <c r="D61" s="244">
        <f>D59/D60-1</f>
        <v>0.57059189535839216</v>
      </c>
      <c r="E61" s="240"/>
    </row>
  </sheetData>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
  <sheetViews>
    <sheetView showGridLines="0" workbookViewId="0">
      <selection activeCell="N21" sqref="N21"/>
    </sheetView>
  </sheetViews>
  <sheetFormatPr baseColWidth="10" defaultColWidth="8.83203125" defaultRowHeight="1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59E78-288D-EB44-94BB-4EC01594F909}">
  <sheetPr>
    <tabColor rgb="FFFFCC99"/>
  </sheetPr>
  <dimension ref="A1:AB31"/>
  <sheetViews>
    <sheetView showGridLines="0" zoomScale="87" workbookViewId="0">
      <selection activeCell="G1" sqref="G1"/>
    </sheetView>
  </sheetViews>
  <sheetFormatPr baseColWidth="10" defaultColWidth="8.83203125" defaultRowHeight="14"/>
  <cols>
    <col min="1" max="1" width="16" style="174" customWidth="1"/>
    <col min="2" max="2" width="22" style="174" customWidth="1"/>
    <col min="3" max="3" width="14" style="174" customWidth="1"/>
    <col min="4" max="4" width="16" style="174" customWidth="1"/>
    <col min="5" max="6" width="18" style="174" customWidth="1"/>
    <col min="7" max="7" width="42" style="174" customWidth="1"/>
    <col min="8" max="16384" width="8.83203125" style="174"/>
  </cols>
  <sheetData>
    <row r="1" spans="1:28" ht="42.75" customHeight="1">
      <c r="A1" s="180" t="s">
        <v>315</v>
      </c>
      <c r="B1" s="180" t="s">
        <v>316</v>
      </c>
      <c r="C1" s="180" t="s">
        <v>324</v>
      </c>
      <c r="D1" s="180" t="s">
        <v>317</v>
      </c>
      <c r="E1" s="180" t="s">
        <v>318</v>
      </c>
      <c r="F1" s="180" t="s">
        <v>325</v>
      </c>
      <c r="G1" s="180" t="s">
        <v>326</v>
      </c>
      <c r="I1" s="251" t="s">
        <v>327</v>
      </c>
      <c r="J1" s="252"/>
      <c r="K1" s="252"/>
      <c r="L1" s="252"/>
      <c r="M1" s="252"/>
      <c r="N1" s="252"/>
      <c r="O1" s="252"/>
      <c r="P1" s="252"/>
      <c r="Q1" s="252"/>
      <c r="R1" s="252"/>
      <c r="S1" s="252"/>
      <c r="T1" s="253"/>
      <c r="V1" s="260" t="s">
        <v>328</v>
      </c>
      <c r="W1" s="261"/>
      <c r="X1" s="261"/>
      <c r="Y1" s="261"/>
      <c r="Z1" s="261"/>
      <c r="AA1" s="261"/>
      <c r="AB1" s="262"/>
    </row>
    <row r="2" spans="1:28" ht="15">
      <c r="A2" s="181">
        <v>2002</v>
      </c>
      <c r="B2" s="182">
        <v>1</v>
      </c>
      <c r="C2" s="183"/>
      <c r="D2" s="181"/>
      <c r="E2" s="181">
        <v>40</v>
      </c>
      <c r="F2" s="181" t="str">
        <f t="shared" ref="F2:F25" si="0">IF(D2="","",D2-E2)</f>
        <v/>
      </c>
      <c r="G2" s="184"/>
      <c r="I2" s="254"/>
      <c r="J2" s="255"/>
      <c r="K2" s="255"/>
      <c r="L2" s="255"/>
      <c r="M2" s="255"/>
      <c r="N2" s="255"/>
      <c r="O2" s="255"/>
      <c r="P2" s="255"/>
      <c r="Q2" s="255"/>
      <c r="R2" s="255"/>
      <c r="S2" s="255"/>
      <c r="T2" s="256"/>
      <c r="V2" s="263"/>
      <c r="W2" s="264"/>
      <c r="X2" s="264"/>
      <c r="Y2" s="264"/>
      <c r="Z2" s="264"/>
      <c r="AA2" s="264"/>
      <c r="AB2" s="265"/>
    </row>
    <row r="3" spans="1:28" ht="15">
      <c r="A3" s="181">
        <v>2003</v>
      </c>
      <c r="B3" s="182">
        <v>1.5</v>
      </c>
      <c r="C3" s="183">
        <f t="shared" ref="C3:C25" si="1">IFERROR(B3/B2-1,"")</f>
        <v>0.5</v>
      </c>
      <c r="D3" s="181"/>
      <c r="E3" s="181">
        <v>40</v>
      </c>
      <c r="F3" s="181" t="str">
        <f t="shared" si="0"/>
        <v/>
      </c>
      <c r="G3" s="184"/>
      <c r="I3" s="254"/>
      <c r="J3" s="255"/>
      <c r="K3" s="255"/>
      <c r="L3" s="255"/>
      <c r="M3" s="255"/>
      <c r="N3" s="255"/>
      <c r="O3" s="255"/>
      <c r="P3" s="255"/>
      <c r="Q3" s="255"/>
      <c r="R3" s="255"/>
      <c r="S3" s="255"/>
      <c r="T3" s="256"/>
      <c r="V3" s="263"/>
      <c r="W3" s="264"/>
      <c r="X3" s="264"/>
      <c r="Y3" s="264"/>
      <c r="Z3" s="264"/>
      <c r="AA3" s="264"/>
      <c r="AB3" s="265"/>
    </row>
    <row r="4" spans="1:28" ht="15">
      <c r="A4" s="181">
        <v>2004</v>
      </c>
      <c r="B4" s="182">
        <v>1.5</v>
      </c>
      <c r="C4" s="183">
        <f t="shared" si="1"/>
        <v>0</v>
      </c>
      <c r="D4" s="181"/>
      <c r="E4" s="181">
        <v>40</v>
      </c>
      <c r="F4" s="181" t="str">
        <f t="shared" si="0"/>
        <v/>
      </c>
      <c r="G4" s="184"/>
      <c r="I4" s="254"/>
      <c r="J4" s="255"/>
      <c r="K4" s="255"/>
      <c r="L4" s="255"/>
      <c r="M4" s="255"/>
      <c r="N4" s="255"/>
      <c r="O4" s="255"/>
      <c r="P4" s="255"/>
      <c r="Q4" s="255"/>
      <c r="R4" s="255"/>
      <c r="S4" s="255"/>
      <c r="T4" s="256"/>
      <c r="V4" s="263"/>
      <c r="W4" s="264"/>
      <c r="X4" s="264"/>
      <c r="Y4" s="264"/>
      <c r="Z4" s="264"/>
      <c r="AA4" s="264"/>
      <c r="AB4" s="265"/>
    </row>
    <row r="5" spans="1:28" ht="15">
      <c r="A5" s="181">
        <v>2005</v>
      </c>
      <c r="B5" s="182">
        <v>1.5</v>
      </c>
      <c r="C5" s="183">
        <f t="shared" si="1"/>
        <v>0</v>
      </c>
      <c r="D5" s="181"/>
      <c r="E5" s="181">
        <v>40</v>
      </c>
      <c r="F5" s="181" t="str">
        <f t="shared" si="0"/>
        <v/>
      </c>
      <c r="G5" s="184"/>
      <c r="I5" s="254"/>
      <c r="J5" s="255"/>
      <c r="K5" s="255"/>
      <c r="L5" s="255"/>
      <c r="M5" s="255"/>
      <c r="N5" s="255"/>
      <c r="O5" s="255"/>
      <c r="P5" s="255"/>
      <c r="Q5" s="255"/>
      <c r="R5" s="255"/>
      <c r="S5" s="255"/>
      <c r="T5" s="256"/>
      <c r="V5" s="263"/>
      <c r="W5" s="264"/>
      <c r="X5" s="264"/>
      <c r="Y5" s="264"/>
      <c r="Z5" s="264"/>
      <c r="AA5" s="264"/>
      <c r="AB5" s="265"/>
    </row>
    <row r="6" spans="1:28" ht="15">
      <c r="A6" s="181">
        <v>2006</v>
      </c>
      <c r="B6" s="182">
        <v>1.5</v>
      </c>
      <c r="C6" s="183">
        <f t="shared" si="1"/>
        <v>0</v>
      </c>
      <c r="D6" s="181"/>
      <c r="E6" s="181">
        <v>40</v>
      </c>
      <c r="F6" s="181" t="str">
        <f t="shared" si="0"/>
        <v/>
      </c>
      <c r="G6" s="184"/>
      <c r="I6" s="254"/>
      <c r="J6" s="255"/>
      <c r="K6" s="255"/>
      <c r="L6" s="255"/>
      <c r="M6" s="255"/>
      <c r="N6" s="255"/>
      <c r="O6" s="255"/>
      <c r="P6" s="255"/>
      <c r="Q6" s="255"/>
      <c r="R6" s="255"/>
      <c r="S6" s="255"/>
      <c r="T6" s="256"/>
      <c r="V6" s="263"/>
      <c r="W6" s="264"/>
      <c r="X6" s="264"/>
      <c r="Y6" s="264"/>
      <c r="Z6" s="264"/>
      <c r="AA6" s="264"/>
      <c r="AB6" s="265"/>
    </row>
    <row r="7" spans="1:28" ht="15">
      <c r="A7" s="181">
        <v>2007</v>
      </c>
      <c r="B7" s="182">
        <v>1.5</v>
      </c>
      <c r="C7" s="183">
        <f t="shared" si="1"/>
        <v>0</v>
      </c>
      <c r="D7" s="181"/>
      <c r="E7" s="181">
        <v>40</v>
      </c>
      <c r="F7" s="181" t="str">
        <f t="shared" si="0"/>
        <v/>
      </c>
      <c r="G7" s="184"/>
      <c r="I7" s="254"/>
      <c r="J7" s="255"/>
      <c r="K7" s="255"/>
      <c r="L7" s="255"/>
      <c r="M7" s="255"/>
      <c r="N7" s="255"/>
      <c r="O7" s="255"/>
      <c r="P7" s="255"/>
      <c r="Q7" s="255"/>
      <c r="R7" s="255"/>
      <c r="S7" s="255"/>
      <c r="T7" s="256"/>
      <c r="V7" s="263"/>
      <c r="W7" s="264"/>
      <c r="X7" s="264"/>
      <c r="Y7" s="264"/>
      <c r="Z7" s="264"/>
      <c r="AA7" s="264"/>
      <c r="AB7" s="265"/>
    </row>
    <row r="8" spans="1:28" ht="15">
      <c r="A8" s="181">
        <v>2008</v>
      </c>
      <c r="B8" s="182">
        <v>2</v>
      </c>
      <c r="C8" s="183">
        <f t="shared" si="1"/>
        <v>0.33333333333333326</v>
      </c>
      <c r="D8" s="181"/>
      <c r="E8" s="181">
        <v>40</v>
      </c>
      <c r="F8" s="181" t="str">
        <f t="shared" si="0"/>
        <v/>
      </c>
      <c r="G8" s="184"/>
      <c r="I8" s="254"/>
      <c r="J8" s="255"/>
      <c r="K8" s="255"/>
      <c r="L8" s="255"/>
      <c r="M8" s="255"/>
      <c r="N8" s="255"/>
      <c r="O8" s="255"/>
      <c r="P8" s="255"/>
      <c r="Q8" s="255"/>
      <c r="R8" s="255"/>
      <c r="S8" s="255"/>
      <c r="T8" s="256"/>
      <c r="V8" s="263"/>
      <c r="W8" s="264"/>
      <c r="X8" s="264"/>
      <c r="Y8" s="264"/>
      <c r="Z8" s="264"/>
      <c r="AA8" s="264"/>
      <c r="AB8" s="265"/>
    </row>
    <row r="9" spans="1:28" ht="15">
      <c r="A9" s="181">
        <v>2009</v>
      </c>
      <c r="B9" s="182">
        <v>0.6</v>
      </c>
      <c r="C9" s="183">
        <f t="shared" si="1"/>
        <v>-0.7</v>
      </c>
      <c r="D9" s="181"/>
      <c r="E9" s="181">
        <v>40</v>
      </c>
      <c r="F9" s="181" t="str">
        <f t="shared" si="0"/>
        <v/>
      </c>
      <c r="G9" s="184" t="s">
        <v>329</v>
      </c>
      <c r="I9" s="254"/>
      <c r="J9" s="255"/>
      <c r="K9" s="255"/>
      <c r="L9" s="255"/>
      <c r="M9" s="255"/>
      <c r="N9" s="255"/>
      <c r="O9" s="255"/>
      <c r="P9" s="255"/>
      <c r="Q9" s="255"/>
      <c r="R9" s="255"/>
      <c r="S9" s="255"/>
      <c r="T9" s="256"/>
      <c r="V9" s="263"/>
      <c r="W9" s="264"/>
      <c r="X9" s="264"/>
      <c r="Y9" s="264"/>
      <c r="Z9" s="264"/>
      <c r="AA9" s="264"/>
      <c r="AB9" s="265"/>
    </row>
    <row r="10" spans="1:28" ht="15">
      <c r="A10" s="181">
        <v>2010</v>
      </c>
      <c r="B10" s="182">
        <v>1.85</v>
      </c>
      <c r="C10" s="183">
        <f t="shared" si="1"/>
        <v>2.0833333333333335</v>
      </c>
      <c r="D10" s="181"/>
      <c r="E10" s="181">
        <v>40</v>
      </c>
      <c r="F10" s="181" t="str">
        <f t="shared" si="0"/>
        <v/>
      </c>
      <c r="G10" s="184"/>
      <c r="I10" s="254"/>
      <c r="J10" s="255"/>
      <c r="K10" s="255"/>
      <c r="L10" s="255"/>
      <c r="M10" s="255"/>
      <c r="N10" s="255"/>
      <c r="O10" s="255"/>
      <c r="P10" s="255"/>
      <c r="Q10" s="255"/>
      <c r="R10" s="255"/>
      <c r="S10" s="255"/>
      <c r="T10" s="256"/>
      <c r="V10" s="263"/>
      <c r="W10" s="264"/>
      <c r="X10" s="264"/>
      <c r="Y10" s="264"/>
      <c r="Z10" s="264"/>
      <c r="AA10" s="264"/>
      <c r="AB10" s="265"/>
    </row>
    <row r="11" spans="1:28" ht="15">
      <c r="A11" s="181">
        <v>2011</v>
      </c>
      <c r="B11" s="182">
        <v>2.2000000000000002</v>
      </c>
      <c r="C11" s="183">
        <f t="shared" si="1"/>
        <v>0.18918918918918926</v>
      </c>
      <c r="D11" s="181"/>
      <c r="E11" s="181">
        <v>40</v>
      </c>
      <c r="F11" s="181" t="str">
        <f t="shared" si="0"/>
        <v/>
      </c>
      <c r="G11" s="184"/>
      <c r="I11" s="254"/>
      <c r="J11" s="255"/>
      <c r="K11" s="255"/>
      <c r="L11" s="255"/>
      <c r="M11" s="255"/>
      <c r="N11" s="255"/>
      <c r="O11" s="255"/>
      <c r="P11" s="255"/>
      <c r="Q11" s="255"/>
      <c r="R11" s="255"/>
      <c r="S11" s="255"/>
      <c r="T11" s="256"/>
      <c r="V11" s="263"/>
      <c r="W11" s="264"/>
      <c r="X11" s="264"/>
      <c r="Y11" s="264"/>
      <c r="Z11" s="264"/>
      <c r="AA11" s="264"/>
      <c r="AB11" s="265"/>
    </row>
    <row r="12" spans="1:28" ht="15">
      <c r="A12" s="181">
        <v>2012</v>
      </c>
      <c r="B12" s="182">
        <v>2.2000000000000002</v>
      </c>
      <c r="C12" s="183">
        <f t="shared" si="1"/>
        <v>0</v>
      </c>
      <c r="D12" s="181"/>
      <c r="E12" s="181">
        <v>40</v>
      </c>
      <c r="F12" s="181" t="str">
        <f t="shared" si="0"/>
        <v/>
      </c>
      <c r="G12" s="184"/>
      <c r="I12" s="254"/>
      <c r="J12" s="255"/>
      <c r="K12" s="255"/>
      <c r="L12" s="255"/>
      <c r="M12" s="255"/>
      <c r="N12" s="255"/>
      <c r="O12" s="255"/>
      <c r="P12" s="255"/>
      <c r="Q12" s="255"/>
      <c r="R12" s="255"/>
      <c r="S12" s="255"/>
      <c r="T12" s="256"/>
      <c r="V12" s="263"/>
      <c r="W12" s="264"/>
      <c r="X12" s="264"/>
      <c r="Y12" s="264"/>
      <c r="Z12" s="264"/>
      <c r="AA12" s="264"/>
      <c r="AB12" s="265"/>
    </row>
    <row r="13" spans="1:28" ht="15">
      <c r="A13" s="181">
        <v>2013</v>
      </c>
      <c r="B13" s="182">
        <v>2.25</v>
      </c>
      <c r="C13" s="183">
        <f t="shared" si="1"/>
        <v>2.2727272727272707E-2</v>
      </c>
      <c r="D13" s="181"/>
      <c r="E13" s="181">
        <v>40</v>
      </c>
      <c r="F13" s="181" t="str">
        <f t="shared" si="0"/>
        <v/>
      </c>
      <c r="G13" s="184"/>
      <c r="I13" s="254"/>
      <c r="J13" s="255"/>
      <c r="K13" s="255"/>
      <c r="L13" s="255"/>
      <c r="M13" s="255"/>
      <c r="N13" s="255"/>
      <c r="O13" s="255"/>
      <c r="P13" s="255"/>
      <c r="Q13" s="255"/>
      <c r="R13" s="255"/>
      <c r="S13" s="255"/>
      <c r="T13" s="256"/>
      <c r="V13" s="263"/>
      <c r="W13" s="264"/>
      <c r="X13" s="264"/>
      <c r="Y13" s="264"/>
      <c r="Z13" s="264"/>
      <c r="AA13" s="264"/>
      <c r="AB13" s="265"/>
    </row>
    <row r="14" spans="1:28" ht="15">
      <c r="A14" s="181">
        <v>2014</v>
      </c>
      <c r="B14" s="182">
        <v>2.4500000000000002</v>
      </c>
      <c r="C14" s="183">
        <f t="shared" si="1"/>
        <v>8.8888888888889017E-2</v>
      </c>
      <c r="D14" s="181"/>
      <c r="E14" s="181">
        <v>40</v>
      </c>
      <c r="F14" s="181" t="str">
        <f t="shared" si="0"/>
        <v/>
      </c>
      <c r="G14" s="184"/>
      <c r="I14" s="254"/>
      <c r="J14" s="255"/>
      <c r="K14" s="255"/>
      <c r="L14" s="255"/>
      <c r="M14" s="255"/>
      <c r="N14" s="255"/>
      <c r="O14" s="255"/>
      <c r="P14" s="255"/>
      <c r="Q14" s="255"/>
      <c r="R14" s="255"/>
      <c r="S14" s="255"/>
      <c r="T14" s="256"/>
      <c r="V14" s="263"/>
      <c r="W14" s="264"/>
      <c r="X14" s="264"/>
      <c r="Y14" s="264"/>
      <c r="Z14" s="264"/>
      <c r="AA14" s="264"/>
      <c r="AB14" s="265"/>
    </row>
    <row r="15" spans="1:28" ht="15">
      <c r="A15" s="181">
        <v>2015</v>
      </c>
      <c r="B15" s="182">
        <v>3.25</v>
      </c>
      <c r="C15" s="183">
        <f t="shared" si="1"/>
        <v>0.32653061224489788</v>
      </c>
      <c r="D15" s="181"/>
      <c r="E15" s="181">
        <v>40</v>
      </c>
      <c r="F15" s="181" t="str">
        <f t="shared" si="0"/>
        <v/>
      </c>
      <c r="G15" s="184"/>
      <c r="I15" s="254"/>
      <c r="J15" s="255"/>
      <c r="K15" s="255"/>
      <c r="L15" s="255"/>
      <c r="M15" s="255"/>
      <c r="N15" s="255"/>
      <c r="O15" s="255"/>
      <c r="P15" s="255"/>
      <c r="Q15" s="255"/>
      <c r="R15" s="255"/>
      <c r="S15" s="255"/>
      <c r="T15" s="256"/>
      <c r="V15" s="263"/>
      <c r="W15" s="264"/>
      <c r="X15" s="264"/>
      <c r="Y15" s="264"/>
      <c r="Z15" s="264"/>
      <c r="AA15" s="264"/>
      <c r="AB15" s="265"/>
    </row>
    <row r="16" spans="1:28" ht="15">
      <c r="A16" s="181">
        <v>2016</v>
      </c>
      <c r="B16" s="182">
        <v>3.25</v>
      </c>
      <c r="C16" s="183">
        <f t="shared" si="1"/>
        <v>0</v>
      </c>
      <c r="D16" s="181"/>
      <c r="E16" s="181">
        <v>40</v>
      </c>
      <c r="F16" s="181" t="str">
        <f t="shared" si="0"/>
        <v/>
      </c>
      <c r="G16" s="184"/>
      <c r="I16" s="254"/>
      <c r="J16" s="255"/>
      <c r="K16" s="255"/>
      <c r="L16" s="255"/>
      <c r="M16" s="255"/>
      <c r="N16" s="255"/>
      <c r="O16" s="255"/>
      <c r="P16" s="255"/>
      <c r="Q16" s="255"/>
      <c r="R16" s="255"/>
      <c r="S16" s="255"/>
      <c r="T16" s="256"/>
      <c r="V16" s="263"/>
      <c r="W16" s="264"/>
      <c r="X16" s="264"/>
      <c r="Y16" s="264"/>
      <c r="Z16" s="264"/>
      <c r="AA16" s="264"/>
      <c r="AB16" s="265"/>
    </row>
    <row r="17" spans="1:28">
      <c r="A17" s="181">
        <v>2017</v>
      </c>
      <c r="B17" s="182">
        <v>3.65</v>
      </c>
      <c r="C17" s="183">
        <f t="shared" si="1"/>
        <v>0.12307692307692308</v>
      </c>
      <c r="D17" s="181">
        <v>37</v>
      </c>
      <c r="E17" s="181">
        <v>40</v>
      </c>
      <c r="F17" s="181">
        <f t="shared" si="0"/>
        <v>-3</v>
      </c>
      <c r="G17" s="184"/>
      <c r="I17" s="254"/>
      <c r="J17" s="255"/>
      <c r="K17" s="255"/>
      <c r="L17" s="255"/>
      <c r="M17" s="255"/>
      <c r="N17" s="255"/>
      <c r="O17" s="255"/>
      <c r="P17" s="255"/>
      <c r="Q17" s="255"/>
      <c r="R17" s="255"/>
      <c r="S17" s="255"/>
      <c r="T17" s="256"/>
      <c r="V17" s="263"/>
      <c r="W17" s="264"/>
      <c r="X17" s="264"/>
      <c r="Y17" s="264"/>
      <c r="Z17" s="264"/>
      <c r="AA17" s="264"/>
      <c r="AB17" s="265"/>
    </row>
    <row r="18" spans="1:28">
      <c r="A18" s="181">
        <v>2018</v>
      </c>
      <c r="B18" s="182">
        <v>3.25</v>
      </c>
      <c r="C18" s="183">
        <f t="shared" si="1"/>
        <v>-0.1095890410958904</v>
      </c>
      <c r="D18" s="181">
        <v>43</v>
      </c>
      <c r="E18" s="181">
        <v>40</v>
      </c>
      <c r="F18" s="181">
        <f t="shared" si="0"/>
        <v>3</v>
      </c>
      <c r="G18" s="184"/>
      <c r="I18" s="254"/>
      <c r="J18" s="255"/>
      <c r="K18" s="255"/>
      <c r="L18" s="255"/>
      <c r="M18" s="255"/>
      <c r="N18" s="255"/>
      <c r="O18" s="255"/>
      <c r="P18" s="255"/>
      <c r="Q18" s="255"/>
      <c r="R18" s="255"/>
      <c r="S18" s="255"/>
      <c r="T18" s="256"/>
      <c r="V18" s="263"/>
      <c r="W18" s="264"/>
      <c r="X18" s="264"/>
      <c r="Y18" s="264"/>
      <c r="Z18" s="264"/>
      <c r="AA18" s="264"/>
      <c r="AB18" s="265"/>
    </row>
    <row r="19" spans="1:28" ht="15">
      <c r="A19" s="181">
        <v>2019</v>
      </c>
      <c r="B19" s="182">
        <v>0.9</v>
      </c>
      <c r="C19" s="183">
        <f t="shared" si="1"/>
        <v>-0.72307692307692306</v>
      </c>
      <c r="D19" s="181"/>
      <c r="E19" s="181">
        <v>40</v>
      </c>
      <c r="F19" s="181" t="str">
        <f t="shared" si="0"/>
        <v/>
      </c>
      <c r="G19" s="184" t="s">
        <v>330</v>
      </c>
      <c r="I19" s="254"/>
      <c r="J19" s="255"/>
      <c r="K19" s="255"/>
      <c r="L19" s="255"/>
      <c r="M19" s="255"/>
      <c r="N19" s="255"/>
      <c r="O19" s="255"/>
      <c r="P19" s="255"/>
      <c r="Q19" s="255"/>
      <c r="R19" s="255"/>
      <c r="S19" s="255"/>
      <c r="T19" s="256"/>
      <c r="V19" s="263"/>
      <c r="W19" s="264"/>
      <c r="X19" s="264"/>
      <c r="Y19" s="264"/>
      <c r="Z19" s="264"/>
      <c r="AA19" s="264"/>
      <c r="AB19" s="265"/>
    </row>
    <row r="20" spans="1:28" ht="15">
      <c r="A20" s="181">
        <v>2020</v>
      </c>
      <c r="B20" s="182">
        <v>1.35</v>
      </c>
      <c r="C20" s="183">
        <f t="shared" si="1"/>
        <v>0.5</v>
      </c>
      <c r="D20" s="181"/>
      <c r="E20" s="181">
        <v>40</v>
      </c>
      <c r="F20" s="181" t="str">
        <f t="shared" si="0"/>
        <v/>
      </c>
      <c r="G20" s="184" t="s">
        <v>331</v>
      </c>
      <c r="I20" s="254"/>
      <c r="J20" s="255"/>
      <c r="K20" s="255"/>
      <c r="L20" s="255"/>
      <c r="M20" s="255"/>
      <c r="N20" s="255"/>
      <c r="O20" s="255"/>
      <c r="P20" s="255"/>
      <c r="Q20" s="255"/>
      <c r="R20" s="255"/>
      <c r="S20" s="255"/>
      <c r="T20" s="256"/>
      <c r="V20" s="263"/>
      <c r="W20" s="264"/>
      <c r="X20" s="264"/>
      <c r="Y20" s="264"/>
      <c r="Z20" s="264"/>
      <c r="AA20" s="264"/>
      <c r="AB20" s="265"/>
    </row>
    <row r="21" spans="1:28" ht="15">
      <c r="A21" s="181">
        <v>2021</v>
      </c>
      <c r="B21" s="182">
        <v>5</v>
      </c>
      <c r="C21" s="183">
        <f t="shared" si="1"/>
        <v>2.7037037037037033</v>
      </c>
      <c r="D21" s="181"/>
      <c r="E21" s="181">
        <v>40</v>
      </c>
      <c r="F21" s="181" t="str">
        <f t="shared" si="0"/>
        <v/>
      </c>
      <c r="G21" s="184" t="s">
        <v>332</v>
      </c>
      <c r="I21" s="254"/>
      <c r="J21" s="255"/>
      <c r="K21" s="255"/>
      <c r="L21" s="255"/>
      <c r="M21" s="255"/>
      <c r="N21" s="255"/>
      <c r="O21" s="255"/>
      <c r="P21" s="255"/>
      <c r="Q21" s="255"/>
      <c r="R21" s="255"/>
      <c r="S21" s="255"/>
      <c r="T21" s="256"/>
      <c r="V21" s="263"/>
      <c r="W21" s="264"/>
      <c r="X21" s="264"/>
      <c r="Y21" s="264"/>
      <c r="Z21" s="264"/>
      <c r="AA21" s="264"/>
      <c r="AB21" s="265"/>
    </row>
    <row r="22" spans="1:28" ht="15">
      <c r="A22" s="181">
        <v>2022</v>
      </c>
      <c r="B22" s="182">
        <v>5.2</v>
      </c>
      <c r="C22" s="183">
        <f t="shared" si="1"/>
        <v>4.0000000000000036E-2</v>
      </c>
      <c r="D22" s="181">
        <v>42</v>
      </c>
      <c r="E22" s="181">
        <v>40</v>
      </c>
      <c r="F22" s="181">
        <f t="shared" si="0"/>
        <v>2</v>
      </c>
      <c r="G22" s="184" t="s">
        <v>333</v>
      </c>
      <c r="I22" s="254"/>
      <c r="J22" s="255"/>
      <c r="K22" s="255"/>
      <c r="L22" s="255"/>
      <c r="M22" s="255"/>
      <c r="N22" s="255"/>
      <c r="O22" s="255"/>
      <c r="P22" s="255"/>
      <c r="Q22" s="255"/>
      <c r="R22" s="255"/>
      <c r="S22" s="255"/>
      <c r="T22" s="256"/>
      <c r="V22" s="263"/>
      <c r="W22" s="264"/>
      <c r="X22" s="264"/>
      <c r="Y22" s="264"/>
      <c r="Z22" s="264"/>
      <c r="AA22" s="264"/>
      <c r="AB22" s="265"/>
    </row>
    <row r="23" spans="1:28" ht="15" thickBot="1">
      <c r="A23" s="181">
        <v>2023</v>
      </c>
      <c r="B23" s="182">
        <v>5.3</v>
      </c>
      <c r="C23" s="183">
        <f t="shared" si="1"/>
        <v>1.9230769230769162E-2</v>
      </c>
      <c r="D23" s="181">
        <v>50</v>
      </c>
      <c r="E23" s="181">
        <v>40</v>
      </c>
      <c r="F23" s="181">
        <f t="shared" si="0"/>
        <v>10</v>
      </c>
      <c r="G23" s="184"/>
      <c r="I23" s="254"/>
      <c r="J23" s="255"/>
      <c r="K23" s="255"/>
      <c r="L23" s="255"/>
      <c r="M23" s="255"/>
      <c r="N23" s="255"/>
      <c r="O23" s="255"/>
      <c r="P23" s="255"/>
      <c r="Q23" s="255"/>
      <c r="R23" s="255"/>
      <c r="S23" s="255"/>
      <c r="T23" s="256"/>
      <c r="V23" s="266"/>
      <c r="W23" s="267"/>
      <c r="X23" s="267"/>
      <c r="Y23" s="267"/>
      <c r="Z23" s="267"/>
      <c r="AA23" s="267"/>
      <c r="AB23" s="268"/>
    </row>
    <row r="24" spans="1:28">
      <c r="A24" s="181">
        <v>2024</v>
      </c>
      <c r="B24" s="182">
        <v>4.3</v>
      </c>
      <c r="C24" s="183">
        <f t="shared" si="1"/>
        <v>-0.18867924528301883</v>
      </c>
      <c r="D24" s="181">
        <v>41</v>
      </c>
      <c r="E24" s="181">
        <v>40</v>
      </c>
      <c r="F24" s="181">
        <f t="shared" si="0"/>
        <v>1</v>
      </c>
      <c r="G24" s="184"/>
      <c r="I24" s="254"/>
      <c r="J24" s="255"/>
      <c r="K24" s="255"/>
      <c r="L24" s="255"/>
      <c r="M24" s="255"/>
      <c r="N24" s="255"/>
      <c r="O24" s="255"/>
      <c r="P24" s="255"/>
      <c r="Q24" s="255"/>
      <c r="R24" s="255"/>
      <c r="S24" s="255"/>
      <c r="T24" s="256"/>
    </row>
    <row r="25" spans="1:28" ht="15">
      <c r="A25" s="181">
        <v>2025</v>
      </c>
      <c r="B25" s="182">
        <v>3.5</v>
      </c>
      <c r="C25" s="183">
        <f t="shared" si="1"/>
        <v>-0.18604651162790697</v>
      </c>
      <c r="D25" s="181">
        <v>80</v>
      </c>
      <c r="E25" s="181">
        <v>40</v>
      </c>
      <c r="F25" s="181">
        <f t="shared" si="0"/>
        <v>40</v>
      </c>
      <c r="G25" s="184" t="s">
        <v>334</v>
      </c>
      <c r="I25" s="254"/>
      <c r="J25" s="255"/>
      <c r="K25" s="255"/>
      <c r="L25" s="255"/>
      <c r="M25" s="255"/>
      <c r="N25" s="255"/>
      <c r="O25" s="255"/>
      <c r="P25" s="255"/>
      <c r="Q25" s="255"/>
      <c r="R25" s="255"/>
      <c r="S25" s="255"/>
      <c r="T25" s="256"/>
    </row>
    <row r="26" spans="1:28">
      <c r="I26" s="254"/>
      <c r="J26" s="255"/>
      <c r="K26" s="255"/>
      <c r="L26" s="255"/>
      <c r="M26" s="255"/>
      <c r="N26" s="255"/>
      <c r="O26" s="255"/>
      <c r="P26" s="255"/>
      <c r="Q26" s="255"/>
      <c r="R26" s="255"/>
      <c r="S26" s="255"/>
      <c r="T26" s="256"/>
    </row>
    <row r="27" spans="1:28">
      <c r="I27" s="254"/>
      <c r="J27" s="255"/>
      <c r="K27" s="255"/>
      <c r="L27" s="255"/>
      <c r="M27" s="255"/>
      <c r="N27" s="255"/>
      <c r="O27" s="255"/>
      <c r="P27" s="255"/>
      <c r="Q27" s="255"/>
      <c r="R27" s="255"/>
      <c r="S27" s="255"/>
      <c r="T27" s="256"/>
    </row>
    <row r="28" spans="1:28">
      <c r="I28" s="254"/>
      <c r="J28" s="255"/>
      <c r="K28" s="255"/>
      <c r="L28" s="255"/>
      <c r="M28" s="255"/>
      <c r="N28" s="255"/>
      <c r="O28" s="255"/>
      <c r="P28" s="255"/>
      <c r="Q28" s="255"/>
      <c r="R28" s="255"/>
      <c r="S28" s="255"/>
      <c r="T28" s="256"/>
    </row>
    <row r="29" spans="1:28">
      <c r="I29" s="254"/>
      <c r="J29" s="255"/>
      <c r="K29" s="255"/>
      <c r="L29" s="255"/>
      <c r="M29" s="255"/>
      <c r="N29" s="255"/>
      <c r="O29" s="255"/>
      <c r="P29" s="255"/>
      <c r="Q29" s="255"/>
      <c r="R29" s="255"/>
      <c r="S29" s="255"/>
      <c r="T29" s="256"/>
    </row>
    <row r="30" spans="1:28">
      <c r="I30" s="254"/>
      <c r="J30" s="255"/>
      <c r="K30" s="255"/>
      <c r="L30" s="255"/>
      <c r="M30" s="255"/>
      <c r="N30" s="255"/>
      <c r="O30" s="255"/>
      <c r="P30" s="255"/>
      <c r="Q30" s="255"/>
      <c r="R30" s="255"/>
      <c r="S30" s="255"/>
      <c r="T30" s="256"/>
    </row>
    <row r="31" spans="1:28" ht="15" thickBot="1">
      <c r="I31" s="257"/>
      <c r="J31" s="258"/>
      <c r="K31" s="258"/>
      <c r="L31" s="258"/>
      <c r="M31" s="258"/>
      <c r="N31" s="258"/>
      <c r="O31" s="258"/>
      <c r="P31" s="258"/>
      <c r="Q31" s="258"/>
      <c r="R31" s="258"/>
      <c r="S31" s="258"/>
      <c r="T31" s="259"/>
    </row>
  </sheetData>
  <mergeCells count="2">
    <mergeCell ref="I1:T31"/>
    <mergeCell ref="V1:AB23"/>
  </mergeCells>
  <conditionalFormatting sqref="C2:C25">
    <cfRule type="cellIs" dxfId="4" priority="1" operator="lessThan">
      <formula>0</formula>
    </cfRule>
  </conditionalFormatting>
  <conditionalFormatting sqref="F2:F25">
    <cfRule type="cellIs" dxfId="3" priority="2" operator="greaterThan">
      <formula>0</formula>
    </cfRule>
  </conditionalFormatting>
  <pageMargins left="0.7" right="0.7" top="0.75" bottom="0.75" header="0.3" footer="0.3"/>
  <drawing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21A3A-2865-4746-BC4E-6CFB63A9FB0D}">
  <sheetPr>
    <tabColor rgb="FFFFCC99"/>
  </sheetPr>
  <dimension ref="A1:M27"/>
  <sheetViews>
    <sheetView showGridLines="0" zoomScale="88" workbookViewId="0">
      <selection activeCell="A4" sqref="A4"/>
    </sheetView>
  </sheetViews>
  <sheetFormatPr baseColWidth="10" defaultColWidth="8.83203125" defaultRowHeight="14"/>
  <cols>
    <col min="1" max="8" width="18" style="174" customWidth="1"/>
    <col min="9" max="9" width="8.83203125" style="174"/>
    <col min="10" max="13" width="18" style="174" customWidth="1"/>
    <col min="14" max="16384" width="8.83203125" style="174"/>
  </cols>
  <sheetData>
    <row r="1" spans="1:13" ht="37.25" customHeight="1">
      <c r="A1" s="269" t="s">
        <v>312</v>
      </c>
      <c r="B1" s="270"/>
      <c r="C1" s="270"/>
      <c r="D1" s="270"/>
      <c r="E1" s="270"/>
      <c r="F1" s="270"/>
      <c r="G1" s="270"/>
      <c r="H1" s="270"/>
    </row>
    <row r="3" spans="1:13" ht="15">
      <c r="A3" s="175" t="s">
        <v>313</v>
      </c>
      <c r="B3" s="175" t="s">
        <v>314</v>
      </c>
      <c r="J3" s="176" t="s">
        <v>315</v>
      </c>
      <c r="K3" s="176" t="s">
        <v>316</v>
      </c>
      <c r="L3" s="176" t="s">
        <v>317</v>
      </c>
      <c r="M3" s="176" t="s">
        <v>318</v>
      </c>
    </row>
    <row r="4" spans="1:13" ht="15">
      <c r="A4" s="177" t="s">
        <v>319</v>
      </c>
      <c r="B4" s="178">
        <v>2025</v>
      </c>
      <c r="J4" s="178">
        <v>2002</v>
      </c>
      <c r="K4" s="179">
        <v>1</v>
      </c>
      <c r="L4" s="178"/>
      <c r="M4" s="178">
        <v>40</v>
      </c>
    </row>
    <row r="5" spans="1:13" ht="15">
      <c r="A5" s="177" t="s">
        <v>320</v>
      </c>
      <c r="B5" s="179">
        <f>_xlfn.XLOOKUP(B4,'Dividend Policy Summary'!A:A,'Dividend Policy Summary'!B:B)</f>
        <v>3.5</v>
      </c>
      <c r="J5" s="178">
        <v>2003</v>
      </c>
      <c r="K5" s="179">
        <v>1.5</v>
      </c>
      <c r="L5" s="178"/>
      <c r="M5" s="178">
        <v>40</v>
      </c>
    </row>
    <row r="6" spans="1:13" ht="15">
      <c r="A6" s="177" t="s">
        <v>321</v>
      </c>
      <c r="B6" s="179">
        <f>MAX('Dividend Policy Summary'!B2:B25)</f>
        <v>5.3</v>
      </c>
      <c r="J6" s="178">
        <v>2004</v>
      </c>
      <c r="K6" s="179">
        <v>1.5</v>
      </c>
      <c r="L6" s="178"/>
      <c r="M6" s="178">
        <v>40</v>
      </c>
    </row>
    <row r="7" spans="1:13" ht="15">
      <c r="A7" s="177" t="s">
        <v>322</v>
      </c>
      <c r="B7" s="179">
        <f>MIN('Dividend Policy Summary'!B2:B25)</f>
        <v>0.6</v>
      </c>
      <c r="J7" s="178">
        <v>2005</v>
      </c>
      <c r="K7" s="179">
        <v>1.5</v>
      </c>
      <c r="L7" s="178"/>
      <c r="M7" s="178">
        <v>40</v>
      </c>
    </row>
    <row r="8" spans="1:13" ht="15">
      <c r="A8" s="177" t="s">
        <v>323</v>
      </c>
      <c r="B8" s="179">
        <f>AVERAGE('Dividend Policy Summary'!B2:B25)</f>
        <v>2.5416666666666665</v>
      </c>
      <c r="J8" s="178">
        <v>2006</v>
      </c>
      <c r="K8" s="179">
        <v>1.5</v>
      </c>
      <c r="L8" s="178"/>
      <c r="M8" s="178">
        <v>40</v>
      </c>
    </row>
    <row r="9" spans="1:13">
      <c r="J9" s="178">
        <v>2007</v>
      </c>
      <c r="K9" s="179">
        <v>1.5</v>
      </c>
      <c r="L9" s="178"/>
      <c r="M9" s="178">
        <v>40</v>
      </c>
    </row>
    <row r="10" spans="1:13" ht="15">
      <c r="A10" s="271"/>
      <c r="B10" s="272"/>
      <c r="C10" s="272"/>
      <c r="D10" s="272"/>
      <c r="E10" s="272"/>
      <c r="F10" s="272"/>
      <c r="G10" s="272"/>
      <c r="H10" s="272"/>
      <c r="J10" s="178">
        <v>2008</v>
      </c>
      <c r="K10" s="179">
        <v>2</v>
      </c>
      <c r="L10" s="178"/>
      <c r="M10" s="178">
        <v>40</v>
      </c>
    </row>
    <row r="11" spans="1:13">
      <c r="A11" s="272"/>
      <c r="B11" s="272"/>
      <c r="C11" s="272"/>
      <c r="D11" s="272"/>
      <c r="E11" s="272"/>
      <c r="F11" s="272"/>
      <c r="G11" s="272"/>
      <c r="H11" s="272"/>
      <c r="J11" s="178">
        <v>2009</v>
      </c>
      <c r="K11" s="179">
        <v>0.6</v>
      </c>
      <c r="L11" s="178"/>
      <c r="M11" s="178">
        <v>40</v>
      </c>
    </row>
    <row r="12" spans="1:13">
      <c r="A12" s="272"/>
      <c r="B12" s="272"/>
      <c r="C12" s="272"/>
      <c r="D12" s="272"/>
      <c r="E12" s="272"/>
      <c r="F12" s="272"/>
      <c r="G12" s="272"/>
      <c r="H12" s="272"/>
      <c r="J12" s="178">
        <v>2010</v>
      </c>
      <c r="K12" s="179">
        <v>1.85</v>
      </c>
      <c r="L12" s="178"/>
      <c r="M12" s="178">
        <v>40</v>
      </c>
    </row>
    <row r="13" spans="1:13">
      <c r="A13" s="272"/>
      <c r="B13" s="272"/>
      <c r="C13" s="272"/>
      <c r="D13" s="272"/>
      <c r="E13" s="272"/>
      <c r="F13" s="272"/>
      <c r="G13" s="272"/>
      <c r="H13" s="272"/>
      <c r="J13" s="178">
        <v>2011</v>
      </c>
      <c r="K13" s="179">
        <v>2.2000000000000002</v>
      </c>
      <c r="L13" s="178"/>
      <c r="M13" s="178">
        <v>40</v>
      </c>
    </row>
    <row r="14" spans="1:13">
      <c r="J14" s="178">
        <v>2012</v>
      </c>
      <c r="K14" s="179">
        <v>2.2000000000000002</v>
      </c>
      <c r="L14" s="178"/>
      <c r="M14" s="178">
        <v>40</v>
      </c>
    </row>
    <row r="15" spans="1:13">
      <c r="J15" s="178">
        <v>2013</v>
      </c>
      <c r="K15" s="179">
        <v>2.25</v>
      </c>
      <c r="L15" s="178"/>
      <c r="M15" s="178">
        <v>40</v>
      </c>
    </row>
    <row r="16" spans="1:13">
      <c r="J16" s="178">
        <v>2014</v>
      </c>
      <c r="K16" s="179">
        <v>2.4500000000000002</v>
      </c>
      <c r="L16" s="178"/>
      <c r="M16" s="178">
        <v>40</v>
      </c>
    </row>
    <row r="17" spans="10:13">
      <c r="J17" s="178">
        <v>2015</v>
      </c>
      <c r="K17" s="179">
        <v>3.25</v>
      </c>
      <c r="L17" s="178"/>
      <c r="M17" s="178">
        <v>40</v>
      </c>
    </row>
    <row r="18" spans="10:13">
      <c r="J18" s="178">
        <v>2016</v>
      </c>
      <c r="K18" s="179">
        <v>3.25</v>
      </c>
      <c r="L18" s="178"/>
      <c r="M18" s="178">
        <v>40</v>
      </c>
    </row>
    <row r="19" spans="10:13">
      <c r="J19" s="178">
        <v>2017</v>
      </c>
      <c r="K19" s="179">
        <v>3.65</v>
      </c>
      <c r="L19" s="178">
        <v>37</v>
      </c>
      <c r="M19" s="178">
        <v>40</v>
      </c>
    </row>
    <row r="20" spans="10:13">
      <c r="J20" s="178">
        <v>2018</v>
      </c>
      <c r="K20" s="179">
        <v>3.25</v>
      </c>
      <c r="L20" s="178">
        <v>43</v>
      </c>
      <c r="M20" s="178">
        <v>40</v>
      </c>
    </row>
    <row r="21" spans="10:13">
      <c r="J21" s="178">
        <v>2019</v>
      </c>
      <c r="K21" s="179">
        <v>0.9</v>
      </c>
      <c r="L21" s="178"/>
      <c r="M21" s="178">
        <v>40</v>
      </c>
    </row>
    <row r="22" spans="10:13">
      <c r="J22" s="178">
        <v>2020</v>
      </c>
      <c r="K22" s="179">
        <v>1.35</v>
      </c>
      <c r="L22" s="178"/>
      <c r="M22" s="178">
        <v>40</v>
      </c>
    </row>
    <row r="23" spans="10:13">
      <c r="J23" s="178">
        <v>2021</v>
      </c>
      <c r="K23" s="179">
        <v>5</v>
      </c>
      <c r="L23" s="178"/>
      <c r="M23" s="178">
        <v>40</v>
      </c>
    </row>
    <row r="24" spans="10:13">
      <c r="J24" s="178">
        <v>2022</v>
      </c>
      <c r="K24" s="179">
        <v>5.2</v>
      </c>
      <c r="L24" s="178">
        <v>42</v>
      </c>
      <c r="M24" s="178">
        <v>40</v>
      </c>
    </row>
    <row r="25" spans="10:13">
      <c r="J25" s="178">
        <v>2023</v>
      </c>
      <c r="K25" s="179">
        <v>5.3</v>
      </c>
      <c r="L25" s="178">
        <v>50</v>
      </c>
      <c r="M25" s="178">
        <v>40</v>
      </c>
    </row>
    <row r="26" spans="10:13">
      <c r="J26" s="178">
        <v>2024</v>
      </c>
      <c r="K26" s="179">
        <v>4.3</v>
      </c>
      <c r="L26" s="178">
        <v>41</v>
      </c>
      <c r="M26" s="178">
        <v>40</v>
      </c>
    </row>
    <row r="27" spans="10:13">
      <c r="J27" s="178">
        <v>2025</v>
      </c>
      <c r="K27" s="179">
        <v>3.5</v>
      </c>
      <c r="L27" s="178">
        <v>80</v>
      </c>
      <c r="M27" s="178">
        <v>40</v>
      </c>
    </row>
  </sheetData>
  <mergeCells count="5">
    <mergeCell ref="A1:H1"/>
    <mergeCell ref="A10:H10"/>
    <mergeCell ref="A11:H11"/>
    <mergeCell ref="A12:H12"/>
    <mergeCell ref="A13:H1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CC99"/>
  </sheetPr>
  <dimension ref="A1:Z48"/>
  <sheetViews>
    <sheetView showGridLines="0" zoomScale="62" zoomScaleNormal="100" workbookViewId="0">
      <selection activeCell="B27" sqref="B27"/>
    </sheetView>
  </sheetViews>
  <sheetFormatPr baseColWidth="10" defaultColWidth="8.83203125" defaultRowHeight="15"/>
  <cols>
    <col min="1" max="1" width="26.6640625" style="98" customWidth="1"/>
    <col min="2" max="2" width="11.6640625" style="113" bestFit="1" customWidth="1"/>
    <col min="3" max="3" width="56.33203125" customWidth="1"/>
    <col min="4" max="4" width="22" bestFit="1" customWidth="1"/>
    <col min="5" max="7" width="10.6640625" bestFit="1" customWidth="1"/>
    <col min="16" max="16" width="26.6640625" customWidth="1"/>
  </cols>
  <sheetData>
    <row r="1" spans="1:26" ht="19">
      <c r="A1" s="278" t="s">
        <v>250</v>
      </c>
      <c r="B1" s="279"/>
      <c r="D1" s="137" t="s">
        <v>272</v>
      </c>
      <c r="Q1" s="137" t="s">
        <v>283</v>
      </c>
    </row>
    <row r="2" spans="1:26" ht="19" customHeight="1">
      <c r="A2" s="144" t="s">
        <v>241</v>
      </c>
      <c r="B2" s="107">
        <v>3.15E-2</v>
      </c>
      <c r="C2" t="s">
        <v>257</v>
      </c>
      <c r="D2" s="36" t="s">
        <v>271</v>
      </c>
      <c r="E2" t="s">
        <v>276</v>
      </c>
      <c r="S2" s="280" t="s">
        <v>278</v>
      </c>
      <c r="T2" s="281"/>
      <c r="U2" s="281"/>
      <c r="V2" s="281"/>
      <c r="W2" s="281"/>
      <c r="X2" s="281"/>
      <c r="Y2" s="281"/>
      <c r="Z2" s="282"/>
    </row>
    <row r="3" spans="1:26" ht="19" customHeight="1" thickBot="1">
      <c r="A3" s="144" t="s">
        <v>242</v>
      </c>
      <c r="B3" s="108">
        <v>8.5999999999999993E-2</v>
      </c>
      <c r="C3" t="s">
        <v>258</v>
      </c>
      <c r="R3" s="146">
        <f>$J$16</f>
        <v>51.692697476855898</v>
      </c>
      <c r="S3" s="147">
        <f t="shared" ref="S3:T3" si="0">T3-0.5%</f>
        <v>8.9847574494709259E-2</v>
      </c>
      <c r="T3" s="147">
        <f t="shared" si="0"/>
        <v>9.4847574494709264E-2</v>
      </c>
      <c r="U3" s="147">
        <f>V3-0.5%</f>
        <v>9.9847574494709268E-2</v>
      </c>
      <c r="V3" s="148">
        <v>0.10484757449470927</v>
      </c>
      <c r="W3" s="147">
        <f>V3+0.5%</f>
        <v>0.10984757449470928</v>
      </c>
      <c r="X3" s="147">
        <f t="shared" ref="X3:Z3" si="1">W3+0.5%</f>
        <v>0.11484757449470928</v>
      </c>
      <c r="Y3" s="147">
        <f t="shared" si="1"/>
        <v>0.11984757449470929</v>
      </c>
      <c r="Z3" s="149">
        <f t="shared" si="1"/>
        <v>0.12484757449470929</v>
      </c>
    </row>
    <row r="4" spans="1:26" ht="19" customHeight="1" thickBot="1">
      <c r="A4" s="144" t="s">
        <v>171</v>
      </c>
      <c r="B4" s="109">
        <f>Beta!L13</f>
        <v>1.3458270549487943</v>
      </c>
      <c r="C4" s="101"/>
      <c r="D4" s="283" t="s">
        <v>268</v>
      </c>
      <c r="E4" s="284"/>
      <c r="F4" s="284"/>
      <c r="G4" s="284"/>
      <c r="H4" s="284"/>
      <c r="I4" s="285"/>
      <c r="J4" s="286" t="s">
        <v>269</v>
      </c>
      <c r="K4" s="287"/>
      <c r="L4" s="287"/>
      <c r="M4" s="287"/>
      <c r="N4" s="287"/>
      <c r="O4" s="288"/>
      <c r="Q4" s="273" t="s">
        <v>279</v>
      </c>
      <c r="R4" s="150">
        <f t="shared" ref="R4:R5" si="2">R5-0.5%</f>
        <v>4.9999999999999984E-3</v>
      </c>
      <c r="S4" s="151">
        <f t="dataTable" ref="S4:Z12" dt2D="1" dtr="1" r1="B5" r2="B9"/>
        <v>50.932510749255016</v>
      </c>
      <c r="T4" s="152">
        <v>48.098126458099003</v>
      </c>
      <c r="U4" s="152">
        <v>45.562577883750293</v>
      </c>
      <c r="V4" s="152">
        <v>43.280971239105909</v>
      </c>
      <c r="W4" s="152">
        <v>41.216976366182536</v>
      </c>
      <c r="X4" s="152">
        <v>39.340877756095914</v>
      </c>
      <c r="Y4" s="152">
        <v>37.628134673397724</v>
      </c>
      <c r="Z4" s="153">
        <v>36.058301707146938</v>
      </c>
    </row>
    <row r="5" spans="1:26" ht="20" thickBot="1">
      <c r="A5" s="144" t="s">
        <v>259</v>
      </c>
      <c r="B5" s="107">
        <f>B2+B4*(B3-B2)</f>
        <v>0.10484757449470927</v>
      </c>
      <c r="C5" s="101"/>
      <c r="D5" s="122" t="s">
        <v>240</v>
      </c>
      <c r="E5" s="123">
        <v>2021</v>
      </c>
      <c r="F5" s="123">
        <v>2022</v>
      </c>
      <c r="G5" s="123">
        <v>2023</v>
      </c>
      <c r="H5" s="123">
        <v>2024</v>
      </c>
      <c r="I5" s="123">
        <v>2025</v>
      </c>
      <c r="J5" s="124">
        <v>2026</v>
      </c>
      <c r="K5" s="123">
        <v>2027</v>
      </c>
      <c r="L5" s="123">
        <v>2028</v>
      </c>
      <c r="M5" s="123">
        <v>2029</v>
      </c>
      <c r="N5" s="123">
        <v>2030</v>
      </c>
      <c r="O5" s="125">
        <v>2032</v>
      </c>
      <c r="Q5" s="274"/>
      <c r="R5" s="150">
        <f t="shared" si="2"/>
        <v>9.9999999999999985E-3</v>
      </c>
      <c r="S5" s="154">
        <v>54.39113244808415</v>
      </c>
      <c r="T5" s="155">
        <v>51.185906325122005</v>
      </c>
      <c r="U5" s="155">
        <v>48.337420619582133</v>
      </c>
      <c r="V5" s="155">
        <v>45.789257375709255</v>
      </c>
      <c r="W5" s="155">
        <v>43.496299454225849</v>
      </c>
      <c r="X5" s="155">
        <v>41.422035950093928</v>
      </c>
      <c r="Y5" s="155">
        <v>39.536603516076525</v>
      </c>
      <c r="Z5" s="156">
        <v>37.815339323514138</v>
      </c>
    </row>
    <row r="6" spans="1:26" ht="38" customHeight="1" thickBot="1">
      <c r="A6" s="144" t="s">
        <v>231</v>
      </c>
      <c r="B6" s="109">
        <f>Ratios!D4</f>
        <v>962.90370299999995</v>
      </c>
      <c r="C6" s="104"/>
      <c r="D6" s="122" t="s">
        <v>260</v>
      </c>
      <c r="E6" s="123"/>
      <c r="F6" s="123"/>
      <c r="G6" s="123"/>
      <c r="H6" s="123"/>
      <c r="I6" s="123">
        <v>0</v>
      </c>
      <c r="J6" s="123">
        <v>1</v>
      </c>
      <c r="K6" s="123">
        <v>2</v>
      </c>
      <c r="L6" s="123">
        <v>3</v>
      </c>
      <c r="M6" s="123">
        <v>4</v>
      </c>
      <c r="N6" s="123">
        <v>5</v>
      </c>
      <c r="O6" s="125" t="s">
        <v>261</v>
      </c>
      <c r="Q6" s="274"/>
      <c r="R6" s="150">
        <f>R7-0.5%</f>
        <v>1.4999999999999999E-2</v>
      </c>
      <c r="S6" s="154">
        <v>58.31184282810004</v>
      </c>
      <c r="T6" s="155">
        <v>54.660395480005363</v>
      </c>
      <c r="U6" s="155">
        <v>51.439301900988951</v>
      </c>
      <c r="V6" s="155">
        <v>48.576714781065164</v>
      </c>
      <c r="W6" s="155">
        <v>46.015936867668167</v>
      </c>
      <c r="X6" s="155">
        <v>43.711627669345773</v>
      </c>
      <c r="Y6" s="155">
        <v>41.627095534005278</v>
      </c>
      <c r="Z6" s="156">
        <v>39.732329276057072</v>
      </c>
    </row>
    <row r="7" spans="1:26" ht="19" customHeight="1">
      <c r="A7" s="144" t="s">
        <v>232</v>
      </c>
      <c r="B7" s="110">
        <f>I9</f>
        <v>4.3</v>
      </c>
      <c r="C7" s="102"/>
      <c r="D7" s="116" t="s">
        <v>245</v>
      </c>
      <c r="E7" s="115">
        <v>9.9600000000000009</v>
      </c>
      <c r="F7" s="115">
        <v>13.55</v>
      </c>
      <c r="G7" s="115">
        <v>13.46</v>
      </c>
      <c r="H7" s="115">
        <f>PL!$M$65</f>
        <v>10.19</v>
      </c>
      <c r="I7" s="115">
        <f>PL!$N$65</f>
        <v>5.34</v>
      </c>
      <c r="J7" s="134">
        <f>J9/J8</f>
        <v>10.965</v>
      </c>
      <c r="K7" s="135">
        <f t="shared" ref="K7:N7" si="3">K9/K8</f>
        <v>11.1843</v>
      </c>
      <c r="L7" s="135">
        <f t="shared" si="3"/>
        <v>11.407985999999998</v>
      </c>
      <c r="M7" s="135">
        <f t="shared" si="3"/>
        <v>11.636145719999998</v>
      </c>
      <c r="N7" s="135">
        <f t="shared" si="3"/>
        <v>11.8688686344</v>
      </c>
      <c r="O7" s="136"/>
      <c r="Q7" s="274"/>
      <c r="R7" s="157">
        <v>0.02</v>
      </c>
      <c r="S7" s="154">
        <v>62.793876977535206</v>
      </c>
      <c r="T7" s="155">
        <v>58.599093285381386</v>
      </c>
      <c r="U7" s="155">
        <v>54.929658511926633</v>
      </c>
      <c r="V7" s="158">
        <v>51.692697476855898</v>
      </c>
      <c r="W7" s="155">
        <v>48.816008942548251</v>
      </c>
      <c r="X7" s="155">
        <v>46.242616359627178</v>
      </c>
      <c r="Y7" s="155">
        <v>43.926955884465748</v>
      </c>
      <c r="Z7" s="156">
        <v>41.832155117916649</v>
      </c>
    </row>
    <row r="8" spans="1:26">
      <c r="A8" s="276" t="s">
        <v>243</v>
      </c>
      <c r="B8" s="277"/>
      <c r="C8" s="105"/>
      <c r="D8" s="116" t="s">
        <v>246</v>
      </c>
      <c r="E8" s="133">
        <f>E9/E7</f>
        <v>0.13554216867469879</v>
      </c>
      <c r="F8" s="133">
        <f t="shared" ref="F8:I8" si="4">F9/F7</f>
        <v>0.36900369003690037</v>
      </c>
      <c r="G8" s="133">
        <f t="shared" si="4"/>
        <v>0.38632986627043092</v>
      </c>
      <c r="H8" s="133">
        <f t="shared" si="4"/>
        <v>0.52011776251226693</v>
      </c>
      <c r="I8" s="133">
        <f t="shared" si="4"/>
        <v>0.80524344569288386</v>
      </c>
      <c r="J8" s="131">
        <v>0.4</v>
      </c>
      <c r="K8" s="130">
        <v>0.4</v>
      </c>
      <c r="L8" s="130">
        <v>0.4</v>
      </c>
      <c r="M8" s="130">
        <v>0.4</v>
      </c>
      <c r="N8" s="130">
        <v>0.4</v>
      </c>
      <c r="O8" s="132"/>
      <c r="Q8" s="274"/>
      <c r="R8" s="150">
        <f>R7+0.5%</f>
        <v>2.5000000000000001E-2</v>
      </c>
      <c r="S8" s="154">
        <v>67.967075628396756</v>
      </c>
      <c r="T8" s="155">
        <v>63.101690099974093</v>
      </c>
      <c r="U8" s="155">
        <v>58.886343742662667</v>
      </c>
      <c r="V8" s="155">
        <v>55.198921543847774</v>
      </c>
      <c r="W8" s="155">
        <v>51.94609305272278</v>
      </c>
      <c r="X8" s="155">
        <v>49.055303104031331</v>
      </c>
      <c r="Y8" s="155">
        <v>46.469295851586125</v>
      </c>
      <c r="Z8" s="156">
        <v>44.142284099585638</v>
      </c>
    </row>
    <row r="9" spans="1:26" ht="128">
      <c r="A9" s="144" t="s">
        <v>233</v>
      </c>
      <c r="B9" s="138">
        <v>0.02</v>
      </c>
      <c r="C9" s="143" t="s">
        <v>282</v>
      </c>
      <c r="D9" s="116" t="s">
        <v>256</v>
      </c>
      <c r="E9" s="115">
        <v>1.35</v>
      </c>
      <c r="F9" s="115">
        <v>5</v>
      </c>
      <c r="G9" s="115">
        <v>5.2</v>
      </c>
      <c r="H9" s="115">
        <v>5.3</v>
      </c>
      <c r="I9" s="115">
        <v>4.3</v>
      </c>
      <c r="J9" s="131">
        <f t="shared" ref="J9:N9" si="5">$I$9*(1+$B$9)^J6</f>
        <v>4.3860000000000001</v>
      </c>
      <c r="K9" s="130">
        <f t="shared" si="5"/>
        <v>4.4737200000000001</v>
      </c>
      <c r="L9" s="130">
        <f t="shared" si="5"/>
        <v>4.5631943999999995</v>
      </c>
      <c r="M9" s="130">
        <f t="shared" si="5"/>
        <v>4.6544582879999998</v>
      </c>
      <c r="N9" s="130">
        <f t="shared" si="5"/>
        <v>4.7475474537600002</v>
      </c>
      <c r="O9" s="132">
        <f>N9*(1+B9)</f>
        <v>4.8424984028352007</v>
      </c>
      <c r="Q9" s="274"/>
      <c r="R9" s="150">
        <f t="shared" ref="R9:R12" si="6">R8+0.5%</f>
        <v>3.0000000000000002E-2</v>
      </c>
      <c r="S9" s="154">
        <v>74.004669986943867</v>
      </c>
      <c r="T9" s="155">
        <v>68.298622338779225</v>
      </c>
      <c r="U9" s="155">
        <v>63.409503222413036</v>
      </c>
      <c r="V9" s="155">
        <v>59.173594199943921</v>
      </c>
      <c r="W9" s="155">
        <v>55.468184575768973</v>
      </c>
      <c r="X9" s="155">
        <v>52.199488628589755</v>
      </c>
      <c r="Y9" s="155">
        <v>49.29459726551444</v>
      </c>
      <c r="Z9" s="156">
        <v>46.695975343545072</v>
      </c>
    </row>
    <row r="10" spans="1:26">
      <c r="A10" s="144" t="s">
        <v>234</v>
      </c>
      <c r="B10" s="111">
        <f>J16</f>
        <v>51.692697476855898</v>
      </c>
      <c r="C10" s="143"/>
      <c r="D10" s="116" t="s">
        <v>270</v>
      </c>
      <c r="E10" s="115"/>
      <c r="F10" s="126">
        <f>F9/E9-1</f>
        <v>2.7037037037037033</v>
      </c>
      <c r="G10" s="126">
        <f>G9/F9-1</f>
        <v>4.0000000000000036E-2</v>
      </c>
      <c r="H10" s="126">
        <f t="shared" ref="H10:I10" si="7">H9/G9-1</f>
        <v>1.9230769230769162E-2</v>
      </c>
      <c r="I10" s="126">
        <f t="shared" si="7"/>
        <v>-0.18867924528301883</v>
      </c>
      <c r="J10" s="140">
        <f>J9/I9-1</f>
        <v>2.0000000000000018E-2</v>
      </c>
      <c r="K10" s="141">
        <f>K9/J9-1</f>
        <v>2.0000000000000018E-2</v>
      </c>
      <c r="L10" s="141">
        <f t="shared" ref="L10:N10" si="8">L9/K9-1</f>
        <v>1.9999999999999796E-2</v>
      </c>
      <c r="M10" s="141">
        <f t="shared" si="8"/>
        <v>2.0000000000000018E-2</v>
      </c>
      <c r="N10" s="141">
        <f t="shared" si="8"/>
        <v>2.0000000000000018E-2</v>
      </c>
      <c r="O10" s="120"/>
      <c r="Q10" s="274"/>
      <c r="R10" s="150">
        <f t="shared" si="6"/>
        <v>3.5000000000000003E-2</v>
      </c>
      <c r="S10" s="154">
        <v>81.143059488060018</v>
      </c>
      <c r="T10" s="155">
        <v>74.363915957754301</v>
      </c>
      <c r="U10" s="155">
        <v>68.630169049161651</v>
      </c>
      <c r="V10" s="155">
        <v>63.717316344851866</v>
      </c>
      <c r="W10" s="155">
        <v>59.460844657225159</v>
      </c>
      <c r="X10" s="155">
        <v>55.7374476076902</v>
      </c>
      <c r="Y10" s="155">
        <v>52.452884204456709</v>
      </c>
      <c r="Z10" s="156">
        <v>49.533891426997478</v>
      </c>
    </row>
    <row r="11" spans="1:26">
      <c r="A11" s="276" t="s">
        <v>244</v>
      </c>
      <c r="B11" s="277"/>
      <c r="D11" s="116" t="s">
        <v>262</v>
      </c>
      <c r="E11" s="115"/>
      <c r="F11" s="115"/>
      <c r="G11" s="115"/>
      <c r="H11" s="115"/>
      <c r="I11" s="115"/>
      <c r="J11" s="128">
        <f>(1+$B$5)^(-J6)</f>
        <v>0.90510222684549024</v>
      </c>
      <c r="K11" s="127">
        <f t="shared" ref="K11:N11" si="9">(1+$B$5)^(-K6)</f>
        <v>0.81921004104066519</v>
      </c>
      <c r="L11" s="127">
        <f t="shared" si="9"/>
        <v>0.74146883240009143</v>
      </c>
      <c r="M11" s="127">
        <f t="shared" si="9"/>
        <v>0.67110509134184837</v>
      </c>
      <c r="N11" s="127">
        <f t="shared" si="9"/>
        <v>0.60741871262085301</v>
      </c>
      <c r="O11" s="129"/>
      <c r="Q11" s="274"/>
      <c r="R11" s="150">
        <f t="shared" si="6"/>
        <v>0.04</v>
      </c>
      <c r="S11" s="154">
        <v>89.713492488479062</v>
      </c>
      <c r="T11" s="155">
        <v>81.535054944524148</v>
      </c>
      <c r="U11" s="155">
        <v>74.723161928564764</v>
      </c>
      <c r="V11" s="155">
        <v>68.961715759544077</v>
      </c>
      <c r="W11" s="155">
        <v>64.025129467290782</v>
      </c>
      <c r="X11" s="155">
        <v>59.748095114506512</v>
      </c>
      <c r="Y11" s="155">
        <v>56.006710639611455</v>
      </c>
      <c r="Z11" s="156">
        <v>52.706279780323648</v>
      </c>
    </row>
    <row r="12" spans="1:26">
      <c r="A12" s="144" t="s">
        <v>235</v>
      </c>
      <c r="B12" s="139">
        <v>5</v>
      </c>
      <c r="D12" s="116" t="s">
        <v>263</v>
      </c>
      <c r="E12" s="115"/>
      <c r="F12" s="115"/>
      <c r="G12" s="115"/>
      <c r="H12" s="115"/>
      <c r="I12" s="115"/>
      <c r="J12" s="128">
        <f>J9*J11</f>
        <v>3.9697783669443205</v>
      </c>
      <c r="K12" s="127">
        <f>K9*K11</f>
        <v>3.6649163448044448</v>
      </c>
      <c r="L12" s="127">
        <f t="shared" ref="L12:N12" si="10">L9*L11</f>
        <v>3.3834664237826355</v>
      </c>
      <c r="M12" s="127">
        <f t="shared" si="10"/>
        <v>3.1236306545150629</v>
      </c>
      <c r="N12" s="127">
        <f t="shared" si="10"/>
        <v>2.8837491624693081</v>
      </c>
      <c r="O12" s="129"/>
      <c r="Q12" s="275"/>
      <c r="R12" s="159">
        <f t="shared" si="6"/>
        <v>4.4999999999999998E-2</v>
      </c>
      <c r="S12" s="160">
        <v>100.19493920524289</v>
      </c>
      <c r="T12" s="161">
        <v>90.144807356212098</v>
      </c>
      <c r="U12" s="161">
        <v>81.927050400988179</v>
      </c>
      <c r="V12" s="161">
        <v>75.08240789937507</v>
      </c>
      <c r="W12" s="161">
        <v>69.293262469926418</v>
      </c>
      <c r="X12" s="161">
        <v>64.332942589729669</v>
      </c>
      <c r="Y12" s="161">
        <v>60.035345571787758</v>
      </c>
      <c r="Z12" s="162">
        <v>56.275973671532597</v>
      </c>
    </row>
    <row r="13" spans="1:26">
      <c r="A13" s="144" t="s">
        <v>236</v>
      </c>
      <c r="B13" s="138">
        <v>0.05</v>
      </c>
      <c r="D13" s="116" t="s">
        <v>264</v>
      </c>
      <c r="E13" s="115"/>
      <c r="F13" s="115"/>
      <c r="G13" s="115"/>
      <c r="H13" s="115"/>
      <c r="I13" s="115"/>
      <c r="J13" s="128">
        <f>SUM(J12:N12)</f>
        <v>17.025540952515772</v>
      </c>
      <c r="K13" s="115"/>
      <c r="L13" s="115"/>
      <c r="M13" s="115"/>
      <c r="N13" s="115"/>
      <c r="O13" s="120"/>
    </row>
    <row r="14" spans="1:26">
      <c r="A14" s="144" t="s">
        <v>237</v>
      </c>
      <c r="B14" s="138">
        <f>B9</f>
        <v>0.02</v>
      </c>
      <c r="D14" s="116" t="s">
        <v>265</v>
      </c>
      <c r="E14" s="115"/>
      <c r="F14" s="115"/>
      <c r="G14" s="115"/>
      <c r="H14" s="115"/>
      <c r="I14" s="115"/>
      <c r="J14" s="119"/>
      <c r="K14" s="115"/>
      <c r="L14" s="115"/>
      <c r="M14" s="115"/>
      <c r="N14" s="127">
        <f>O9/($B$5-$B$9)</f>
        <v>57.072914949821673</v>
      </c>
      <c r="O14" s="120"/>
    </row>
    <row r="15" spans="1:26" ht="16">
      <c r="A15" s="144" t="s">
        <v>234</v>
      </c>
      <c r="B15" s="111">
        <f>J32</f>
        <v>58.576358118677845</v>
      </c>
      <c r="C15" s="103"/>
      <c r="D15" s="116" t="s">
        <v>266</v>
      </c>
      <c r="E15" s="115"/>
      <c r="F15" s="115"/>
      <c r="G15" s="115"/>
      <c r="H15" s="115"/>
      <c r="I15" s="115"/>
      <c r="J15" s="128">
        <f>N14/(1+$B$5)^N6</f>
        <v>34.667156524340122</v>
      </c>
      <c r="K15" s="115"/>
      <c r="L15" s="115"/>
      <c r="M15" s="115"/>
      <c r="N15" s="115"/>
      <c r="O15" s="120"/>
    </row>
    <row r="16" spans="1:26" ht="17" thickBot="1">
      <c r="A16" s="276" t="s">
        <v>251</v>
      </c>
      <c r="B16" s="277"/>
      <c r="C16" s="105"/>
      <c r="D16" s="117" t="s">
        <v>267</v>
      </c>
      <c r="E16" s="118"/>
      <c r="F16" s="118"/>
      <c r="G16" s="118"/>
      <c r="H16" s="118"/>
      <c r="I16" s="118"/>
      <c r="J16" s="142">
        <f>J13+J15</f>
        <v>51.692697476855898</v>
      </c>
      <c r="K16" s="118"/>
      <c r="L16" s="118"/>
      <c r="M16" s="118"/>
      <c r="N16" s="118"/>
      <c r="O16" s="121"/>
    </row>
    <row r="17" spans="1:26" ht="19" customHeight="1">
      <c r="A17" s="144" t="s">
        <v>252</v>
      </c>
      <c r="B17" s="138">
        <f>B14</f>
        <v>0.02</v>
      </c>
      <c r="C17" s="103"/>
    </row>
    <row r="18" spans="1:26" ht="16">
      <c r="A18" s="144" t="s">
        <v>253</v>
      </c>
      <c r="B18" s="138">
        <f>B13</f>
        <v>0.05</v>
      </c>
      <c r="C18" s="103"/>
      <c r="D18" s="36" t="s">
        <v>273</v>
      </c>
      <c r="E18" t="s">
        <v>277</v>
      </c>
    </row>
    <row r="19" spans="1:26" ht="17" thickBot="1">
      <c r="A19" s="145" t="s">
        <v>254</v>
      </c>
      <c r="B19" s="139">
        <v>5</v>
      </c>
      <c r="C19" s="103"/>
    </row>
    <row r="20" spans="1:26" ht="17" customHeight="1" thickBot="1">
      <c r="A20" s="100" t="s">
        <v>234</v>
      </c>
      <c r="B20" s="111">
        <f>J48</f>
        <v>55.940897304973745</v>
      </c>
      <c r="C20" s="103"/>
      <c r="D20" s="283" t="s">
        <v>268</v>
      </c>
      <c r="E20" s="284"/>
      <c r="F20" s="284"/>
      <c r="G20" s="284"/>
      <c r="H20" s="284"/>
      <c r="I20" s="285"/>
      <c r="J20" s="286" t="s">
        <v>269</v>
      </c>
      <c r="K20" s="287"/>
      <c r="L20" s="287"/>
      <c r="M20" s="287"/>
      <c r="N20" s="287"/>
      <c r="O20" s="288"/>
      <c r="S20" s="280" t="s">
        <v>280</v>
      </c>
      <c r="T20" s="281"/>
      <c r="U20" s="281"/>
      <c r="V20" s="281"/>
      <c r="W20" s="281"/>
      <c r="X20" s="281"/>
      <c r="Y20" s="281"/>
      <c r="Z20" s="282"/>
    </row>
    <row r="21" spans="1:26" ht="17" thickBot="1">
      <c r="A21" s="276" t="s">
        <v>238</v>
      </c>
      <c r="B21" s="277"/>
      <c r="C21" s="103"/>
      <c r="D21" s="122" t="s">
        <v>240</v>
      </c>
      <c r="E21" s="123">
        <v>2021</v>
      </c>
      <c r="F21" s="123">
        <v>2022</v>
      </c>
      <c r="G21" s="123">
        <v>2023</v>
      </c>
      <c r="H21" s="123">
        <v>2024</v>
      </c>
      <c r="I21" s="123">
        <v>2025</v>
      </c>
      <c r="J21" s="124">
        <v>2026</v>
      </c>
      <c r="K21" s="123">
        <v>2027</v>
      </c>
      <c r="L21" s="123">
        <v>2028</v>
      </c>
      <c r="M21" s="123">
        <v>2029</v>
      </c>
      <c r="N21" s="123">
        <v>2030</v>
      </c>
      <c r="O21" s="125">
        <v>2032</v>
      </c>
      <c r="R21" s="146">
        <f>$J$32</f>
        <v>58.576358118677845</v>
      </c>
      <c r="S21" s="147">
        <f t="shared" ref="S21" si="11">T21-0.5%</f>
        <v>3.500000000000001E-2</v>
      </c>
      <c r="T21" s="147">
        <f t="shared" ref="T21" si="12">U21-0.5%</f>
        <v>4.0000000000000008E-2</v>
      </c>
      <c r="U21" s="147">
        <f>V21-0.5%</f>
        <v>4.5000000000000005E-2</v>
      </c>
      <c r="V21" s="148">
        <v>0.05</v>
      </c>
      <c r="W21" s="147">
        <f>V21+0.5%</f>
        <v>5.5E-2</v>
      </c>
      <c r="X21" s="147">
        <f t="shared" ref="X21" si="13">W21+0.5%</f>
        <v>0.06</v>
      </c>
      <c r="Y21" s="147">
        <f t="shared" ref="Y21" si="14">X21+0.5%</f>
        <v>6.5000000000000002E-2</v>
      </c>
      <c r="Z21" s="149">
        <f t="shared" ref="Z21" si="15">Y21+0.5%</f>
        <v>7.0000000000000007E-2</v>
      </c>
    </row>
    <row r="22" spans="1:26" ht="17" thickBot="1">
      <c r="A22" s="144" t="s">
        <v>239</v>
      </c>
      <c r="B22" s="112">
        <f>Ratios!D3</f>
        <v>52.19</v>
      </c>
      <c r="C22" s="103"/>
      <c r="D22" s="122" t="s">
        <v>260</v>
      </c>
      <c r="E22" s="123"/>
      <c r="F22" s="123"/>
      <c r="G22" s="123"/>
      <c r="H22" s="123"/>
      <c r="I22" s="123">
        <v>0</v>
      </c>
      <c r="J22" s="123">
        <v>1</v>
      </c>
      <c r="K22" s="123">
        <v>2</v>
      </c>
      <c r="L22" s="123">
        <v>3</v>
      </c>
      <c r="M22" s="123">
        <v>4</v>
      </c>
      <c r="N22" s="123">
        <v>5</v>
      </c>
      <c r="O22" s="125" t="s">
        <v>261</v>
      </c>
      <c r="Q22" s="273" t="s">
        <v>281</v>
      </c>
      <c r="R22" s="150">
        <f t="shared" ref="R22:R23" si="16">R23-0.5%</f>
        <v>4.9999999999999984E-3</v>
      </c>
      <c r="S22" s="151">
        <f t="dataTable" ref="S22:Z30" dt2D="1" dtr="1" r1="B13" r2="B14"/>
        <v>48.974069263566328</v>
      </c>
      <c r="T22" s="152">
        <v>49.983189990693006</v>
      </c>
      <c r="U22" s="152">
        <v>51.010175954622007</v>
      </c>
      <c r="V22" s="152">
        <v>52.055274151204742</v>
      </c>
      <c r="W22" s="152">
        <v>53.118733884739491</v>
      </c>
      <c r="X22" s="152">
        <v>54.200806778809749</v>
      </c>
      <c r="Y22" s="152">
        <v>55.301746787122028</v>
      </c>
      <c r="Z22" s="153">
        <v>56.421810204344354</v>
      </c>
    </row>
    <row r="23" spans="1:26" ht="16">
      <c r="A23" s="99" t="s">
        <v>247</v>
      </c>
      <c r="B23" s="107">
        <f>B10/B22-1</f>
        <v>-9.5286936797106536E-3</v>
      </c>
      <c r="C23" s="106"/>
      <c r="D23" s="116" t="s">
        <v>245</v>
      </c>
      <c r="E23" s="115">
        <v>9.9600000000000009</v>
      </c>
      <c r="F23" s="115">
        <v>13.55</v>
      </c>
      <c r="G23" s="115">
        <v>13.46</v>
      </c>
      <c r="H23" s="115">
        <f>PL!$M$65</f>
        <v>10.19</v>
      </c>
      <c r="I23" s="115">
        <f>PL!$N$65</f>
        <v>5.34</v>
      </c>
      <c r="J23" s="134">
        <f>J25/J24</f>
        <v>11.287499999999998</v>
      </c>
      <c r="K23" s="135">
        <f t="shared" ref="K23" si="17">K25/K24</f>
        <v>11.851875</v>
      </c>
      <c r="L23" s="135">
        <f t="shared" ref="L23" si="18">L25/L24</f>
        <v>12.44446875</v>
      </c>
      <c r="M23" s="135">
        <f t="shared" ref="M23" si="19">M25/M24</f>
        <v>13.066692187499999</v>
      </c>
      <c r="N23" s="135">
        <f t="shared" ref="N23" si="20">N25/N24</f>
        <v>13.720026796874999</v>
      </c>
      <c r="O23" s="136"/>
      <c r="Q23" s="274"/>
      <c r="R23" s="150">
        <f t="shared" si="16"/>
        <v>9.9999999999999985E-3</v>
      </c>
      <c r="S23" s="154">
        <v>50.783604289088501</v>
      </c>
      <c r="T23" s="155">
        <v>51.83685794184187</v>
      </c>
      <c r="U23" s="155">
        <v>52.908833751411379</v>
      </c>
      <c r="V23" s="155">
        <v>53.99979113249136</v>
      </c>
      <c r="W23" s="155">
        <v>55.10999192763353</v>
      </c>
      <c r="X23" s="155">
        <v>56.239700418656781</v>
      </c>
      <c r="Y23" s="155">
        <v>57.389183338056299</v>
      </c>
      <c r="Z23" s="156">
        <v>58.558709880413346</v>
      </c>
    </row>
    <row r="24" spans="1:26" ht="16">
      <c r="A24" s="99" t="s">
        <v>248</v>
      </c>
      <c r="B24" s="107">
        <f>(B15/B22)-1</f>
        <v>0.1223674673055728</v>
      </c>
      <c r="C24" s="103"/>
      <c r="D24" s="116" t="s">
        <v>246</v>
      </c>
      <c r="E24" s="133">
        <f>E25/E23</f>
        <v>0.13554216867469879</v>
      </c>
      <c r="F24" s="133">
        <f t="shared" ref="F24" si="21">F25/F23</f>
        <v>0.36900369003690037</v>
      </c>
      <c r="G24" s="133">
        <f t="shared" ref="G24" si="22">G25/G23</f>
        <v>0.38632986627043092</v>
      </c>
      <c r="H24" s="133">
        <f t="shared" ref="H24" si="23">H25/H23</f>
        <v>0.52011776251226693</v>
      </c>
      <c r="I24" s="133">
        <f t="shared" ref="I24" si="24">I25/I23</f>
        <v>0.80524344569288386</v>
      </c>
      <c r="J24" s="131">
        <v>0.4</v>
      </c>
      <c r="K24" s="130">
        <v>0.4</v>
      </c>
      <c r="L24" s="130">
        <v>0.4</v>
      </c>
      <c r="M24" s="130">
        <v>0.4</v>
      </c>
      <c r="N24" s="130">
        <v>0.4</v>
      </c>
      <c r="O24" s="132"/>
      <c r="Q24" s="274"/>
      <c r="R24" s="150">
        <f>R25-0.5%</f>
        <v>1.4999999999999999E-2</v>
      </c>
      <c r="S24" s="154">
        <v>52.794539857218382</v>
      </c>
      <c r="T24" s="155">
        <v>53.89683841300851</v>
      </c>
      <c r="U24" s="155">
        <v>55.018811420491936</v>
      </c>
      <c r="V24" s="155">
        <v>56.160732095418247</v>
      </c>
      <c r="W24" s="155">
        <v>57.322876214095352</v>
      </c>
      <c r="X24" s="155">
        <v>58.505522125434226</v>
      </c>
      <c r="Y24" s="155">
        <v>59.70895076299287</v>
      </c>
      <c r="Z24" s="156">
        <v>60.933445657021139</v>
      </c>
    </row>
    <row r="25" spans="1:26" ht="16">
      <c r="A25" s="99" t="s">
        <v>255</v>
      </c>
      <c r="B25" s="107">
        <f>B20/B22-1</f>
        <v>7.1870038416818272E-2</v>
      </c>
      <c r="C25" s="103"/>
      <c r="D25" s="116" t="s">
        <v>256</v>
      </c>
      <c r="E25" s="115">
        <v>1.35</v>
      </c>
      <c r="F25" s="115">
        <v>5</v>
      </c>
      <c r="G25" s="115">
        <v>5.2</v>
      </c>
      <c r="H25" s="115">
        <v>5.3</v>
      </c>
      <c r="I25" s="115">
        <v>4.3</v>
      </c>
      <c r="J25" s="128">
        <f>$I$25*(1+$B$13)^J22</f>
        <v>4.5149999999999997</v>
      </c>
      <c r="K25" s="127">
        <f>$I$25*(1+$B$13)^K22</f>
        <v>4.7407500000000002</v>
      </c>
      <c r="L25" s="127">
        <f>$I$25*(1+$B$13)^L22</f>
        <v>4.9777875000000007</v>
      </c>
      <c r="M25" s="127">
        <f>$I$25*(1+$B$13)^M22</f>
        <v>5.2266768749999999</v>
      </c>
      <c r="N25" s="127">
        <f>$I$25*(1+$B$13)^N22</f>
        <v>5.48801071875</v>
      </c>
      <c r="O25" s="132">
        <f>N25*(1+B17)</f>
        <v>5.5977709331250001</v>
      </c>
      <c r="Q25" s="274"/>
      <c r="R25" s="157">
        <v>0.02</v>
      </c>
      <c r="S25" s="154">
        <v>55.042481088751799</v>
      </c>
      <c r="T25" s="155">
        <v>56.199604901740706</v>
      </c>
      <c r="U25" s="155">
        <v>57.377467697257636</v>
      </c>
      <c r="V25" s="158">
        <v>58.576358118677845</v>
      </c>
      <c r="W25" s="155">
        <v>59.796567518275751</v>
      </c>
      <c r="X25" s="155">
        <v>61.038389969979434</v>
      </c>
      <c r="Y25" s="155">
        <v>62.302122282124415</v>
      </c>
      <c r="Z25" s="156">
        <v>63.588064010208157</v>
      </c>
    </row>
    <row r="26" spans="1:26" ht="16">
      <c r="A26" s="100" t="s">
        <v>249</v>
      </c>
      <c r="B26" s="114">
        <f>B5-B7/B22</f>
        <v>2.2456311800706591E-2</v>
      </c>
      <c r="C26" s="103"/>
      <c r="D26" s="116" t="s">
        <v>270</v>
      </c>
      <c r="E26" s="115"/>
      <c r="F26" s="126">
        <f>F25/E25-1</f>
        <v>2.7037037037037033</v>
      </c>
      <c r="G26" s="126">
        <f>G25/F25-1</f>
        <v>4.0000000000000036E-2</v>
      </c>
      <c r="H26" s="126">
        <f t="shared" ref="H26" si="25">H25/G25-1</f>
        <v>1.9230769230769162E-2</v>
      </c>
      <c r="I26" s="126">
        <f t="shared" ref="I26" si="26">I25/H25-1</f>
        <v>-0.18867924528301883</v>
      </c>
      <c r="J26" s="140">
        <f>J25/I25-1</f>
        <v>5.0000000000000044E-2</v>
      </c>
      <c r="K26" s="141">
        <f>K25/J25-1</f>
        <v>5.0000000000000044E-2</v>
      </c>
      <c r="L26" s="141">
        <f t="shared" ref="L26" si="27">L25/K25-1</f>
        <v>5.0000000000000044E-2</v>
      </c>
      <c r="M26" s="141">
        <f t="shared" ref="M26" si="28">M25/L25-1</f>
        <v>4.9999999999999822E-2</v>
      </c>
      <c r="N26" s="141">
        <f t="shared" ref="N26" si="29">N25/M25-1</f>
        <v>5.0000000000000044E-2</v>
      </c>
      <c r="O26" s="120"/>
      <c r="Q26" s="274"/>
      <c r="R26" s="150">
        <f>R25+0.5%</f>
        <v>2.5000000000000001E-2</v>
      </c>
      <c r="S26" s="154">
        <v>57.571951376835614</v>
      </c>
      <c r="T26" s="155">
        <v>58.790766686548508</v>
      </c>
      <c r="U26" s="155">
        <v>60.031518829996301</v>
      </c>
      <c r="V26" s="155">
        <v>61.294513810314477</v>
      </c>
      <c r="W26" s="155">
        <v>62.580060506456483</v>
      </c>
      <c r="X26" s="155">
        <v>63.888470686746949</v>
      </c>
      <c r="Y26" s="155">
        <v>65.220059022434114</v>
      </c>
      <c r="Z26" s="156">
        <v>66.575143101242986</v>
      </c>
    </row>
    <row r="27" spans="1:26" ht="16">
      <c r="C27" s="103"/>
      <c r="D27" s="116" t="s">
        <v>262</v>
      </c>
      <c r="E27" s="115"/>
      <c r="F27" s="115"/>
      <c r="G27" s="115"/>
      <c r="H27" s="115"/>
      <c r="I27" s="115"/>
      <c r="J27" s="128">
        <f>(1+$B$5)^(-J22)</f>
        <v>0.90510222684549024</v>
      </c>
      <c r="K27" s="127">
        <f t="shared" ref="K27:N27" si="30">(1+$B$5)^(-K22)</f>
        <v>0.81921004104066519</v>
      </c>
      <c r="L27" s="127">
        <f t="shared" si="30"/>
        <v>0.74146883240009143</v>
      </c>
      <c r="M27" s="127">
        <f t="shared" si="30"/>
        <v>0.67110509134184837</v>
      </c>
      <c r="N27" s="127">
        <f t="shared" si="30"/>
        <v>0.60741871262085301</v>
      </c>
      <c r="O27" s="129"/>
      <c r="Q27" s="274"/>
      <c r="R27" s="150">
        <f t="shared" ref="R27:R30" si="31">R26+0.5%</f>
        <v>3.0000000000000002E-2</v>
      </c>
      <c r="S27" s="154">
        <v>60.439371198375952</v>
      </c>
      <c r="T27" s="155">
        <v>61.728120288833445</v>
      </c>
      <c r="U27" s="155">
        <v>63.04016410298015</v>
      </c>
      <c r="V27" s="155">
        <v>64.375828323060119</v>
      </c>
      <c r="W27" s="155">
        <v>65.735441696355423</v>
      </c>
      <c r="X27" s="155">
        <v>67.11933604964473</v>
      </c>
      <c r="Y27" s="155">
        <v>68.527846303660951</v>
      </c>
      <c r="Z27" s="156">
        <v>69.96131048754998</v>
      </c>
    </row>
    <row r="28" spans="1:26">
      <c r="D28" s="116" t="s">
        <v>263</v>
      </c>
      <c r="E28" s="115"/>
      <c r="F28" s="115"/>
      <c r="G28" s="115"/>
      <c r="H28" s="115"/>
      <c r="I28" s="115"/>
      <c r="J28" s="128">
        <f>J25*J27</f>
        <v>4.0865365542073881</v>
      </c>
      <c r="K28" s="127">
        <f>K25*K27</f>
        <v>3.8836700020635337</v>
      </c>
      <c r="L28" s="127">
        <f t="shared" ref="L28" si="32">L25*L27</f>
        <v>3.6908742855607706</v>
      </c>
      <c r="M28" s="127">
        <f t="shared" ref="M28" si="33">M25*M27</f>
        <v>3.5076494616112015</v>
      </c>
      <c r="N28" s="127">
        <f t="shared" ref="N28" si="34">N25*N27</f>
        <v>3.3335204056325671</v>
      </c>
      <c r="O28" s="129"/>
      <c r="Q28" s="274"/>
      <c r="R28" s="150">
        <f t="shared" si="31"/>
        <v>3.5000000000000003E-2</v>
      </c>
      <c r="S28" s="154">
        <v>63.717316344851866</v>
      </c>
      <c r="T28" s="155">
        <v>65.086011558107444</v>
      </c>
      <c r="U28" s="155">
        <v>66.479553792609664</v>
      </c>
      <c r="V28" s="155">
        <v>67.898291227147411</v>
      </c>
      <c r="W28" s="155">
        <v>69.342575321857993</v>
      </c>
      <c r="X28" s="155">
        <v>70.812760833720745</v>
      </c>
      <c r="Y28" s="155">
        <v>72.309205832049699</v>
      </c>
      <c r="Z28" s="156">
        <v>73.832271713987168</v>
      </c>
    </row>
    <row r="29" spans="1:26">
      <c r="D29" s="116" t="s">
        <v>264</v>
      </c>
      <c r="E29" s="115"/>
      <c r="F29" s="115"/>
      <c r="G29" s="115"/>
      <c r="H29" s="115"/>
      <c r="I29" s="115"/>
      <c r="J29" s="128">
        <f>SUM(J28:N28)</f>
        <v>18.502250709075462</v>
      </c>
      <c r="K29" s="115"/>
      <c r="L29" s="115"/>
      <c r="M29" s="115"/>
      <c r="N29" s="115"/>
      <c r="O29" s="120"/>
      <c r="Q29" s="274"/>
      <c r="R29" s="150">
        <f t="shared" si="31"/>
        <v>0.04</v>
      </c>
      <c r="S29" s="154">
        <v>67.500746109992036</v>
      </c>
      <c r="T29" s="155">
        <v>68.961715759544077</v>
      </c>
      <c r="U29" s="155">
        <v>70.449324104248433</v>
      </c>
      <c r="V29" s="155">
        <v>71.963945288580845</v>
      </c>
      <c r="W29" s="155">
        <v>73.50595698803275</v>
      </c>
      <c r="X29" s="155">
        <v>75.075740425799253</v>
      </c>
      <c r="Y29" s="155">
        <v>76.673680389466597</v>
      </c>
      <c r="Z29" s="156">
        <v>78.300165247700235</v>
      </c>
    </row>
    <row r="30" spans="1:26">
      <c r="D30" s="116" t="s">
        <v>265</v>
      </c>
      <c r="E30" s="115"/>
      <c r="F30" s="115"/>
      <c r="G30" s="115"/>
      <c r="H30" s="115"/>
      <c r="I30" s="115"/>
      <c r="J30" s="119"/>
      <c r="K30" s="115"/>
      <c r="L30" s="115"/>
      <c r="M30" s="115"/>
      <c r="N30" s="127">
        <f>O25/($B$5-$B$17)</f>
        <v>65.974436705601448</v>
      </c>
      <c r="O30" s="120"/>
      <c r="Q30" s="275"/>
      <c r="R30" s="159">
        <f t="shared" si="31"/>
        <v>4.4999999999999998E-2</v>
      </c>
      <c r="S30" s="160">
        <v>71.916353502560455</v>
      </c>
      <c r="T30" s="161">
        <v>73.485015830012799</v>
      </c>
      <c r="U30" s="161">
        <v>75.08240789937507</v>
      </c>
      <c r="V30" s="161">
        <v>76.708934159446343</v>
      </c>
      <c r="W30" s="161">
        <v>78.36500288142571</v>
      </c>
      <c r="X30" s="161">
        <v>80.051026176994569</v>
      </c>
      <c r="Y30" s="161">
        <v>81.767420016398148</v>
      </c>
      <c r="Z30" s="162">
        <v>83.514604246527853</v>
      </c>
    </row>
    <row r="31" spans="1:26">
      <c r="D31" s="116" t="s">
        <v>266</v>
      </c>
      <c r="E31" s="115"/>
      <c r="F31" s="115"/>
      <c r="G31" s="115"/>
      <c r="H31" s="115"/>
      <c r="I31" s="115"/>
      <c r="J31" s="128">
        <f>N30/(1+$B$5)^N22</f>
        <v>40.074107409602384</v>
      </c>
      <c r="K31" s="115"/>
      <c r="L31" s="115"/>
      <c r="M31" s="115"/>
      <c r="N31" s="115"/>
      <c r="O31" s="120"/>
    </row>
    <row r="32" spans="1:26" ht="17" thickBot="1">
      <c r="D32" s="117" t="s">
        <v>267</v>
      </c>
      <c r="E32" s="118"/>
      <c r="F32" s="118"/>
      <c r="G32" s="118"/>
      <c r="H32" s="118"/>
      <c r="I32" s="118"/>
      <c r="J32" s="142">
        <f>J29+J31</f>
        <v>58.576358118677845</v>
      </c>
      <c r="K32" s="118"/>
      <c r="L32" s="118"/>
      <c r="M32" s="118"/>
      <c r="N32" s="118"/>
      <c r="O32" s="121"/>
    </row>
    <row r="34" spans="4:26">
      <c r="D34" s="36" t="s">
        <v>274</v>
      </c>
      <c r="E34" t="s">
        <v>275</v>
      </c>
    </row>
    <row r="35" spans="4:26" ht="16" thickBot="1"/>
    <row r="36" spans="4:26" ht="17" thickBot="1">
      <c r="D36" s="283" t="s">
        <v>268</v>
      </c>
      <c r="E36" s="284"/>
      <c r="F36" s="284"/>
      <c r="G36" s="284"/>
      <c r="H36" s="284"/>
      <c r="I36" s="285"/>
      <c r="J36" s="286" t="s">
        <v>269</v>
      </c>
      <c r="K36" s="287"/>
      <c r="L36" s="287"/>
      <c r="M36" s="287"/>
      <c r="N36" s="287"/>
      <c r="O36" s="288"/>
      <c r="S36" s="280" t="s">
        <v>280</v>
      </c>
      <c r="T36" s="281"/>
      <c r="U36" s="281"/>
      <c r="V36" s="281"/>
      <c r="W36" s="281"/>
      <c r="X36" s="281"/>
      <c r="Y36" s="281"/>
      <c r="Z36" s="282"/>
    </row>
    <row r="37" spans="4:26" ht="17" thickBot="1">
      <c r="D37" s="122" t="s">
        <v>240</v>
      </c>
      <c r="E37" s="123">
        <v>2021</v>
      </c>
      <c r="F37" s="123">
        <v>2022</v>
      </c>
      <c r="G37" s="123">
        <v>2023</v>
      </c>
      <c r="H37" s="123">
        <v>2024</v>
      </c>
      <c r="I37" s="123">
        <v>2025</v>
      </c>
      <c r="J37" s="124">
        <v>2026</v>
      </c>
      <c r="K37" s="123">
        <v>2027</v>
      </c>
      <c r="L37" s="123">
        <v>2028</v>
      </c>
      <c r="M37" s="123">
        <v>2029</v>
      </c>
      <c r="N37" s="123">
        <v>2030</v>
      </c>
      <c r="O37" s="125">
        <v>2032</v>
      </c>
      <c r="R37" s="146">
        <f>$J$48</f>
        <v>55.940897304973745</v>
      </c>
      <c r="S37" s="147">
        <f t="shared" ref="S37" si="35">T37-0.5%</f>
        <v>3.500000000000001E-2</v>
      </c>
      <c r="T37" s="147">
        <f t="shared" ref="T37" si="36">U37-0.5%</f>
        <v>4.0000000000000008E-2</v>
      </c>
      <c r="U37" s="147">
        <f>V37-0.5%</f>
        <v>4.5000000000000005E-2</v>
      </c>
      <c r="V37" s="148">
        <v>0.05</v>
      </c>
      <c r="W37" s="147">
        <f>V37+0.5%</f>
        <v>5.5E-2</v>
      </c>
      <c r="X37" s="147">
        <f t="shared" ref="X37" si="37">W37+0.5%</f>
        <v>0.06</v>
      </c>
      <c r="Y37" s="147">
        <f t="shared" ref="Y37" si="38">X37+0.5%</f>
        <v>6.5000000000000002E-2</v>
      </c>
      <c r="Z37" s="149">
        <f t="shared" ref="Z37" si="39">Y37+0.5%</f>
        <v>7.0000000000000007E-2</v>
      </c>
    </row>
    <row r="38" spans="4:26" ht="17" customHeight="1" thickBot="1">
      <c r="D38" s="122" t="s">
        <v>260</v>
      </c>
      <c r="E38" s="123"/>
      <c r="F38" s="123"/>
      <c r="G38" s="123"/>
      <c r="H38" s="123"/>
      <c r="I38" s="123">
        <v>0</v>
      </c>
      <c r="J38" s="123">
        <v>1</v>
      </c>
      <c r="K38" s="123">
        <v>2</v>
      </c>
      <c r="L38" s="123">
        <v>3</v>
      </c>
      <c r="M38" s="123">
        <v>4</v>
      </c>
      <c r="N38" s="123">
        <v>5</v>
      </c>
      <c r="O38" s="125" t="s">
        <v>261</v>
      </c>
      <c r="Q38" s="273" t="s">
        <v>281</v>
      </c>
      <c r="R38" s="150">
        <f t="shared" ref="R38:R39" si="40">R39-0.5%</f>
        <v>4.9999999999999984E-3</v>
      </c>
      <c r="S38" s="151">
        <f t="dataTable" ref="S38:Z46" dt2D="1" dtr="1" r1="B18" r2="B17" ca="1"/>
        <v>46.827121526296004</v>
      </c>
      <c r="T38" s="152">
        <v>47.439261363323951</v>
      </c>
      <c r="U38" s="152">
        <v>48.05755209962377</v>
      </c>
      <c r="V38" s="152">
        <v>48.682038477667447</v>
      </c>
      <c r="W38" s="152">
        <v>49.312765442574445</v>
      </c>
      <c r="X38" s="152">
        <v>49.949778142527833</v>
      </c>
      <c r="Y38" s="152">
        <v>50.593121929190524</v>
      </c>
      <c r="Z38" s="153">
        <v>51.242842358121401</v>
      </c>
    </row>
    <row r="39" spans="4:26">
      <c r="D39" s="116" t="s">
        <v>245</v>
      </c>
      <c r="E39" s="115">
        <v>9.9600000000000009</v>
      </c>
      <c r="F39" s="115">
        <v>13.55</v>
      </c>
      <c r="G39" s="115">
        <v>13.46</v>
      </c>
      <c r="H39" s="115">
        <f>PL!$M$65</f>
        <v>10.19</v>
      </c>
      <c r="I39" s="115">
        <f>PL!$N$65</f>
        <v>5.34</v>
      </c>
      <c r="J39" s="134">
        <f>J41/J40</f>
        <v>11.287499999999998</v>
      </c>
      <c r="K39" s="135">
        <f t="shared" ref="K39" si="41">K41/K40</f>
        <v>11.784149999999999</v>
      </c>
      <c r="L39" s="135">
        <f t="shared" ref="L39" si="42">L41/L40</f>
        <v>12.231947700000001</v>
      </c>
      <c r="M39" s="135">
        <f t="shared" ref="M39" si="43">M41/M40</f>
        <v>12.6233700264</v>
      </c>
      <c r="N39" s="135">
        <f t="shared" ref="N39" si="44">N41/N40</f>
        <v>12.951577647086401</v>
      </c>
      <c r="O39" s="136"/>
      <c r="Q39" s="274"/>
      <c r="R39" s="150">
        <f t="shared" si="40"/>
        <v>9.9999999999999985E-3</v>
      </c>
      <c r="S39" s="154">
        <v>48.902807048024044</v>
      </c>
      <c r="T39" s="155">
        <v>49.544596779701834</v>
      </c>
      <c r="U39" s="155">
        <v>50.192855391626708</v>
      </c>
      <c r="V39" s="155">
        <v>50.847630001062555</v>
      </c>
      <c r="W39" s="155">
        <v>51.508967938727622</v>
      </c>
      <c r="X39" s="155">
        <v>52.176916749232674</v>
      </c>
      <c r="Y39" s="155">
        <v>52.851524191519069</v>
      </c>
      <c r="Z39" s="156">
        <v>53.532838239296979</v>
      </c>
    </row>
    <row r="40" spans="4:26">
      <c r="D40" s="116" t="s">
        <v>246</v>
      </c>
      <c r="E40" s="133">
        <f>E41/E39</f>
        <v>0.13554216867469879</v>
      </c>
      <c r="F40" s="133">
        <f t="shared" ref="F40" si="45">F41/F39</f>
        <v>0.36900369003690037</v>
      </c>
      <c r="G40" s="133">
        <f t="shared" ref="G40" si="46">G41/G39</f>
        <v>0.38632986627043092</v>
      </c>
      <c r="H40" s="133">
        <f t="shared" ref="H40" si="47">H41/H39</f>
        <v>0.52011776251226693</v>
      </c>
      <c r="I40" s="133">
        <f t="shared" ref="I40" si="48">I41/I39</f>
        <v>0.80524344569288386</v>
      </c>
      <c r="J40" s="131">
        <v>0.4</v>
      </c>
      <c r="K40" s="130">
        <v>0.4</v>
      </c>
      <c r="L40" s="130">
        <v>0.4</v>
      </c>
      <c r="M40" s="130">
        <v>0.4</v>
      </c>
      <c r="N40" s="130">
        <v>0.4</v>
      </c>
      <c r="O40" s="132"/>
      <c r="Q40" s="274"/>
      <c r="R40" s="150">
        <f>R41-0.5%</f>
        <v>1.4999999999999999E-2</v>
      </c>
      <c r="S40" s="154">
        <v>51.208404306471053</v>
      </c>
      <c r="T40" s="155">
        <v>51.883135420317309</v>
      </c>
      <c r="U40" s="155">
        <v>52.564688753284514</v>
      </c>
      <c r="V40" s="155">
        <v>53.253114061701297</v>
      </c>
      <c r="W40" s="155">
        <v>53.948461327360455</v>
      </c>
      <c r="X40" s="155">
        <v>54.650780757981444</v>
      </c>
      <c r="Y40" s="155">
        <v>55.360122787672793</v>
      </c>
      <c r="Z40" s="156">
        <v>56.076538077394687</v>
      </c>
    </row>
    <row r="41" spans="4:26" ht="16">
      <c r="D41" s="116" t="s">
        <v>256</v>
      </c>
      <c r="E41" s="115">
        <v>1.35</v>
      </c>
      <c r="F41" s="115">
        <v>5</v>
      </c>
      <c r="G41" s="115">
        <v>5.2</v>
      </c>
      <c r="H41" s="115">
        <v>5.3</v>
      </c>
      <c r="I41" s="115">
        <v>4.3</v>
      </c>
      <c r="J41" s="128">
        <f>$I$25*(1+$B$18)^J38</f>
        <v>4.5149999999999997</v>
      </c>
      <c r="K41" s="127">
        <f>J41*(1+$B$17+($B$18-$B$17)*($B$19-J38)/$B$19)</f>
        <v>4.71366</v>
      </c>
      <c r="L41" s="127">
        <f t="shared" ref="L41:N41" si="49">K41*(1+$B$17+($B$18-$B$17)*($B$19-K38)/$B$19)</f>
        <v>4.8927790800000004</v>
      </c>
      <c r="M41" s="127">
        <f t="shared" si="49"/>
        <v>5.0493480105600002</v>
      </c>
      <c r="N41" s="127">
        <f t="shared" si="49"/>
        <v>5.1806310588345603</v>
      </c>
      <c r="O41" s="132">
        <f>N41*(1+B17)</f>
        <v>5.2842436800112518</v>
      </c>
      <c r="Q41" s="274"/>
      <c r="R41" s="157">
        <v>0.02</v>
      </c>
      <c r="S41" s="154">
        <v>53.784555533119253</v>
      </c>
      <c r="T41" s="155">
        <v>54.496101388273431</v>
      </c>
      <c r="U41" s="155">
        <v>55.214864410096041</v>
      </c>
      <c r="V41" s="158">
        <v>55.940897304973745</v>
      </c>
      <c r="W41" s="155">
        <v>56.674253018182391</v>
      </c>
      <c r="X41" s="155">
        <v>57.414984734377057</v>
      </c>
      <c r="Y41" s="155">
        <v>58.163145878081451</v>
      </c>
      <c r="Z41" s="156">
        <v>58.918790114178037</v>
      </c>
    </row>
    <row r="42" spans="4:26">
      <c r="D42" s="116" t="s">
        <v>270</v>
      </c>
      <c r="E42" s="115"/>
      <c r="F42" s="126">
        <f>F41/E41-1</f>
        <v>2.7037037037037033</v>
      </c>
      <c r="G42" s="126">
        <f>G41/F41-1</f>
        <v>4.0000000000000036E-2</v>
      </c>
      <c r="H42" s="126">
        <f t="shared" ref="H42" si="50">H41/G41-1</f>
        <v>1.9230769230769162E-2</v>
      </c>
      <c r="I42" s="126">
        <f t="shared" ref="I42" si="51">I41/H41-1</f>
        <v>-0.18867924528301883</v>
      </c>
      <c r="J42" s="140">
        <f>J41/I41-1</f>
        <v>5.0000000000000044E-2</v>
      </c>
      <c r="K42" s="141">
        <f>K41/J41-1</f>
        <v>4.4000000000000039E-2</v>
      </c>
      <c r="L42" s="141">
        <f t="shared" ref="L42" si="52">L41/K41-1</f>
        <v>3.8000000000000034E-2</v>
      </c>
      <c r="M42" s="141">
        <f t="shared" ref="M42" si="53">M41/L41-1</f>
        <v>3.2000000000000028E-2</v>
      </c>
      <c r="N42" s="141">
        <f t="shared" ref="N42" si="54">N41/M41-1</f>
        <v>2.6000000000000023E-2</v>
      </c>
      <c r="O42" s="120"/>
      <c r="Q42" s="274"/>
      <c r="R42" s="150">
        <f>R41+0.5%</f>
        <v>2.5000000000000001E-2</v>
      </c>
      <c r="S42" s="154">
        <v>56.682082907992786</v>
      </c>
      <c r="T42" s="155">
        <v>57.435044480785891</v>
      </c>
      <c r="U42" s="155">
        <v>58.195667592920799</v>
      </c>
      <c r="V42" s="155">
        <v>58.964008270257693</v>
      </c>
      <c r="W42" s="155">
        <v>59.740122792652613</v>
      </c>
      <c r="X42" s="155">
        <v>60.524067694477864</v>
      </c>
      <c r="Y42" s="155">
        <v>61.315899765142426</v>
      </c>
      <c r="Z42" s="156">
        <v>62.115676049612446</v>
      </c>
    </row>
    <row r="43" spans="4:26">
      <c r="D43" s="116" t="s">
        <v>262</v>
      </c>
      <c r="E43" s="115"/>
      <c r="F43" s="115"/>
      <c r="G43" s="115"/>
      <c r="H43" s="115"/>
      <c r="I43" s="115"/>
      <c r="J43" s="128">
        <f>(1+$B$5)^(-J38)</f>
        <v>0.90510222684549024</v>
      </c>
      <c r="K43" s="127">
        <f t="shared" ref="K43:N43" si="55">(1+$B$5)^(-K38)</f>
        <v>0.81921004104066519</v>
      </c>
      <c r="L43" s="127">
        <f t="shared" si="55"/>
        <v>0.74146883240009143</v>
      </c>
      <c r="M43" s="127">
        <f t="shared" si="55"/>
        <v>0.67110509134184837</v>
      </c>
      <c r="N43" s="127">
        <f t="shared" si="55"/>
        <v>0.60741871262085301</v>
      </c>
      <c r="O43" s="129"/>
      <c r="Q43" s="274"/>
      <c r="R43" s="150">
        <f t="shared" ref="R43:R46" si="56">R42+0.5%</f>
        <v>3.0000000000000002E-2</v>
      </c>
      <c r="S43" s="154">
        <v>59.965388786255147</v>
      </c>
      <c r="T43" s="155">
        <v>60.765289096573838</v>
      </c>
      <c r="U43" s="155">
        <v>61.573354649117562</v>
      </c>
      <c r="V43" s="155">
        <v>62.389645232669352</v>
      </c>
      <c r="W43" s="155">
        <v>63.214220907132827</v>
      </c>
      <c r="X43" s="155">
        <v>64.047142004087647</v>
      </c>
      <c r="Y43" s="155">
        <v>64.888469127344365</v>
      </c>
      <c r="Z43" s="156">
        <v>65.7382631535</v>
      </c>
    </row>
    <row r="44" spans="4:26">
      <c r="D44" s="116" t="s">
        <v>263</v>
      </c>
      <c r="E44" s="115"/>
      <c r="F44" s="115"/>
      <c r="G44" s="115"/>
      <c r="H44" s="115"/>
      <c r="I44" s="115"/>
      <c r="J44" s="128">
        <f>J41*J43</f>
        <v>4.0865365542073881</v>
      </c>
      <c r="K44" s="127">
        <f>K41*K43</f>
        <v>3.8614776020517421</v>
      </c>
      <c r="L44" s="127">
        <f t="shared" ref="L44" si="57">L41*L43</f>
        <v>3.6278431916391938</v>
      </c>
      <c r="M44" s="127">
        <f t="shared" ref="M44" si="58">M41*M43</f>
        <v>3.3886431578436493</v>
      </c>
      <c r="N44" s="127">
        <f t="shared" ref="N44" si="59">N41*N43</f>
        <v>3.1468122483208951</v>
      </c>
      <c r="O44" s="129"/>
      <c r="Q44" s="274"/>
      <c r="R44" s="150">
        <f t="shared" si="56"/>
        <v>3.5000000000000003E-2</v>
      </c>
      <c r="S44" s="154">
        <v>63.717316344851881</v>
      </c>
      <c r="T44" s="155">
        <v>64.5708644720211</v>
      </c>
      <c r="U44" s="155">
        <v>65.433153615792435</v>
      </c>
      <c r="V44" s="155">
        <v>66.304247866553126</v>
      </c>
      <c r="W44" s="155">
        <v>67.184211605387759</v>
      </c>
      <c r="X44" s="155">
        <v>68.073109504673056</v>
      </c>
      <c r="Y44" s="155">
        <v>68.971006528672959</v>
      </c>
      <c r="Z44" s="156">
        <v>69.87796793413338</v>
      </c>
    </row>
    <row r="45" spans="4:26">
      <c r="D45" s="116" t="s">
        <v>264</v>
      </c>
      <c r="E45" s="115"/>
      <c r="F45" s="115"/>
      <c r="G45" s="115"/>
      <c r="H45" s="115"/>
      <c r="I45" s="115"/>
      <c r="J45" s="128">
        <f>SUM(J44:N44)</f>
        <v>18.111312754062869</v>
      </c>
      <c r="K45" s="115"/>
      <c r="L45" s="115"/>
      <c r="M45" s="115"/>
      <c r="N45" s="115"/>
      <c r="O45" s="120"/>
      <c r="Q45" s="274"/>
      <c r="R45" s="150">
        <f t="shared" si="56"/>
        <v>0.04</v>
      </c>
      <c r="S45" s="154">
        <v>68.046258877625675</v>
      </c>
      <c r="T45" s="155">
        <v>68.961715759544063</v>
      </c>
      <c r="U45" s="155">
        <v>69.886578174829523</v>
      </c>
      <c r="V45" s="155">
        <v>70.820915178758298</v>
      </c>
      <c r="W45" s="155">
        <v>71.764796139899346</v>
      </c>
      <c r="X45" s="155">
        <v>72.718290740755236</v>
      </c>
      <c r="Y45" s="155">
        <v>73.681468978402819</v>
      </c>
      <c r="Z45" s="156">
        <v>74.654401165134146</v>
      </c>
    </row>
    <row r="46" spans="4:26">
      <c r="D46" s="116" t="s">
        <v>265</v>
      </c>
      <c r="E46" s="115"/>
      <c r="F46" s="115"/>
      <c r="G46" s="115"/>
      <c r="H46" s="115"/>
      <c r="I46" s="115"/>
      <c r="J46" s="119"/>
      <c r="K46" s="115"/>
      <c r="L46" s="115"/>
      <c r="M46" s="115"/>
      <c r="N46" s="127">
        <f>O41/($B$5-$B$17)</f>
        <v>62.279254433381055</v>
      </c>
      <c r="O46" s="120"/>
      <c r="Q46" s="275"/>
      <c r="R46" s="159">
        <f t="shared" si="56"/>
        <v>4.4999999999999998E-2</v>
      </c>
      <c r="S46" s="160">
        <v>73.096832791303001</v>
      </c>
      <c r="T46" s="161">
        <v>74.084529828073272</v>
      </c>
      <c r="U46" s="161">
        <v>75.08240789937507</v>
      </c>
      <c r="V46" s="161">
        <v>76.090541854901886</v>
      </c>
      <c r="W46" s="161">
        <v>77.109006884010938</v>
      </c>
      <c r="X46" s="161">
        <v>78.137878516417373</v>
      </c>
      <c r="Y46" s="161">
        <v>79.177232622888852</v>
      </c>
      <c r="Z46" s="162">
        <v>80.227145415939589</v>
      </c>
    </row>
    <row r="47" spans="4:26">
      <c r="D47" s="116" t="s">
        <v>266</v>
      </c>
      <c r="E47" s="115"/>
      <c r="F47" s="115"/>
      <c r="G47" s="115"/>
      <c r="H47" s="115"/>
      <c r="I47" s="115"/>
      <c r="J47" s="128">
        <f>N46/(1+$B$5)^N38</f>
        <v>37.829584550910873</v>
      </c>
      <c r="K47" s="115"/>
      <c r="L47" s="115"/>
      <c r="M47" s="115"/>
      <c r="N47" s="115"/>
      <c r="O47" s="120"/>
    </row>
    <row r="48" spans="4:26" ht="17" thickBot="1">
      <c r="D48" s="117" t="s">
        <v>267</v>
      </c>
      <c r="E48" s="118"/>
      <c r="F48" s="118"/>
      <c r="G48" s="118"/>
      <c r="H48" s="118"/>
      <c r="I48" s="118"/>
      <c r="J48" s="142">
        <f>J45+J47</f>
        <v>55.940897304973745</v>
      </c>
      <c r="K48" s="118"/>
      <c r="L48" s="118"/>
      <c r="M48" s="118"/>
      <c r="N48" s="118"/>
      <c r="O48" s="121"/>
    </row>
  </sheetData>
  <mergeCells count="17">
    <mergeCell ref="S2:Z2"/>
    <mergeCell ref="Q4:Q12"/>
    <mergeCell ref="D36:I36"/>
    <mergeCell ref="J36:O36"/>
    <mergeCell ref="J4:O4"/>
    <mergeCell ref="D4:I4"/>
    <mergeCell ref="D20:I20"/>
    <mergeCell ref="J20:O20"/>
    <mergeCell ref="S20:Z20"/>
    <mergeCell ref="Q22:Q30"/>
    <mergeCell ref="S36:Z36"/>
    <mergeCell ref="Q38:Q46"/>
    <mergeCell ref="A21:B21"/>
    <mergeCell ref="A16:B16"/>
    <mergeCell ref="A1:B1"/>
    <mergeCell ref="A8:B8"/>
    <mergeCell ref="A11:B11"/>
  </mergeCells>
  <conditionalFormatting sqref="S4:Z12">
    <cfRule type="cellIs" dxfId="2" priority="3" operator="lessThan">
      <formula>0</formula>
    </cfRule>
  </conditionalFormatting>
  <conditionalFormatting sqref="S22:Z30">
    <cfRule type="cellIs" dxfId="1" priority="2" operator="lessThan">
      <formula>0</formula>
    </cfRule>
  </conditionalFormatting>
  <conditionalFormatting sqref="S38:Z46">
    <cfRule type="cellIs" dxfId="0" priority="1" operator="lessThan">
      <formula>0</formula>
    </cfRule>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8107A-48D1-1E46-BFA0-4EA0872631F4}">
  <sheetPr>
    <tabColor rgb="FF92D050"/>
  </sheetPr>
  <dimension ref="B1:G11"/>
  <sheetViews>
    <sheetView showGridLines="0" zoomScale="176" workbookViewId="0">
      <selection activeCell="D4" sqref="D4"/>
    </sheetView>
  </sheetViews>
  <sheetFormatPr baseColWidth="10" defaultRowHeight="15"/>
  <cols>
    <col min="3" max="3" width="21.83203125" bestFit="1" customWidth="1"/>
    <col min="4" max="4" width="9.83203125" bestFit="1" customWidth="1"/>
    <col min="5" max="5" width="7" bestFit="1" customWidth="1"/>
    <col min="6" max="6" width="13.1640625" customWidth="1"/>
  </cols>
  <sheetData>
    <row r="1" spans="2:7">
      <c r="B1" s="14"/>
      <c r="C1" s="14" t="s">
        <v>417</v>
      </c>
      <c r="D1" s="14" t="s">
        <v>418</v>
      </c>
      <c r="E1" s="14" t="s">
        <v>419</v>
      </c>
      <c r="F1" s="289" t="s">
        <v>420</v>
      </c>
      <c r="G1" s="289"/>
    </row>
    <row r="3" spans="2:7">
      <c r="C3" t="s">
        <v>220</v>
      </c>
      <c r="D3" s="208">
        <f>'Relative Valuation'!E19</f>
        <v>57.642306590629509</v>
      </c>
      <c r="E3" s="209">
        <v>0.3</v>
      </c>
      <c r="F3" s="208">
        <f t="shared" ref="F3:F8" si="0">E3*D3</f>
        <v>17.292691977188852</v>
      </c>
    </row>
    <row r="4" spans="2:7">
      <c r="C4" t="s">
        <v>421</v>
      </c>
      <c r="D4" s="208">
        <f>DCF!D47</f>
        <v>90.027526706216591</v>
      </c>
      <c r="E4" s="209">
        <v>0.1</v>
      </c>
      <c r="F4" s="208">
        <f t="shared" si="0"/>
        <v>9.0027526706216587</v>
      </c>
    </row>
    <row r="5" spans="2:7">
      <c r="C5" t="s">
        <v>422</v>
      </c>
      <c r="D5" s="208">
        <f>DCF!D59</f>
        <v>81.969191018754486</v>
      </c>
      <c r="E5" s="209">
        <v>0.3</v>
      </c>
      <c r="F5" s="208">
        <f t="shared" si="0"/>
        <v>24.590757305626344</v>
      </c>
    </row>
    <row r="6" spans="2:7">
      <c r="C6" t="s">
        <v>424</v>
      </c>
      <c r="D6" s="208">
        <f>DDM!B10</f>
        <v>51.692697476855898</v>
      </c>
      <c r="E6" s="209">
        <v>0.15</v>
      </c>
      <c r="F6" s="208">
        <f t="shared" si="0"/>
        <v>7.7539046215283847</v>
      </c>
    </row>
    <row r="7" spans="2:7">
      <c r="C7" t="s">
        <v>425</v>
      </c>
      <c r="D7" s="208">
        <f>DDM!B15</f>
        <v>58.576358118677845</v>
      </c>
      <c r="E7" s="209">
        <v>0.05</v>
      </c>
      <c r="F7" s="208">
        <f t="shared" si="0"/>
        <v>2.9288179059338924</v>
      </c>
    </row>
    <row r="8" spans="2:7">
      <c r="C8" t="s">
        <v>426</v>
      </c>
      <c r="D8" s="208">
        <f>DDM!B20</f>
        <v>55.940897304973745</v>
      </c>
      <c r="E8" s="209">
        <v>0.1</v>
      </c>
      <c r="F8" s="208">
        <f t="shared" si="0"/>
        <v>5.5940897304973749</v>
      </c>
    </row>
    <row r="9" spans="2:7">
      <c r="C9" t="s">
        <v>368</v>
      </c>
      <c r="D9" s="208">
        <f>SUMPRODUCT(D3:D8,E3:E8)</f>
        <v>67.163014211396501</v>
      </c>
      <c r="E9" s="209"/>
      <c r="F9" s="185">
        <f>SUM(F3:F8)</f>
        <v>67.163014211396501</v>
      </c>
    </row>
    <row r="10" spans="2:7">
      <c r="C10" t="s">
        <v>423</v>
      </c>
      <c r="D10" s="208">
        <f>Ratios!D3</f>
        <v>52.19</v>
      </c>
      <c r="E10" s="209"/>
      <c r="F10" s="185">
        <f>Ratios!D3</f>
        <v>52.19</v>
      </c>
    </row>
    <row r="11" spans="2:7">
      <c r="C11" t="s">
        <v>380</v>
      </c>
      <c r="F11" s="238">
        <f>F9/F10-1</f>
        <v>0.2868943133051638</v>
      </c>
    </row>
  </sheetData>
  <mergeCells count="1">
    <mergeCell ref="F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27</vt:i4>
      </vt:variant>
    </vt:vector>
  </HeadingPairs>
  <TitlesOfParts>
    <vt:vector size="27" baseType="lpstr">
      <vt:lpstr>Intro</vt:lpstr>
      <vt:lpstr>Legend</vt:lpstr>
      <vt:lpstr>Overview &amp; Results</vt:lpstr>
      <vt:lpstr>Template</vt:lpstr>
      <vt:lpstr>1. Core</vt:lpstr>
      <vt:lpstr>BS</vt:lpstr>
      <vt:lpstr>PL</vt:lpstr>
      <vt:lpstr>CF</vt:lpstr>
      <vt:lpstr>2. Calcs</vt:lpstr>
      <vt:lpstr>EBITDA</vt:lpstr>
      <vt:lpstr>Ratios</vt:lpstr>
      <vt:lpstr>3. Comps</vt:lpstr>
      <vt:lpstr>BMW</vt:lpstr>
      <vt:lpstr>VW</vt:lpstr>
      <vt:lpstr>Porsche</vt:lpstr>
      <vt:lpstr>Relative Valuation</vt:lpstr>
      <vt:lpstr>4. DCF</vt:lpstr>
      <vt:lpstr>Beta</vt:lpstr>
      <vt:lpstr>COE</vt:lpstr>
      <vt:lpstr>COD</vt:lpstr>
      <vt:lpstr>WACC</vt:lpstr>
      <vt:lpstr>DCF</vt:lpstr>
      <vt:lpstr>5. DDM</vt:lpstr>
      <vt:lpstr>Dividend Policy Summary</vt:lpstr>
      <vt:lpstr>Technical Page for DPS</vt:lpstr>
      <vt:lpstr>DDM</vt:lpstr>
      <vt:lpstr>Results</vt:lpstr>
    </vt:vector>
  </TitlesOfParts>
  <Company>PJSC Sovcombank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Григорьев Владимир Алексеевич</dc:creator>
  <cp:lastModifiedBy>Ilia Sharafutdinov</cp:lastModifiedBy>
  <dcterms:created xsi:type="dcterms:W3CDTF">2026-05-14T07:50:52Z</dcterms:created>
  <dcterms:modified xsi:type="dcterms:W3CDTF">2026-06-02T17:18:09Z</dcterms:modified>
</cp:coreProperties>
</file>