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od\Рабочий стол\"/>
    </mc:Choice>
  </mc:AlternateContent>
  <xr:revisionPtr revIDLastSave="0" documentId="13_ncr:1_{BCEF82EE-A05D-403E-AB8F-45E8410A9EC3}" xr6:coauthVersionLast="47" xr6:coauthVersionMax="47" xr10:uidLastSave="{00000000-0000-0000-0000-000000000000}"/>
  <bookViews>
    <workbookView xWindow="-108" yWindow="-108" windowWidth="23256" windowHeight="12576" firstSheet="3" activeTab="3" xr2:uid="{02CA0E13-B26E-4D07-B08E-2515C6469ED3}"/>
  </bookViews>
  <sheets>
    <sheet name="ВОР" sheetId="1" r:id="rId1"/>
    <sheet name="Табличный метод" sheetId="2" r:id="rId2"/>
    <sheet name="Ведомость ресурсов" sheetId="5" r:id="rId3"/>
    <sheet name="Сводная таблица" sheetId="6" r:id="rId4"/>
    <sheet name="Подбор крана" sheetId="7" r:id="rId5"/>
    <sheet name="Строительные машины" sheetId="8" r:id="rId6"/>
    <sheet name="Лист1" sheetId="11" r:id="rId7"/>
    <sheet name="Временные здания" sheetId="9" r:id="rId8"/>
    <sheet name="Склады" sheetId="10" r:id="rId9"/>
  </sheets>
  <definedNames>
    <definedName name="_xlnm._FilterDatabase" localSheetId="1" hidden="1">'Табличный метод'!$B$3:$B$75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9" l="1"/>
  <c r="L8" i="9"/>
  <c r="M8" i="9" s="1"/>
  <c r="L72" i="10"/>
  <c r="Q65" i="10"/>
  <c r="P65" i="10"/>
  <c r="O65" i="10"/>
  <c r="F65" i="10"/>
  <c r="H65" i="10" s="1"/>
  <c r="J65" i="10" s="1"/>
  <c r="K65" i="10" s="1"/>
  <c r="Q64" i="10"/>
  <c r="P64" i="10"/>
  <c r="O64" i="10"/>
  <c r="F64" i="10"/>
  <c r="H64" i="10" s="1"/>
  <c r="J64" i="10" s="1"/>
  <c r="K64" i="10" s="1"/>
  <c r="Q63" i="10"/>
  <c r="P63" i="10"/>
  <c r="O63" i="10"/>
  <c r="F63" i="10"/>
  <c r="H63" i="10" s="1"/>
  <c r="J63" i="10" s="1"/>
  <c r="K63" i="10" s="1"/>
  <c r="Q62" i="10"/>
  <c r="P62" i="10"/>
  <c r="O62" i="10"/>
  <c r="F62" i="10"/>
  <c r="H62" i="10" s="1"/>
  <c r="J62" i="10" s="1"/>
  <c r="K62" i="10" s="1"/>
  <c r="Q61" i="10"/>
  <c r="P61" i="10"/>
  <c r="O61" i="10"/>
  <c r="F61" i="10"/>
  <c r="H61" i="10" s="1"/>
  <c r="J61" i="10" s="1"/>
  <c r="K61" i="10" s="1"/>
  <c r="Q60" i="10"/>
  <c r="P60" i="10"/>
  <c r="O60" i="10"/>
  <c r="F60" i="10"/>
  <c r="H60" i="10" s="1"/>
  <c r="J60" i="10" s="1"/>
  <c r="K60" i="10" s="1"/>
  <c r="Q59" i="10"/>
  <c r="P59" i="10"/>
  <c r="O59" i="10"/>
  <c r="F59" i="10"/>
  <c r="H59" i="10" s="1"/>
  <c r="J59" i="10" s="1"/>
  <c r="K59" i="10" s="1"/>
  <c r="Q58" i="10"/>
  <c r="P58" i="10"/>
  <c r="O58" i="10"/>
  <c r="F58" i="10"/>
  <c r="H58" i="10" s="1"/>
  <c r="J58" i="10" s="1"/>
  <c r="K58" i="10" s="1"/>
  <c r="Q57" i="10"/>
  <c r="P57" i="10"/>
  <c r="O57" i="10"/>
  <c r="F57" i="10"/>
  <c r="H57" i="10" s="1"/>
  <c r="J57" i="10" s="1"/>
  <c r="K57" i="10" s="1"/>
  <c r="Q56" i="10"/>
  <c r="P56" i="10"/>
  <c r="O56" i="10"/>
  <c r="F56" i="10"/>
  <c r="H56" i="10" s="1"/>
  <c r="J56" i="10" s="1"/>
  <c r="K56" i="10" s="1"/>
  <c r="Q55" i="10"/>
  <c r="P55" i="10"/>
  <c r="O55" i="10"/>
  <c r="F55" i="10"/>
  <c r="H55" i="10" s="1"/>
  <c r="J55" i="10" s="1"/>
  <c r="K55" i="10" s="1"/>
  <c r="Q54" i="10"/>
  <c r="P54" i="10"/>
  <c r="O54" i="10"/>
  <c r="F54" i="10"/>
  <c r="H54" i="10" s="1"/>
  <c r="J54" i="10" s="1"/>
  <c r="K54" i="10" s="1"/>
  <c r="Q53" i="10"/>
  <c r="P53" i="10"/>
  <c r="O53" i="10"/>
  <c r="F53" i="10"/>
  <c r="H53" i="10" s="1"/>
  <c r="J53" i="10" s="1"/>
  <c r="K53" i="10" s="1"/>
  <c r="Q52" i="10"/>
  <c r="P52" i="10"/>
  <c r="O52" i="10"/>
  <c r="F52" i="10"/>
  <c r="H52" i="10" s="1"/>
  <c r="J52" i="10" s="1"/>
  <c r="K52" i="10" s="1"/>
  <c r="Q51" i="10"/>
  <c r="P51" i="10"/>
  <c r="O51" i="10"/>
  <c r="F51" i="10"/>
  <c r="H51" i="10" s="1"/>
  <c r="J51" i="10" s="1"/>
  <c r="K51" i="10" s="1"/>
  <c r="Q50" i="10"/>
  <c r="P50" i="10"/>
  <c r="O50" i="10"/>
  <c r="F50" i="10"/>
  <c r="H50" i="10" s="1"/>
  <c r="J50" i="10" s="1"/>
  <c r="K50" i="10" s="1"/>
  <c r="Q49" i="10"/>
  <c r="P49" i="10"/>
  <c r="O49" i="10"/>
  <c r="F49" i="10"/>
  <c r="H49" i="10" s="1"/>
  <c r="J49" i="10" s="1"/>
  <c r="K49" i="10" s="1"/>
  <c r="Q48" i="10"/>
  <c r="P48" i="10"/>
  <c r="O48" i="10"/>
  <c r="F48" i="10"/>
  <c r="H48" i="10" s="1"/>
  <c r="J48" i="10" s="1"/>
  <c r="K48" i="10" s="1"/>
  <c r="Q47" i="10"/>
  <c r="P47" i="10"/>
  <c r="O47" i="10"/>
  <c r="F47" i="10"/>
  <c r="H47" i="10" s="1"/>
  <c r="J47" i="10" s="1"/>
  <c r="K47" i="10" s="1"/>
  <c r="Q46" i="10"/>
  <c r="P46" i="10"/>
  <c r="O46" i="10"/>
  <c r="F46" i="10"/>
  <c r="H46" i="10" s="1"/>
  <c r="J46" i="10" s="1"/>
  <c r="K46" i="10" s="1"/>
  <c r="Q45" i="10"/>
  <c r="P45" i="10"/>
  <c r="O45" i="10"/>
  <c r="F45" i="10"/>
  <c r="H45" i="10" s="1"/>
  <c r="J45" i="10" s="1"/>
  <c r="K45" i="10" s="1"/>
  <c r="Q44" i="10"/>
  <c r="P44" i="10"/>
  <c r="O44" i="10"/>
  <c r="F44" i="10"/>
  <c r="H44" i="10" s="1"/>
  <c r="J44" i="10" s="1"/>
  <c r="K44" i="10" s="1"/>
  <c r="Q43" i="10"/>
  <c r="P43" i="10"/>
  <c r="O43" i="10"/>
  <c r="F43" i="10"/>
  <c r="H43" i="10" s="1"/>
  <c r="J43" i="10" s="1"/>
  <c r="K43" i="10" s="1"/>
  <c r="Q42" i="10"/>
  <c r="P42" i="10"/>
  <c r="O42" i="10"/>
  <c r="F42" i="10"/>
  <c r="H42" i="10" s="1"/>
  <c r="J42" i="10" s="1"/>
  <c r="K42" i="10" s="1"/>
  <c r="Q41" i="10"/>
  <c r="P41" i="10"/>
  <c r="O41" i="10"/>
  <c r="F41" i="10"/>
  <c r="H41" i="10" s="1"/>
  <c r="J41" i="10" s="1"/>
  <c r="K41" i="10" s="1"/>
  <c r="Q40" i="10"/>
  <c r="P40" i="10"/>
  <c r="O40" i="10"/>
  <c r="F40" i="10"/>
  <c r="H40" i="10" s="1"/>
  <c r="J40" i="10" s="1"/>
  <c r="K40" i="10" s="1"/>
  <c r="Q39" i="10"/>
  <c r="P39" i="10"/>
  <c r="O39" i="10"/>
  <c r="F39" i="10"/>
  <c r="H39" i="10" s="1"/>
  <c r="J39" i="10" s="1"/>
  <c r="K39" i="10" s="1"/>
  <c r="Q38" i="10"/>
  <c r="P38" i="10"/>
  <c r="O38" i="10"/>
  <c r="F38" i="10"/>
  <c r="H38" i="10" s="1"/>
  <c r="J38" i="10" s="1"/>
  <c r="K38" i="10" s="1"/>
  <c r="Q37" i="10"/>
  <c r="P37" i="10"/>
  <c r="O37" i="10"/>
  <c r="F37" i="10"/>
  <c r="H37" i="10" s="1"/>
  <c r="J37" i="10" s="1"/>
  <c r="K37" i="10" s="1"/>
  <c r="Q36" i="10"/>
  <c r="P36" i="10"/>
  <c r="O36" i="10"/>
  <c r="F36" i="10"/>
  <c r="H36" i="10" s="1"/>
  <c r="J36" i="10" s="1"/>
  <c r="K36" i="10" s="1"/>
  <c r="Q35" i="10"/>
  <c r="P35" i="10"/>
  <c r="O35" i="10"/>
  <c r="F35" i="10"/>
  <c r="H35" i="10" s="1"/>
  <c r="J35" i="10" s="1"/>
  <c r="K35" i="10" s="1"/>
  <c r="Q34" i="10"/>
  <c r="P34" i="10"/>
  <c r="O34" i="10"/>
  <c r="F34" i="10"/>
  <c r="H34" i="10" s="1"/>
  <c r="J34" i="10" s="1"/>
  <c r="K34" i="10" s="1"/>
  <c r="Q33" i="10"/>
  <c r="P33" i="10"/>
  <c r="O33" i="10"/>
  <c r="F33" i="10"/>
  <c r="H33" i="10" s="1"/>
  <c r="J33" i="10" s="1"/>
  <c r="K33" i="10" s="1"/>
  <c r="Q32" i="10"/>
  <c r="P32" i="10"/>
  <c r="O32" i="10"/>
  <c r="F32" i="10"/>
  <c r="H32" i="10" s="1"/>
  <c r="J32" i="10" s="1"/>
  <c r="K32" i="10" s="1"/>
  <c r="Q31" i="10"/>
  <c r="P31" i="10"/>
  <c r="O31" i="10"/>
  <c r="F31" i="10"/>
  <c r="H31" i="10" s="1"/>
  <c r="J31" i="10" s="1"/>
  <c r="K31" i="10" s="1"/>
  <c r="Q30" i="10"/>
  <c r="P30" i="10"/>
  <c r="O30" i="10"/>
  <c r="F30" i="10"/>
  <c r="H30" i="10" s="1"/>
  <c r="J30" i="10" s="1"/>
  <c r="K30" i="10" s="1"/>
  <c r="Q29" i="10"/>
  <c r="P29" i="10"/>
  <c r="O29" i="10"/>
  <c r="F29" i="10"/>
  <c r="H29" i="10" s="1"/>
  <c r="J29" i="10" s="1"/>
  <c r="K29" i="10" s="1"/>
  <c r="Q28" i="10"/>
  <c r="P28" i="10"/>
  <c r="O28" i="10"/>
  <c r="F28" i="10"/>
  <c r="H28" i="10" s="1"/>
  <c r="J28" i="10" s="1"/>
  <c r="K28" i="10" s="1"/>
  <c r="Q27" i="10"/>
  <c r="P27" i="10"/>
  <c r="O27" i="10"/>
  <c r="F27" i="10"/>
  <c r="H27" i="10" s="1"/>
  <c r="J27" i="10" s="1"/>
  <c r="K27" i="10" s="1"/>
  <c r="Q26" i="10"/>
  <c r="P26" i="10"/>
  <c r="O26" i="10"/>
  <c r="F26" i="10"/>
  <c r="H26" i="10" s="1"/>
  <c r="J26" i="10" s="1"/>
  <c r="K26" i="10" s="1"/>
  <c r="Q25" i="10"/>
  <c r="P25" i="10"/>
  <c r="O25" i="10"/>
  <c r="F25" i="10"/>
  <c r="H25" i="10" s="1"/>
  <c r="J25" i="10" s="1"/>
  <c r="K25" i="10" s="1"/>
  <c r="Q24" i="10"/>
  <c r="P24" i="10"/>
  <c r="O24" i="10"/>
  <c r="F24" i="10"/>
  <c r="H24" i="10" s="1"/>
  <c r="J24" i="10" s="1"/>
  <c r="K24" i="10" s="1"/>
  <c r="Q23" i="10"/>
  <c r="P23" i="10"/>
  <c r="O23" i="10"/>
  <c r="F23" i="10"/>
  <c r="H23" i="10" s="1"/>
  <c r="J23" i="10" s="1"/>
  <c r="K23" i="10" s="1"/>
  <c r="Q22" i="10"/>
  <c r="P22" i="10"/>
  <c r="O22" i="10"/>
  <c r="F22" i="10"/>
  <c r="H22" i="10" s="1"/>
  <c r="J22" i="10" s="1"/>
  <c r="K22" i="10" s="1"/>
  <c r="Q21" i="10"/>
  <c r="P21" i="10"/>
  <c r="O21" i="10"/>
  <c r="F21" i="10"/>
  <c r="H21" i="10" s="1"/>
  <c r="J21" i="10" s="1"/>
  <c r="K21" i="10" s="1"/>
  <c r="Q20" i="10"/>
  <c r="P20" i="10"/>
  <c r="O20" i="10"/>
  <c r="F20" i="10"/>
  <c r="H20" i="10" s="1"/>
  <c r="J20" i="10" s="1"/>
  <c r="K20" i="10" s="1"/>
  <c r="Q19" i="10"/>
  <c r="P19" i="10"/>
  <c r="O19" i="10"/>
  <c r="F19" i="10"/>
  <c r="H19" i="10" s="1"/>
  <c r="J19" i="10" s="1"/>
  <c r="K19" i="10" s="1"/>
  <c r="Q18" i="10"/>
  <c r="P18" i="10"/>
  <c r="O18" i="10"/>
  <c r="F18" i="10"/>
  <c r="H18" i="10" s="1"/>
  <c r="J18" i="10" s="1"/>
  <c r="K18" i="10" s="1"/>
  <c r="Q17" i="10"/>
  <c r="P17" i="10"/>
  <c r="O17" i="10"/>
  <c r="F17" i="10"/>
  <c r="H17" i="10" s="1"/>
  <c r="J17" i="10" s="1"/>
  <c r="K17" i="10" s="1"/>
  <c r="Q16" i="10"/>
  <c r="P16" i="10"/>
  <c r="O16" i="10"/>
  <c r="J16" i="10"/>
  <c r="K16" i="10" s="1"/>
  <c r="H16" i="10"/>
  <c r="F16" i="10"/>
  <c r="Q15" i="10"/>
  <c r="P15" i="10"/>
  <c r="O15" i="10"/>
  <c r="F15" i="10"/>
  <c r="H15" i="10" s="1"/>
  <c r="J15" i="10" s="1"/>
  <c r="K15" i="10" s="1"/>
  <c r="Q14" i="10"/>
  <c r="P14" i="10"/>
  <c r="O14" i="10"/>
  <c r="F14" i="10"/>
  <c r="H14" i="10" s="1"/>
  <c r="J14" i="10" s="1"/>
  <c r="K14" i="10" s="1"/>
  <c r="Q13" i="10"/>
  <c r="P13" i="10"/>
  <c r="O13" i="10"/>
  <c r="H13" i="10"/>
  <c r="J13" i="10" s="1"/>
  <c r="K13" i="10" s="1"/>
  <c r="F13" i="10"/>
  <c r="Q12" i="10"/>
  <c r="P12" i="10"/>
  <c r="O12" i="10"/>
  <c r="F12" i="10"/>
  <c r="H12" i="10" s="1"/>
  <c r="J12" i="10" s="1"/>
  <c r="K12" i="10" s="1"/>
  <c r="Q11" i="10"/>
  <c r="P11" i="10"/>
  <c r="O11" i="10"/>
  <c r="F11" i="10"/>
  <c r="H11" i="10" s="1"/>
  <c r="J11" i="10" s="1"/>
  <c r="K11" i="10" s="1"/>
  <c r="Q10" i="10"/>
  <c r="P10" i="10"/>
  <c r="O10" i="10"/>
  <c r="F10" i="10"/>
  <c r="H10" i="10" s="1"/>
  <c r="J10" i="10" s="1"/>
  <c r="K10" i="10" s="1"/>
  <c r="Q9" i="10"/>
  <c r="P9" i="10"/>
  <c r="O9" i="10"/>
  <c r="F9" i="10"/>
  <c r="H9" i="10" s="1"/>
  <c r="J9" i="10" s="1"/>
  <c r="K9" i="10" s="1"/>
  <c r="Q8" i="10"/>
  <c r="P8" i="10"/>
  <c r="O8" i="10"/>
  <c r="J8" i="10"/>
  <c r="K8" i="10" s="1"/>
  <c r="H8" i="10"/>
  <c r="F8" i="10"/>
  <c r="Q7" i="10"/>
  <c r="P7" i="10"/>
  <c r="O7" i="10"/>
  <c r="F7" i="10"/>
  <c r="H7" i="10" s="1"/>
  <c r="J7" i="10" s="1"/>
  <c r="K7" i="10" s="1"/>
  <c r="Q6" i="10"/>
  <c r="P6" i="10"/>
  <c r="O6" i="10"/>
  <c r="F6" i="10"/>
  <c r="H6" i="10" s="1"/>
  <c r="J6" i="10" s="1"/>
  <c r="K6" i="10" s="1"/>
  <c r="Q5" i="10"/>
  <c r="P5" i="10"/>
  <c r="O5" i="10"/>
  <c r="H5" i="10"/>
  <c r="J5" i="10" s="1"/>
  <c r="K5" i="10" s="1"/>
  <c r="F5" i="10"/>
  <c r="Q4" i="10"/>
  <c r="P4" i="10"/>
  <c r="O4" i="10"/>
  <c r="F4" i="10"/>
  <c r="H4" i="10" s="1"/>
  <c r="J4" i="10" s="1"/>
  <c r="K4" i="10" s="1"/>
  <c r="Q3" i="10"/>
  <c r="P3" i="10"/>
  <c r="O3" i="10"/>
  <c r="F3" i="10"/>
  <c r="H3" i="10" s="1"/>
  <c r="J3" i="10" s="1"/>
  <c r="K3" i="10" s="1"/>
  <c r="Q2" i="10"/>
  <c r="Q71" i="10" s="1"/>
  <c r="P2" i="10"/>
  <c r="P71" i="10" s="1"/>
  <c r="O2" i="10"/>
  <c r="O71" i="10" s="1"/>
  <c r="F2" i="10"/>
  <c r="H2" i="10" s="1"/>
  <c r="J2" i="10" s="1"/>
  <c r="K2" i="10" s="1"/>
  <c r="E14" i="9"/>
  <c r="D10" i="9"/>
  <c r="E10" i="9" s="1"/>
  <c r="D9" i="9"/>
  <c r="E9" i="9" s="1"/>
  <c r="D8" i="9"/>
  <c r="E8" i="9" s="1"/>
  <c r="D5" i="9"/>
  <c r="E5" i="9" s="1"/>
  <c r="D4" i="9"/>
  <c r="E4" i="9" s="1"/>
  <c r="D3" i="9"/>
  <c r="E3" i="9" s="1"/>
  <c r="D2" i="9"/>
  <c r="E2" i="9" s="1"/>
  <c r="L3" i="9" l="1"/>
  <c r="M3" i="9" s="1"/>
  <c r="L4" i="9"/>
  <c r="M4" i="9" s="1"/>
  <c r="L9" i="9"/>
  <c r="M9" i="9" s="1"/>
  <c r="M2" i="9"/>
  <c r="L5" i="9"/>
  <c r="M5" i="9" s="1"/>
  <c r="L6" i="9"/>
  <c r="M6" i="9" s="1"/>
  <c r="C47" i="7" l="1"/>
  <c r="C38" i="7" l="1"/>
  <c r="C32" i="7"/>
  <c r="C25" i="7"/>
  <c r="C51" i="7" l="1"/>
  <c r="D49" i="7"/>
  <c r="D18" i="1" l="1"/>
  <c r="D33" i="1"/>
  <c r="D38" i="1"/>
  <c r="D37" i="1"/>
  <c r="D36" i="1"/>
  <c r="D35" i="1"/>
  <c r="D34" i="1"/>
  <c r="D32" i="1"/>
  <c r="D30" i="1"/>
  <c r="D26" i="1"/>
  <c r="D23" i="1"/>
  <c r="D22" i="1"/>
  <c r="D21" i="1"/>
  <c r="D20" i="1"/>
  <c r="D19" i="1"/>
  <c r="D16" i="1"/>
  <c r="D14" i="1"/>
  <c r="J15" i="1"/>
  <c r="K14" i="2"/>
  <c r="K16" i="2"/>
  <c r="K18" i="2"/>
  <c r="K20" i="2"/>
  <c r="K22" i="2"/>
  <c r="K24" i="2"/>
  <c r="K26" i="2"/>
  <c r="K27" i="2"/>
  <c r="K28" i="2"/>
  <c r="K30" i="2"/>
  <c r="K32" i="2"/>
  <c r="K34" i="2"/>
  <c r="K36" i="2"/>
  <c r="K38" i="2"/>
  <c r="K40" i="2"/>
  <c r="K42" i="2"/>
  <c r="K43" i="2"/>
  <c r="K49" i="2"/>
  <c r="K51" i="2"/>
  <c r="K53" i="2"/>
  <c r="K55" i="2"/>
  <c r="K57" i="2"/>
  <c r="K58" i="2"/>
  <c r="K60" i="2"/>
  <c r="K62" i="2"/>
  <c r="K64" i="2"/>
  <c r="K66" i="2"/>
  <c r="K68" i="2"/>
  <c r="K71" i="2"/>
  <c r="F3" i="2"/>
  <c r="J49" i="2" l="1"/>
  <c r="J51" i="2"/>
  <c r="J53" i="2"/>
  <c r="J55" i="2"/>
  <c r="J57" i="2"/>
  <c r="J58" i="2"/>
  <c r="J60" i="2"/>
  <c r="J62" i="2"/>
  <c r="J64" i="2"/>
  <c r="J66" i="2"/>
  <c r="J68" i="2"/>
  <c r="J71" i="2"/>
  <c r="J14" i="2"/>
  <c r="J16" i="2"/>
  <c r="J18" i="2"/>
  <c r="J20" i="2"/>
  <c r="J22" i="2"/>
  <c r="J24" i="2"/>
  <c r="J26" i="2"/>
  <c r="J27" i="2"/>
  <c r="J28" i="2"/>
  <c r="J30" i="2"/>
  <c r="J32" i="2"/>
  <c r="J34" i="2"/>
  <c r="J36" i="2"/>
  <c r="J38" i="2"/>
  <c r="J40" i="2"/>
  <c r="J42" i="2"/>
  <c r="J43" i="2"/>
  <c r="G3" i="2"/>
  <c r="D5" i="1"/>
  <c r="D7" i="1" s="1"/>
  <c r="D10" i="1"/>
  <c r="D17" i="1"/>
  <c r="D31" i="1"/>
  <c r="D15" i="1"/>
  <c r="D29" i="1"/>
  <c r="D13" i="1"/>
  <c r="D27" i="1"/>
  <c r="D11" i="1"/>
  <c r="J11" i="1"/>
  <c r="D28" i="1"/>
  <c r="G28" i="1" s="1"/>
  <c r="O28" i="1" s="1"/>
  <c r="D12" i="1"/>
  <c r="D6" i="1"/>
  <c r="D9" i="1" s="1"/>
  <c r="K3" i="2" l="1"/>
  <c r="F4" i="2"/>
  <c r="G4" i="2" s="1"/>
  <c r="F5" i="2"/>
  <c r="G5" i="2" s="1"/>
  <c r="D25" i="1"/>
  <c r="J28" i="1"/>
  <c r="N28" i="1" s="1"/>
  <c r="P28" i="1" s="1"/>
  <c r="G5" i="1"/>
  <c r="J38" i="1"/>
  <c r="N38" i="1" s="1"/>
  <c r="G38" i="1"/>
  <c r="O38" i="1" s="1"/>
  <c r="J37" i="1"/>
  <c r="N37" i="1" s="1"/>
  <c r="G37" i="1"/>
  <c r="O37" i="1" s="1"/>
  <c r="J36" i="1"/>
  <c r="N36" i="1" s="1"/>
  <c r="G36" i="1"/>
  <c r="O36" i="1" s="1"/>
  <c r="J35" i="1"/>
  <c r="N35" i="1" s="1"/>
  <c r="G35" i="1"/>
  <c r="O35" i="1" s="1"/>
  <c r="J34" i="1"/>
  <c r="N34" i="1" s="1"/>
  <c r="G34" i="1"/>
  <c r="O34" i="1" s="1"/>
  <c r="J33" i="1"/>
  <c r="N33" i="1" s="1"/>
  <c r="G33" i="1"/>
  <c r="O33" i="1" s="1"/>
  <c r="J32" i="1"/>
  <c r="N32" i="1" s="1"/>
  <c r="G32" i="1"/>
  <c r="O32" i="1" s="1"/>
  <c r="J31" i="1"/>
  <c r="N31" i="1" s="1"/>
  <c r="G31" i="1"/>
  <c r="O31" i="1" s="1"/>
  <c r="J30" i="1"/>
  <c r="N30" i="1" s="1"/>
  <c r="G30" i="1"/>
  <c r="O30" i="1" s="1"/>
  <c r="J29" i="1"/>
  <c r="N29" i="1" s="1"/>
  <c r="G29" i="1"/>
  <c r="O29" i="1" s="1"/>
  <c r="J27" i="1"/>
  <c r="N27" i="1" s="1"/>
  <c r="G27" i="1"/>
  <c r="O27" i="1" s="1"/>
  <c r="J26" i="1"/>
  <c r="N26" i="1" s="1"/>
  <c r="G26" i="1"/>
  <c r="O26" i="1" s="1"/>
  <c r="J25" i="1"/>
  <c r="N25" i="1" s="1"/>
  <c r="G25" i="1"/>
  <c r="O25" i="1" s="1"/>
  <c r="J6" i="1"/>
  <c r="N6" i="1" s="1"/>
  <c r="J7" i="1"/>
  <c r="N7" i="1" s="1"/>
  <c r="J9" i="1"/>
  <c r="N9" i="1" s="1"/>
  <c r="J10" i="1"/>
  <c r="N10" i="1" s="1"/>
  <c r="N11" i="1"/>
  <c r="J12" i="1"/>
  <c r="N12" i="1" s="1"/>
  <c r="J13" i="1"/>
  <c r="N13" i="1" s="1"/>
  <c r="J14" i="1"/>
  <c r="N14" i="1" s="1"/>
  <c r="N15" i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5" i="1"/>
  <c r="G6" i="1"/>
  <c r="O6" i="1" s="1"/>
  <c r="G7" i="1"/>
  <c r="O7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F6" i="2" l="1"/>
  <c r="G6" i="2" s="1"/>
  <c r="K4" i="2"/>
  <c r="N5" i="1"/>
  <c r="D44" i="1"/>
  <c r="O5" i="1"/>
  <c r="C44" i="1"/>
  <c r="P5" i="1"/>
  <c r="P27" i="1"/>
  <c r="P9" i="1"/>
  <c r="P13" i="1"/>
  <c r="P23" i="1"/>
  <c r="P10" i="1"/>
  <c r="P38" i="1"/>
  <c r="P32" i="1"/>
  <c r="P6" i="1"/>
  <c r="P7" i="1"/>
  <c r="P25" i="1"/>
  <c r="P26" i="1"/>
  <c r="P33" i="1"/>
  <c r="P11" i="1"/>
  <c r="P34" i="1"/>
  <c r="P29" i="1"/>
  <c r="P30" i="1"/>
  <c r="P37" i="1"/>
  <c r="P35" i="1"/>
  <c r="P36" i="1"/>
  <c r="P31" i="1"/>
  <c r="P21" i="1"/>
  <c r="P19" i="1"/>
  <c r="P18" i="1"/>
  <c r="P15" i="1"/>
  <c r="P14" i="1"/>
  <c r="P12" i="1"/>
  <c r="P22" i="1"/>
  <c r="P20" i="1"/>
  <c r="P17" i="1"/>
  <c r="P16" i="1"/>
  <c r="P40" i="1" l="1"/>
  <c r="F7" i="2"/>
  <c r="G7" i="2" s="1"/>
  <c r="K6" i="2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4" i="1"/>
  <c r="H54" i="1" s="1"/>
  <c r="D45" i="1"/>
  <c r="H45" i="1" s="1"/>
  <c r="D53" i="1"/>
  <c r="H53" i="1" s="1"/>
  <c r="C52" i="1"/>
  <c r="I52" i="1" s="1"/>
  <c r="C53" i="1"/>
  <c r="I53" i="1" s="1"/>
  <c r="C54" i="1"/>
  <c r="I5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J52" i="1" l="1"/>
  <c r="J54" i="1"/>
  <c r="J53" i="1"/>
  <c r="J46" i="1"/>
  <c r="J45" i="1"/>
  <c r="K7" i="2"/>
  <c r="F10" i="2"/>
  <c r="F8" i="2"/>
  <c r="F9" i="2"/>
  <c r="J51" i="1"/>
  <c r="J50" i="1"/>
  <c r="J49" i="1"/>
  <c r="J48" i="1"/>
  <c r="J47" i="1"/>
  <c r="G9" i="2" l="1"/>
  <c r="K9" i="2" s="1"/>
  <c r="G10" i="2"/>
  <c r="G8" i="2"/>
  <c r="J56" i="1"/>
  <c r="L56" i="1" s="1"/>
  <c r="N56" i="1" s="1"/>
  <c r="K8" i="2" l="1"/>
  <c r="F12" i="2"/>
  <c r="F11" i="2"/>
  <c r="F43" i="2"/>
  <c r="G43" i="2" s="1"/>
  <c r="G11" i="2" l="1"/>
  <c r="K11" i="2" s="1"/>
  <c r="G12" i="2"/>
  <c r="K12" i="2" s="1"/>
  <c r="F28" i="2" l="1"/>
  <c r="G28" i="2" s="1"/>
  <c r="F14" i="2"/>
  <c r="G14" i="2" s="1"/>
  <c r="F13" i="2"/>
  <c r="G13" i="2" l="1"/>
  <c r="K13" i="2" s="1"/>
  <c r="F29" i="2"/>
  <c r="G29" i="2" l="1"/>
  <c r="K29" i="2" s="1"/>
  <c r="F16" i="2"/>
  <c r="G16" i="2" s="1"/>
  <c r="F15" i="2"/>
  <c r="G15" i="2" l="1"/>
  <c r="K15" i="2" s="1"/>
  <c r="F30" i="2"/>
  <c r="G30" i="2" s="1"/>
  <c r="F31" i="2" s="1"/>
  <c r="G31" i="2" l="1"/>
  <c r="K31" i="2" s="1"/>
  <c r="F17" i="2"/>
  <c r="F18" i="2"/>
  <c r="G18" i="2" s="1"/>
  <c r="G17" i="2" l="1"/>
  <c r="K17" i="2" s="1"/>
  <c r="F32" i="2"/>
  <c r="G32" i="2" s="1"/>
  <c r="F33" i="2" s="1"/>
  <c r="G33" i="2" l="1"/>
  <c r="K33" i="2" s="1"/>
  <c r="F20" i="2"/>
  <c r="G20" i="2" s="1"/>
  <c r="F19" i="2"/>
  <c r="G19" i="2" l="1"/>
  <c r="K19" i="2" s="1"/>
  <c r="F34" i="2"/>
  <c r="G34" i="2" s="1"/>
  <c r="F35" i="2" s="1"/>
  <c r="G35" i="2" l="1"/>
  <c r="K35" i="2" s="1"/>
  <c r="F21" i="2"/>
  <c r="F22" i="2"/>
  <c r="G22" i="2" s="1"/>
  <c r="G21" i="2" l="1"/>
  <c r="K21" i="2" s="1"/>
  <c r="F36" i="2"/>
  <c r="G36" i="2" s="1"/>
  <c r="F37" i="2" s="1"/>
  <c r="G37" i="2" l="1"/>
  <c r="K37" i="2" s="1"/>
  <c r="F23" i="2"/>
  <c r="F24" i="2"/>
  <c r="G24" i="2" s="1"/>
  <c r="G23" i="2" l="1"/>
  <c r="K23" i="2" s="1"/>
  <c r="F38" i="2"/>
  <c r="G38" i="2" s="1"/>
  <c r="F39" i="2" s="1"/>
  <c r="G39" i="2" l="1"/>
  <c r="K39" i="2" s="1"/>
  <c r="F26" i="2"/>
  <c r="G26" i="2" s="1"/>
  <c r="F25" i="2"/>
  <c r="G25" i="2" l="1"/>
  <c r="K25" i="2" s="1"/>
  <c r="F40" i="2"/>
  <c r="G40" i="2" s="1"/>
  <c r="F41" i="2" s="1"/>
  <c r="G41" i="2" l="1"/>
  <c r="K41" i="2" s="1"/>
  <c r="F27" i="2"/>
  <c r="G27" i="2" s="1"/>
  <c r="F42" i="2" l="1"/>
  <c r="G42" i="2" s="1"/>
  <c r="F44" i="2" s="1"/>
  <c r="G44" i="2" l="1"/>
  <c r="K10" i="2" l="1"/>
  <c r="K44" i="2"/>
  <c r="F46" i="2"/>
  <c r="F47" i="2"/>
  <c r="F45" i="2"/>
  <c r="G45" i="2" l="1"/>
  <c r="K45" i="2" s="1"/>
  <c r="G47" i="2"/>
  <c r="G46" i="2"/>
  <c r="K46" i="2" s="1"/>
  <c r="F49" i="2" l="1"/>
  <c r="G49" i="2" s="1"/>
  <c r="F59" i="2" s="1"/>
  <c r="F48" i="2"/>
  <c r="F71" i="2"/>
  <c r="G71" i="2" s="1"/>
  <c r="G48" i="2" l="1"/>
  <c r="K48" i="2" s="1"/>
  <c r="G59" i="2"/>
  <c r="K59" i="2" s="1"/>
  <c r="F51" i="2" l="1"/>
  <c r="G51" i="2" s="1"/>
  <c r="F50" i="2"/>
  <c r="F60" i="2"/>
  <c r="G60" i="2" s="1"/>
  <c r="F61" i="2" l="1"/>
  <c r="G61" i="2" s="1"/>
  <c r="K61" i="2" s="1"/>
  <c r="G50" i="2"/>
  <c r="K50" i="2" s="1"/>
  <c r="F62" i="2" l="1"/>
  <c r="G62" i="2" s="1"/>
  <c r="F52" i="2"/>
  <c r="F53" i="2"/>
  <c r="G53" i="2" s="1"/>
  <c r="F63" i="2" l="1"/>
  <c r="G63" i="2" s="1"/>
  <c r="K63" i="2" s="1"/>
  <c r="G52" i="2"/>
  <c r="K52" i="2" s="1"/>
  <c r="F54" i="2" l="1"/>
  <c r="F55" i="2"/>
  <c r="G55" i="2" s="1"/>
  <c r="F64" i="2"/>
  <c r="G64" i="2" s="1"/>
  <c r="F65" i="2" l="1"/>
  <c r="G65" i="2" s="1"/>
  <c r="K65" i="2" s="1"/>
  <c r="G54" i="2"/>
  <c r="K54" i="2" s="1"/>
  <c r="F57" i="2" l="1"/>
  <c r="G57" i="2" s="1"/>
  <c r="F56" i="2"/>
  <c r="F66" i="2"/>
  <c r="G66" i="2" s="1"/>
  <c r="G56" i="2" l="1"/>
  <c r="K56" i="2" s="1"/>
  <c r="F67" i="2"/>
  <c r="G67" i="2" l="1"/>
  <c r="K67" i="2" s="1"/>
  <c r="F58" i="2"/>
  <c r="G58" i="2" s="1"/>
  <c r="F68" i="2" l="1"/>
  <c r="G68" i="2" s="1"/>
  <c r="F69" i="2" s="1"/>
  <c r="G69" i="2" l="1"/>
  <c r="K69" i="2" s="1"/>
  <c r="F70" i="2" l="1"/>
  <c r="G70" i="2" l="1"/>
  <c r="K70" i="2" l="1"/>
  <c r="K47" i="2"/>
  <c r="F72" i="2"/>
  <c r="G72" i="2" l="1"/>
  <c r="K72" i="2" s="1"/>
  <c r="F73" i="2" l="1"/>
  <c r="G73" i="2" l="1"/>
  <c r="K73" i="2" s="1"/>
  <c r="F74" i="2" l="1"/>
  <c r="G74" i="2" l="1"/>
  <c r="F75" i="2" l="1"/>
  <c r="K74" i="2"/>
  <c r="G75" i="2" l="1"/>
  <c r="G78" i="2" l="1"/>
  <c r="K5" i="2"/>
  <c r="K75" i="2"/>
  <c r="I75" i="2"/>
  <c r="H75" i="2" s="1"/>
  <c r="I74" i="2" s="1"/>
  <c r="I5" i="2"/>
  <c r="H74" i="2" l="1"/>
  <c r="I73" i="2" s="1"/>
  <c r="J74" i="2"/>
  <c r="H5" i="2"/>
  <c r="J5" i="2"/>
  <c r="J75" i="2"/>
  <c r="H73" i="2" l="1"/>
  <c r="I72" i="2" s="1"/>
  <c r="J73" i="2"/>
  <c r="H72" i="2" l="1"/>
  <c r="J72" i="2"/>
  <c r="I71" i="2" l="1"/>
  <c r="H71" i="2" s="1"/>
  <c r="I46" i="2" s="1"/>
  <c r="I70" i="2"/>
  <c r="I47" i="2"/>
  <c r="H47" i="2" l="1"/>
  <c r="J47" i="2"/>
  <c r="H70" i="2"/>
  <c r="I69" i="2" s="1"/>
  <c r="J70" i="2"/>
  <c r="H46" i="2"/>
  <c r="J46" i="2"/>
  <c r="H69" i="2" l="1"/>
  <c r="J69" i="2"/>
  <c r="I68" i="2" l="1"/>
  <c r="H68" i="2" s="1"/>
  <c r="I67" i="2" s="1"/>
  <c r="I58" i="2"/>
  <c r="H58" i="2" s="1"/>
  <c r="I56" i="2" s="1"/>
  <c r="H56" i="2" l="1"/>
  <c r="J56" i="2"/>
  <c r="H67" i="2"/>
  <c r="J67" i="2"/>
  <c r="I66" i="2" l="1"/>
  <c r="H66" i="2" s="1"/>
  <c r="I65" i="2" s="1"/>
  <c r="I57" i="2"/>
  <c r="H57" i="2" s="1"/>
  <c r="I54" i="2" s="1"/>
  <c r="H54" i="2" l="1"/>
  <c r="J54" i="2"/>
  <c r="H65" i="2"/>
  <c r="J65" i="2"/>
  <c r="I55" i="2" l="1"/>
  <c r="H55" i="2" s="1"/>
  <c r="I52" i="2" s="1"/>
  <c r="I64" i="2"/>
  <c r="H64" i="2" s="1"/>
  <c r="I63" i="2" s="1"/>
  <c r="H63" i="2" l="1"/>
  <c r="J63" i="2"/>
  <c r="H52" i="2"/>
  <c r="J52" i="2"/>
  <c r="I53" i="2" l="1"/>
  <c r="H53" i="2" s="1"/>
  <c r="I50" i="2" s="1"/>
  <c r="I62" i="2"/>
  <c r="H62" i="2" s="1"/>
  <c r="I61" i="2" s="1"/>
  <c r="H61" i="2" l="1"/>
  <c r="J61" i="2"/>
  <c r="H50" i="2"/>
  <c r="J50" i="2"/>
  <c r="I51" i="2" l="1"/>
  <c r="H51" i="2" s="1"/>
  <c r="I48" i="2" s="1"/>
  <c r="I60" i="2"/>
  <c r="H60" i="2" s="1"/>
  <c r="I59" i="2" s="1"/>
  <c r="H59" i="2" l="1"/>
  <c r="I49" i="2" s="1"/>
  <c r="H49" i="2" s="1"/>
  <c r="J59" i="2"/>
  <c r="H48" i="2"/>
  <c r="J48" i="2"/>
  <c r="I45" i="2" l="1"/>
  <c r="H45" i="2" s="1"/>
  <c r="J45" i="2" l="1"/>
  <c r="I10" i="2"/>
  <c r="I43" i="2"/>
  <c r="H43" i="2" s="1"/>
  <c r="I9" i="2" s="1"/>
  <c r="I44" i="2"/>
  <c r="H44" i="2" l="1"/>
  <c r="J44" i="2"/>
  <c r="H9" i="2"/>
  <c r="J9" i="2"/>
  <c r="H10" i="2"/>
  <c r="J10" i="2"/>
  <c r="I42" i="2" l="1"/>
  <c r="H42" i="2" s="1"/>
  <c r="I41" i="2" s="1"/>
  <c r="I27" i="2"/>
  <c r="H27" i="2" s="1"/>
  <c r="I25" i="2" s="1"/>
  <c r="H25" i="2" l="1"/>
  <c r="J25" i="2"/>
  <c r="H41" i="2"/>
  <c r="J41" i="2"/>
  <c r="I26" i="2" l="1"/>
  <c r="H26" i="2" s="1"/>
  <c r="I23" i="2" s="1"/>
  <c r="I40" i="2"/>
  <c r="H40" i="2" s="1"/>
  <c r="I39" i="2" s="1"/>
  <c r="H39" i="2" l="1"/>
  <c r="J39" i="2"/>
  <c r="H23" i="2"/>
  <c r="J23" i="2"/>
  <c r="I38" i="2" l="1"/>
  <c r="H38" i="2" s="1"/>
  <c r="I37" i="2" s="1"/>
  <c r="I24" i="2"/>
  <c r="H24" i="2" s="1"/>
  <c r="I21" i="2" s="1"/>
  <c r="H37" i="2" l="1"/>
  <c r="J37" i="2"/>
  <c r="H21" i="2"/>
  <c r="J21" i="2"/>
  <c r="I36" i="2" l="1"/>
  <c r="H36" i="2" s="1"/>
  <c r="I35" i="2" s="1"/>
  <c r="I22" i="2"/>
  <c r="H22" i="2" s="1"/>
  <c r="I19" i="2" s="1"/>
  <c r="H19" i="2" l="1"/>
  <c r="J19" i="2"/>
  <c r="H35" i="2"/>
  <c r="J35" i="2"/>
  <c r="I20" i="2" l="1"/>
  <c r="H20" i="2" s="1"/>
  <c r="I17" i="2" s="1"/>
  <c r="I34" i="2"/>
  <c r="H34" i="2" s="1"/>
  <c r="I33" i="2" s="1"/>
  <c r="H33" i="2" l="1"/>
  <c r="J33" i="2"/>
  <c r="H17" i="2"/>
  <c r="J17" i="2"/>
  <c r="I18" i="2" l="1"/>
  <c r="H18" i="2" s="1"/>
  <c r="I15" i="2" s="1"/>
  <c r="I32" i="2"/>
  <c r="H32" i="2" s="1"/>
  <c r="I31" i="2" s="1"/>
  <c r="H15" i="2" l="1"/>
  <c r="J15" i="2"/>
  <c r="H31" i="2"/>
  <c r="J31" i="2"/>
  <c r="I30" i="2" l="1"/>
  <c r="H30" i="2" s="1"/>
  <c r="I29" i="2" s="1"/>
  <c r="I16" i="2"/>
  <c r="H16" i="2" s="1"/>
  <c r="I13" i="2" s="1"/>
  <c r="H13" i="2" l="1"/>
  <c r="J13" i="2"/>
  <c r="H29" i="2"/>
  <c r="J29" i="2"/>
  <c r="I28" i="2" l="1"/>
  <c r="H28" i="2" s="1"/>
  <c r="I12" i="2" s="1"/>
  <c r="I14" i="2"/>
  <c r="H14" i="2" s="1"/>
  <c r="I11" i="2" s="1"/>
  <c r="H11" i="2" l="1"/>
  <c r="I8" i="2" s="1"/>
  <c r="J11" i="2"/>
  <c r="H12" i="2"/>
  <c r="J12" i="2"/>
  <c r="H8" i="2" l="1"/>
  <c r="I7" i="2" s="1"/>
  <c r="J8" i="2"/>
  <c r="H7" i="2" l="1"/>
  <c r="I6" i="2" s="1"/>
  <c r="J7" i="2"/>
  <c r="J6" i="2" l="1"/>
  <c r="H6" i="2"/>
  <c r="I4" i="2" s="1"/>
  <c r="J4" i="2" l="1"/>
  <c r="H4" i="2"/>
  <c r="I3" i="2" s="1"/>
  <c r="J3" i="2" l="1"/>
  <c r="H3" i="2"/>
</calcChain>
</file>

<file path=xl/sharedStrings.xml><?xml version="1.0" encoding="utf-8"?>
<sst xmlns="http://schemas.openxmlformats.org/spreadsheetml/2006/main" count="1291" uniqueCount="406">
  <si>
    <t>№</t>
  </si>
  <si>
    <t>Наименование работ</t>
  </si>
  <si>
    <t>Объем работ</t>
  </si>
  <si>
    <t>Обоснование(ГЭСН)</t>
  </si>
  <si>
    <t>Затраты труда</t>
  </si>
  <si>
    <t>Затраты маш. вр.</t>
  </si>
  <si>
    <t>Числ. Рабочих</t>
  </si>
  <si>
    <t>Число машин</t>
  </si>
  <si>
    <t>Число смен</t>
  </si>
  <si>
    <t>Продолжит. Мех. работ</t>
  </si>
  <si>
    <t>Продолжит. НеМех. работ</t>
  </si>
  <si>
    <t>Продолжит. Раб. дн.</t>
  </si>
  <si>
    <t>ед. изм</t>
  </si>
  <si>
    <t>кол-во</t>
  </si>
  <si>
    <t>норм. чел.ч.</t>
  </si>
  <si>
    <t>Q всего чел.ч.</t>
  </si>
  <si>
    <t>Машина</t>
  </si>
  <si>
    <t>Норм. маш. ч.</t>
  </si>
  <si>
    <t>Q всего маш. см</t>
  </si>
  <si>
    <t>1 захватка</t>
  </si>
  <si>
    <t>Планировка площадей</t>
  </si>
  <si>
    <t>Разработка грунта в отвал в котлованах</t>
  </si>
  <si>
    <t>Укладка фундаментов под колонны</t>
  </si>
  <si>
    <t>Укладка ригелей</t>
  </si>
  <si>
    <t>Установка диафрагм жесткости</t>
  </si>
  <si>
    <t>Установка колонн прямоугольного сечения в стаканы фундаментов зданий</t>
  </si>
  <si>
    <t>Укладка плит перекрытий</t>
  </si>
  <si>
    <t>Укладка блоков и плит ленточных фундаментов</t>
  </si>
  <si>
    <t>Установка перегородок из гипсовых плит</t>
  </si>
  <si>
    <t>Укладка перемычек</t>
  </si>
  <si>
    <t>Устройство кровель</t>
  </si>
  <si>
    <t>Устройство лестничных маршей в опалубке</t>
  </si>
  <si>
    <t>Устройство полов бетонных толщиной</t>
  </si>
  <si>
    <t>Устройство покрытий</t>
  </si>
  <si>
    <t>Устройство покрытий на цементном растворе из плиток</t>
  </si>
  <si>
    <t>Установка в жилых и общественных зданиях блоков оконных с переплетами</t>
  </si>
  <si>
    <t>Установка деревянных дверных блоков</t>
  </si>
  <si>
    <t>Установка деревянных подоконных досок в каменных стенах</t>
  </si>
  <si>
    <t>2 захватка</t>
  </si>
  <si>
    <t xml:space="preserve">07-01-006-02 </t>
  </si>
  <si>
    <t xml:space="preserve">07-05-023-06 </t>
  </si>
  <si>
    <t xml:space="preserve">07-01-011-07 </t>
  </si>
  <si>
    <t xml:space="preserve">07-01-006-07 </t>
  </si>
  <si>
    <t xml:space="preserve">07-01-001-04 </t>
  </si>
  <si>
    <t xml:space="preserve">08-04-001-01 </t>
  </si>
  <si>
    <t xml:space="preserve">07-01-021-06 </t>
  </si>
  <si>
    <t xml:space="preserve">12-01-002-01 </t>
  </si>
  <si>
    <t xml:space="preserve">06-01-111-01 </t>
  </si>
  <si>
    <t xml:space="preserve">11-01-014-01 </t>
  </si>
  <si>
    <t xml:space="preserve">11-01-036-01 </t>
  </si>
  <si>
    <t xml:space="preserve">11-01-027-02 </t>
  </si>
  <si>
    <t xml:space="preserve">10-01-027-01 </t>
  </si>
  <si>
    <t xml:space="preserve">10-04-013-01 </t>
  </si>
  <si>
    <t xml:space="preserve">10-01-033-02 </t>
  </si>
  <si>
    <t>1000 м2</t>
  </si>
  <si>
    <t>1000 м3</t>
  </si>
  <si>
    <t>Бульдозеры</t>
  </si>
  <si>
    <t>Экскаваторы</t>
  </si>
  <si>
    <t>100 шт</t>
  </si>
  <si>
    <t>Краны </t>
  </si>
  <si>
    <t>100 м2</t>
  </si>
  <si>
    <t>Котлы битумные</t>
  </si>
  <si>
    <t>100 м3</t>
  </si>
  <si>
    <t>Вибратор поверхностный</t>
  </si>
  <si>
    <t>Комплексы вакуумные</t>
  </si>
  <si>
    <t>Автомобили бортовые</t>
  </si>
  <si>
    <t>Автопогрузчики </t>
  </si>
  <si>
    <t>Шуруповерт</t>
  </si>
  <si>
    <t>Котлы битумные </t>
  </si>
  <si>
    <t>Состав бригады чел.</t>
  </si>
  <si>
    <t>машинисты</t>
  </si>
  <si>
    <t>Рабочие-строители 3, 4 разряда; машинисты</t>
  </si>
  <si>
    <t>рабочих-строителей</t>
  </si>
  <si>
    <t>рабочих-строителей Разряд 3,2</t>
  </si>
  <si>
    <t>рабочих-строителей Разряд 3,4</t>
  </si>
  <si>
    <t>рабочих-строителей Разряд 3,1</t>
  </si>
  <si>
    <t>Число рабочих</t>
  </si>
  <si>
    <t>Продолж. мех. работ</t>
  </si>
  <si>
    <t>Продолж. немехан.
работ</t>
  </si>
  <si>
    <t>Продолж. раб.
дн.</t>
  </si>
  <si>
    <t>Процент</t>
  </si>
  <si>
    <t>Q
Всего чел. ч.</t>
  </si>
  <si>
    <t>Q 
Всего маш. ч.</t>
  </si>
  <si>
    <t>Основные общестроительные
работы</t>
  </si>
  <si>
    <t>-</t>
  </si>
  <si>
    <t>Сантехнические работы
(1-я стадия)</t>
  </si>
  <si>
    <t>Сантехнические работы
(2-я стадия)</t>
  </si>
  <si>
    <t>Электромонтажные работы
(1-я стадия)</t>
  </si>
  <si>
    <t>Электромонтажные работы
(2-я стадия)</t>
  </si>
  <si>
    <t>Подготовительные
работы</t>
  </si>
  <si>
    <t>Дороги, подъезды
тротуары</t>
  </si>
  <si>
    <t>Озеленение</t>
  </si>
  <si>
    <t>Прочие и неучтенные
общестроительные работы</t>
  </si>
  <si>
    <t>Монтаж
оборудования</t>
  </si>
  <si>
    <t>Пусконаладочные
работы</t>
  </si>
  <si>
    <t>месяцев</t>
  </si>
  <si>
    <t>Работа</t>
  </si>
  <si>
    <t>Откуда</t>
  </si>
  <si>
    <t>Куда</t>
  </si>
  <si>
    <t>Продолжительность работы</t>
  </si>
  <si>
    <t>Сроки работы</t>
  </si>
  <si>
    <t>Резервы</t>
  </si>
  <si>
    <t>Код начальных событий
предшествующих работ</t>
  </si>
  <si>
    <t>Tрн</t>
  </si>
  <si>
    <t>Тро</t>
  </si>
  <si>
    <t>Тпн</t>
  </si>
  <si>
    <t>Тпо</t>
  </si>
  <si>
    <t>Ro</t>
  </si>
  <si>
    <t>Rч</t>
  </si>
  <si>
    <t>Монтаж оборудования</t>
  </si>
  <si>
    <t>мес</t>
  </si>
  <si>
    <t>4</t>
  </si>
  <si>
    <t>5</t>
  </si>
  <si>
    <t xml:space="preserve">
Укладка
ригелей</t>
  </si>
  <si>
    <t>Сантехнические работы 1-я стадия</t>
  </si>
  <si>
    <t>Электромонтажные работы 1 стадия</t>
  </si>
  <si>
    <t>6</t>
  </si>
  <si>
    <t xml:space="preserve">
Установка
диафрагм жесткости</t>
  </si>
  <si>
    <t>7</t>
  </si>
  <si>
    <t xml:space="preserve">
Установка
колонн прямоугольного сечения в стаканы фундаментов зданий</t>
  </si>
  <si>
    <t>8</t>
  </si>
  <si>
    <t xml:space="preserve">
Укладка
плит перекрытий</t>
  </si>
  <si>
    <t>9</t>
  </si>
  <si>
    <t xml:space="preserve">
Укладка
блоков и плит ленточных фундаментов</t>
  </si>
  <si>
    <t>10</t>
  </si>
  <si>
    <t>Установка
перегородок из гипсовых плит</t>
  </si>
  <si>
    <t>11</t>
  </si>
  <si>
    <t>Укладка
перемычек</t>
  </si>
  <si>
    <t>12</t>
  </si>
  <si>
    <t>22</t>
  </si>
  <si>
    <t>13</t>
  </si>
  <si>
    <t>14</t>
  </si>
  <si>
    <t>Устройство
кровель</t>
  </si>
  <si>
    <t>Устройство
лестничных маршей в опалубке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</si>
  <si>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</si>
  <si>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</si>
  <si>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</si>
  <si>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</si>
  <si>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</si>
  <si>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</si>
  <si>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</si>
  <si>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</si>
  <si>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</si>
  <si>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</si>
  <si>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</si>
  <si>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</si>
  <si>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</si>
  <si>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</si>
  <si>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</si>
  <si>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Устройство
полов бетонных толщиной</t>
  </si>
  <si>
    <t>Сантехнические работы 2-я стадия</t>
  </si>
  <si>
    <t>Электромонтажные работы 2 стадия</t>
  </si>
  <si>
    <t>Устройство
покрытий</t>
  </si>
  <si>
    <t>Устройство
покрытий на цементном растворе из плиток</t>
  </si>
  <si>
    <t>Установка
в жилых и общественных зданиях блоков оконных с переплетами</t>
  </si>
  <si>
    <t>Установка
деревянных дверных блоков</t>
  </si>
  <si>
    <t>Установка
деревянных подоконных досок в каменных стенах</t>
  </si>
  <si>
    <t>Ввод в эксплуатацию</t>
  </si>
  <si>
    <t>7; 15</t>
  </si>
  <si>
    <t>8; 17</t>
  </si>
  <si>
    <t>9; 19</t>
  </si>
  <si>
    <t>10; 21</t>
  </si>
  <si>
    <t>11; 23</t>
  </si>
  <si>
    <t>12; 25</t>
  </si>
  <si>
    <t>13; 27</t>
  </si>
  <si>
    <t>14; 29</t>
  </si>
  <si>
    <t>5; 30; 31</t>
  </si>
  <si>
    <t>5; 30; 32</t>
  </si>
  <si>
    <t>5; 30; 33</t>
  </si>
  <si>
    <t>34; 40</t>
  </si>
  <si>
    <t>35; 42</t>
  </si>
  <si>
    <t>36; 44</t>
  </si>
  <si>
    <t>37; 46</t>
  </si>
  <si>
    <t>38; 48</t>
  </si>
  <si>
    <t>32; 50; 51</t>
  </si>
  <si>
    <t>2; 53</t>
  </si>
  <si>
    <t>Подготовительные работы</t>
  </si>
  <si>
    <t>01-01-007-03</t>
  </si>
  <si>
    <t>гэсн 01-02-027-03</t>
  </si>
  <si>
    <t xml:space="preserve">гЭсн 07-05-023-06 </t>
  </si>
  <si>
    <t xml:space="preserve">ГЭСН 07-01-001-07 </t>
  </si>
  <si>
    <t>м3</t>
  </si>
  <si>
    <t>Вода</t>
  </si>
  <si>
    <t>т</t>
  </si>
  <si>
    <t>Гипсовые вяжущие, марка Г3</t>
  </si>
  <si>
    <t>Раствор готовый отделочный тяжелый, известковый 1:3</t>
  </si>
  <si>
    <t>метры</t>
  </si>
  <si>
    <t>Доски подоконные деревянные</t>
  </si>
  <si>
    <t>Натрий фтористый технический, марка А, сорт I</t>
  </si>
  <si>
    <t>Гвозди строительные</t>
  </si>
  <si>
    <t>м2</t>
  </si>
  <si>
    <t>Толь с крупнозернистой посыпкой гидроизоляционный марки ТГ-350</t>
  </si>
  <si>
    <t>Войлок строительный</t>
  </si>
  <si>
    <t>Смола каменноугольная для дорожного строительства</t>
  </si>
  <si>
    <t>10-01-033-02</t>
  </si>
  <si>
    <t>Блоки дверные</t>
  </si>
  <si>
    <t>компл.</t>
  </si>
  <si>
    <t>Скобяные изделия</t>
  </si>
  <si>
    <t>10-04-013-01</t>
  </si>
  <si>
    <t>Раствор готовый отделочный тяжелый, известковый 1:2,0</t>
  </si>
  <si>
    <t>Блоки оконные</t>
  </si>
  <si>
    <t>Шурупы строительные</t>
  </si>
  <si>
    <t>л</t>
  </si>
  <si>
    <t>Пена монтажная</t>
  </si>
  <si>
    <t>Гвозди толевые круглые 3,0х40 мм</t>
  </si>
  <si>
    <t>10-01-027-01</t>
  </si>
  <si>
    <t>Раствор готовый кладочный тяжелый цементный</t>
  </si>
  <si>
    <t>Плитки керамические для полов гладкие неглазурованные многоцветные квадратные и прямоугольные</t>
  </si>
  <si>
    <t>Опилки древесные</t>
  </si>
  <si>
    <t>11-01-027-02</t>
  </si>
  <si>
    <t>Линолеум на теплозвукоизолирующей подоснове</t>
  </si>
  <si>
    <t>кг</t>
  </si>
  <si>
    <t>Ветошь</t>
  </si>
  <si>
    <t>Клей &lt;Бустилат&gt;</t>
  </si>
  <si>
    <t>11-01-036-01</t>
  </si>
  <si>
    <t>Бетон тяжелый</t>
  </si>
  <si>
    <t>Доски обрезные хвойных пород длиной 2-3,75 м, шириной 75-150 мм, толщиной 25 мм, IV сорта</t>
  </si>
  <si>
    <t>11-01-014-01</t>
  </si>
  <si>
    <t>Гравий для строительных работ, фракция 5 -10 мм</t>
  </si>
  <si>
    <t>Симазин 50%-ный порошок смачивающийся</t>
  </si>
  <si>
    <t>Материалы рулонные кровельные</t>
  </si>
  <si>
    <t>Мастика битумная кровельная горячая</t>
  </si>
  <si>
    <t>12-01-002-01</t>
  </si>
  <si>
    <t>шт.</t>
  </si>
  <si>
    <t>Конструкции сборные железобетонные</t>
  </si>
  <si>
    <t>Раствор готовый кладочный цементный марки 50</t>
  </si>
  <si>
    <t>07-01-021-06</t>
  </si>
  <si>
    <t>Песок для строительных работ природный</t>
  </si>
  <si>
    <t>Горячекатаная арматурная сталь класс а А-I</t>
  </si>
  <si>
    <t>Бруски обрезные хвойных пород длиной 4-6,5 м, шириной 75-150 мм, толщиной 40-75 мм, III сорта</t>
  </si>
  <si>
    <t>Плиты гипсовые толщиной до 100 мм</t>
  </si>
  <si>
    <t>Толь с крупнозернистой посыпкой марки ТВК-350</t>
  </si>
  <si>
    <t>Поковки из квадратных заготовок, масса 1,8 кг</t>
  </si>
  <si>
    <t>Гвозди проволочные круглые формовочные 1,6х100 мм</t>
  </si>
  <si>
    <t>08-04-001-01</t>
  </si>
  <si>
    <t>07-01-001-04</t>
  </si>
  <si>
    <t>Бетон</t>
  </si>
  <si>
    <t>Горячекатаная арматурная сталь гладкая класса А-I, диаметром 14 мм</t>
  </si>
  <si>
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</si>
  <si>
    <t>Доски обрезные хвойных пород длиной 4-6,5 м, шириной 75-150 мм, толщиной 32-40 мм, IV сорта</t>
  </si>
  <si>
    <t>Электроды диаметром 6 мм Э42</t>
  </si>
  <si>
    <t>Смазка солидол жировой марки &lt;Ж&gt;</t>
  </si>
  <si>
    <t>Рубероид подкладочный с пылевидной посыпкой РПП-300б</t>
  </si>
  <si>
    <t>Проволока горячекатаная в мотках, диаметром 6,3-6,5 мм</t>
  </si>
  <si>
    <t>07-01-006-07</t>
  </si>
  <si>
    <t>Доски обрезные хвойных пород длиной 2-3,75 м, шириной 75-150 мм, толщиной 44 мм и более, II сорта</t>
  </si>
  <si>
    <t>07-01-011-07</t>
  </si>
  <si>
    <t>Раствор готовый кладочный цементный марки 200</t>
  </si>
  <si>
    <t>Доски обрезные хвойных пород длиной 4-6,5 м, шириной 75-150 мм, толщиной 44 мм и более, II сорта</t>
  </si>
  <si>
    <t>Лесоматериалы круглые хвойных пород для выработки пиломатериалов и заготовок (пластины) толщиной 20-24 см, III сорта</t>
  </si>
  <si>
    <t>Болты с гайками и шайбами строительные</t>
  </si>
  <si>
    <t>Проволока наплавочная диаметром 3 мм ПП-Нп-19СТ</t>
  </si>
  <si>
    <t>Поковки из квадратных заготовок, масса 2,825 кг</t>
  </si>
  <si>
    <t>Кислород технический газообразный</t>
  </si>
  <si>
    <t>Ацетилен растворенный технический марки А</t>
  </si>
  <si>
    <t>07-05-023-06</t>
  </si>
  <si>
    <t>07-01-006-02</t>
  </si>
  <si>
    <t>Арматура</t>
  </si>
  <si>
    <t>Доски обрезные хвойных пород длиной 4-6,5 м, шириной 75-150 мм, толщиной 44 мм и более, III сорта</t>
  </si>
  <si>
    <t>Доски обрезные хвойных пород длиной 4-6,5 м, шириной 75-150 мм, толщиной 25 мм, III сорта</t>
  </si>
  <si>
    <t>Палуба опалубки типа&lt;Дока&gt; из бакелизированной фанеры</t>
  </si>
  <si>
    <t>Опалубка типа&lt;Дока&gt; (конструкции металлические)</t>
  </si>
  <si>
    <t>Опалубка переставная(амортизация)</t>
  </si>
  <si>
    <t>Рогожа</t>
  </si>
  <si>
    <t>Электроды диаметром 4 мм Э42</t>
  </si>
  <si>
    <t>Проволока светлая диаметром 1,1 мм</t>
  </si>
  <si>
    <t>Масла антраценовые</t>
  </si>
  <si>
    <t>06-01-111-01</t>
  </si>
  <si>
    <t>07-01-001-07</t>
  </si>
  <si>
    <t>Кол-во</t>
  </si>
  <si>
    <t>Норм. на един работ</t>
  </si>
  <si>
    <t xml:space="preserve"> </t>
  </si>
  <si>
    <t>Ед. изм.</t>
  </si>
  <si>
    <t>расход</t>
  </si>
  <si>
    <t>ед. изм.</t>
  </si>
  <si>
    <t>Материалы</t>
  </si>
  <si>
    <t>ГЭСН</t>
  </si>
  <si>
    <t>Объем</t>
  </si>
  <si>
    <r>
      <t>Н</t>
    </r>
    <r>
      <rPr>
        <vertAlign val="subscript"/>
        <sz val="12"/>
        <color rgb="FF000000"/>
        <rFont val="Times New Roman"/>
        <family val="1"/>
        <charset val="204"/>
      </rPr>
      <t>0</t>
    </r>
  </si>
  <si>
    <t>=</t>
  </si>
  <si>
    <r>
      <t>h</t>
    </r>
    <r>
      <rPr>
        <vertAlign val="subscript"/>
        <sz val="12"/>
        <color rgb="FF000000"/>
        <rFont val="Times New Roman"/>
        <family val="1"/>
        <charset val="204"/>
      </rPr>
      <t>э</t>
    </r>
  </si>
  <si>
    <r>
      <t>h</t>
    </r>
    <r>
      <rPr>
        <vertAlign val="subscript"/>
        <sz val="12"/>
        <color rgb="FF000000"/>
        <rFont val="Times New Roman"/>
        <family val="1"/>
        <charset val="204"/>
      </rPr>
      <t>з</t>
    </r>
  </si>
  <si>
    <r>
      <t>h</t>
    </r>
    <r>
      <rPr>
        <vertAlign val="subscript"/>
        <sz val="12"/>
        <color rgb="FF000000"/>
        <rFont val="Times New Roman"/>
        <family val="1"/>
        <charset val="204"/>
      </rPr>
      <t>с</t>
    </r>
  </si>
  <si>
    <r>
      <t>H</t>
    </r>
    <r>
      <rPr>
        <i/>
        <vertAlign val="subscript"/>
        <sz val="10"/>
        <color rgb="FF000000"/>
        <rFont val="Arial"/>
        <family val="2"/>
        <charset val="204"/>
      </rPr>
      <t>кр</t>
    </r>
    <r>
      <rPr>
        <i/>
        <vertAlign val="superscript"/>
        <sz val="10"/>
        <color rgb="FF000000"/>
        <rFont val="Arial"/>
        <family val="2"/>
        <charset val="204"/>
      </rPr>
      <t>тр</t>
    </r>
  </si>
  <si>
    <t>Необходимая высота подъёма крюка</t>
  </si>
  <si>
    <t>a</t>
  </si>
  <si>
    <t>b</t>
  </si>
  <si>
    <t>c</t>
  </si>
  <si>
    <r>
      <t>L</t>
    </r>
    <r>
      <rPr>
        <i/>
        <vertAlign val="subscript"/>
        <sz val="12"/>
        <color rgb="FF000000"/>
        <rFont val="Times New Roman"/>
        <family val="1"/>
        <charset val="204"/>
      </rPr>
      <t>бкр</t>
    </r>
  </si>
  <si>
    <t>Необходимый вылет стрелы</t>
  </si>
  <si>
    <r>
      <t>g</t>
    </r>
    <r>
      <rPr>
        <vertAlign val="subscript"/>
        <sz val="12"/>
        <color rgb="FF000000"/>
        <rFont val="Times New Roman"/>
        <family val="1"/>
        <charset val="204"/>
      </rPr>
      <t>max</t>
    </r>
  </si>
  <si>
    <r>
      <t>g</t>
    </r>
    <r>
      <rPr>
        <vertAlign val="subscript"/>
        <sz val="12"/>
        <color rgb="FF000000"/>
        <rFont val="Times New Roman"/>
        <family val="1"/>
        <charset val="204"/>
      </rPr>
      <t>строп</t>
    </r>
  </si>
  <si>
    <r>
      <t>G</t>
    </r>
    <r>
      <rPr>
        <i/>
        <vertAlign val="subscript"/>
        <sz val="12"/>
        <color rgb="FF000000"/>
        <rFont val="Times New Roman"/>
        <family val="1"/>
        <charset val="204"/>
      </rPr>
      <t>кр</t>
    </r>
  </si>
  <si>
    <t>Грузоподъемность башенного крана</t>
  </si>
  <si>
    <t>По данным параметрам был подобран кран следующей марки:</t>
  </si>
  <si>
    <t xml:space="preserve">Характеристики: </t>
  </si>
  <si>
    <t>Рабочая зона крана:</t>
  </si>
  <si>
    <t>Зоны перемещения грузов:</t>
  </si>
  <si>
    <t>Опасная зона:</t>
  </si>
  <si>
    <t>Potain GTMR 346 B</t>
  </si>
  <si>
    <t>Высота подъема = 31 м, вылет стрелы = 45 м, максимальная грузоподъемность = 6 т.</t>
  </si>
  <si>
    <t>Автомобили бортовые, грузоподъемность до 5 т</t>
  </si>
  <si>
    <t>Краны на автомобильном ходу при работе на других видах строительства 10 т</t>
  </si>
  <si>
    <t>Автопогрузчики 5 т</t>
  </si>
  <si>
    <t>Котлы битумные передвижные 400 л</t>
  </si>
  <si>
    <t>Бульдозеры при работе на других видах строительства 79 кВт (108 л.с.)</t>
  </si>
  <si>
    <t>Автогрейдеры среднего типа 99 кВт(135 л.с.)</t>
  </si>
  <si>
    <t>Трамбовки пневматические при работе от передвижных компрессорных станций</t>
  </si>
  <si>
    <t>Подъемники грузоподъемностью до 500 кг одномачтовые, высота подъема 45 м</t>
  </si>
  <si>
    <t>Компрессоры передвижные с двигателем внутреннего сгорания давлением до 686 кПа(7 ат), производительность 5 м3/мин</t>
  </si>
  <si>
    <t>Краны на гусеничном ходу при работе на других видах строительства 25 т</t>
  </si>
  <si>
    <t>Тягачи седельные, грузоподъемность 15 т</t>
  </si>
  <si>
    <t>Автомобили бортовые, грузоподъемность до 8 т</t>
  </si>
  <si>
    <t>Вибратор глубинный</t>
  </si>
  <si>
    <t>Полуприцепы-тяжеловозы, грузоподъемность 40 т</t>
  </si>
  <si>
    <t>Пила цепная электрическая</t>
  </si>
  <si>
    <t>Комплексы вакуумные типа СО-177</t>
  </si>
  <si>
    <t>Экскаваторы одноковшовые дизельные на гусеничном ходу при работе на других видах строительства 0,5 м3</t>
  </si>
  <si>
    <t>Краны башенные при работе на других видах строительства 10 т</t>
  </si>
  <si>
    <t>Трамбовки пневматические при работе от стационарного компрессора</t>
  </si>
  <si>
    <t>Краны башенные при работе на других видах строительства 8 т</t>
  </si>
  <si>
    <t>Аппарат для газовой сварки и резки</t>
  </si>
  <si>
    <t>Установки для сварки ручной дуговой(постоянного тока)</t>
  </si>
  <si>
    <t>Краны на гусеничном ходу при работе на других видах строительства 40 т</t>
  </si>
  <si>
    <t>Наименование и марка машины</t>
  </si>
  <si>
    <t>Основные технические 
характеристики машины</t>
  </si>
  <si>
    <t>Количество машин</t>
  </si>
  <si>
    <t>Гусеничный кран СКГ-40/63</t>
  </si>
  <si>
    <t>КамАЗ 4308-6067-28(R4)</t>
  </si>
  <si>
    <t>Huahuan TSW5110JQZB6</t>
  </si>
  <si>
    <t>Электрический вилочный погрузчик TRF E50-3i4</t>
  </si>
  <si>
    <t>Котел битумный передвижной электрический с центробежной мешалкой КЛБ-400</t>
  </si>
  <si>
    <t>Глубинный вибратор с преобразователем VPK E-tron 36</t>
  </si>
  <si>
    <t>Автогрейдер XCMG GR135</t>
  </si>
  <si>
    <t>Бульдозер Komatsu D39EX/PX-22</t>
  </si>
  <si>
    <t>Урал 4320-3971-82М</t>
  </si>
  <si>
    <t>ВИБРАТОР ИВ-98Б 42, 380 В </t>
  </si>
  <si>
    <t>Седельный тягач Shacman SX42584V324 X3000 6х4</t>
  </si>
  <si>
    <t>Гусеничный кран МКГ-25 БР</t>
  </si>
  <si>
    <t>УЗСТ ППТ-9176-005Н4</t>
  </si>
  <si>
    <t>Винтовой компрессор ЗИФ СВЭ-5,2/0,7 в кожухе на шасси</t>
  </si>
  <si>
    <t>ПМГ-500</t>
  </si>
  <si>
    <t>Трамбовка пневматическая ИП-4503 21445031</t>
  </si>
  <si>
    <t>Электрическая цепная пила Makita UC4041A</t>
  </si>
  <si>
    <t> LONKING CDM 6135</t>
  </si>
  <si>
    <t>Makita G-серия 18 В DF488DWE</t>
  </si>
  <si>
    <t>Пневматическая трамбовка JSD ПТ-9</t>
  </si>
  <si>
    <t>Huawei CG 2-11 S</t>
  </si>
  <si>
    <t>FAVOURITE MMA-300A</t>
  </si>
  <si>
    <t>ERSTEVAK RR500-R32</t>
  </si>
  <si>
    <t>Наименование</t>
  </si>
  <si>
    <t>Численность персонала</t>
  </si>
  <si>
    <t>Норма м2 на 1 чел.</t>
  </si>
  <si>
    <t>Расчетная площадь, м2</t>
  </si>
  <si>
    <t>Принимаемая площадь, м2</t>
  </si>
  <si>
    <t>Размеры в плане</t>
  </si>
  <si>
    <t>Число зданий</t>
  </si>
  <si>
    <t>Используемый типовой проект и констркутивная схема</t>
  </si>
  <si>
    <t>Округление</t>
  </si>
  <si>
    <t>Прорабская</t>
  </si>
  <si>
    <t>3x2</t>
  </si>
  <si>
    <t>Конструкции сборно-разборного типа</t>
  </si>
  <si>
    <t>Макс. Число раб. В день</t>
  </si>
  <si>
    <t>Гардеробная</t>
  </si>
  <si>
    <t>4х4</t>
  </si>
  <si>
    <t>Передвижной</t>
  </si>
  <si>
    <t>Рабочие</t>
  </si>
  <si>
    <t>Душевая</t>
  </si>
  <si>
    <t>5х2</t>
  </si>
  <si>
    <t>ИТР (Прорабы)</t>
  </si>
  <si>
    <t>Умывальная</t>
  </si>
  <si>
    <t>1х1</t>
  </si>
  <si>
    <t>Служащие</t>
  </si>
  <si>
    <t>Туалеты</t>
  </si>
  <si>
    <t>2 кабинки</t>
  </si>
  <si>
    <t>Типовое сборно-разборное здание</t>
  </si>
  <si>
    <t>МОП и охрана</t>
  </si>
  <si>
    <t>1 кабинки</t>
  </si>
  <si>
    <t>Из них</t>
  </si>
  <si>
    <t>Сушильная</t>
  </si>
  <si>
    <t>2,5х2</t>
  </si>
  <si>
    <t>Женщины</t>
  </si>
  <si>
    <t>Помещение для обогрева, отдыха и принятия пищи</t>
  </si>
  <si>
    <t>5x4</t>
  </si>
  <si>
    <t>Мужчины</t>
  </si>
  <si>
    <t>Столовые</t>
  </si>
  <si>
    <t>Медпункт</t>
  </si>
  <si>
    <t>2х5</t>
  </si>
  <si>
    <t>Кладовые</t>
  </si>
  <si>
    <t>6х10</t>
  </si>
  <si>
    <t>типовое сборно-разборное здание</t>
  </si>
  <si>
    <t>Наименование материалов</t>
  </si>
  <si>
    <t>ед.изм</t>
  </si>
  <si>
    <t>Продолжительность потребления</t>
  </si>
  <si>
    <t>Суточная потребность</t>
  </si>
  <si>
    <t>Расчетный период хранения</t>
  </si>
  <si>
    <t>Расчетный запас материалов</t>
  </si>
  <si>
    <t>Норма складирования</t>
  </si>
  <si>
    <t>Расчетная площадь склада</t>
  </si>
  <si>
    <t>Принимаемая площадь</t>
  </si>
  <si>
    <t>Открытый</t>
  </si>
  <si>
    <t>Закрытый</t>
  </si>
  <si>
    <t>Полузакрытый</t>
  </si>
  <si>
    <t>+</t>
  </si>
  <si>
    <t>Сумма</t>
  </si>
  <si>
    <t>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</si>
</sst>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3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12529"/>
      <name val="PT Sans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scheme val="minor"/>
    </font>
    <font>
      <vertAlign val="subscript"/>
      <sz val="12"/>
      <color rgb="FF000000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i/>
      <vertAlign val="subscript"/>
      <sz val="10"/>
      <color rgb="FF000000"/>
      <name val="Arial"/>
      <family val="2"/>
      <charset val="204"/>
    </font>
    <font>
      <i/>
      <vertAlign val="superscript"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OpenSans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8C"/>
      </left>
      <right style="thin">
        <color rgb="FF00008C"/>
      </right>
      <top style="thin">
        <color rgb="FF00008C"/>
      </top>
      <bottom style="thin">
        <color rgb="FF00008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44" fontId="13" fillId="0" borderId="0" applyFont="0" applyFill="0" applyBorder="0" applyAlignment="0" applyProtection="0"/>
    <xf numFmtId="0" fontId="16" fillId="0" borderId="0"/>
  </cellStyleXfs>
  <cellXfs count="118">
    <xf numFmtId="0" fontId="0" fillId="0" borderId="0" xfId="0"/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3" fillId="0" borderId="0" xfId="0" applyFont="1"/>
    <xf numFmtId="0" fontId="7" fillId="0" borderId="0" xfId="0" applyFont="1"/>
    <xf numFmtId="0" fontId="8" fillId="0" borderId="5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/>
    </xf>
    <xf numFmtId="1" fontId="3" fillId="0" borderId="2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8" fillId="0" borderId="0" xfId="0" applyFont="1" applyAlignment="1">
      <alignment horizontal="right" vertical="top"/>
    </xf>
    <xf numFmtId="0" fontId="11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1" fontId="12" fillId="2" borderId="1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1" fontId="0" fillId="0" borderId="0" xfId="0" applyNumberFormat="1"/>
    <xf numFmtId="0" fontId="14" fillId="0" borderId="0" xfId="0" applyFont="1" applyAlignment="1">
      <alignment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6" fillId="0" borderId="0" xfId="3"/>
    <xf numFmtId="0" fontId="0" fillId="3" borderId="0" xfId="0" applyFill="1"/>
    <xf numFmtId="0" fontId="3" fillId="0" borderId="0" xfId="0" applyFont="1" applyAlignment="1">
      <alignment horizontal="justify" vertical="center"/>
    </xf>
    <xf numFmtId="0" fontId="18" fillId="3" borderId="0" xfId="0" applyFont="1" applyFill="1"/>
    <xf numFmtId="0" fontId="21" fillId="0" borderId="0" xfId="0" applyFont="1"/>
    <xf numFmtId="0" fontId="22" fillId="3" borderId="0" xfId="0" applyFont="1" applyFill="1"/>
    <xf numFmtId="0" fontId="8" fillId="0" borderId="0" xfId="0" applyFont="1"/>
    <xf numFmtId="0" fontId="8" fillId="0" borderId="0" xfId="0" applyFont="1" applyAlignment="1">
      <alignment vertical="center"/>
    </xf>
    <xf numFmtId="164" fontId="8" fillId="3" borderId="0" xfId="0" applyNumberFormat="1" applyFont="1" applyFill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4" fillId="4" borderId="2" xfId="0" applyFont="1" applyFill="1" applyBorder="1" applyAlignment="1">
      <alignment vertical="center" wrapText="1"/>
    </xf>
    <xf numFmtId="0" fontId="0" fillId="0" borderId="2" xfId="0" applyBorder="1"/>
    <xf numFmtId="0" fontId="2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7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/>
    </xf>
    <xf numFmtId="0" fontId="26" fillId="3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left"/>
    </xf>
    <xf numFmtId="0" fontId="26" fillId="0" borderId="22" xfId="0" applyFont="1" applyBorder="1" applyAlignment="1">
      <alignment horizontal="left"/>
    </xf>
    <xf numFmtId="0" fontId="26" fillId="0" borderId="23" xfId="0" applyFont="1" applyBorder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0" fillId="0" borderId="24" xfId="0" applyBorder="1"/>
    <xf numFmtId="0" fontId="0" fillId="0" borderId="17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0" fillId="0" borderId="2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 wrapText="1"/>
    </xf>
    <xf numFmtId="1" fontId="14" fillId="0" borderId="7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</cellXfs>
  <cellStyles count="4">
    <cellStyle name="Денежный" xfId="2" builtinId="4"/>
    <cellStyle name="Обычный" xfId="0" builtinId="0"/>
    <cellStyle name="Обычный 2" xfId="1" xr:uid="{D7B1FD56-AAC8-4AD8-94A0-87D8534A5B9E}"/>
    <cellStyle name="Обычный 3" xfId="3" xr:uid="{BC14A603-C7CA-486F-B392-8F960ABA88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204106</xdr:colOff>
      <xdr:row>41</xdr:row>
      <xdr:rowOff>176893</xdr:rowOff>
    </xdr:from>
    <xdr:to>
      <xdr:col>20</xdr:col>
      <xdr:colOff>446904</xdr:colOff>
      <xdr:row>50</xdr:row>
      <xdr:rowOff>73044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1392BE-3249-4381-B20F-C1145B838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5392" y="12654643"/>
          <a:ext cx="6161905" cy="347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231322</xdr:colOff>
      <xdr:row>41</xdr:row>
      <xdr:rowOff>258536</xdr:rowOff>
    </xdr:from>
    <xdr:to>
      <xdr:col>33</xdr:col>
      <xdr:colOff>174914</xdr:colOff>
      <xdr:row>51</xdr:row>
      <xdr:rowOff>45662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C08BE9-901B-447D-BFF2-4873AB7A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8679" y="12736286"/>
          <a:ext cx="6066806" cy="3569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145366</xdr:colOff>
      <xdr:row>15</xdr:row>
      <xdr:rowOff>24456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0BD34B-CEF2-44E9-A869-251C5043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12566" cy="2881956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0</xdr:rowOff>
    </xdr:from>
    <xdr:to>
      <xdr:col>11</xdr:col>
      <xdr:colOff>551451</xdr:colOff>
      <xdr:row>16</xdr:row>
      <xdr:rowOff>146006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F9C815-7969-4236-B234-D1B1C6E82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1975" y="0"/>
          <a:ext cx="2885076" cy="319400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40</xdr:row>
      <xdr:rowOff>16620</xdr:rowOff>
    </xdr:from>
    <xdr:to>
      <xdr:col>16</xdr:col>
      <xdr:colOff>164710</xdr:colOff>
      <xdr:row>50</xdr:row>
      <xdr:rowOff>131848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4063494-E065-4A73-97C9-DAF007238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2055" y="9874995"/>
          <a:ext cx="4401430" cy="2105954"/>
        </a:xfrm>
        <a:prstGeom prst="rect">
          <a:avLst/>
        </a:prstGeom>
      </xdr:spPr>
    </xdr:pic>
    <xdr:clientData/>
  </xdr:twoCellAnchor>
  <xdr:twoCellAnchor editAs="oneCell">
    <xdr:from>
      <xdr:col>9</xdr:col>
      <xdr:colOff>13478</xdr:colOff>
      <xdr:row>51</xdr:row>
      <xdr:rowOff>60960</xdr:rowOff>
    </xdr:from>
    <xdr:to>
      <xdr:col>16</xdr:col>
      <xdr:colOff>188764</xdr:colOff>
      <xdr:row>61</xdr:row>
      <xdr:rowOff>129540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BB93E28-5751-4ACD-B413-D0858741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95053" y="12024360"/>
          <a:ext cx="4442486" cy="197358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36</xdr:row>
      <xdr:rowOff>99061</xdr:rowOff>
    </xdr:from>
    <xdr:to>
      <xdr:col>16</xdr:col>
      <xdr:colOff>189739</xdr:colOff>
      <xdr:row>39</xdr:row>
      <xdr:rowOff>137704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5EFA7ED-AC4C-42C1-8E8E-33D12377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96816" y="9157336"/>
          <a:ext cx="4441698" cy="66865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20</xdr:row>
      <xdr:rowOff>26276</xdr:rowOff>
    </xdr:from>
    <xdr:to>
      <xdr:col>14</xdr:col>
      <xdr:colOff>345266</xdr:colOff>
      <xdr:row>33</xdr:row>
      <xdr:rowOff>9018</xdr:rowOff>
    </xdr:to>
    <xdr:pic>
      <xdr:nvPicPr>
        <xdr:cNvPr id="7" name="Рисунок 6" descr="Быстромонтируемый кран Liebherr 42 K.1">
          <a:extLst>
            <a:ext uri="{FF2B5EF4-FFF2-40B4-BE49-F238E27FC236}">
              <a16:creationId xmlns:a16="http://schemas.microsoft.com/office/drawing/2014/main" id="{232244EA-BFBC-4BA2-8AF8-059E9402F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639" y="3888828"/>
          <a:ext cx="2598420" cy="2680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85725</xdr:rowOff>
    </xdr:from>
    <xdr:to>
      <xdr:col>20</xdr:col>
      <xdr:colOff>13184</xdr:colOff>
      <xdr:row>6</xdr:row>
      <xdr:rowOff>128241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D73EC7A-4626-4ABD-9E8C-99D34BD7C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7850" y="85725"/>
          <a:ext cx="3832709" cy="1804641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6</xdr:row>
      <xdr:rowOff>171450</xdr:rowOff>
    </xdr:from>
    <xdr:to>
      <xdr:col>20</xdr:col>
      <xdr:colOff>300160</xdr:colOff>
      <xdr:row>11</xdr:row>
      <xdr:rowOff>404666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CADD3F3-2866-4A29-85D0-D23A3493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5" y="1933575"/>
          <a:ext cx="4319710" cy="2423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A59-1880-4AE9-B2E8-C78625446B9D}">
  <dimension ref="A1:Q56"/>
  <sheetViews>
    <sheetView topLeftCell="A4" zoomScaleNormal="100" workbookViewId="0">
      <selection activeCell="E26" sqref="E26"/>
    </sheetView>
  </sheetViews>
  <sheetFormatPr defaultRowHeight="14.4"/>
  <cols>
    <col min="1" max="1" width="12" bestFit="1" customWidth="1"/>
    <col min="2" max="2" width="63.44140625" customWidth="1"/>
    <col min="4" max="4" width="12.5546875" bestFit="1" customWidth="1"/>
    <col min="5" max="5" width="22.109375" bestFit="1" customWidth="1"/>
    <col min="7" max="7" width="15.88671875" customWidth="1"/>
    <col min="8" max="8" width="18" bestFit="1" customWidth="1"/>
    <col min="17" max="17" width="24.44140625" customWidth="1"/>
  </cols>
  <sheetData>
    <row r="1" spans="1:17" ht="15" customHeight="1">
      <c r="A1" s="103" t="s">
        <v>0</v>
      </c>
      <c r="B1" s="105" t="s">
        <v>1</v>
      </c>
      <c r="C1" s="102" t="s">
        <v>2</v>
      </c>
      <c r="D1" s="102"/>
      <c r="E1" s="101" t="s">
        <v>3</v>
      </c>
      <c r="F1" s="102" t="s">
        <v>4</v>
      </c>
      <c r="G1" s="102"/>
      <c r="H1" s="102" t="s">
        <v>5</v>
      </c>
      <c r="I1" s="102"/>
      <c r="J1" s="102"/>
      <c r="K1" s="106" t="s">
        <v>6</v>
      </c>
      <c r="L1" s="106" t="s">
        <v>7</v>
      </c>
      <c r="M1" s="106" t="s">
        <v>8</v>
      </c>
      <c r="N1" s="101" t="s">
        <v>9</v>
      </c>
      <c r="O1" s="101" t="s">
        <v>10</v>
      </c>
      <c r="P1" s="101" t="s">
        <v>11</v>
      </c>
      <c r="Q1" s="100" t="s">
        <v>69</v>
      </c>
    </row>
    <row r="2" spans="1:17" ht="71.25" customHeight="1">
      <c r="A2" s="104"/>
      <c r="B2" s="105"/>
      <c r="C2" s="1" t="s">
        <v>12</v>
      </c>
      <c r="D2" s="1" t="s">
        <v>13</v>
      </c>
      <c r="E2" s="101"/>
      <c r="F2" s="2" t="s">
        <v>14</v>
      </c>
      <c r="G2" s="2" t="s">
        <v>15</v>
      </c>
      <c r="H2" s="1" t="s">
        <v>16</v>
      </c>
      <c r="I2" s="2" t="s">
        <v>17</v>
      </c>
      <c r="J2" s="2" t="s">
        <v>18</v>
      </c>
      <c r="K2" s="106"/>
      <c r="L2" s="106"/>
      <c r="M2" s="106"/>
      <c r="N2" s="101"/>
      <c r="O2" s="101"/>
      <c r="P2" s="101"/>
      <c r="Q2" s="100"/>
    </row>
    <row r="3" spans="1:17" ht="15.6">
      <c r="A3" s="3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12">
        <v>17</v>
      </c>
    </row>
    <row r="5" spans="1:17" ht="18">
      <c r="A5" s="5">
        <v>1</v>
      </c>
      <c r="B5" s="5" t="s">
        <v>20</v>
      </c>
      <c r="C5" s="8" t="s">
        <v>54</v>
      </c>
      <c r="D5">
        <f>693/1000</f>
        <v>0.69299999999999995</v>
      </c>
      <c r="E5" s="6" t="s">
        <v>178</v>
      </c>
      <c r="F5" s="8">
        <v>1.49</v>
      </c>
      <c r="G5">
        <f>F5*D5</f>
        <v>1.03257</v>
      </c>
      <c r="H5" s="8" t="s">
        <v>56</v>
      </c>
      <c r="I5" s="10">
        <v>0.98</v>
      </c>
      <c r="J5">
        <f>I5*D5</f>
        <v>0.67913999999999997</v>
      </c>
      <c r="K5">
        <v>1</v>
      </c>
      <c r="L5">
        <v>1</v>
      </c>
      <c r="M5">
        <v>1</v>
      </c>
      <c r="N5">
        <f>ROUNDUP(J5/(M5*8*L5),0)</f>
        <v>1</v>
      </c>
      <c r="O5">
        <f>ROUNDUP((G5/(8*M5*K5)),0)</f>
        <v>1</v>
      </c>
      <c r="P5">
        <f>MAX(O5,N5)</f>
        <v>1</v>
      </c>
      <c r="Q5" s="13" t="s">
        <v>70</v>
      </c>
    </row>
    <row r="6" spans="1:17" ht="18">
      <c r="A6" s="5">
        <v>2</v>
      </c>
      <c r="B6" s="6" t="s">
        <v>21</v>
      </c>
      <c r="C6" s="9" t="s">
        <v>55</v>
      </c>
      <c r="D6">
        <f>693*0.02/1000</f>
        <v>1.3859999999999999E-2</v>
      </c>
      <c r="E6" s="6" t="s">
        <v>177</v>
      </c>
      <c r="F6" s="8">
        <v>40.71</v>
      </c>
      <c r="G6">
        <f t="shared" ref="G6:G23" si="0">F6*D6</f>
        <v>0.56424059999999998</v>
      </c>
      <c r="H6" s="8" t="s">
        <v>57</v>
      </c>
      <c r="I6" s="8">
        <v>40.71</v>
      </c>
      <c r="J6">
        <f t="shared" ref="J6:J23" si="1">I6*D6</f>
        <v>0.56424059999999998</v>
      </c>
      <c r="K6">
        <v>1</v>
      </c>
      <c r="L6">
        <v>1</v>
      </c>
      <c r="M6">
        <v>1</v>
      </c>
      <c r="N6">
        <f t="shared" ref="N6:N23" si="2">ROUNDUP(J6/(M6*8*L6),0)</f>
        <v>1</v>
      </c>
      <c r="O6">
        <f t="shared" ref="O6:O23" si="3">ROUNDUP((G6/(8*M6*K6)),0)</f>
        <v>1</v>
      </c>
      <c r="P6">
        <f t="shared" ref="P6:P23" si="4">MAX(O6,N6)</f>
        <v>1</v>
      </c>
      <c r="Q6" s="13" t="s">
        <v>70</v>
      </c>
    </row>
    <row r="7" spans="1:17" ht="31.2">
      <c r="A7" s="5">
        <v>3</v>
      </c>
      <c r="B7" s="5" t="s">
        <v>22</v>
      </c>
      <c r="C7" s="8" t="s">
        <v>58</v>
      </c>
      <c r="D7">
        <f>D5/4</f>
        <v>0.17324999999999999</v>
      </c>
      <c r="E7" s="5" t="s">
        <v>180</v>
      </c>
      <c r="F7" s="8">
        <v>308.58</v>
      </c>
      <c r="G7">
        <f t="shared" si="0"/>
        <v>53.461484999999996</v>
      </c>
      <c r="H7" s="8" t="s">
        <v>59</v>
      </c>
      <c r="I7" s="11">
        <v>85.56</v>
      </c>
      <c r="J7">
        <f t="shared" si="1"/>
        <v>14.823269999999999</v>
      </c>
      <c r="K7">
        <v>1</v>
      </c>
      <c r="L7">
        <v>1</v>
      </c>
      <c r="M7">
        <v>1</v>
      </c>
      <c r="N7">
        <f t="shared" si="2"/>
        <v>2</v>
      </c>
      <c r="O7">
        <f t="shared" si="3"/>
        <v>7</v>
      </c>
      <c r="P7">
        <f t="shared" si="4"/>
        <v>7</v>
      </c>
      <c r="Q7" s="13" t="s">
        <v>71</v>
      </c>
    </row>
    <row r="8" spans="1:17" ht="18">
      <c r="A8" s="3" t="s">
        <v>19</v>
      </c>
      <c r="B8" s="5"/>
      <c r="C8" s="8"/>
      <c r="E8" s="5"/>
      <c r="F8" s="8"/>
      <c r="H8" s="8"/>
      <c r="I8" s="16"/>
      <c r="Q8" s="13"/>
    </row>
    <row r="9" spans="1:17" ht="18">
      <c r="A9" s="5">
        <v>4</v>
      </c>
      <c r="B9" s="7" t="s">
        <v>23</v>
      </c>
      <c r="C9" s="8" t="s">
        <v>58</v>
      </c>
      <c r="D9">
        <f>D6</f>
        <v>1.3859999999999999E-2</v>
      </c>
      <c r="E9" s="7" t="s">
        <v>39</v>
      </c>
      <c r="F9" s="8">
        <v>404.04</v>
      </c>
      <c r="G9">
        <f t="shared" si="0"/>
        <v>5.5999943999999999</v>
      </c>
      <c r="H9" s="8" t="s">
        <v>59</v>
      </c>
      <c r="I9" s="8">
        <v>76.28</v>
      </c>
      <c r="J9">
        <f t="shared" si="1"/>
        <v>1.0572408</v>
      </c>
      <c r="K9">
        <v>1</v>
      </c>
      <c r="L9">
        <v>1</v>
      </c>
      <c r="M9">
        <v>1</v>
      </c>
      <c r="N9">
        <f t="shared" si="2"/>
        <v>1</v>
      </c>
      <c r="O9">
        <f t="shared" si="3"/>
        <v>1</v>
      </c>
      <c r="P9">
        <f t="shared" si="4"/>
        <v>1</v>
      </c>
      <c r="Q9" s="13" t="s">
        <v>70</v>
      </c>
    </row>
    <row r="10" spans="1:17" ht="18">
      <c r="A10" s="5">
        <v>5</v>
      </c>
      <c r="B10" s="7" t="s">
        <v>24</v>
      </c>
      <c r="C10" s="8" t="s">
        <v>58</v>
      </c>
      <c r="D10">
        <f>353.16/15/100</f>
        <v>0.23544000000000001</v>
      </c>
      <c r="E10" s="7" t="s">
        <v>179</v>
      </c>
      <c r="F10" s="8">
        <v>1254.3399999999999</v>
      </c>
      <c r="G10">
        <f t="shared" si="0"/>
        <v>295.32180959999999</v>
      </c>
      <c r="H10" s="8" t="s">
        <v>59</v>
      </c>
      <c r="I10" s="8">
        <v>167.36</v>
      </c>
      <c r="J10">
        <f t="shared" si="1"/>
        <v>39.403238400000006</v>
      </c>
      <c r="K10">
        <v>5</v>
      </c>
      <c r="L10">
        <v>1</v>
      </c>
      <c r="M10">
        <v>1</v>
      </c>
      <c r="N10">
        <f t="shared" si="2"/>
        <v>5</v>
      </c>
      <c r="O10">
        <f t="shared" si="3"/>
        <v>8</v>
      </c>
      <c r="P10">
        <f t="shared" si="4"/>
        <v>8</v>
      </c>
      <c r="Q10" s="13" t="s">
        <v>70</v>
      </c>
    </row>
    <row r="11" spans="1:17" ht="18">
      <c r="A11" s="5">
        <v>6</v>
      </c>
      <c r="B11" s="7" t="s">
        <v>25</v>
      </c>
      <c r="C11" s="8" t="s">
        <v>58</v>
      </c>
      <c r="D11">
        <f>43/100</f>
        <v>0.43</v>
      </c>
      <c r="E11" s="7" t="s">
        <v>41</v>
      </c>
      <c r="F11" s="8">
        <v>1254.3</v>
      </c>
      <c r="G11">
        <f t="shared" si="0"/>
        <v>539.34899999999993</v>
      </c>
      <c r="H11" s="8" t="s">
        <v>59</v>
      </c>
      <c r="I11" s="8">
        <v>176.65</v>
      </c>
      <c r="J11">
        <f>I11*D11</f>
        <v>75.959500000000006</v>
      </c>
      <c r="K11">
        <v>5</v>
      </c>
      <c r="L11">
        <v>1</v>
      </c>
      <c r="M11">
        <v>2</v>
      </c>
      <c r="N11">
        <f t="shared" si="2"/>
        <v>5</v>
      </c>
      <c r="O11">
        <f t="shared" si="3"/>
        <v>7</v>
      </c>
      <c r="P11">
        <f t="shared" si="4"/>
        <v>7</v>
      </c>
      <c r="Q11" s="13" t="s">
        <v>70</v>
      </c>
    </row>
    <row r="12" spans="1:17" ht="18">
      <c r="A12" s="5">
        <v>7</v>
      </c>
      <c r="B12" s="7" t="s">
        <v>26</v>
      </c>
      <c r="C12" s="8" t="s">
        <v>58</v>
      </c>
      <c r="D12">
        <f>353.16*3/7/100</f>
        <v>1.5135428571428571</v>
      </c>
      <c r="E12" s="7" t="s">
        <v>42</v>
      </c>
      <c r="F12" s="8">
        <v>223.11</v>
      </c>
      <c r="G12">
        <f t="shared" si="0"/>
        <v>337.68654685714284</v>
      </c>
      <c r="H12" s="8" t="s">
        <v>59</v>
      </c>
      <c r="I12" s="10">
        <v>31.98</v>
      </c>
      <c r="J12">
        <f t="shared" si="1"/>
        <v>48.403100571428567</v>
      </c>
      <c r="K12">
        <v>7</v>
      </c>
      <c r="L12">
        <v>1</v>
      </c>
      <c r="M12">
        <v>1</v>
      </c>
      <c r="N12">
        <f t="shared" si="2"/>
        <v>7</v>
      </c>
      <c r="O12">
        <f t="shared" si="3"/>
        <v>7</v>
      </c>
      <c r="P12">
        <f t="shared" si="4"/>
        <v>7</v>
      </c>
      <c r="Q12" s="13" t="s">
        <v>70</v>
      </c>
    </row>
    <row r="13" spans="1:17" ht="18">
      <c r="A13" s="5">
        <v>8</v>
      </c>
      <c r="B13" s="7" t="s">
        <v>27</v>
      </c>
      <c r="C13" s="8" t="s">
        <v>58</v>
      </c>
      <c r="D13">
        <f>43/100</f>
        <v>0.43</v>
      </c>
      <c r="E13" s="7" t="s">
        <v>43</v>
      </c>
      <c r="F13" s="8">
        <v>186.48</v>
      </c>
      <c r="G13">
        <f t="shared" si="0"/>
        <v>80.186399999999992</v>
      </c>
      <c r="H13" s="8" t="s">
        <v>59</v>
      </c>
      <c r="I13" s="10">
        <v>44.82</v>
      </c>
      <c r="J13">
        <f t="shared" si="1"/>
        <v>19.272600000000001</v>
      </c>
      <c r="K13">
        <v>4</v>
      </c>
      <c r="L13">
        <v>1</v>
      </c>
      <c r="M13">
        <v>1</v>
      </c>
      <c r="N13">
        <f t="shared" si="2"/>
        <v>3</v>
      </c>
      <c r="O13">
        <f t="shared" si="3"/>
        <v>3</v>
      </c>
      <c r="P13">
        <f t="shared" si="4"/>
        <v>3</v>
      </c>
      <c r="Q13" s="13" t="s">
        <v>70</v>
      </c>
    </row>
    <row r="14" spans="1:17" ht="18">
      <c r="A14" s="5">
        <v>9</v>
      </c>
      <c r="B14" s="7" t="s">
        <v>28</v>
      </c>
      <c r="C14" s="8" t="s">
        <v>60</v>
      </c>
      <c r="D14">
        <f>3*27*2/100</f>
        <v>1.62</v>
      </c>
      <c r="E14" s="7" t="s">
        <v>44</v>
      </c>
      <c r="F14" s="8">
        <v>96.83</v>
      </c>
      <c r="G14">
        <f t="shared" si="0"/>
        <v>156.8646</v>
      </c>
      <c r="H14" s="8" t="s">
        <v>59</v>
      </c>
      <c r="I14" s="8">
        <v>2.14</v>
      </c>
      <c r="J14">
        <f t="shared" si="1"/>
        <v>3.4668000000000005</v>
      </c>
      <c r="K14">
        <v>4</v>
      </c>
      <c r="L14">
        <v>1</v>
      </c>
      <c r="M14">
        <v>1</v>
      </c>
      <c r="N14">
        <f t="shared" si="2"/>
        <v>1</v>
      </c>
      <c r="O14">
        <f t="shared" si="3"/>
        <v>5</v>
      </c>
      <c r="P14">
        <f t="shared" si="4"/>
        <v>5</v>
      </c>
      <c r="Q14" s="13" t="s">
        <v>70</v>
      </c>
    </row>
    <row r="15" spans="1:17" ht="18">
      <c r="A15" s="5">
        <v>10</v>
      </c>
      <c r="B15" s="7" t="s">
        <v>29</v>
      </c>
      <c r="C15" s="8" t="s">
        <v>58</v>
      </c>
      <c r="D15">
        <f>31*2/100</f>
        <v>0.62</v>
      </c>
      <c r="E15" s="7" t="s">
        <v>45</v>
      </c>
      <c r="F15" s="8">
        <v>112.69</v>
      </c>
      <c r="G15">
        <f t="shared" si="0"/>
        <v>69.867800000000003</v>
      </c>
      <c r="H15" s="8" t="s">
        <v>59</v>
      </c>
      <c r="I15" s="8">
        <v>43.17</v>
      </c>
      <c r="J15">
        <f>I15*D15</f>
        <v>26.7654</v>
      </c>
      <c r="K15" s="15">
        <v>3</v>
      </c>
      <c r="L15">
        <v>1</v>
      </c>
      <c r="M15">
        <v>1</v>
      </c>
      <c r="N15">
        <f t="shared" si="2"/>
        <v>4</v>
      </c>
      <c r="O15">
        <f t="shared" si="3"/>
        <v>3</v>
      </c>
      <c r="P15">
        <f t="shared" si="4"/>
        <v>4</v>
      </c>
      <c r="Q15" s="13" t="s">
        <v>70</v>
      </c>
    </row>
    <row r="16" spans="1:17" ht="18">
      <c r="A16" s="5">
        <v>11</v>
      </c>
      <c r="B16" s="7" t="s">
        <v>30</v>
      </c>
      <c r="C16" s="8" t="s">
        <v>60</v>
      </c>
      <c r="D16">
        <f>353.16/100</f>
        <v>3.5316000000000001</v>
      </c>
      <c r="E16" s="7" t="s">
        <v>46</v>
      </c>
      <c r="F16" s="8">
        <v>29.72</v>
      </c>
      <c r="G16">
        <f t="shared" si="0"/>
        <v>104.959152</v>
      </c>
      <c r="H16" s="8" t="s">
        <v>61</v>
      </c>
      <c r="I16" s="8">
        <v>10.29</v>
      </c>
      <c r="J16">
        <f t="shared" si="1"/>
        <v>36.340163999999994</v>
      </c>
      <c r="K16">
        <v>3</v>
      </c>
      <c r="L16">
        <v>1</v>
      </c>
      <c r="M16">
        <v>1</v>
      </c>
      <c r="N16">
        <f t="shared" si="2"/>
        <v>5</v>
      </c>
      <c r="O16">
        <f t="shared" si="3"/>
        <v>5</v>
      </c>
      <c r="P16">
        <f t="shared" si="4"/>
        <v>5</v>
      </c>
      <c r="Q16" s="14" t="s">
        <v>72</v>
      </c>
    </row>
    <row r="17" spans="1:17" ht="18">
      <c r="A17" s="5">
        <v>12</v>
      </c>
      <c r="B17" s="7" t="s">
        <v>31</v>
      </c>
      <c r="C17" s="8" t="s">
        <v>62</v>
      </c>
      <c r="D17">
        <f>2/100</f>
        <v>0.02</v>
      </c>
      <c r="E17" s="7" t="s">
        <v>47</v>
      </c>
      <c r="F17" s="8">
        <v>2412.6</v>
      </c>
      <c r="G17">
        <f t="shared" si="0"/>
        <v>48.252000000000002</v>
      </c>
      <c r="H17" s="8" t="s">
        <v>63</v>
      </c>
      <c r="I17" s="10">
        <v>78</v>
      </c>
      <c r="J17">
        <f t="shared" si="1"/>
        <v>1.56</v>
      </c>
      <c r="K17" s="15">
        <v>3</v>
      </c>
      <c r="L17">
        <v>1</v>
      </c>
      <c r="M17">
        <v>1</v>
      </c>
      <c r="N17">
        <f t="shared" si="2"/>
        <v>1</v>
      </c>
      <c r="O17">
        <f t="shared" si="3"/>
        <v>3</v>
      </c>
      <c r="P17">
        <f t="shared" si="4"/>
        <v>3</v>
      </c>
      <c r="Q17" s="14" t="s">
        <v>72</v>
      </c>
    </row>
    <row r="18" spans="1:17" ht="18">
      <c r="A18" s="5">
        <v>13</v>
      </c>
      <c r="B18" s="7" t="s">
        <v>32</v>
      </c>
      <c r="C18" s="8" t="s">
        <v>60</v>
      </c>
      <c r="D18">
        <f>353.16/100</f>
        <v>3.5316000000000001</v>
      </c>
      <c r="E18" s="7" t="s">
        <v>48</v>
      </c>
      <c r="F18" s="8">
        <v>30.3</v>
      </c>
      <c r="G18">
        <f t="shared" si="0"/>
        <v>107.00748</v>
      </c>
      <c r="H18" s="8" t="s">
        <v>64</v>
      </c>
      <c r="I18" s="8">
        <v>11.02</v>
      </c>
      <c r="J18">
        <f t="shared" si="1"/>
        <v>38.918231999999996</v>
      </c>
      <c r="K18">
        <v>5</v>
      </c>
      <c r="L18">
        <v>1</v>
      </c>
      <c r="M18">
        <v>2</v>
      </c>
      <c r="N18">
        <f t="shared" si="2"/>
        <v>3</v>
      </c>
      <c r="O18">
        <f t="shared" si="3"/>
        <v>2</v>
      </c>
      <c r="P18">
        <f t="shared" si="4"/>
        <v>3</v>
      </c>
      <c r="Q18" s="13" t="s">
        <v>70</v>
      </c>
    </row>
    <row r="19" spans="1:17" ht="18">
      <c r="A19" s="5">
        <v>14</v>
      </c>
      <c r="B19" s="7" t="s">
        <v>33</v>
      </c>
      <c r="C19" s="8" t="s">
        <v>60</v>
      </c>
      <c r="D19">
        <f>353.16/100</f>
        <v>3.5316000000000001</v>
      </c>
      <c r="E19" s="7" t="s">
        <v>49</v>
      </c>
      <c r="F19" s="8">
        <v>42.4</v>
      </c>
      <c r="G19">
        <f t="shared" si="0"/>
        <v>149.73983999999999</v>
      </c>
      <c r="H19" s="8" t="s">
        <v>65</v>
      </c>
      <c r="I19" s="8">
        <v>0.5</v>
      </c>
      <c r="J19">
        <f t="shared" si="1"/>
        <v>1.7658</v>
      </c>
      <c r="K19">
        <v>4</v>
      </c>
      <c r="L19">
        <v>1</v>
      </c>
      <c r="M19">
        <v>1</v>
      </c>
      <c r="N19">
        <f t="shared" si="2"/>
        <v>1</v>
      </c>
      <c r="O19">
        <f t="shared" si="3"/>
        <v>5</v>
      </c>
      <c r="P19">
        <f t="shared" si="4"/>
        <v>5</v>
      </c>
      <c r="Q19" s="14" t="s">
        <v>72</v>
      </c>
    </row>
    <row r="20" spans="1:17" ht="31.2">
      <c r="A20" s="5">
        <v>15</v>
      </c>
      <c r="B20" s="7" t="s">
        <v>34</v>
      </c>
      <c r="C20" s="8" t="s">
        <v>60</v>
      </c>
      <c r="D20">
        <f>353.16/2/100</f>
        <v>1.7658</v>
      </c>
      <c r="E20" s="7" t="s">
        <v>50</v>
      </c>
      <c r="F20" s="8">
        <v>119.78</v>
      </c>
      <c r="G20">
        <f t="shared" si="0"/>
        <v>211.50752400000002</v>
      </c>
      <c r="H20" s="8" t="s">
        <v>66</v>
      </c>
      <c r="I20" s="10">
        <v>0.36</v>
      </c>
      <c r="J20">
        <f t="shared" si="1"/>
        <v>0.63568800000000003</v>
      </c>
      <c r="K20">
        <v>5</v>
      </c>
      <c r="L20">
        <v>1</v>
      </c>
      <c r="M20">
        <v>1</v>
      </c>
      <c r="N20">
        <f t="shared" si="2"/>
        <v>1</v>
      </c>
      <c r="O20">
        <f t="shared" si="3"/>
        <v>6</v>
      </c>
      <c r="P20">
        <f t="shared" si="4"/>
        <v>6</v>
      </c>
      <c r="Q20" s="14" t="s">
        <v>73</v>
      </c>
    </row>
    <row r="21" spans="1:17" ht="31.2">
      <c r="A21" s="5">
        <v>16</v>
      </c>
      <c r="B21" s="7" t="s">
        <v>35</v>
      </c>
      <c r="C21" s="8" t="s">
        <v>60</v>
      </c>
      <c r="D21">
        <f>20*2.5*3/100</f>
        <v>1.5</v>
      </c>
      <c r="E21" s="7" t="s">
        <v>51</v>
      </c>
      <c r="F21" s="8">
        <v>188.6</v>
      </c>
      <c r="G21">
        <f t="shared" si="0"/>
        <v>282.89999999999998</v>
      </c>
      <c r="H21" s="8" t="s">
        <v>67</v>
      </c>
      <c r="I21" s="8">
        <v>10.17</v>
      </c>
      <c r="J21">
        <f t="shared" si="1"/>
        <v>15.254999999999999</v>
      </c>
      <c r="K21">
        <v>5</v>
      </c>
      <c r="L21">
        <v>1</v>
      </c>
      <c r="M21">
        <v>1</v>
      </c>
      <c r="N21">
        <f t="shared" si="2"/>
        <v>2</v>
      </c>
      <c r="O21">
        <f t="shared" si="3"/>
        <v>8</v>
      </c>
      <c r="P21">
        <f t="shared" si="4"/>
        <v>8</v>
      </c>
      <c r="Q21" s="14" t="s">
        <v>74</v>
      </c>
    </row>
    <row r="22" spans="1:17" ht="31.2">
      <c r="A22" s="5">
        <v>17</v>
      </c>
      <c r="B22" s="7" t="s">
        <v>36</v>
      </c>
      <c r="C22" s="8" t="s">
        <v>60</v>
      </c>
      <c r="D22">
        <f>36*5/100</f>
        <v>1.8</v>
      </c>
      <c r="E22" s="7" t="s">
        <v>52</v>
      </c>
      <c r="F22" s="8">
        <v>73.14</v>
      </c>
      <c r="G22">
        <f t="shared" si="0"/>
        <v>131.65200000000002</v>
      </c>
      <c r="H22" s="8" t="s">
        <v>65</v>
      </c>
      <c r="I22" s="8">
        <v>2.06</v>
      </c>
      <c r="J22">
        <f t="shared" si="1"/>
        <v>3.7080000000000002</v>
      </c>
      <c r="K22">
        <v>5</v>
      </c>
      <c r="L22">
        <v>1</v>
      </c>
      <c r="M22">
        <v>1</v>
      </c>
      <c r="N22">
        <f t="shared" si="2"/>
        <v>1</v>
      </c>
      <c r="O22">
        <f t="shared" si="3"/>
        <v>4</v>
      </c>
      <c r="P22">
        <f t="shared" si="4"/>
        <v>4</v>
      </c>
      <c r="Q22" s="14" t="s">
        <v>73</v>
      </c>
    </row>
    <row r="23" spans="1:17" ht="31.2">
      <c r="A23" s="5">
        <v>18</v>
      </c>
      <c r="B23" s="7" t="s">
        <v>37</v>
      </c>
      <c r="C23" s="8" t="s">
        <v>60</v>
      </c>
      <c r="D23">
        <f>80/100</f>
        <v>0.8</v>
      </c>
      <c r="E23" s="7" t="s">
        <v>53</v>
      </c>
      <c r="F23" s="8">
        <v>66.22</v>
      </c>
      <c r="G23">
        <f t="shared" si="0"/>
        <v>52.975999999999999</v>
      </c>
      <c r="H23" s="8" t="s">
        <v>68</v>
      </c>
      <c r="I23" s="8">
        <v>1</v>
      </c>
      <c r="J23">
        <f t="shared" si="1"/>
        <v>0.8</v>
      </c>
      <c r="K23">
        <v>1</v>
      </c>
      <c r="L23">
        <v>1</v>
      </c>
      <c r="M23">
        <v>1</v>
      </c>
      <c r="N23">
        <f t="shared" si="2"/>
        <v>1</v>
      </c>
      <c r="O23">
        <f t="shared" si="3"/>
        <v>7</v>
      </c>
      <c r="P23">
        <f t="shared" si="4"/>
        <v>7</v>
      </c>
      <c r="Q23" s="14" t="s">
        <v>75</v>
      </c>
    </row>
    <row r="24" spans="1:17" ht="15.6">
      <c r="A24" s="3" t="s">
        <v>38</v>
      </c>
    </row>
    <row r="25" spans="1:17" ht="18">
      <c r="A25" s="5">
        <v>19</v>
      </c>
      <c r="B25" s="7" t="s">
        <v>23</v>
      </c>
      <c r="C25" s="8" t="s">
        <v>58</v>
      </c>
      <c r="D25">
        <f>D28/4</f>
        <v>0.24274285714285715</v>
      </c>
      <c r="E25" s="7" t="s">
        <v>39</v>
      </c>
      <c r="F25" s="8">
        <v>404.04</v>
      </c>
      <c r="G25">
        <f t="shared" ref="G25:G32" si="5">F25*D25</f>
        <v>98.077824000000007</v>
      </c>
      <c r="H25" s="8" t="s">
        <v>59</v>
      </c>
      <c r="I25" s="8">
        <v>76.28</v>
      </c>
      <c r="J25">
        <f t="shared" ref="J25:J32" si="6">I25*D25</f>
        <v>18.516425142857145</v>
      </c>
      <c r="K25">
        <v>2</v>
      </c>
      <c r="L25">
        <v>1</v>
      </c>
      <c r="M25">
        <v>1</v>
      </c>
      <c r="N25">
        <f t="shared" ref="N25:N32" si="7">ROUNDUP(J25/(M25*8*L25),0)</f>
        <v>3</v>
      </c>
      <c r="O25">
        <f t="shared" ref="O25:O32" si="8">ROUNDUP((G25/(8*M25*K25)),0)</f>
        <v>7</v>
      </c>
      <c r="P25">
        <f t="shared" ref="P25:P32" si="9">MAX(O25,N25)</f>
        <v>7</v>
      </c>
      <c r="Q25" s="13" t="s">
        <v>70</v>
      </c>
    </row>
    <row r="26" spans="1:17" ht="18">
      <c r="A26" s="5">
        <v>20</v>
      </c>
      <c r="B26" s="7" t="s">
        <v>24</v>
      </c>
      <c r="C26" s="8" t="s">
        <v>58</v>
      </c>
      <c r="D26">
        <f>339.84/15/100</f>
        <v>0.22655999999999998</v>
      </c>
      <c r="E26" s="7" t="s">
        <v>40</v>
      </c>
      <c r="F26" s="8">
        <v>1254.3399999999999</v>
      </c>
      <c r="G26">
        <f t="shared" si="5"/>
        <v>284.18327039999997</v>
      </c>
      <c r="H26" s="8" t="s">
        <v>59</v>
      </c>
      <c r="I26" s="8">
        <v>167.36</v>
      </c>
      <c r="J26">
        <f t="shared" si="6"/>
        <v>37.917081600000003</v>
      </c>
      <c r="K26">
        <v>5</v>
      </c>
      <c r="L26">
        <v>1</v>
      </c>
      <c r="M26">
        <v>1</v>
      </c>
      <c r="N26">
        <f t="shared" si="7"/>
        <v>5</v>
      </c>
      <c r="O26">
        <f t="shared" si="8"/>
        <v>8</v>
      </c>
      <c r="P26">
        <f t="shared" si="9"/>
        <v>8</v>
      </c>
      <c r="Q26" s="13" t="s">
        <v>70</v>
      </c>
    </row>
    <row r="27" spans="1:17" ht="15" customHeight="1">
      <c r="A27" s="5">
        <v>21</v>
      </c>
      <c r="B27" s="7" t="s">
        <v>25</v>
      </c>
      <c r="C27" s="8" t="s">
        <v>58</v>
      </c>
      <c r="D27">
        <f>34/100</f>
        <v>0.34</v>
      </c>
      <c r="E27" s="7" t="s">
        <v>41</v>
      </c>
      <c r="F27" s="8">
        <v>1254.3</v>
      </c>
      <c r="G27">
        <f t="shared" si="5"/>
        <v>426.46199999999999</v>
      </c>
      <c r="H27" s="8" t="s">
        <v>59</v>
      </c>
      <c r="I27" s="8">
        <v>176.65</v>
      </c>
      <c r="J27">
        <f t="shared" si="6"/>
        <v>60.061000000000007</v>
      </c>
      <c r="K27">
        <v>7</v>
      </c>
      <c r="L27">
        <v>1</v>
      </c>
      <c r="M27">
        <v>1</v>
      </c>
      <c r="N27">
        <f t="shared" si="7"/>
        <v>8</v>
      </c>
      <c r="O27">
        <f t="shared" si="8"/>
        <v>8</v>
      </c>
      <c r="P27">
        <f t="shared" si="9"/>
        <v>8</v>
      </c>
      <c r="Q27" s="13" t="s">
        <v>70</v>
      </c>
    </row>
    <row r="28" spans="1:17" ht="18">
      <c r="A28" s="5">
        <v>22</v>
      </c>
      <c r="B28" s="7" t="s">
        <v>26</v>
      </c>
      <c r="C28" s="8" t="s">
        <v>58</v>
      </c>
      <c r="D28">
        <f>339.84*2/7/100</f>
        <v>0.9709714285714286</v>
      </c>
      <c r="E28" s="7" t="s">
        <v>42</v>
      </c>
      <c r="F28" s="8">
        <v>223.11</v>
      </c>
      <c r="G28">
        <f t="shared" si="5"/>
        <v>216.63343542857146</v>
      </c>
      <c r="H28" s="8" t="s">
        <v>59</v>
      </c>
      <c r="I28" s="10">
        <v>31.98</v>
      </c>
      <c r="J28">
        <f t="shared" si="6"/>
        <v>31.051666285714287</v>
      </c>
      <c r="K28">
        <v>5</v>
      </c>
      <c r="L28">
        <v>1</v>
      </c>
      <c r="M28">
        <v>1</v>
      </c>
      <c r="N28">
        <f t="shared" si="7"/>
        <v>4</v>
      </c>
      <c r="O28">
        <f t="shared" si="8"/>
        <v>6</v>
      </c>
      <c r="P28">
        <f t="shared" si="9"/>
        <v>6</v>
      </c>
      <c r="Q28" s="13" t="s">
        <v>70</v>
      </c>
    </row>
    <row r="29" spans="1:17" ht="18">
      <c r="A29" s="5">
        <v>23</v>
      </c>
      <c r="B29" s="7" t="s">
        <v>27</v>
      </c>
      <c r="C29" s="8" t="s">
        <v>58</v>
      </c>
      <c r="D29">
        <f>21/100</f>
        <v>0.21</v>
      </c>
      <c r="E29" s="7" t="s">
        <v>43</v>
      </c>
      <c r="F29" s="8">
        <v>186.48</v>
      </c>
      <c r="G29">
        <f t="shared" si="5"/>
        <v>39.160799999999995</v>
      </c>
      <c r="H29" s="8" t="s">
        <v>59</v>
      </c>
      <c r="I29" s="10">
        <v>44.82</v>
      </c>
      <c r="J29">
        <f t="shared" si="6"/>
        <v>9.4122000000000003</v>
      </c>
      <c r="K29">
        <v>1</v>
      </c>
      <c r="L29">
        <v>1</v>
      </c>
      <c r="M29">
        <v>1</v>
      </c>
      <c r="N29">
        <f t="shared" si="7"/>
        <v>2</v>
      </c>
      <c r="O29">
        <f t="shared" si="8"/>
        <v>5</v>
      </c>
      <c r="P29">
        <f t="shared" si="9"/>
        <v>5</v>
      </c>
      <c r="Q29" s="13" t="s">
        <v>70</v>
      </c>
    </row>
    <row r="30" spans="1:17" ht="18">
      <c r="A30" s="5">
        <v>24</v>
      </c>
      <c r="B30" s="7" t="s">
        <v>28</v>
      </c>
      <c r="C30" s="8" t="s">
        <v>60</v>
      </c>
      <c r="D30">
        <f>3*25/100</f>
        <v>0.75</v>
      </c>
      <c r="E30" s="7" t="s">
        <v>44</v>
      </c>
      <c r="F30" s="8">
        <v>96.83</v>
      </c>
      <c r="G30">
        <f t="shared" si="5"/>
        <v>72.622500000000002</v>
      </c>
      <c r="H30" s="8" t="s">
        <v>59</v>
      </c>
      <c r="I30" s="8">
        <v>2.14</v>
      </c>
      <c r="J30">
        <f t="shared" si="6"/>
        <v>1.605</v>
      </c>
      <c r="K30">
        <v>5</v>
      </c>
      <c r="L30">
        <v>1</v>
      </c>
      <c r="M30">
        <v>1</v>
      </c>
      <c r="N30">
        <f t="shared" si="7"/>
        <v>1</v>
      </c>
      <c r="O30">
        <f t="shared" si="8"/>
        <v>2</v>
      </c>
      <c r="P30">
        <f t="shared" si="9"/>
        <v>2</v>
      </c>
      <c r="Q30" s="13" t="s">
        <v>70</v>
      </c>
    </row>
    <row r="31" spans="1:17" ht="18">
      <c r="A31" s="5">
        <v>25</v>
      </c>
      <c r="B31" s="7" t="s">
        <v>29</v>
      </c>
      <c r="C31" s="8" t="s">
        <v>58</v>
      </c>
      <c r="D31">
        <f>30/100</f>
        <v>0.3</v>
      </c>
      <c r="E31" s="7" t="s">
        <v>45</v>
      </c>
      <c r="F31" s="8">
        <v>112.69</v>
      </c>
      <c r="G31">
        <f t="shared" si="5"/>
        <v>33.806999999999995</v>
      </c>
      <c r="H31" s="8" t="s">
        <v>59</v>
      </c>
      <c r="I31" s="8">
        <v>43.17</v>
      </c>
      <c r="J31">
        <f t="shared" si="6"/>
        <v>12.951000000000001</v>
      </c>
      <c r="K31">
        <v>1</v>
      </c>
      <c r="L31">
        <v>1</v>
      </c>
      <c r="M31">
        <v>1</v>
      </c>
      <c r="N31">
        <f t="shared" si="7"/>
        <v>2</v>
      </c>
      <c r="O31">
        <f t="shared" si="8"/>
        <v>5</v>
      </c>
      <c r="P31">
        <f t="shared" si="9"/>
        <v>5</v>
      </c>
      <c r="Q31" s="13" t="s">
        <v>70</v>
      </c>
    </row>
    <row r="32" spans="1:17" ht="18">
      <c r="A32" s="5">
        <v>26</v>
      </c>
      <c r="B32" s="7" t="s">
        <v>30</v>
      </c>
      <c r="C32" s="8" t="s">
        <v>60</v>
      </c>
      <c r="D32">
        <f>339.84/100</f>
        <v>3.3983999999999996</v>
      </c>
      <c r="E32" s="7" t="s">
        <v>46</v>
      </c>
      <c r="F32" s="8">
        <v>29.72</v>
      </c>
      <c r="G32">
        <f t="shared" si="5"/>
        <v>101.00044799999999</v>
      </c>
      <c r="H32" s="8" t="s">
        <v>61</v>
      </c>
      <c r="I32" s="8">
        <v>10.29</v>
      </c>
      <c r="J32">
        <f t="shared" si="6"/>
        <v>34.969535999999991</v>
      </c>
      <c r="K32">
        <v>4</v>
      </c>
      <c r="L32">
        <v>1</v>
      </c>
      <c r="M32">
        <v>1</v>
      </c>
      <c r="N32">
        <f t="shared" si="7"/>
        <v>5</v>
      </c>
      <c r="O32">
        <f t="shared" si="8"/>
        <v>4</v>
      </c>
      <c r="P32">
        <f t="shared" si="9"/>
        <v>5</v>
      </c>
      <c r="Q32" s="14" t="s">
        <v>72</v>
      </c>
    </row>
    <row r="33" spans="1:17" ht="18">
      <c r="A33" s="5">
        <v>27</v>
      </c>
      <c r="B33" s="7" t="s">
        <v>32</v>
      </c>
      <c r="C33" s="8" t="s">
        <v>60</v>
      </c>
      <c r="D33">
        <f>339.84/100</f>
        <v>3.3983999999999996</v>
      </c>
      <c r="E33" s="7" t="s">
        <v>48</v>
      </c>
      <c r="F33" s="8">
        <v>30.3</v>
      </c>
      <c r="G33">
        <f t="shared" ref="G33:G38" si="10">F33*D33</f>
        <v>102.97152</v>
      </c>
      <c r="H33" s="8" t="s">
        <v>64</v>
      </c>
      <c r="I33" s="8">
        <v>11.02</v>
      </c>
      <c r="J33">
        <f t="shared" ref="J33:J38" si="11">I33*D33</f>
        <v>37.450367999999997</v>
      </c>
      <c r="K33">
        <v>4</v>
      </c>
      <c r="L33">
        <v>1</v>
      </c>
      <c r="M33">
        <v>1</v>
      </c>
      <c r="N33">
        <f t="shared" ref="N33:N38" si="12">ROUNDUP(J33/(M33*8*L33),0)</f>
        <v>5</v>
      </c>
      <c r="O33">
        <f t="shared" ref="O33:O38" si="13">ROUNDUP((G33/(8*M33*K33)),0)</f>
        <v>4</v>
      </c>
      <c r="P33">
        <f t="shared" ref="P33:P38" si="14">MAX(O33,N33)</f>
        <v>5</v>
      </c>
      <c r="Q33" s="13" t="s">
        <v>70</v>
      </c>
    </row>
    <row r="34" spans="1:17" ht="18">
      <c r="A34" s="5">
        <v>28</v>
      </c>
      <c r="B34" s="7" t="s">
        <v>33</v>
      </c>
      <c r="C34" s="8" t="s">
        <v>60</v>
      </c>
      <c r="D34">
        <f>339.84/100</f>
        <v>3.3983999999999996</v>
      </c>
      <c r="E34" s="7" t="s">
        <v>49</v>
      </c>
      <c r="F34" s="8">
        <v>42.4</v>
      </c>
      <c r="G34">
        <f t="shared" si="10"/>
        <v>144.09215999999998</v>
      </c>
      <c r="H34" s="8" t="s">
        <v>65</v>
      </c>
      <c r="I34" s="8">
        <v>0.5</v>
      </c>
      <c r="J34">
        <f t="shared" si="11"/>
        <v>1.6991999999999998</v>
      </c>
      <c r="K34">
        <v>5</v>
      </c>
      <c r="L34">
        <v>1</v>
      </c>
      <c r="M34">
        <v>1</v>
      </c>
      <c r="N34">
        <f t="shared" si="12"/>
        <v>1</v>
      </c>
      <c r="O34">
        <f t="shared" si="13"/>
        <v>4</v>
      </c>
      <c r="P34">
        <f t="shared" si="14"/>
        <v>4</v>
      </c>
      <c r="Q34" s="14" t="s">
        <v>72</v>
      </c>
    </row>
    <row r="35" spans="1:17" ht="31.2">
      <c r="A35" s="5">
        <v>29</v>
      </c>
      <c r="B35" s="7" t="s">
        <v>34</v>
      </c>
      <c r="C35" s="8" t="s">
        <v>60</v>
      </c>
      <c r="D35">
        <f>339.84/100</f>
        <v>3.3983999999999996</v>
      </c>
      <c r="E35" s="7" t="s">
        <v>50</v>
      </c>
      <c r="F35" s="8">
        <v>119.78</v>
      </c>
      <c r="G35">
        <f t="shared" si="10"/>
        <v>407.06035199999997</v>
      </c>
      <c r="H35" s="8" t="s">
        <v>66</v>
      </c>
      <c r="I35" s="10">
        <v>0.36</v>
      </c>
      <c r="J35">
        <f t="shared" si="11"/>
        <v>1.2234239999999998</v>
      </c>
      <c r="K35" s="15">
        <v>4</v>
      </c>
      <c r="L35">
        <v>1</v>
      </c>
      <c r="M35">
        <v>2</v>
      </c>
      <c r="N35">
        <f t="shared" si="12"/>
        <v>1</v>
      </c>
      <c r="O35">
        <f t="shared" si="13"/>
        <v>7</v>
      </c>
      <c r="P35">
        <f t="shared" si="14"/>
        <v>7</v>
      </c>
      <c r="Q35" s="14" t="s">
        <v>73</v>
      </c>
    </row>
    <row r="36" spans="1:17" ht="31.2">
      <c r="A36" s="5">
        <v>30</v>
      </c>
      <c r="B36" s="7" t="s">
        <v>35</v>
      </c>
      <c r="C36" s="8" t="s">
        <v>60</v>
      </c>
      <c r="D36">
        <f>10*2.5*3/100</f>
        <v>0.75</v>
      </c>
      <c r="E36" s="7" t="s">
        <v>51</v>
      </c>
      <c r="F36" s="8">
        <v>188.6</v>
      </c>
      <c r="G36">
        <f t="shared" si="10"/>
        <v>141.44999999999999</v>
      </c>
      <c r="H36" s="8" t="s">
        <v>67</v>
      </c>
      <c r="I36" s="8">
        <v>10.17</v>
      </c>
      <c r="J36">
        <f t="shared" si="11"/>
        <v>7.6274999999999995</v>
      </c>
      <c r="K36">
        <v>5</v>
      </c>
      <c r="L36">
        <v>1</v>
      </c>
      <c r="M36">
        <v>1</v>
      </c>
      <c r="N36">
        <f t="shared" si="12"/>
        <v>1</v>
      </c>
      <c r="O36">
        <f t="shared" si="13"/>
        <v>4</v>
      </c>
      <c r="P36">
        <f t="shared" si="14"/>
        <v>4</v>
      </c>
      <c r="Q36" s="14" t="s">
        <v>74</v>
      </c>
    </row>
    <row r="37" spans="1:17" ht="31.2">
      <c r="A37" s="5">
        <v>31</v>
      </c>
      <c r="B37" s="7" t="s">
        <v>36</v>
      </c>
      <c r="C37" s="8" t="s">
        <v>60</v>
      </c>
      <c r="D37">
        <f>18*5/100</f>
        <v>0.9</v>
      </c>
      <c r="E37" s="7" t="s">
        <v>52</v>
      </c>
      <c r="F37" s="8">
        <v>73.14</v>
      </c>
      <c r="G37">
        <f t="shared" si="10"/>
        <v>65.826000000000008</v>
      </c>
      <c r="H37" s="8" t="s">
        <v>65</v>
      </c>
      <c r="I37" s="8">
        <v>2.06</v>
      </c>
      <c r="J37">
        <f t="shared" si="11"/>
        <v>1.8540000000000001</v>
      </c>
      <c r="K37">
        <v>3</v>
      </c>
      <c r="L37">
        <v>1</v>
      </c>
      <c r="M37">
        <v>1</v>
      </c>
      <c r="N37">
        <f t="shared" si="12"/>
        <v>1</v>
      </c>
      <c r="O37">
        <f t="shared" si="13"/>
        <v>3</v>
      </c>
      <c r="P37">
        <f t="shared" si="14"/>
        <v>3</v>
      </c>
      <c r="Q37" s="14" t="s">
        <v>73</v>
      </c>
    </row>
    <row r="38" spans="1:17" ht="31.2">
      <c r="A38" s="5">
        <v>32</v>
      </c>
      <c r="B38" s="7" t="s">
        <v>37</v>
      </c>
      <c r="C38" s="8" t="s">
        <v>60</v>
      </c>
      <c r="D38">
        <f>10/100</f>
        <v>0.1</v>
      </c>
      <c r="E38" s="7" t="s">
        <v>53</v>
      </c>
      <c r="F38" s="8">
        <v>66.22</v>
      </c>
      <c r="G38">
        <f t="shared" si="10"/>
        <v>6.6219999999999999</v>
      </c>
      <c r="H38" s="8" t="s">
        <v>68</v>
      </c>
      <c r="I38" s="8">
        <v>1</v>
      </c>
      <c r="J38">
        <f t="shared" si="11"/>
        <v>0.1</v>
      </c>
      <c r="K38">
        <v>1</v>
      </c>
      <c r="L38">
        <v>1</v>
      </c>
      <c r="M38">
        <v>1</v>
      </c>
      <c r="N38">
        <f t="shared" si="12"/>
        <v>1</v>
      </c>
      <c r="O38">
        <f t="shared" si="13"/>
        <v>1</v>
      </c>
      <c r="P38">
        <f t="shared" si="14"/>
        <v>1</v>
      </c>
      <c r="Q38" s="14" t="s">
        <v>75</v>
      </c>
    </row>
    <row r="40" spans="1:17" ht="15" thickBot="1">
      <c r="P40">
        <f>SUM(P5:P38)</f>
        <v>155</v>
      </c>
    </row>
    <row r="41" spans="1:17" ht="78">
      <c r="A41" s="17" t="s">
        <v>0</v>
      </c>
      <c r="B41" s="18" t="s">
        <v>1</v>
      </c>
      <c r="C41" s="98" t="s">
        <v>4</v>
      </c>
      <c r="D41" s="99"/>
      <c r="E41" s="18" t="s">
        <v>76</v>
      </c>
      <c r="F41" s="18" t="s">
        <v>7</v>
      </c>
      <c r="G41" s="19" t="s">
        <v>8</v>
      </c>
      <c r="H41" s="19" t="s">
        <v>77</v>
      </c>
      <c r="I41" s="19" t="s">
        <v>78</v>
      </c>
      <c r="J41" s="19" t="s">
        <v>79</v>
      </c>
      <c r="K41" s="20" t="s">
        <v>80</v>
      </c>
    </row>
    <row r="42" spans="1:17" ht="47.4" thickBot="1">
      <c r="A42" s="21"/>
      <c r="B42" s="22"/>
      <c r="C42" s="23" t="s">
        <v>81</v>
      </c>
      <c r="D42" s="23" t="s">
        <v>82</v>
      </c>
      <c r="E42" s="22"/>
      <c r="F42" s="22"/>
      <c r="G42" s="23"/>
      <c r="H42" s="23"/>
      <c r="I42" s="22"/>
      <c r="J42" s="22"/>
      <c r="K42" s="24"/>
    </row>
    <row r="43" spans="1:17" ht="16.2" thickBot="1">
      <c r="A43" s="25">
        <v>1</v>
      </c>
      <c r="B43" s="26">
        <v>2</v>
      </c>
      <c r="C43" s="26">
        <v>3</v>
      </c>
      <c r="D43" s="26">
        <v>4</v>
      </c>
      <c r="E43" s="26">
        <v>5</v>
      </c>
      <c r="F43" s="26">
        <v>6</v>
      </c>
      <c r="G43" s="27">
        <v>7</v>
      </c>
      <c r="H43" s="27">
        <v>8</v>
      </c>
      <c r="I43" s="26">
        <v>9</v>
      </c>
      <c r="J43" s="26">
        <v>10</v>
      </c>
      <c r="K43" s="28">
        <v>11</v>
      </c>
    </row>
    <row r="44" spans="1:17" ht="31.2">
      <c r="A44" s="29">
        <v>1</v>
      </c>
      <c r="B44" s="30" t="s">
        <v>83</v>
      </c>
      <c r="C44" s="31">
        <f>ROUNDUP(SUM(G5:G38)*K44,0)</f>
        <v>4769</v>
      </c>
      <c r="D44" s="32">
        <f>ROUNDUP(SUM(J5:J38)*K44,0)</f>
        <v>586</v>
      </c>
      <c r="E44" s="31">
        <v>1</v>
      </c>
      <c r="F44" s="31" t="s">
        <v>84</v>
      </c>
      <c r="G44" s="30" t="s">
        <v>84</v>
      </c>
      <c r="H44" s="30" t="s">
        <v>84</v>
      </c>
      <c r="I44" s="31" t="s">
        <v>84</v>
      </c>
      <c r="J44" s="31"/>
      <c r="K44" s="31">
        <v>1</v>
      </c>
    </row>
    <row r="45" spans="1:17" ht="31.2">
      <c r="A45" s="33">
        <v>2</v>
      </c>
      <c r="B45" s="34" t="s">
        <v>85</v>
      </c>
      <c r="C45" s="31">
        <f>$C$44*K45</f>
        <v>381.52</v>
      </c>
      <c r="D45" s="32">
        <f>$D$44*K45</f>
        <v>46.88</v>
      </c>
      <c r="E45" s="35">
        <v>2</v>
      </c>
      <c r="F45" s="35">
        <v>2</v>
      </c>
      <c r="G45" s="34">
        <v>1</v>
      </c>
      <c r="H45" s="34">
        <f>ROUNDUP(D45/(F45*G45*8),0)</f>
        <v>3</v>
      </c>
      <c r="I45" s="36">
        <f t="shared" ref="I45:I54" si="15">ROUNDUP(C45/(E45*G45*8),0)</f>
        <v>24</v>
      </c>
      <c r="J45" s="36">
        <f>MAX(I45,H45)</f>
        <v>24</v>
      </c>
      <c r="K45" s="35">
        <v>0.08</v>
      </c>
    </row>
    <row r="46" spans="1:17" ht="31.2">
      <c r="A46" s="33">
        <v>3</v>
      </c>
      <c r="B46" s="34" t="s">
        <v>86</v>
      </c>
      <c r="C46" s="31">
        <f t="shared" ref="C46:C54" si="16">$C$44*K46</f>
        <v>238.45000000000002</v>
      </c>
      <c r="D46" s="32">
        <f t="shared" ref="D46:D54" si="17">$D$44*K46</f>
        <v>29.3</v>
      </c>
      <c r="E46" s="35">
        <v>1</v>
      </c>
      <c r="F46" s="35">
        <v>2</v>
      </c>
      <c r="G46" s="34">
        <v>1</v>
      </c>
      <c r="H46" s="34">
        <f t="shared" ref="H46:H54" si="18">ROUNDUP(D46/(F46*G46*8),0)</f>
        <v>2</v>
      </c>
      <c r="I46" s="36">
        <f t="shared" si="15"/>
        <v>30</v>
      </c>
      <c r="J46" s="36">
        <f t="shared" ref="J46:J54" si="19">MAX(I46,H46)</f>
        <v>30</v>
      </c>
      <c r="K46" s="35">
        <v>0.05</v>
      </c>
    </row>
    <row r="47" spans="1:17" ht="31.2">
      <c r="A47" s="33">
        <v>4</v>
      </c>
      <c r="B47" s="34" t="s">
        <v>87</v>
      </c>
      <c r="C47" s="31">
        <f t="shared" si="16"/>
        <v>333.83000000000004</v>
      </c>
      <c r="D47" s="32">
        <f t="shared" si="17"/>
        <v>41.02</v>
      </c>
      <c r="E47" s="35">
        <v>2</v>
      </c>
      <c r="F47" s="35">
        <v>2</v>
      </c>
      <c r="G47" s="34">
        <v>1</v>
      </c>
      <c r="H47" s="34">
        <f t="shared" si="18"/>
        <v>3</v>
      </c>
      <c r="I47" s="36">
        <f t="shared" si="15"/>
        <v>21</v>
      </c>
      <c r="J47" s="36">
        <f t="shared" si="19"/>
        <v>21</v>
      </c>
      <c r="K47" s="35">
        <v>7.0000000000000007E-2</v>
      </c>
    </row>
    <row r="48" spans="1:17" ht="31.2">
      <c r="A48" s="33">
        <v>5</v>
      </c>
      <c r="B48" s="34" t="s">
        <v>88</v>
      </c>
      <c r="C48" s="31">
        <f t="shared" si="16"/>
        <v>190.76</v>
      </c>
      <c r="D48" s="32">
        <f t="shared" si="17"/>
        <v>23.44</v>
      </c>
      <c r="E48" s="35">
        <v>1</v>
      </c>
      <c r="F48" s="35">
        <v>3</v>
      </c>
      <c r="G48" s="34">
        <v>1</v>
      </c>
      <c r="H48" s="34">
        <f t="shared" si="18"/>
        <v>1</v>
      </c>
      <c r="I48" s="36">
        <f t="shared" si="15"/>
        <v>24</v>
      </c>
      <c r="J48" s="36">
        <f t="shared" si="19"/>
        <v>24</v>
      </c>
      <c r="K48" s="35">
        <v>0.04</v>
      </c>
    </row>
    <row r="49" spans="1:15" ht="31.2">
      <c r="A49" s="33">
        <v>6</v>
      </c>
      <c r="B49" s="34" t="s">
        <v>89</v>
      </c>
      <c r="C49" s="31">
        <f t="shared" si="16"/>
        <v>286.14</v>
      </c>
      <c r="D49" s="32">
        <f t="shared" si="17"/>
        <v>35.159999999999997</v>
      </c>
      <c r="E49" s="35">
        <v>2</v>
      </c>
      <c r="F49" s="35">
        <v>3</v>
      </c>
      <c r="G49" s="34">
        <v>1</v>
      </c>
      <c r="H49" s="34">
        <f t="shared" si="18"/>
        <v>2</v>
      </c>
      <c r="I49" s="36">
        <f t="shared" si="15"/>
        <v>18</v>
      </c>
      <c r="J49" s="36">
        <f t="shared" si="19"/>
        <v>18</v>
      </c>
      <c r="K49" s="35">
        <v>0.06</v>
      </c>
    </row>
    <row r="50" spans="1:15" ht="31.2">
      <c r="A50" s="33">
        <v>7</v>
      </c>
      <c r="B50" s="34" t="s">
        <v>90</v>
      </c>
      <c r="C50" s="31">
        <f t="shared" si="16"/>
        <v>286.14</v>
      </c>
      <c r="D50" s="32">
        <f t="shared" si="17"/>
        <v>35.159999999999997</v>
      </c>
      <c r="E50" s="35">
        <v>2</v>
      </c>
      <c r="F50" s="35">
        <v>5</v>
      </c>
      <c r="G50" s="34">
        <v>1</v>
      </c>
      <c r="H50" s="34">
        <f t="shared" si="18"/>
        <v>1</v>
      </c>
      <c r="I50" s="36">
        <f t="shared" si="15"/>
        <v>18</v>
      </c>
      <c r="J50" s="36">
        <f t="shared" si="19"/>
        <v>18</v>
      </c>
      <c r="K50" s="35">
        <v>0.06</v>
      </c>
    </row>
    <row r="51" spans="1:15" ht="15.6">
      <c r="A51" s="33">
        <v>8</v>
      </c>
      <c r="B51" s="35" t="s">
        <v>91</v>
      </c>
      <c r="C51" s="31">
        <f t="shared" si="16"/>
        <v>23.844999999999999</v>
      </c>
      <c r="D51" s="32">
        <f t="shared" si="17"/>
        <v>2.93</v>
      </c>
      <c r="E51" s="35">
        <v>1</v>
      </c>
      <c r="F51" s="35">
        <v>2</v>
      </c>
      <c r="G51" s="34">
        <v>1</v>
      </c>
      <c r="H51" s="34">
        <f t="shared" si="18"/>
        <v>1</v>
      </c>
      <c r="I51" s="36">
        <f t="shared" si="15"/>
        <v>3</v>
      </c>
      <c r="J51" s="36">
        <f t="shared" si="19"/>
        <v>3</v>
      </c>
      <c r="K51" s="35">
        <v>5.0000000000000001E-3</v>
      </c>
    </row>
    <row r="52" spans="1:15" ht="31.2">
      <c r="A52" s="33">
        <v>9</v>
      </c>
      <c r="B52" s="34" t="s">
        <v>92</v>
      </c>
      <c r="C52" s="31">
        <f t="shared" si="16"/>
        <v>381.52</v>
      </c>
      <c r="D52" s="32">
        <f t="shared" si="17"/>
        <v>46.88</v>
      </c>
      <c r="E52" s="35">
        <v>2</v>
      </c>
      <c r="F52" s="35">
        <v>2</v>
      </c>
      <c r="G52" s="34">
        <v>1</v>
      </c>
      <c r="H52" s="34">
        <f t="shared" si="18"/>
        <v>3</v>
      </c>
      <c r="I52" s="36">
        <f t="shared" si="15"/>
        <v>24</v>
      </c>
      <c r="J52" s="36">
        <f t="shared" si="19"/>
        <v>24</v>
      </c>
      <c r="K52" s="35">
        <v>0.08</v>
      </c>
    </row>
    <row r="53" spans="1:15" ht="31.2">
      <c r="A53" s="33">
        <v>10</v>
      </c>
      <c r="B53" s="34" t="s">
        <v>93</v>
      </c>
      <c r="C53" s="31">
        <f t="shared" si="16"/>
        <v>333.83000000000004</v>
      </c>
      <c r="D53" s="32">
        <f t="shared" si="17"/>
        <v>41.02</v>
      </c>
      <c r="E53" s="35">
        <v>2</v>
      </c>
      <c r="F53" s="35">
        <v>5</v>
      </c>
      <c r="G53" s="34">
        <v>1</v>
      </c>
      <c r="H53" s="34">
        <f t="shared" si="18"/>
        <v>2</v>
      </c>
      <c r="I53" s="36">
        <f t="shared" si="15"/>
        <v>21</v>
      </c>
      <c r="J53" s="36">
        <f t="shared" si="19"/>
        <v>21</v>
      </c>
      <c r="K53" s="35">
        <v>7.0000000000000007E-2</v>
      </c>
    </row>
    <row r="54" spans="1:15" ht="31.2">
      <c r="A54" s="33">
        <v>11</v>
      </c>
      <c r="B54" s="34" t="s">
        <v>94</v>
      </c>
      <c r="C54" s="31">
        <f t="shared" si="16"/>
        <v>143.07</v>
      </c>
      <c r="D54" s="32">
        <f t="shared" si="17"/>
        <v>17.579999999999998</v>
      </c>
      <c r="E54" s="35">
        <v>1</v>
      </c>
      <c r="F54" s="35">
        <v>2</v>
      </c>
      <c r="G54" s="34">
        <v>1</v>
      </c>
      <c r="H54" s="34">
        <f t="shared" si="18"/>
        <v>2</v>
      </c>
      <c r="I54" s="36">
        <f t="shared" si="15"/>
        <v>18</v>
      </c>
      <c r="J54" s="36">
        <f t="shared" si="19"/>
        <v>18</v>
      </c>
      <c r="K54" s="35">
        <v>0.03</v>
      </c>
    </row>
    <row r="56" spans="1:15" ht="15.6">
      <c r="H56" s="37"/>
      <c r="J56" s="38">
        <f>SUM(J45:J54)</f>
        <v>201</v>
      </c>
      <c r="L56" s="38">
        <f>SUM(J56,P40)</f>
        <v>356</v>
      </c>
      <c r="N56">
        <f>L56/30</f>
        <v>11.866666666666667</v>
      </c>
      <c r="O56" t="s">
        <v>95</v>
      </c>
    </row>
  </sheetData>
  <mergeCells count="14">
    <mergeCell ref="C41:D41"/>
    <mergeCell ref="Q1:Q2"/>
    <mergeCell ref="P1:P2"/>
    <mergeCell ref="H1:J1"/>
    <mergeCell ref="A1:A2"/>
    <mergeCell ref="B1:B2"/>
    <mergeCell ref="C1:D1"/>
    <mergeCell ref="E1:E2"/>
    <mergeCell ref="F1:G1"/>
    <mergeCell ref="K1:K2"/>
    <mergeCell ref="L1:L2"/>
    <mergeCell ref="M1:M2"/>
    <mergeCell ref="N1:N2"/>
    <mergeCell ref="O1:O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926-6068-4E82-9207-2F191EC7DAAC}">
  <sheetPr filterMode="1"/>
  <dimension ref="A1:M91"/>
  <sheetViews>
    <sheetView zoomScale="115" zoomScaleNormal="115" workbookViewId="0">
      <selection activeCell="O5" sqref="O5"/>
    </sheetView>
  </sheetViews>
  <sheetFormatPr defaultRowHeight="14.4"/>
  <cols>
    <col min="2" max="2" width="19.109375" style="61" customWidth="1"/>
    <col min="3" max="3" width="10.5546875" customWidth="1"/>
    <col min="12" max="12" width="4.33203125" customWidth="1"/>
    <col min="13" max="13" width="14.6640625" customWidth="1"/>
  </cols>
  <sheetData>
    <row r="1" spans="1:13">
      <c r="A1" s="110" t="s">
        <v>0</v>
      </c>
      <c r="B1" s="112" t="s">
        <v>96</v>
      </c>
      <c r="C1" s="112" t="s">
        <v>97</v>
      </c>
      <c r="D1" s="112" t="s">
        <v>98</v>
      </c>
      <c r="E1" s="114" t="s">
        <v>99</v>
      </c>
      <c r="F1" s="116" t="s">
        <v>100</v>
      </c>
      <c r="G1" s="116"/>
      <c r="H1" s="116"/>
      <c r="I1" s="116"/>
      <c r="J1" s="107" t="s">
        <v>101</v>
      </c>
      <c r="K1" s="108"/>
      <c r="L1" s="39"/>
      <c r="M1" s="109" t="s">
        <v>102</v>
      </c>
    </row>
    <row r="2" spans="1:13" ht="43.95" customHeight="1" thickBot="1">
      <c r="A2" s="111"/>
      <c r="B2" s="113"/>
      <c r="C2" s="113"/>
      <c r="D2" s="113"/>
      <c r="E2" s="115"/>
      <c r="F2" s="40" t="s">
        <v>103</v>
      </c>
      <c r="G2" s="40" t="s">
        <v>104</v>
      </c>
      <c r="H2" s="41" t="s">
        <v>105</v>
      </c>
      <c r="I2" s="41" t="s">
        <v>106</v>
      </c>
      <c r="J2" s="41" t="s">
        <v>107</v>
      </c>
      <c r="K2" s="42" t="s">
        <v>108</v>
      </c>
      <c r="L2" s="43"/>
      <c r="M2" s="109"/>
    </row>
    <row r="3" spans="1:13" ht="24">
      <c r="A3" s="44">
        <v>1</v>
      </c>
      <c r="B3" s="45" t="s">
        <v>176</v>
      </c>
      <c r="C3" s="46">
        <v>1</v>
      </c>
      <c r="D3" s="47">
        <v>2</v>
      </c>
      <c r="E3" s="47">
        <v>10</v>
      </c>
      <c r="F3" s="48">
        <f>IF($C3=1,0,_xlfn.MAXIFS($G$3:$G$75,$D$3:$D$75,$C3))</f>
        <v>0</v>
      </c>
      <c r="G3" s="48">
        <f>F3+E3</f>
        <v>10</v>
      </c>
      <c r="H3" s="47">
        <f t="shared" ref="H3:H6" si="0">I3-E3</f>
        <v>0</v>
      </c>
      <c r="I3" s="48">
        <f>IF($D3=MAX($D$3:$D$75),MAX($G$3:$G$75),_xlfn.MINIFS($H$3:$H$75,$C$3:$C$75,$D3))</f>
        <v>10</v>
      </c>
      <c r="J3" s="48">
        <f>IF(E3=0,"-",I3-G3)</f>
        <v>0</v>
      </c>
      <c r="K3" s="49">
        <f>IF($E3=0,"-",_xlfn.MAXIFS($G$3:$G$75,$D$3:$D$75,$D3)-($F3+$E3))</f>
        <v>0</v>
      </c>
      <c r="M3" s="50" t="s">
        <v>84</v>
      </c>
    </row>
    <row r="4" spans="1:13">
      <c r="A4" s="51">
        <v>2</v>
      </c>
      <c r="B4" s="52" t="s">
        <v>20</v>
      </c>
      <c r="C4" s="53">
        <v>2</v>
      </c>
      <c r="D4" s="54">
        <v>3</v>
      </c>
      <c r="E4" s="54">
        <v>1</v>
      </c>
      <c r="F4" s="48">
        <f t="shared" ref="F4:F67" si="1">IF($C4=1,0,_xlfn.MAXIFS($G$3:$G$75,$D$3:$D$75,$C4))</f>
        <v>10</v>
      </c>
      <c r="G4" s="55">
        <f>F4+E4</f>
        <v>11</v>
      </c>
      <c r="H4" s="54">
        <f t="shared" si="0"/>
        <v>10</v>
      </c>
      <c r="I4" s="48">
        <f t="shared" ref="I4:I67" si="2">IF($D4=MAX($D$3:$D$75),MAX($G$3:$G$75),_xlfn.MINIFS($H$3:$H$75,$C$3:$C$75,$D4))</f>
        <v>11</v>
      </c>
      <c r="J4" s="48">
        <f t="shared" ref="J4:J6" si="3">IF(E4=0,"-",I4-G4)</f>
        <v>0</v>
      </c>
      <c r="K4" s="49">
        <f t="shared" ref="K4:K67" si="4">IF($E4=0,"-",_xlfn.MAXIFS($G$3:$G$75,$D$3:$D$75,$D4)-($F4+$E4))</f>
        <v>0</v>
      </c>
      <c r="M4" s="54">
        <v>1</v>
      </c>
    </row>
    <row r="5" spans="1:13" ht="36" customHeight="1">
      <c r="A5" s="51">
        <v>3</v>
      </c>
      <c r="B5" s="52" t="s">
        <v>92</v>
      </c>
      <c r="C5" s="56">
        <v>2</v>
      </c>
      <c r="D5" s="54">
        <v>56</v>
      </c>
      <c r="E5" s="54">
        <v>5</v>
      </c>
      <c r="F5" s="48">
        <f t="shared" si="1"/>
        <v>10</v>
      </c>
      <c r="G5" s="55">
        <f>F5+E5</f>
        <v>15</v>
      </c>
      <c r="H5" s="54">
        <f t="shared" si="0"/>
        <v>96</v>
      </c>
      <c r="I5" s="48">
        <f t="shared" si="2"/>
        <v>101</v>
      </c>
      <c r="J5" s="48">
        <f t="shared" si="3"/>
        <v>86</v>
      </c>
      <c r="K5" s="49">
        <f t="shared" si="4"/>
        <v>86</v>
      </c>
      <c r="M5" s="57">
        <v>1</v>
      </c>
    </row>
    <row r="6" spans="1:13" ht="24">
      <c r="A6" s="51">
        <v>4</v>
      </c>
      <c r="B6" s="52" t="s">
        <v>21</v>
      </c>
      <c r="C6" s="56">
        <v>3</v>
      </c>
      <c r="D6" s="54">
        <v>4</v>
      </c>
      <c r="E6" s="54">
        <v>1</v>
      </c>
      <c r="F6" s="48">
        <f t="shared" si="1"/>
        <v>11</v>
      </c>
      <c r="G6" s="55">
        <f>F6+E6</f>
        <v>12</v>
      </c>
      <c r="H6" s="54">
        <f t="shared" si="0"/>
        <v>11</v>
      </c>
      <c r="I6" s="48">
        <f t="shared" si="2"/>
        <v>12</v>
      </c>
      <c r="J6" s="48">
        <f t="shared" si="3"/>
        <v>0</v>
      </c>
      <c r="K6" s="49">
        <f t="shared" si="4"/>
        <v>0</v>
      </c>
      <c r="M6" s="57">
        <v>2</v>
      </c>
    </row>
    <row r="7" spans="1:13" ht="24">
      <c r="A7" s="44">
        <v>5</v>
      </c>
      <c r="B7" s="62" t="s">
        <v>22</v>
      </c>
      <c r="C7" s="60" t="s">
        <v>111</v>
      </c>
      <c r="D7" s="58">
        <v>5</v>
      </c>
      <c r="E7" s="58">
        <v>7</v>
      </c>
      <c r="F7" s="48">
        <f t="shared" si="1"/>
        <v>12</v>
      </c>
      <c r="G7" s="55">
        <f t="shared" ref="G7:G45" si="5">F7+E7</f>
        <v>19</v>
      </c>
      <c r="H7" s="54">
        <f t="shared" ref="H7:H45" si="6">I7-E7</f>
        <v>12</v>
      </c>
      <c r="I7" s="48">
        <f t="shared" si="2"/>
        <v>19</v>
      </c>
      <c r="J7" s="48">
        <f t="shared" ref="J7:J45" si="7">IF(E7=0,"-",I7-G7)</f>
        <v>0</v>
      </c>
      <c r="K7" s="49">
        <f t="shared" si="4"/>
        <v>0</v>
      </c>
      <c r="L7" s="58"/>
      <c r="M7">
        <v>3</v>
      </c>
    </row>
    <row r="8" spans="1:13" ht="36">
      <c r="A8" s="51">
        <v>6</v>
      </c>
      <c r="B8" s="62" t="s">
        <v>113</v>
      </c>
      <c r="C8" s="60" t="s">
        <v>112</v>
      </c>
      <c r="D8" s="58">
        <v>6</v>
      </c>
      <c r="E8" s="58">
        <v>1</v>
      </c>
      <c r="F8" s="48">
        <f t="shared" si="1"/>
        <v>19</v>
      </c>
      <c r="G8" s="55">
        <f t="shared" si="5"/>
        <v>20</v>
      </c>
      <c r="H8" s="54">
        <f t="shared" si="6"/>
        <v>19</v>
      </c>
      <c r="I8" s="48">
        <f t="shared" si="2"/>
        <v>20</v>
      </c>
      <c r="J8" s="48">
        <f t="shared" si="7"/>
        <v>0</v>
      </c>
      <c r="K8" s="49">
        <f t="shared" si="4"/>
        <v>0</v>
      </c>
      <c r="L8" s="58"/>
      <c r="M8">
        <v>4</v>
      </c>
    </row>
    <row r="9" spans="1:13" ht="24">
      <c r="A9" s="51">
        <v>7</v>
      </c>
      <c r="B9" s="62" t="s">
        <v>114</v>
      </c>
      <c r="C9" s="60" t="s">
        <v>112</v>
      </c>
      <c r="D9" s="58">
        <v>30</v>
      </c>
      <c r="E9" s="58">
        <v>5</v>
      </c>
      <c r="F9" s="48">
        <f t="shared" si="1"/>
        <v>19</v>
      </c>
      <c r="G9" s="55">
        <f t="shared" si="5"/>
        <v>24</v>
      </c>
      <c r="H9" s="54">
        <f t="shared" si="6"/>
        <v>60</v>
      </c>
      <c r="I9" s="48">
        <f t="shared" si="2"/>
        <v>65</v>
      </c>
      <c r="J9" s="48">
        <f t="shared" si="7"/>
        <v>41</v>
      </c>
      <c r="K9" s="49">
        <f t="shared" si="4"/>
        <v>0</v>
      </c>
      <c r="L9" s="58"/>
      <c r="M9">
        <v>4</v>
      </c>
    </row>
    <row r="10" spans="1:13" ht="24">
      <c r="A10" s="51">
        <v>8</v>
      </c>
      <c r="B10" s="62" t="s">
        <v>115</v>
      </c>
      <c r="C10" s="60" t="s">
        <v>112</v>
      </c>
      <c r="D10" s="58">
        <v>32</v>
      </c>
      <c r="E10" s="58">
        <v>5</v>
      </c>
      <c r="F10" s="48">
        <f t="shared" si="1"/>
        <v>19</v>
      </c>
      <c r="G10" s="55">
        <f t="shared" si="5"/>
        <v>24</v>
      </c>
      <c r="H10" s="54">
        <f t="shared" si="6"/>
        <v>60</v>
      </c>
      <c r="I10" s="48">
        <f t="shared" si="2"/>
        <v>65</v>
      </c>
      <c r="J10" s="48">
        <f t="shared" si="7"/>
        <v>41</v>
      </c>
      <c r="K10" s="49">
        <f t="shared" si="4"/>
        <v>41</v>
      </c>
      <c r="L10" s="58"/>
      <c r="M10">
        <v>4</v>
      </c>
    </row>
    <row r="11" spans="1:13" ht="36">
      <c r="A11" s="44">
        <v>9</v>
      </c>
      <c r="B11" s="62" t="s">
        <v>117</v>
      </c>
      <c r="C11" s="59" t="s">
        <v>116</v>
      </c>
      <c r="D11" s="58">
        <v>7</v>
      </c>
      <c r="E11" s="58">
        <v>8</v>
      </c>
      <c r="F11" s="48">
        <f t="shared" si="1"/>
        <v>20</v>
      </c>
      <c r="G11" s="55">
        <f t="shared" si="5"/>
        <v>28</v>
      </c>
      <c r="H11" s="54">
        <f t="shared" si="6"/>
        <v>20</v>
      </c>
      <c r="I11" s="48">
        <f t="shared" si="2"/>
        <v>28</v>
      </c>
      <c r="J11" s="48">
        <f t="shared" si="7"/>
        <v>0</v>
      </c>
      <c r="K11" s="49">
        <f t="shared" si="4"/>
        <v>0</v>
      </c>
      <c r="L11" s="58"/>
      <c r="M11">
        <v>5</v>
      </c>
    </row>
    <row r="12" spans="1:13" ht="36">
      <c r="A12" s="51">
        <v>10</v>
      </c>
      <c r="B12" s="62" t="s">
        <v>113</v>
      </c>
      <c r="C12" s="59" t="s">
        <v>116</v>
      </c>
      <c r="D12" s="58">
        <v>15</v>
      </c>
      <c r="E12" s="58">
        <v>3</v>
      </c>
      <c r="F12" s="48">
        <f t="shared" si="1"/>
        <v>20</v>
      </c>
      <c r="G12" s="55">
        <f t="shared" si="5"/>
        <v>23</v>
      </c>
      <c r="H12" s="54">
        <f t="shared" si="6"/>
        <v>28</v>
      </c>
      <c r="I12" s="48">
        <f t="shared" si="2"/>
        <v>31</v>
      </c>
      <c r="J12" s="48">
        <f t="shared" si="7"/>
        <v>8</v>
      </c>
      <c r="K12" s="49">
        <f t="shared" si="4"/>
        <v>0</v>
      </c>
      <c r="L12" s="58"/>
      <c r="M12">
        <v>5</v>
      </c>
    </row>
    <row r="13" spans="1:13" ht="60">
      <c r="A13" s="51">
        <v>11</v>
      </c>
      <c r="B13" s="62" t="s">
        <v>119</v>
      </c>
      <c r="C13" s="59" t="s">
        <v>118</v>
      </c>
      <c r="D13" s="58">
        <v>8</v>
      </c>
      <c r="E13" s="58">
        <v>7</v>
      </c>
      <c r="F13" s="48">
        <f t="shared" si="1"/>
        <v>28</v>
      </c>
      <c r="G13" s="55">
        <f t="shared" si="5"/>
        <v>35</v>
      </c>
      <c r="H13" s="54">
        <f t="shared" si="6"/>
        <v>28</v>
      </c>
      <c r="I13" s="48">
        <f t="shared" si="2"/>
        <v>35</v>
      </c>
      <c r="J13" s="48">
        <f t="shared" si="7"/>
        <v>0</v>
      </c>
      <c r="K13" s="49">
        <f t="shared" si="4"/>
        <v>0</v>
      </c>
      <c r="L13" s="58"/>
      <c r="M13">
        <v>6</v>
      </c>
    </row>
    <row r="14" spans="1:13" hidden="1">
      <c r="A14" s="51">
        <v>12</v>
      </c>
      <c r="B14" s="58" t="s">
        <v>84</v>
      </c>
      <c r="C14" s="60" t="s">
        <v>118</v>
      </c>
      <c r="D14" s="58">
        <v>16</v>
      </c>
      <c r="E14" s="58">
        <v>0</v>
      </c>
      <c r="F14" s="48">
        <f t="shared" si="1"/>
        <v>28</v>
      </c>
      <c r="G14" s="55">
        <f t="shared" si="5"/>
        <v>28</v>
      </c>
      <c r="H14" s="54">
        <f t="shared" si="6"/>
        <v>31</v>
      </c>
      <c r="I14" s="48">
        <f t="shared" si="2"/>
        <v>31</v>
      </c>
      <c r="J14" s="48" t="str">
        <f t="shared" si="7"/>
        <v>-</v>
      </c>
      <c r="K14" s="49" t="str">
        <f t="shared" si="4"/>
        <v>-</v>
      </c>
      <c r="L14" s="58"/>
      <c r="M14">
        <v>6</v>
      </c>
    </row>
    <row r="15" spans="1:13" ht="36">
      <c r="A15" s="44">
        <v>13</v>
      </c>
      <c r="B15" s="62" t="s">
        <v>121</v>
      </c>
      <c r="C15" s="59" t="s">
        <v>120</v>
      </c>
      <c r="D15" s="58">
        <v>9</v>
      </c>
      <c r="E15" s="58">
        <v>7</v>
      </c>
      <c r="F15" s="48">
        <f t="shared" si="1"/>
        <v>35</v>
      </c>
      <c r="G15" s="55">
        <f t="shared" si="5"/>
        <v>42</v>
      </c>
      <c r="H15" s="54">
        <f t="shared" si="6"/>
        <v>36</v>
      </c>
      <c r="I15" s="48">
        <f t="shared" si="2"/>
        <v>43</v>
      </c>
      <c r="J15" s="48">
        <f t="shared" si="7"/>
        <v>1</v>
      </c>
      <c r="K15" s="49">
        <f t="shared" si="4"/>
        <v>0</v>
      </c>
      <c r="L15" s="58"/>
      <c r="M15">
        <v>7</v>
      </c>
    </row>
    <row r="16" spans="1:13" hidden="1">
      <c r="A16" s="51">
        <v>14</v>
      </c>
      <c r="B16" s="58" t="s">
        <v>84</v>
      </c>
      <c r="C16" s="59" t="s">
        <v>120</v>
      </c>
      <c r="D16" s="58">
        <v>18</v>
      </c>
      <c r="E16" s="58">
        <v>0</v>
      </c>
      <c r="F16" s="48">
        <f t="shared" si="1"/>
        <v>35</v>
      </c>
      <c r="G16" s="55">
        <f t="shared" si="5"/>
        <v>35</v>
      </c>
      <c r="H16" s="54">
        <f t="shared" si="6"/>
        <v>35</v>
      </c>
      <c r="I16" s="48">
        <f t="shared" si="2"/>
        <v>35</v>
      </c>
      <c r="J16" s="48" t="str">
        <f t="shared" si="7"/>
        <v>-</v>
      </c>
      <c r="K16" s="49" t="str">
        <f t="shared" si="4"/>
        <v>-</v>
      </c>
      <c r="L16" s="58"/>
      <c r="M16">
        <v>7</v>
      </c>
    </row>
    <row r="17" spans="1:13" ht="48">
      <c r="A17" s="51">
        <v>15</v>
      </c>
      <c r="B17" s="62" t="s">
        <v>123</v>
      </c>
      <c r="C17" s="59" t="s">
        <v>122</v>
      </c>
      <c r="D17" s="58">
        <v>10</v>
      </c>
      <c r="E17" s="58">
        <v>3</v>
      </c>
      <c r="F17" s="48">
        <f t="shared" si="1"/>
        <v>42</v>
      </c>
      <c r="G17" s="55">
        <f t="shared" si="5"/>
        <v>45</v>
      </c>
      <c r="H17" s="54">
        <f t="shared" si="6"/>
        <v>46</v>
      </c>
      <c r="I17" s="48">
        <f t="shared" si="2"/>
        <v>49</v>
      </c>
      <c r="J17" s="48">
        <f t="shared" si="7"/>
        <v>4</v>
      </c>
      <c r="K17" s="49">
        <f t="shared" si="4"/>
        <v>0</v>
      </c>
      <c r="L17" s="58"/>
      <c r="M17">
        <v>8</v>
      </c>
    </row>
    <row r="18" spans="1:13" hidden="1">
      <c r="A18" s="51">
        <v>16</v>
      </c>
      <c r="B18" s="58" t="s">
        <v>84</v>
      </c>
      <c r="C18" s="59" t="s">
        <v>122</v>
      </c>
      <c r="D18" s="58">
        <v>20</v>
      </c>
      <c r="E18" s="58">
        <v>0</v>
      </c>
      <c r="F18" s="48">
        <f t="shared" si="1"/>
        <v>42</v>
      </c>
      <c r="G18" s="55">
        <f t="shared" si="5"/>
        <v>42</v>
      </c>
      <c r="H18" s="54">
        <f t="shared" si="6"/>
        <v>43</v>
      </c>
      <c r="I18" s="48">
        <f t="shared" si="2"/>
        <v>43</v>
      </c>
      <c r="J18" s="48" t="str">
        <f t="shared" si="7"/>
        <v>-</v>
      </c>
      <c r="K18" s="49" t="str">
        <f t="shared" si="4"/>
        <v>-</v>
      </c>
      <c r="L18" s="58"/>
      <c r="M18">
        <v>8</v>
      </c>
    </row>
    <row r="19" spans="1:13" ht="36">
      <c r="A19" s="44">
        <v>17</v>
      </c>
      <c r="B19" s="62" t="s">
        <v>125</v>
      </c>
      <c r="C19" s="59" t="s">
        <v>124</v>
      </c>
      <c r="D19" s="58">
        <v>11</v>
      </c>
      <c r="E19" s="58">
        <v>2</v>
      </c>
      <c r="F19" s="48">
        <f t="shared" si="1"/>
        <v>45</v>
      </c>
      <c r="G19" s="55">
        <f t="shared" si="5"/>
        <v>47</v>
      </c>
      <c r="H19" s="54">
        <f t="shared" si="6"/>
        <v>49</v>
      </c>
      <c r="I19" s="48">
        <f t="shared" si="2"/>
        <v>51</v>
      </c>
      <c r="J19" s="48">
        <f t="shared" si="7"/>
        <v>4</v>
      </c>
      <c r="K19" s="49">
        <f t="shared" si="4"/>
        <v>0</v>
      </c>
      <c r="L19" s="58"/>
      <c r="M19">
        <v>9</v>
      </c>
    </row>
    <row r="20" spans="1:13" hidden="1">
      <c r="A20" s="51">
        <v>18</v>
      </c>
      <c r="B20" s="58" t="s">
        <v>84</v>
      </c>
      <c r="C20" s="59" t="s">
        <v>124</v>
      </c>
      <c r="D20" s="58">
        <v>22</v>
      </c>
      <c r="E20" s="58">
        <v>0</v>
      </c>
      <c r="F20" s="48">
        <f t="shared" si="1"/>
        <v>45</v>
      </c>
      <c r="G20" s="55">
        <f t="shared" si="5"/>
        <v>45</v>
      </c>
      <c r="H20" s="54">
        <f t="shared" si="6"/>
        <v>49</v>
      </c>
      <c r="I20" s="48">
        <f t="shared" si="2"/>
        <v>49</v>
      </c>
      <c r="J20" s="48" t="str">
        <f t="shared" si="7"/>
        <v>-</v>
      </c>
      <c r="K20" s="49" t="str">
        <f t="shared" si="4"/>
        <v>-</v>
      </c>
      <c r="L20" s="58"/>
      <c r="M20">
        <v>9</v>
      </c>
    </row>
    <row r="21" spans="1:13" ht="24">
      <c r="A21" s="51">
        <v>19</v>
      </c>
      <c r="B21" s="62" t="s">
        <v>127</v>
      </c>
      <c r="C21" s="59" t="s">
        <v>126</v>
      </c>
      <c r="D21" s="58">
        <v>12</v>
      </c>
      <c r="E21" s="58">
        <v>4</v>
      </c>
      <c r="F21" s="48">
        <f t="shared" si="1"/>
        <v>47</v>
      </c>
      <c r="G21" s="55">
        <f t="shared" si="5"/>
        <v>51</v>
      </c>
      <c r="H21" s="54">
        <f t="shared" si="6"/>
        <v>51</v>
      </c>
      <c r="I21" s="48">
        <f t="shared" si="2"/>
        <v>55</v>
      </c>
      <c r="J21" s="48">
        <f t="shared" si="7"/>
        <v>4</v>
      </c>
      <c r="K21" s="49">
        <f t="shared" si="4"/>
        <v>0</v>
      </c>
      <c r="L21" s="58"/>
      <c r="M21">
        <v>10</v>
      </c>
    </row>
    <row r="22" spans="1:13" hidden="1">
      <c r="A22" s="51">
        <v>20</v>
      </c>
      <c r="B22" s="58" t="s">
        <v>84</v>
      </c>
      <c r="C22" s="59" t="s">
        <v>126</v>
      </c>
      <c r="D22" s="58">
        <v>24</v>
      </c>
      <c r="E22" s="58">
        <v>0</v>
      </c>
      <c r="F22" s="48">
        <f t="shared" si="1"/>
        <v>47</v>
      </c>
      <c r="G22" s="55">
        <f t="shared" si="5"/>
        <v>47</v>
      </c>
      <c r="H22" s="54">
        <f t="shared" si="6"/>
        <v>54</v>
      </c>
      <c r="I22" s="48">
        <f t="shared" si="2"/>
        <v>54</v>
      </c>
      <c r="J22" s="48" t="str">
        <f t="shared" si="7"/>
        <v>-</v>
      </c>
      <c r="K22" s="49" t="str">
        <f t="shared" si="4"/>
        <v>-</v>
      </c>
      <c r="L22" s="58"/>
      <c r="M22">
        <v>10</v>
      </c>
    </row>
    <row r="23" spans="1:13" ht="24">
      <c r="A23" s="44">
        <v>21</v>
      </c>
      <c r="B23" s="62" t="s">
        <v>132</v>
      </c>
      <c r="C23" s="59" t="s">
        <v>128</v>
      </c>
      <c r="D23" s="58">
        <v>13</v>
      </c>
      <c r="E23" s="58">
        <v>2</v>
      </c>
      <c r="F23" s="48">
        <f t="shared" si="1"/>
        <v>51</v>
      </c>
      <c r="G23" s="55">
        <f t="shared" si="5"/>
        <v>53</v>
      </c>
      <c r="H23" s="54">
        <f t="shared" si="6"/>
        <v>58</v>
      </c>
      <c r="I23" s="48">
        <f t="shared" si="2"/>
        <v>60</v>
      </c>
      <c r="J23" s="48">
        <f t="shared" si="7"/>
        <v>7</v>
      </c>
      <c r="K23" s="49">
        <f t="shared" si="4"/>
        <v>0</v>
      </c>
      <c r="L23" s="58"/>
      <c r="M23">
        <v>11</v>
      </c>
    </row>
    <row r="24" spans="1:13" hidden="1">
      <c r="A24" s="51">
        <v>22</v>
      </c>
      <c r="B24" s="58" t="s">
        <v>84</v>
      </c>
      <c r="C24" s="59" t="s">
        <v>128</v>
      </c>
      <c r="D24" s="58">
        <v>26</v>
      </c>
      <c r="E24" s="58">
        <v>0</v>
      </c>
      <c r="F24" s="48">
        <f t="shared" si="1"/>
        <v>51</v>
      </c>
      <c r="G24" s="55">
        <f t="shared" si="5"/>
        <v>51</v>
      </c>
      <c r="H24" s="54">
        <f t="shared" si="6"/>
        <v>55</v>
      </c>
      <c r="I24" s="48">
        <f t="shared" si="2"/>
        <v>55</v>
      </c>
      <c r="J24" s="48" t="str">
        <f t="shared" si="7"/>
        <v>-</v>
      </c>
      <c r="K24" s="49" t="str">
        <f t="shared" si="4"/>
        <v>-</v>
      </c>
      <c r="L24" s="58"/>
      <c r="M24">
        <v>11</v>
      </c>
    </row>
    <row r="25" spans="1:13" ht="36">
      <c r="A25" s="51">
        <v>23</v>
      </c>
      <c r="B25" s="62" t="s">
        <v>133</v>
      </c>
      <c r="C25" s="59" t="s">
        <v>130</v>
      </c>
      <c r="D25" s="58">
        <v>14</v>
      </c>
      <c r="E25" s="58">
        <v>2</v>
      </c>
      <c r="F25" s="48">
        <f t="shared" si="1"/>
        <v>53</v>
      </c>
      <c r="G25" s="55">
        <f t="shared" si="5"/>
        <v>55</v>
      </c>
      <c r="H25" s="54">
        <f t="shared" si="6"/>
        <v>60</v>
      </c>
      <c r="I25" s="48">
        <f t="shared" si="2"/>
        <v>62</v>
      </c>
      <c r="J25" s="48">
        <f t="shared" si="7"/>
        <v>7</v>
      </c>
      <c r="K25" s="49">
        <f t="shared" si="4"/>
        <v>0</v>
      </c>
      <c r="L25" s="58"/>
      <c r="M25">
        <v>12</v>
      </c>
    </row>
    <row r="26" spans="1:13" hidden="1">
      <c r="A26" s="51">
        <v>24</v>
      </c>
      <c r="B26" s="58" t="s">
        <v>84</v>
      </c>
      <c r="C26" s="59" t="s">
        <v>130</v>
      </c>
      <c r="D26" s="58">
        <v>28</v>
      </c>
      <c r="E26" s="58">
        <v>0</v>
      </c>
      <c r="F26" s="48">
        <f t="shared" si="1"/>
        <v>53</v>
      </c>
      <c r="G26" s="55">
        <f t="shared" si="5"/>
        <v>53</v>
      </c>
      <c r="H26" s="54">
        <f t="shared" si="6"/>
        <v>60</v>
      </c>
      <c r="I26" s="48">
        <f t="shared" si="2"/>
        <v>60</v>
      </c>
      <c r="J26" s="48" t="str">
        <f t="shared" si="7"/>
        <v>-</v>
      </c>
      <c r="K26" s="49" t="str">
        <f t="shared" si="4"/>
        <v>-</v>
      </c>
      <c r="L26" s="58"/>
      <c r="M26">
        <v>12</v>
      </c>
    </row>
    <row r="27" spans="1:13" hidden="1">
      <c r="A27" s="44">
        <v>25</v>
      </c>
      <c r="B27" s="62" t="s">
        <v>84</v>
      </c>
      <c r="C27" s="59" t="s">
        <v>131</v>
      </c>
      <c r="D27" s="58">
        <v>31</v>
      </c>
      <c r="E27" s="58">
        <v>0</v>
      </c>
      <c r="F27" s="48">
        <f t="shared" si="1"/>
        <v>55</v>
      </c>
      <c r="G27" s="55">
        <f t="shared" si="5"/>
        <v>55</v>
      </c>
      <c r="H27" s="54">
        <f t="shared" si="6"/>
        <v>62</v>
      </c>
      <c r="I27" s="48">
        <f t="shared" si="2"/>
        <v>62</v>
      </c>
      <c r="J27" s="48" t="str">
        <f t="shared" si="7"/>
        <v>-</v>
      </c>
      <c r="K27" s="49" t="str">
        <f t="shared" si="4"/>
        <v>-</v>
      </c>
      <c r="L27" s="58"/>
      <c r="M27">
        <v>13</v>
      </c>
    </row>
    <row r="28" spans="1:13" hidden="1">
      <c r="A28" s="51">
        <v>26</v>
      </c>
      <c r="B28" s="58" t="s">
        <v>84</v>
      </c>
      <c r="C28" s="59" t="s">
        <v>134</v>
      </c>
      <c r="D28" s="58">
        <v>16</v>
      </c>
      <c r="E28" s="58">
        <v>0</v>
      </c>
      <c r="F28" s="48">
        <f t="shared" si="1"/>
        <v>23</v>
      </c>
      <c r="G28" s="55">
        <f t="shared" si="5"/>
        <v>23</v>
      </c>
      <c r="H28" s="54">
        <f t="shared" si="6"/>
        <v>31</v>
      </c>
      <c r="I28" s="48">
        <f t="shared" si="2"/>
        <v>31</v>
      </c>
      <c r="J28" s="48" t="str">
        <f t="shared" si="7"/>
        <v>-</v>
      </c>
      <c r="K28" s="49" t="str">
        <f t="shared" si="4"/>
        <v>-</v>
      </c>
      <c r="L28" s="58"/>
      <c r="M28">
        <v>6</v>
      </c>
    </row>
    <row r="29" spans="1:13" ht="36">
      <c r="A29" s="51">
        <v>27</v>
      </c>
      <c r="B29" s="62" t="s">
        <v>117</v>
      </c>
      <c r="C29" s="59" t="s">
        <v>135</v>
      </c>
      <c r="D29" s="58">
        <v>17</v>
      </c>
      <c r="E29" s="58">
        <v>4</v>
      </c>
      <c r="F29" s="48">
        <f t="shared" si="1"/>
        <v>28</v>
      </c>
      <c r="G29" s="55">
        <f t="shared" si="5"/>
        <v>32</v>
      </c>
      <c r="H29" s="54">
        <f t="shared" si="6"/>
        <v>31</v>
      </c>
      <c r="I29" s="48">
        <f t="shared" si="2"/>
        <v>35</v>
      </c>
      <c r="J29" s="48">
        <f t="shared" si="7"/>
        <v>3</v>
      </c>
      <c r="K29" s="49">
        <f t="shared" si="4"/>
        <v>0</v>
      </c>
      <c r="L29" s="58"/>
      <c r="M29" t="s">
        <v>158</v>
      </c>
    </row>
    <row r="30" spans="1:13" hidden="1">
      <c r="A30" s="51">
        <v>28</v>
      </c>
      <c r="B30" s="58" t="s">
        <v>84</v>
      </c>
      <c r="C30" s="59" t="s">
        <v>136</v>
      </c>
      <c r="D30" s="58">
        <v>18</v>
      </c>
      <c r="E30" s="58">
        <v>0</v>
      </c>
      <c r="F30" s="48">
        <f t="shared" si="1"/>
        <v>32</v>
      </c>
      <c r="G30" s="55">
        <f t="shared" si="5"/>
        <v>32</v>
      </c>
      <c r="H30" s="54">
        <f t="shared" si="6"/>
        <v>35</v>
      </c>
      <c r="I30" s="48">
        <f t="shared" si="2"/>
        <v>35</v>
      </c>
      <c r="J30" s="48" t="str">
        <f t="shared" si="7"/>
        <v>-</v>
      </c>
      <c r="K30" s="49" t="str">
        <f t="shared" si="4"/>
        <v>-</v>
      </c>
      <c r="L30" s="58"/>
      <c r="M30">
        <v>16</v>
      </c>
    </row>
    <row r="31" spans="1:13" ht="60">
      <c r="A31" s="44">
        <v>29</v>
      </c>
      <c r="B31" s="62" t="s">
        <v>119</v>
      </c>
      <c r="C31" s="59" t="s">
        <v>137</v>
      </c>
      <c r="D31" s="58">
        <v>19</v>
      </c>
      <c r="E31" s="58">
        <v>8</v>
      </c>
      <c r="F31" s="48">
        <f t="shared" si="1"/>
        <v>35</v>
      </c>
      <c r="G31" s="55">
        <f t="shared" si="5"/>
        <v>43</v>
      </c>
      <c r="H31" s="54">
        <f t="shared" si="6"/>
        <v>35</v>
      </c>
      <c r="I31" s="48">
        <f t="shared" si="2"/>
        <v>43</v>
      </c>
      <c r="J31" s="48">
        <f t="shared" si="7"/>
        <v>0</v>
      </c>
      <c r="K31" s="49">
        <f t="shared" si="4"/>
        <v>0</v>
      </c>
      <c r="L31" s="58"/>
      <c r="M31" t="s">
        <v>159</v>
      </c>
    </row>
    <row r="32" spans="1:13" hidden="1">
      <c r="A32" s="51">
        <v>30</v>
      </c>
      <c r="B32" s="58" t="s">
        <v>84</v>
      </c>
      <c r="C32" s="59" t="s">
        <v>138</v>
      </c>
      <c r="D32" s="58">
        <v>20</v>
      </c>
      <c r="E32" s="58">
        <v>0</v>
      </c>
      <c r="F32" s="48">
        <f t="shared" si="1"/>
        <v>43</v>
      </c>
      <c r="G32" s="55">
        <f t="shared" si="5"/>
        <v>43</v>
      </c>
      <c r="H32" s="54">
        <f t="shared" si="6"/>
        <v>43</v>
      </c>
      <c r="I32" s="48">
        <f t="shared" si="2"/>
        <v>43</v>
      </c>
      <c r="J32" s="48" t="str">
        <f t="shared" si="7"/>
        <v>-</v>
      </c>
      <c r="K32" s="49" t="str">
        <f t="shared" si="4"/>
        <v>-</v>
      </c>
      <c r="L32" s="58"/>
      <c r="M32">
        <v>18</v>
      </c>
    </row>
    <row r="33" spans="1:13" ht="36">
      <c r="A33" s="51">
        <v>31</v>
      </c>
      <c r="B33" s="62" t="s">
        <v>121</v>
      </c>
      <c r="C33" s="59" t="s">
        <v>139</v>
      </c>
      <c r="D33" s="58">
        <v>21</v>
      </c>
      <c r="E33" s="58">
        <v>6</v>
      </c>
      <c r="F33" s="48">
        <f t="shared" si="1"/>
        <v>43</v>
      </c>
      <c r="G33" s="55">
        <f t="shared" si="5"/>
        <v>49</v>
      </c>
      <c r="H33" s="54">
        <f t="shared" si="6"/>
        <v>43</v>
      </c>
      <c r="I33" s="48">
        <f t="shared" si="2"/>
        <v>49</v>
      </c>
      <c r="J33" s="48">
        <f t="shared" si="7"/>
        <v>0</v>
      </c>
      <c r="K33" s="49">
        <f t="shared" si="4"/>
        <v>0</v>
      </c>
      <c r="L33" s="58"/>
      <c r="M33" t="s">
        <v>160</v>
      </c>
    </row>
    <row r="34" spans="1:13" hidden="1">
      <c r="A34" s="51">
        <v>32</v>
      </c>
      <c r="B34" s="58" t="s">
        <v>84</v>
      </c>
      <c r="C34" s="59" t="s">
        <v>140</v>
      </c>
      <c r="D34" s="58">
        <v>22</v>
      </c>
      <c r="E34" s="58">
        <v>0</v>
      </c>
      <c r="F34" s="48">
        <f t="shared" si="1"/>
        <v>49</v>
      </c>
      <c r="G34" s="55">
        <f t="shared" si="5"/>
        <v>49</v>
      </c>
      <c r="H34" s="54">
        <f t="shared" si="6"/>
        <v>49</v>
      </c>
      <c r="I34" s="48">
        <f t="shared" si="2"/>
        <v>49</v>
      </c>
      <c r="J34" s="48" t="str">
        <f t="shared" si="7"/>
        <v>-</v>
      </c>
      <c r="K34" s="49" t="str">
        <f t="shared" si="4"/>
        <v>-</v>
      </c>
      <c r="L34" s="58"/>
      <c r="M34">
        <v>20</v>
      </c>
    </row>
    <row r="35" spans="1:13" ht="48">
      <c r="A35" s="51">
        <v>33</v>
      </c>
      <c r="B35" s="62" t="s">
        <v>123</v>
      </c>
      <c r="C35" s="59" t="s">
        <v>129</v>
      </c>
      <c r="D35" s="58">
        <v>23</v>
      </c>
      <c r="E35" s="58">
        <v>5</v>
      </c>
      <c r="F35" s="48">
        <f t="shared" si="1"/>
        <v>49</v>
      </c>
      <c r="G35" s="55">
        <f t="shared" si="5"/>
        <v>54</v>
      </c>
      <c r="H35" s="54">
        <f t="shared" si="6"/>
        <v>49</v>
      </c>
      <c r="I35" s="48">
        <f t="shared" si="2"/>
        <v>54</v>
      </c>
      <c r="J35" s="48">
        <f t="shared" si="7"/>
        <v>0</v>
      </c>
      <c r="K35" s="49">
        <f t="shared" si="4"/>
        <v>0</v>
      </c>
      <c r="L35" s="58"/>
      <c r="M35" t="s">
        <v>161</v>
      </c>
    </row>
    <row r="36" spans="1:13" hidden="1">
      <c r="A36" s="51">
        <v>34</v>
      </c>
      <c r="B36" s="58" t="s">
        <v>84</v>
      </c>
      <c r="C36" s="59" t="s">
        <v>141</v>
      </c>
      <c r="D36" s="58">
        <v>24</v>
      </c>
      <c r="E36" s="58">
        <v>0</v>
      </c>
      <c r="F36" s="48">
        <f t="shared" si="1"/>
        <v>54</v>
      </c>
      <c r="G36" s="55">
        <f t="shared" si="5"/>
        <v>54</v>
      </c>
      <c r="H36" s="54">
        <f t="shared" si="6"/>
        <v>54</v>
      </c>
      <c r="I36" s="48">
        <f t="shared" si="2"/>
        <v>54</v>
      </c>
      <c r="J36" s="48" t="str">
        <f t="shared" si="7"/>
        <v>-</v>
      </c>
      <c r="K36" s="49" t="str">
        <f t="shared" si="4"/>
        <v>-</v>
      </c>
      <c r="L36" s="58"/>
      <c r="M36">
        <v>22</v>
      </c>
    </row>
    <row r="37" spans="1:13" ht="36">
      <c r="A37" s="51">
        <v>35</v>
      </c>
      <c r="B37" s="62" t="s">
        <v>125</v>
      </c>
      <c r="C37" s="59" t="s">
        <v>142</v>
      </c>
      <c r="D37" s="58">
        <v>25</v>
      </c>
      <c r="E37" s="58">
        <v>1</v>
      </c>
      <c r="F37" s="48">
        <f t="shared" si="1"/>
        <v>54</v>
      </c>
      <c r="G37" s="55">
        <f t="shared" si="5"/>
        <v>55</v>
      </c>
      <c r="H37" s="54">
        <f t="shared" si="6"/>
        <v>54</v>
      </c>
      <c r="I37" s="48">
        <f t="shared" si="2"/>
        <v>55</v>
      </c>
      <c r="J37" s="48">
        <f t="shared" si="7"/>
        <v>0</v>
      </c>
      <c r="K37" s="49">
        <f t="shared" si="4"/>
        <v>0</v>
      </c>
      <c r="L37" s="58"/>
      <c r="M37" t="s">
        <v>162</v>
      </c>
    </row>
    <row r="38" spans="1:13" hidden="1">
      <c r="A38" s="51">
        <v>36</v>
      </c>
      <c r="B38" s="58" t="s">
        <v>84</v>
      </c>
      <c r="C38" s="59" t="s">
        <v>143</v>
      </c>
      <c r="D38" s="58">
        <v>26</v>
      </c>
      <c r="E38" s="58">
        <v>0</v>
      </c>
      <c r="F38" s="48">
        <f t="shared" si="1"/>
        <v>55</v>
      </c>
      <c r="G38" s="55">
        <f t="shared" si="5"/>
        <v>55</v>
      </c>
      <c r="H38" s="54">
        <f t="shared" si="6"/>
        <v>55</v>
      </c>
      <c r="I38" s="48">
        <f t="shared" si="2"/>
        <v>55</v>
      </c>
      <c r="J38" s="48" t="str">
        <f t="shared" si="7"/>
        <v>-</v>
      </c>
      <c r="K38" s="49" t="str">
        <f t="shared" si="4"/>
        <v>-</v>
      </c>
      <c r="L38" s="58"/>
      <c r="M38">
        <v>24</v>
      </c>
    </row>
    <row r="39" spans="1:13" ht="24">
      <c r="A39" s="51">
        <v>37</v>
      </c>
      <c r="B39" s="62" t="s">
        <v>127</v>
      </c>
      <c r="C39" s="59" t="s">
        <v>144</v>
      </c>
      <c r="D39" s="58">
        <v>27</v>
      </c>
      <c r="E39" s="58">
        <v>5</v>
      </c>
      <c r="F39" s="48">
        <f t="shared" si="1"/>
        <v>55</v>
      </c>
      <c r="G39" s="55">
        <f t="shared" si="5"/>
        <v>60</v>
      </c>
      <c r="H39" s="54">
        <f t="shared" si="6"/>
        <v>55</v>
      </c>
      <c r="I39" s="48">
        <f t="shared" si="2"/>
        <v>60</v>
      </c>
      <c r="J39" s="48">
        <f t="shared" si="7"/>
        <v>0</v>
      </c>
      <c r="K39" s="49">
        <f t="shared" si="4"/>
        <v>0</v>
      </c>
      <c r="L39" s="58"/>
      <c r="M39" t="s">
        <v>163</v>
      </c>
    </row>
    <row r="40" spans="1:13" hidden="1">
      <c r="A40" s="51">
        <v>38</v>
      </c>
      <c r="B40" s="58" t="s">
        <v>84</v>
      </c>
      <c r="C40" s="59" t="s">
        <v>145</v>
      </c>
      <c r="D40" s="58">
        <v>28</v>
      </c>
      <c r="E40" s="58">
        <v>0</v>
      </c>
      <c r="F40" s="48">
        <f t="shared" si="1"/>
        <v>60</v>
      </c>
      <c r="G40" s="55">
        <f t="shared" si="5"/>
        <v>60</v>
      </c>
      <c r="H40" s="54">
        <f t="shared" si="6"/>
        <v>60</v>
      </c>
      <c r="I40" s="48">
        <f t="shared" si="2"/>
        <v>60</v>
      </c>
      <c r="J40" s="48" t="str">
        <f t="shared" si="7"/>
        <v>-</v>
      </c>
      <c r="K40" s="49" t="str">
        <f t="shared" si="4"/>
        <v>-</v>
      </c>
      <c r="L40" s="58"/>
      <c r="M40">
        <v>26</v>
      </c>
    </row>
    <row r="41" spans="1:13" ht="24">
      <c r="A41" s="51">
        <v>39</v>
      </c>
      <c r="B41" s="62" t="s">
        <v>132</v>
      </c>
      <c r="C41" s="59" t="s">
        <v>146</v>
      </c>
      <c r="D41" s="58">
        <v>29</v>
      </c>
      <c r="E41" s="58">
        <v>2</v>
      </c>
      <c r="F41" s="48">
        <f t="shared" si="1"/>
        <v>60</v>
      </c>
      <c r="G41" s="55">
        <f t="shared" si="5"/>
        <v>62</v>
      </c>
      <c r="H41" s="54">
        <f t="shared" si="6"/>
        <v>60</v>
      </c>
      <c r="I41" s="48">
        <f t="shared" si="2"/>
        <v>62</v>
      </c>
      <c r="J41" s="48">
        <f t="shared" si="7"/>
        <v>0</v>
      </c>
      <c r="K41" s="49">
        <f t="shared" si="4"/>
        <v>0</v>
      </c>
      <c r="L41" s="58"/>
      <c r="M41" t="s">
        <v>164</v>
      </c>
    </row>
    <row r="42" spans="1:13" hidden="1">
      <c r="A42" s="51">
        <v>40</v>
      </c>
      <c r="B42" s="58" t="s">
        <v>84</v>
      </c>
      <c r="C42" s="59" t="s">
        <v>147</v>
      </c>
      <c r="D42" s="58">
        <v>31</v>
      </c>
      <c r="E42" s="58">
        <v>0</v>
      </c>
      <c r="F42" s="48">
        <f t="shared" si="1"/>
        <v>62</v>
      </c>
      <c r="G42" s="55">
        <f t="shared" si="5"/>
        <v>62</v>
      </c>
      <c r="H42" s="54">
        <f t="shared" si="6"/>
        <v>62</v>
      </c>
      <c r="I42" s="48">
        <f t="shared" si="2"/>
        <v>62</v>
      </c>
      <c r="J42" s="48" t="str">
        <f t="shared" si="7"/>
        <v>-</v>
      </c>
      <c r="K42" s="49" t="str">
        <f t="shared" si="4"/>
        <v>-</v>
      </c>
      <c r="L42" s="58"/>
      <c r="M42">
        <v>28</v>
      </c>
    </row>
    <row r="43" spans="1:13" hidden="1">
      <c r="A43" s="51">
        <v>41</v>
      </c>
      <c r="B43" s="58" t="s">
        <v>84</v>
      </c>
      <c r="C43" s="60" t="s">
        <v>148</v>
      </c>
      <c r="D43" s="58">
        <v>32</v>
      </c>
      <c r="E43" s="58">
        <v>0</v>
      </c>
      <c r="F43" s="48">
        <f t="shared" si="1"/>
        <v>24</v>
      </c>
      <c r="G43" s="55">
        <f t="shared" si="5"/>
        <v>24</v>
      </c>
      <c r="H43" s="54">
        <f t="shared" si="6"/>
        <v>65</v>
      </c>
      <c r="I43" s="48">
        <f t="shared" si="2"/>
        <v>65</v>
      </c>
      <c r="J43" s="48" t="str">
        <f t="shared" si="7"/>
        <v>-</v>
      </c>
      <c r="K43" s="49" t="str">
        <f t="shared" si="4"/>
        <v>-</v>
      </c>
      <c r="L43" s="58"/>
      <c r="M43">
        <v>5</v>
      </c>
    </row>
    <row r="44" spans="1:13" ht="36">
      <c r="A44" s="51">
        <v>42</v>
      </c>
      <c r="B44" s="62" t="s">
        <v>133</v>
      </c>
      <c r="C44" s="58">
        <v>31</v>
      </c>
      <c r="D44" s="58">
        <v>32</v>
      </c>
      <c r="E44" s="58">
        <v>3</v>
      </c>
      <c r="F44" s="48">
        <f t="shared" si="1"/>
        <v>62</v>
      </c>
      <c r="G44" s="55">
        <f t="shared" si="5"/>
        <v>65</v>
      </c>
      <c r="H44" s="54">
        <f t="shared" si="6"/>
        <v>62</v>
      </c>
      <c r="I44" s="48">
        <f t="shared" si="2"/>
        <v>65</v>
      </c>
      <c r="J44" s="48">
        <f t="shared" si="7"/>
        <v>0</v>
      </c>
      <c r="K44" s="49">
        <f t="shared" si="4"/>
        <v>0</v>
      </c>
      <c r="L44" s="58"/>
      <c r="M44" t="s">
        <v>165</v>
      </c>
    </row>
    <row r="45" spans="1:13" ht="24">
      <c r="A45" s="51">
        <v>43</v>
      </c>
      <c r="B45" s="62" t="s">
        <v>149</v>
      </c>
      <c r="C45" s="58">
        <v>32</v>
      </c>
      <c r="D45" s="58">
        <v>33</v>
      </c>
      <c r="E45" s="58">
        <v>5</v>
      </c>
      <c r="F45" s="48">
        <f t="shared" si="1"/>
        <v>65</v>
      </c>
      <c r="G45" s="58">
        <f t="shared" si="5"/>
        <v>70</v>
      </c>
      <c r="H45" s="58">
        <f t="shared" si="6"/>
        <v>65</v>
      </c>
      <c r="I45" s="48">
        <f t="shared" si="2"/>
        <v>70</v>
      </c>
      <c r="J45" s="58">
        <f t="shared" si="7"/>
        <v>0</v>
      </c>
      <c r="K45" s="49">
        <f t="shared" si="4"/>
        <v>0</v>
      </c>
      <c r="L45" s="58"/>
      <c r="M45" t="s">
        <v>166</v>
      </c>
    </row>
    <row r="46" spans="1:13" ht="24">
      <c r="A46" s="51">
        <v>44</v>
      </c>
      <c r="B46" s="62" t="s">
        <v>150</v>
      </c>
      <c r="C46" s="58">
        <v>32</v>
      </c>
      <c r="D46" s="58">
        <v>51</v>
      </c>
      <c r="E46" s="58">
        <v>4</v>
      </c>
      <c r="F46" s="48">
        <f t="shared" si="1"/>
        <v>65</v>
      </c>
      <c r="G46" s="58">
        <f t="shared" ref="G46:G75" si="8">F46+E46</f>
        <v>69</v>
      </c>
      <c r="H46" s="58">
        <f t="shared" ref="H46:H75" si="9">I46-E46</f>
        <v>87</v>
      </c>
      <c r="I46" s="48">
        <f t="shared" si="2"/>
        <v>91</v>
      </c>
      <c r="J46" s="58">
        <f t="shared" ref="J46:J75" si="10">IF(E46=0,"-",I46-G46)</f>
        <v>22</v>
      </c>
      <c r="K46" s="49">
        <f t="shared" si="4"/>
        <v>0</v>
      </c>
      <c r="L46" s="58"/>
      <c r="M46" t="s">
        <v>167</v>
      </c>
    </row>
    <row r="47" spans="1:13" ht="24">
      <c r="A47" s="51">
        <v>45</v>
      </c>
      <c r="B47" s="62" t="s">
        <v>151</v>
      </c>
      <c r="C47" s="58">
        <v>32</v>
      </c>
      <c r="D47" s="58">
        <v>52</v>
      </c>
      <c r="E47" s="58">
        <v>4</v>
      </c>
      <c r="F47" s="48">
        <f t="shared" si="1"/>
        <v>65</v>
      </c>
      <c r="G47" s="58">
        <f t="shared" si="8"/>
        <v>69</v>
      </c>
      <c r="H47" s="58">
        <f t="shared" si="9"/>
        <v>87</v>
      </c>
      <c r="I47" s="48">
        <f t="shared" si="2"/>
        <v>91</v>
      </c>
      <c r="J47" s="58">
        <f t="shared" si="10"/>
        <v>22</v>
      </c>
      <c r="K47" s="49">
        <f t="shared" si="4"/>
        <v>22</v>
      </c>
      <c r="L47" s="58"/>
      <c r="M47" t="s">
        <v>168</v>
      </c>
    </row>
    <row r="48" spans="1:13" ht="24">
      <c r="A48" s="51">
        <v>46</v>
      </c>
      <c r="B48" s="62" t="s">
        <v>152</v>
      </c>
      <c r="C48" s="58">
        <v>33</v>
      </c>
      <c r="D48" s="58">
        <v>34</v>
      </c>
      <c r="E48" s="58">
        <v>2</v>
      </c>
      <c r="F48" s="48">
        <f t="shared" si="1"/>
        <v>70</v>
      </c>
      <c r="G48" s="58">
        <f t="shared" si="8"/>
        <v>72</v>
      </c>
      <c r="H48" s="58">
        <f t="shared" si="9"/>
        <v>71</v>
      </c>
      <c r="I48" s="48">
        <f t="shared" si="2"/>
        <v>73</v>
      </c>
      <c r="J48" s="58">
        <f t="shared" si="10"/>
        <v>1</v>
      </c>
      <c r="K48" s="49">
        <f t="shared" si="4"/>
        <v>0</v>
      </c>
      <c r="L48" s="58"/>
      <c r="M48">
        <v>32</v>
      </c>
    </row>
    <row r="49" spans="1:13" hidden="1">
      <c r="A49" s="51">
        <v>47</v>
      </c>
      <c r="B49" s="62" t="s">
        <v>84</v>
      </c>
      <c r="C49" s="58">
        <v>33</v>
      </c>
      <c r="D49" s="58">
        <v>39</v>
      </c>
      <c r="E49" s="58">
        <v>0</v>
      </c>
      <c r="F49" s="48">
        <f t="shared" si="1"/>
        <v>70</v>
      </c>
      <c r="G49" s="58">
        <f t="shared" si="8"/>
        <v>70</v>
      </c>
      <c r="H49" s="58">
        <f t="shared" si="9"/>
        <v>70</v>
      </c>
      <c r="I49" s="48">
        <f t="shared" si="2"/>
        <v>70</v>
      </c>
      <c r="J49" s="58" t="str">
        <f t="shared" si="10"/>
        <v>-</v>
      </c>
      <c r="K49" s="49" t="str">
        <f t="shared" si="4"/>
        <v>-</v>
      </c>
      <c r="L49" s="58"/>
      <c r="M49">
        <v>32</v>
      </c>
    </row>
    <row r="50" spans="1:13" ht="36">
      <c r="A50" s="51">
        <v>48</v>
      </c>
      <c r="B50" s="62" t="s">
        <v>153</v>
      </c>
      <c r="C50" s="58">
        <v>34</v>
      </c>
      <c r="D50" s="58">
        <v>35</v>
      </c>
      <c r="E50" s="58">
        <v>3</v>
      </c>
      <c r="F50" s="48">
        <f t="shared" si="1"/>
        <v>72</v>
      </c>
      <c r="G50" s="58">
        <f t="shared" si="8"/>
        <v>75</v>
      </c>
      <c r="H50" s="58">
        <f t="shared" si="9"/>
        <v>73</v>
      </c>
      <c r="I50" s="48">
        <f t="shared" si="2"/>
        <v>76</v>
      </c>
      <c r="J50" s="58">
        <f t="shared" si="10"/>
        <v>1</v>
      </c>
      <c r="K50" s="49">
        <f t="shared" si="4"/>
        <v>0</v>
      </c>
      <c r="L50" s="58"/>
      <c r="M50">
        <v>33</v>
      </c>
    </row>
    <row r="51" spans="1:13" hidden="1">
      <c r="A51" s="51">
        <v>49</v>
      </c>
      <c r="B51" s="62" t="s">
        <v>84</v>
      </c>
      <c r="C51" s="58">
        <v>34</v>
      </c>
      <c r="D51" s="58">
        <v>41</v>
      </c>
      <c r="E51" s="58">
        <v>0</v>
      </c>
      <c r="F51" s="48">
        <f t="shared" si="1"/>
        <v>72</v>
      </c>
      <c r="G51" s="58">
        <f t="shared" si="8"/>
        <v>72</v>
      </c>
      <c r="H51" s="58">
        <f t="shared" si="9"/>
        <v>75</v>
      </c>
      <c r="I51" s="48">
        <f t="shared" si="2"/>
        <v>75</v>
      </c>
      <c r="J51" s="58" t="str">
        <f t="shared" si="10"/>
        <v>-</v>
      </c>
      <c r="K51" s="49" t="str">
        <f t="shared" si="4"/>
        <v>-</v>
      </c>
      <c r="L51" s="58"/>
      <c r="M51">
        <v>33</v>
      </c>
    </row>
    <row r="52" spans="1:13" ht="48">
      <c r="A52" s="51">
        <v>50</v>
      </c>
      <c r="B52" s="62" t="s">
        <v>154</v>
      </c>
      <c r="C52" s="58">
        <v>35</v>
      </c>
      <c r="D52" s="58">
        <v>36</v>
      </c>
      <c r="E52" s="58">
        <v>4</v>
      </c>
      <c r="F52" s="48">
        <f t="shared" si="1"/>
        <v>75</v>
      </c>
      <c r="G52" s="58">
        <f t="shared" si="8"/>
        <v>79</v>
      </c>
      <c r="H52" s="58">
        <f t="shared" si="9"/>
        <v>76</v>
      </c>
      <c r="I52" s="48">
        <f t="shared" si="2"/>
        <v>80</v>
      </c>
      <c r="J52" s="58">
        <f t="shared" si="10"/>
        <v>1</v>
      </c>
      <c r="K52" s="49">
        <f t="shared" si="4"/>
        <v>0</v>
      </c>
      <c r="L52" s="58"/>
      <c r="M52">
        <v>34</v>
      </c>
    </row>
    <row r="53" spans="1:13" hidden="1">
      <c r="A53" s="51">
        <v>51</v>
      </c>
      <c r="B53" s="62" t="s">
        <v>84</v>
      </c>
      <c r="C53" s="58">
        <v>35</v>
      </c>
      <c r="D53" s="58">
        <v>43</v>
      </c>
      <c r="E53" s="58">
        <v>0</v>
      </c>
      <c r="F53" s="48">
        <f t="shared" si="1"/>
        <v>75</v>
      </c>
      <c r="G53" s="58">
        <f t="shared" si="8"/>
        <v>75</v>
      </c>
      <c r="H53" s="58">
        <f t="shared" si="9"/>
        <v>77</v>
      </c>
      <c r="I53" s="48">
        <f t="shared" si="2"/>
        <v>77</v>
      </c>
      <c r="J53" s="58" t="str">
        <f t="shared" si="10"/>
        <v>-</v>
      </c>
      <c r="K53" s="49" t="str">
        <f t="shared" si="4"/>
        <v>-</v>
      </c>
      <c r="L53" s="58"/>
      <c r="M53">
        <v>34</v>
      </c>
    </row>
    <row r="54" spans="1:13" ht="36">
      <c r="A54" s="51">
        <v>52</v>
      </c>
      <c r="B54" s="62" t="s">
        <v>155</v>
      </c>
      <c r="C54" s="58">
        <v>36</v>
      </c>
      <c r="D54" s="58">
        <v>37</v>
      </c>
      <c r="E54" s="58">
        <v>2</v>
      </c>
      <c r="F54" s="48">
        <f t="shared" si="1"/>
        <v>79</v>
      </c>
      <c r="G54" s="58">
        <f t="shared" si="8"/>
        <v>81</v>
      </c>
      <c r="H54" s="58">
        <f t="shared" si="9"/>
        <v>80</v>
      </c>
      <c r="I54" s="48">
        <f t="shared" si="2"/>
        <v>82</v>
      </c>
      <c r="J54" s="58">
        <f t="shared" si="10"/>
        <v>1</v>
      </c>
      <c r="K54" s="49">
        <f t="shared" si="4"/>
        <v>0</v>
      </c>
      <c r="L54" s="58"/>
      <c r="M54">
        <v>35</v>
      </c>
    </row>
    <row r="55" spans="1:13" hidden="1">
      <c r="A55" s="51">
        <v>53</v>
      </c>
      <c r="B55" s="62" t="s">
        <v>84</v>
      </c>
      <c r="C55" s="58">
        <v>36</v>
      </c>
      <c r="D55" s="58">
        <v>45</v>
      </c>
      <c r="E55" s="58">
        <v>0</v>
      </c>
      <c r="F55" s="48">
        <f t="shared" si="1"/>
        <v>79</v>
      </c>
      <c r="G55" s="58">
        <f t="shared" si="8"/>
        <v>79</v>
      </c>
      <c r="H55" s="58">
        <f t="shared" si="9"/>
        <v>80</v>
      </c>
      <c r="I55" s="48">
        <f t="shared" si="2"/>
        <v>80</v>
      </c>
      <c r="J55" s="58" t="str">
        <f t="shared" si="10"/>
        <v>-</v>
      </c>
      <c r="K55" s="49" t="str">
        <f t="shared" si="4"/>
        <v>-</v>
      </c>
      <c r="L55" s="58"/>
      <c r="M55">
        <v>35</v>
      </c>
    </row>
    <row r="56" spans="1:13" ht="36">
      <c r="A56" s="51">
        <v>54</v>
      </c>
      <c r="B56" s="62" t="s">
        <v>156</v>
      </c>
      <c r="C56" s="58">
        <v>37</v>
      </c>
      <c r="D56" s="58">
        <v>38</v>
      </c>
      <c r="E56" s="58">
        <v>1</v>
      </c>
      <c r="F56" s="48">
        <f t="shared" si="1"/>
        <v>81</v>
      </c>
      <c r="G56" s="58">
        <f t="shared" si="8"/>
        <v>82</v>
      </c>
      <c r="H56" s="58">
        <f t="shared" si="9"/>
        <v>82</v>
      </c>
      <c r="I56" s="48">
        <f t="shared" si="2"/>
        <v>83</v>
      </c>
      <c r="J56" s="58">
        <f t="shared" si="10"/>
        <v>1</v>
      </c>
      <c r="K56" s="49">
        <f t="shared" si="4"/>
        <v>0</v>
      </c>
      <c r="L56" s="58"/>
      <c r="M56">
        <v>36</v>
      </c>
    </row>
    <row r="57" spans="1:13" hidden="1">
      <c r="A57" s="51">
        <v>55</v>
      </c>
      <c r="B57" s="62" t="s">
        <v>84</v>
      </c>
      <c r="C57" s="58">
        <v>37</v>
      </c>
      <c r="D57" s="58">
        <v>47</v>
      </c>
      <c r="E57" s="58">
        <v>0</v>
      </c>
      <c r="F57" s="48">
        <f t="shared" si="1"/>
        <v>81</v>
      </c>
      <c r="G57" s="58">
        <f t="shared" si="8"/>
        <v>81</v>
      </c>
      <c r="H57" s="58">
        <f t="shared" si="9"/>
        <v>82</v>
      </c>
      <c r="I57" s="48">
        <f t="shared" si="2"/>
        <v>82</v>
      </c>
      <c r="J57" s="58" t="str">
        <f t="shared" si="10"/>
        <v>-</v>
      </c>
      <c r="K57" s="49" t="str">
        <f t="shared" si="4"/>
        <v>-</v>
      </c>
      <c r="L57" s="58"/>
      <c r="M57">
        <v>36</v>
      </c>
    </row>
    <row r="58" spans="1:13" hidden="1">
      <c r="A58" s="51">
        <v>56</v>
      </c>
      <c r="B58" s="62" t="s">
        <v>84</v>
      </c>
      <c r="C58" s="58">
        <v>38</v>
      </c>
      <c r="D58" s="58">
        <v>49</v>
      </c>
      <c r="E58" s="58">
        <v>0</v>
      </c>
      <c r="F58" s="48">
        <f t="shared" si="1"/>
        <v>82</v>
      </c>
      <c r="G58" s="58">
        <f t="shared" si="8"/>
        <v>82</v>
      </c>
      <c r="H58" s="58">
        <f t="shared" si="9"/>
        <v>83</v>
      </c>
      <c r="I58" s="48">
        <f t="shared" si="2"/>
        <v>83</v>
      </c>
      <c r="J58" s="58" t="str">
        <f t="shared" si="10"/>
        <v>-</v>
      </c>
      <c r="K58" s="49" t="str">
        <f t="shared" si="4"/>
        <v>-</v>
      </c>
      <c r="L58" s="58"/>
      <c r="M58">
        <v>37</v>
      </c>
    </row>
    <row r="59" spans="1:13" ht="24">
      <c r="A59" s="51">
        <v>57</v>
      </c>
      <c r="B59" s="62" t="s">
        <v>149</v>
      </c>
      <c r="C59" s="58">
        <v>39</v>
      </c>
      <c r="D59" s="58">
        <v>40</v>
      </c>
      <c r="E59" s="58">
        <v>5</v>
      </c>
      <c r="F59" s="48">
        <f t="shared" si="1"/>
        <v>70</v>
      </c>
      <c r="G59" s="58">
        <f t="shared" si="8"/>
        <v>75</v>
      </c>
      <c r="H59" s="58">
        <f t="shared" si="9"/>
        <v>70</v>
      </c>
      <c r="I59" s="48">
        <f t="shared" si="2"/>
        <v>75</v>
      </c>
      <c r="J59" s="58">
        <f t="shared" si="10"/>
        <v>0</v>
      </c>
      <c r="K59" s="49">
        <f t="shared" si="4"/>
        <v>0</v>
      </c>
      <c r="L59" s="58"/>
      <c r="M59">
        <v>33</v>
      </c>
    </row>
    <row r="60" spans="1:13" hidden="1">
      <c r="A60" s="51">
        <v>58</v>
      </c>
      <c r="B60" s="62" t="s">
        <v>84</v>
      </c>
      <c r="C60" s="58">
        <v>40</v>
      </c>
      <c r="D60" s="58">
        <v>41</v>
      </c>
      <c r="E60" s="58">
        <v>0</v>
      </c>
      <c r="F60" s="48">
        <f t="shared" si="1"/>
        <v>75</v>
      </c>
      <c r="G60" s="58">
        <f t="shared" si="8"/>
        <v>75</v>
      </c>
      <c r="H60" s="58">
        <f t="shared" si="9"/>
        <v>75</v>
      </c>
      <c r="I60" s="48">
        <f t="shared" si="2"/>
        <v>75</v>
      </c>
      <c r="J60" s="58" t="str">
        <f t="shared" si="10"/>
        <v>-</v>
      </c>
      <c r="K60" s="49" t="str">
        <f t="shared" si="4"/>
        <v>-</v>
      </c>
      <c r="L60" s="58"/>
      <c r="M60">
        <v>39</v>
      </c>
    </row>
    <row r="61" spans="1:13" ht="24">
      <c r="A61" s="51">
        <v>59</v>
      </c>
      <c r="B61" s="62" t="s">
        <v>152</v>
      </c>
      <c r="C61" s="58">
        <v>41</v>
      </c>
      <c r="D61" s="58">
        <v>42</v>
      </c>
      <c r="E61" s="58">
        <v>2</v>
      </c>
      <c r="F61" s="48">
        <f t="shared" si="1"/>
        <v>75</v>
      </c>
      <c r="G61" s="58">
        <f t="shared" si="8"/>
        <v>77</v>
      </c>
      <c r="H61" s="58">
        <f t="shared" si="9"/>
        <v>75</v>
      </c>
      <c r="I61" s="48">
        <f t="shared" si="2"/>
        <v>77</v>
      </c>
      <c r="J61" s="58">
        <f t="shared" si="10"/>
        <v>0</v>
      </c>
      <c r="K61" s="49">
        <f t="shared" si="4"/>
        <v>0</v>
      </c>
      <c r="L61" s="58"/>
      <c r="M61" t="s">
        <v>169</v>
      </c>
    </row>
    <row r="62" spans="1:13" hidden="1">
      <c r="A62" s="51">
        <v>60</v>
      </c>
      <c r="B62" s="62" t="s">
        <v>84</v>
      </c>
      <c r="C62" s="58">
        <v>42</v>
      </c>
      <c r="D62" s="58">
        <v>43</v>
      </c>
      <c r="E62" s="58">
        <v>0</v>
      </c>
      <c r="F62" s="48">
        <f t="shared" si="1"/>
        <v>77</v>
      </c>
      <c r="G62" s="58">
        <f t="shared" si="8"/>
        <v>77</v>
      </c>
      <c r="H62" s="58">
        <f t="shared" si="9"/>
        <v>77</v>
      </c>
      <c r="I62" s="48">
        <f t="shared" si="2"/>
        <v>77</v>
      </c>
      <c r="J62" s="58" t="str">
        <f t="shared" si="10"/>
        <v>-</v>
      </c>
      <c r="K62" s="49" t="str">
        <f t="shared" si="4"/>
        <v>-</v>
      </c>
      <c r="L62" s="58"/>
      <c r="M62">
        <v>41</v>
      </c>
    </row>
    <row r="63" spans="1:13" ht="36">
      <c r="A63" s="51">
        <v>61</v>
      </c>
      <c r="B63" s="62" t="s">
        <v>153</v>
      </c>
      <c r="C63" s="58">
        <v>43</v>
      </c>
      <c r="D63" s="58">
        <v>44</v>
      </c>
      <c r="E63" s="58">
        <v>3</v>
      </c>
      <c r="F63" s="48">
        <f t="shared" si="1"/>
        <v>77</v>
      </c>
      <c r="G63" s="58">
        <f t="shared" si="8"/>
        <v>80</v>
      </c>
      <c r="H63" s="58">
        <f t="shared" si="9"/>
        <v>77</v>
      </c>
      <c r="I63" s="48">
        <f t="shared" si="2"/>
        <v>80</v>
      </c>
      <c r="J63" s="58">
        <f t="shared" si="10"/>
        <v>0</v>
      </c>
      <c r="K63" s="49">
        <f t="shared" si="4"/>
        <v>0</v>
      </c>
      <c r="L63" s="58"/>
      <c r="M63" t="s">
        <v>170</v>
      </c>
    </row>
    <row r="64" spans="1:13" hidden="1">
      <c r="A64" s="51">
        <v>62</v>
      </c>
      <c r="B64" s="62" t="s">
        <v>84</v>
      </c>
      <c r="C64" s="58">
        <v>44</v>
      </c>
      <c r="D64" s="58">
        <v>45</v>
      </c>
      <c r="E64" s="58">
        <v>0</v>
      </c>
      <c r="F64" s="48">
        <f t="shared" si="1"/>
        <v>80</v>
      </c>
      <c r="G64" s="58">
        <f t="shared" si="8"/>
        <v>80</v>
      </c>
      <c r="H64" s="58">
        <f t="shared" si="9"/>
        <v>80</v>
      </c>
      <c r="I64" s="48">
        <f t="shared" si="2"/>
        <v>80</v>
      </c>
      <c r="J64" s="58" t="str">
        <f t="shared" si="10"/>
        <v>-</v>
      </c>
      <c r="K64" s="49" t="str">
        <f t="shared" si="4"/>
        <v>-</v>
      </c>
      <c r="L64" s="58"/>
      <c r="M64">
        <v>43</v>
      </c>
    </row>
    <row r="65" spans="1:13" ht="48">
      <c r="A65" s="51">
        <v>63</v>
      </c>
      <c r="B65" s="62" t="s">
        <v>154</v>
      </c>
      <c r="C65" s="58">
        <v>45</v>
      </c>
      <c r="D65" s="58">
        <v>46</v>
      </c>
      <c r="E65" s="58">
        <v>2</v>
      </c>
      <c r="F65" s="48">
        <f t="shared" si="1"/>
        <v>80</v>
      </c>
      <c r="G65" s="58">
        <f t="shared" si="8"/>
        <v>82</v>
      </c>
      <c r="H65" s="58">
        <f t="shared" si="9"/>
        <v>80</v>
      </c>
      <c r="I65" s="48">
        <f t="shared" si="2"/>
        <v>82</v>
      </c>
      <c r="J65" s="58">
        <f t="shared" si="10"/>
        <v>0</v>
      </c>
      <c r="K65" s="49">
        <f t="shared" si="4"/>
        <v>0</v>
      </c>
      <c r="L65" s="58"/>
      <c r="M65" t="s">
        <v>171</v>
      </c>
    </row>
    <row r="66" spans="1:13" hidden="1">
      <c r="A66" s="51">
        <v>64</v>
      </c>
      <c r="B66" s="62" t="s">
        <v>84</v>
      </c>
      <c r="C66" s="58">
        <v>46</v>
      </c>
      <c r="D66" s="58">
        <v>47</v>
      </c>
      <c r="E66" s="58">
        <v>0</v>
      </c>
      <c r="F66" s="48">
        <f t="shared" si="1"/>
        <v>82</v>
      </c>
      <c r="G66" s="58">
        <f t="shared" si="8"/>
        <v>82</v>
      </c>
      <c r="H66" s="58">
        <f t="shared" si="9"/>
        <v>82</v>
      </c>
      <c r="I66" s="48">
        <f t="shared" si="2"/>
        <v>82</v>
      </c>
      <c r="J66" s="58" t="str">
        <f t="shared" si="10"/>
        <v>-</v>
      </c>
      <c r="K66" s="49" t="str">
        <f t="shared" si="4"/>
        <v>-</v>
      </c>
      <c r="L66" s="58"/>
      <c r="M66">
        <v>45</v>
      </c>
    </row>
    <row r="67" spans="1:13" ht="36">
      <c r="A67" s="51">
        <v>65</v>
      </c>
      <c r="B67" s="62" t="s">
        <v>155</v>
      </c>
      <c r="C67" s="58">
        <v>47</v>
      </c>
      <c r="D67" s="58">
        <v>48</v>
      </c>
      <c r="E67" s="58">
        <v>1</v>
      </c>
      <c r="F67" s="48">
        <f t="shared" si="1"/>
        <v>82</v>
      </c>
      <c r="G67" s="58">
        <f t="shared" si="8"/>
        <v>83</v>
      </c>
      <c r="H67" s="58">
        <f t="shared" si="9"/>
        <v>82</v>
      </c>
      <c r="I67" s="48">
        <f t="shared" si="2"/>
        <v>83</v>
      </c>
      <c r="J67" s="58">
        <f t="shared" si="10"/>
        <v>0</v>
      </c>
      <c r="K67" s="49">
        <f t="shared" si="4"/>
        <v>0</v>
      </c>
      <c r="L67" s="58"/>
      <c r="M67" t="s">
        <v>172</v>
      </c>
    </row>
    <row r="68" spans="1:13" hidden="1">
      <c r="A68" s="51">
        <v>66</v>
      </c>
      <c r="B68" s="62" t="s">
        <v>84</v>
      </c>
      <c r="C68" s="58">
        <v>48</v>
      </c>
      <c r="D68" s="58">
        <v>49</v>
      </c>
      <c r="E68" s="58">
        <v>0</v>
      </c>
      <c r="F68" s="48">
        <f t="shared" ref="F68:F74" si="11">IF($C68=1,0,_xlfn.MAXIFS($G$3:$G$75,$D$3:$D$75,$C68))</f>
        <v>83</v>
      </c>
      <c r="G68" s="58">
        <f t="shared" si="8"/>
        <v>83</v>
      </c>
      <c r="H68" s="58">
        <f t="shared" si="9"/>
        <v>83</v>
      </c>
      <c r="I68" s="48">
        <f t="shared" ref="I68:I75" si="12">IF($D68=MAX($D$3:$D$75),MAX($G$3:$G$75),_xlfn.MINIFS($H$3:$H$75,$C$3:$C$75,$D68))</f>
        <v>83</v>
      </c>
      <c r="J68" s="58" t="str">
        <f t="shared" si="10"/>
        <v>-</v>
      </c>
      <c r="K68" s="49" t="str">
        <f t="shared" ref="K68:K75" si="13">IF($E68=0,"-",_xlfn.MAXIFS($G$3:$G$75,$D$3:$D$75,$D68)-($F68+$E68))</f>
        <v>-</v>
      </c>
      <c r="L68" s="58"/>
      <c r="M68">
        <v>47</v>
      </c>
    </row>
    <row r="69" spans="1:13" ht="36">
      <c r="A69" s="51">
        <v>67</v>
      </c>
      <c r="B69" s="62" t="s">
        <v>156</v>
      </c>
      <c r="C69" s="58">
        <v>49</v>
      </c>
      <c r="D69" s="58">
        <v>50</v>
      </c>
      <c r="E69" s="58">
        <v>1</v>
      </c>
      <c r="F69" s="48">
        <f t="shared" si="11"/>
        <v>83</v>
      </c>
      <c r="G69" s="58">
        <f t="shared" si="8"/>
        <v>84</v>
      </c>
      <c r="H69" s="58">
        <f t="shared" si="9"/>
        <v>83</v>
      </c>
      <c r="I69" s="48">
        <f t="shared" si="12"/>
        <v>84</v>
      </c>
      <c r="J69" s="58">
        <f t="shared" si="10"/>
        <v>0</v>
      </c>
      <c r="K69" s="49">
        <f t="shared" si="13"/>
        <v>0</v>
      </c>
      <c r="L69" s="58"/>
      <c r="M69" t="s">
        <v>173</v>
      </c>
    </row>
    <row r="70" spans="1:13">
      <c r="A70" s="51">
        <v>68</v>
      </c>
      <c r="B70" s="62" t="s">
        <v>109</v>
      </c>
      <c r="C70" s="58">
        <v>50</v>
      </c>
      <c r="D70" s="58">
        <v>52</v>
      </c>
      <c r="E70" s="58">
        <v>7</v>
      </c>
      <c r="F70" s="48">
        <f t="shared" si="11"/>
        <v>84</v>
      </c>
      <c r="G70" s="58">
        <f t="shared" si="8"/>
        <v>91</v>
      </c>
      <c r="H70" s="58">
        <f t="shared" si="9"/>
        <v>84</v>
      </c>
      <c r="I70" s="48">
        <f t="shared" si="12"/>
        <v>91</v>
      </c>
      <c r="J70" s="58">
        <f t="shared" si="10"/>
        <v>0</v>
      </c>
      <c r="K70" s="49">
        <f t="shared" si="13"/>
        <v>0</v>
      </c>
      <c r="L70" s="58"/>
      <c r="M70">
        <v>49</v>
      </c>
    </row>
    <row r="71" spans="1:13" hidden="1">
      <c r="A71" s="51">
        <v>69</v>
      </c>
      <c r="B71" s="62" t="s">
        <v>84</v>
      </c>
      <c r="C71" s="58">
        <v>51</v>
      </c>
      <c r="D71" s="58">
        <v>52</v>
      </c>
      <c r="E71" s="58">
        <v>0</v>
      </c>
      <c r="F71" s="48">
        <f t="shared" si="11"/>
        <v>69</v>
      </c>
      <c r="G71" s="58">
        <f t="shared" si="8"/>
        <v>69</v>
      </c>
      <c r="H71" s="58">
        <f t="shared" si="9"/>
        <v>91</v>
      </c>
      <c r="I71" s="48">
        <f t="shared" si="12"/>
        <v>91</v>
      </c>
      <c r="J71" s="58" t="str">
        <f t="shared" si="10"/>
        <v>-</v>
      </c>
      <c r="K71" s="49" t="str">
        <f t="shared" si="13"/>
        <v>-</v>
      </c>
      <c r="L71" s="58"/>
      <c r="M71">
        <v>32</v>
      </c>
    </row>
    <row r="72" spans="1:13" ht="24">
      <c r="A72" s="51">
        <v>70</v>
      </c>
      <c r="B72" s="62" t="s">
        <v>90</v>
      </c>
      <c r="C72" s="58">
        <v>52</v>
      </c>
      <c r="D72" s="58">
        <v>53</v>
      </c>
      <c r="E72" s="58">
        <v>5</v>
      </c>
      <c r="F72" s="48">
        <f t="shared" si="11"/>
        <v>91</v>
      </c>
      <c r="G72" s="58">
        <f t="shared" si="8"/>
        <v>96</v>
      </c>
      <c r="H72" s="58">
        <f t="shared" si="9"/>
        <v>91</v>
      </c>
      <c r="I72" s="48">
        <f t="shared" si="12"/>
        <v>96</v>
      </c>
      <c r="J72" s="58">
        <f t="shared" si="10"/>
        <v>0</v>
      </c>
      <c r="K72" s="49">
        <f t="shared" si="13"/>
        <v>0</v>
      </c>
      <c r="L72" s="58"/>
      <c r="M72" t="s">
        <v>174</v>
      </c>
    </row>
    <row r="73" spans="1:13">
      <c r="A73" s="51">
        <v>71</v>
      </c>
      <c r="B73" s="62" t="s">
        <v>91</v>
      </c>
      <c r="C73" s="58">
        <v>53</v>
      </c>
      <c r="D73" s="58">
        <v>54</v>
      </c>
      <c r="E73" s="58">
        <v>1</v>
      </c>
      <c r="F73" s="48">
        <f t="shared" si="11"/>
        <v>96</v>
      </c>
      <c r="G73" s="58">
        <f t="shared" si="8"/>
        <v>97</v>
      </c>
      <c r="H73" s="58">
        <f t="shared" si="9"/>
        <v>96</v>
      </c>
      <c r="I73" s="48">
        <f t="shared" si="12"/>
        <v>97</v>
      </c>
      <c r="J73" s="58">
        <f t="shared" si="10"/>
        <v>0</v>
      </c>
      <c r="K73" s="49">
        <f t="shared" si="13"/>
        <v>0</v>
      </c>
      <c r="L73" s="58"/>
      <c r="M73">
        <v>52</v>
      </c>
    </row>
    <row r="74" spans="1:13" ht="24">
      <c r="A74" s="51">
        <v>72</v>
      </c>
      <c r="B74" s="62" t="s">
        <v>94</v>
      </c>
      <c r="C74" s="58">
        <v>54</v>
      </c>
      <c r="D74" s="58">
        <v>55</v>
      </c>
      <c r="E74" s="58">
        <v>3</v>
      </c>
      <c r="F74" s="48">
        <f t="shared" si="11"/>
        <v>97</v>
      </c>
      <c r="G74" s="58">
        <f t="shared" si="8"/>
        <v>100</v>
      </c>
      <c r="H74" s="58">
        <f t="shared" si="9"/>
        <v>97</v>
      </c>
      <c r="I74" s="48">
        <f t="shared" si="12"/>
        <v>100</v>
      </c>
      <c r="J74" s="58">
        <f t="shared" si="10"/>
        <v>0</v>
      </c>
      <c r="K74" s="49">
        <f t="shared" si="13"/>
        <v>0</v>
      </c>
      <c r="L74" s="58"/>
      <c r="M74" t="s">
        <v>175</v>
      </c>
    </row>
    <row r="75" spans="1:13">
      <c r="A75" s="51">
        <v>73</v>
      </c>
      <c r="B75" s="62" t="s">
        <v>157</v>
      </c>
      <c r="C75" s="58">
        <v>55</v>
      </c>
      <c r="D75" s="58">
        <v>56</v>
      </c>
      <c r="E75" s="58">
        <v>1</v>
      </c>
      <c r="F75" s="48">
        <f>IF($C75=1,0,_xlfn.MAXIFS($G$3:$G$75,$D$3:$D$75,$C75))</f>
        <v>100</v>
      </c>
      <c r="G75" s="63">
        <f t="shared" si="8"/>
        <v>101</v>
      </c>
      <c r="H75" s="58">
        <f t="shared" si="9"/>
        <v>100</v>
      </c>
      <c r="I75" s="48">
        <f t="shared" si="12"/>
        <v>101</v>
      </c>
      <c r="J75" s="58">
        <f t="shared" si="10"/>
        <v>0</v>
      </c>
      <c r="K75" s="49">
        <f t="shared" si="13"/>
        <v>0</v>
      </c>
      <c r="L75" s="58"/>
      <c r="M75">
        <v>54</v>
      </c>
    </row>
    <row r="76" spans="1:13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3">
      <c r="C77" s="58"/>
    </row>
    <row r="78" spans="1:13">
      <c r="C78" s="58"/>
      <c r="G78">
        <f>G75/21</f>
        <v>4.8095238095238093</v>
      </c>
      <c r="H78" t="s">
        <v>110</v>
      </c>
    </row>
    <row r="79" spans="1:13">
      <c r="C79" s="58"/>
    </row>
    <row r="80" spans="1:13">
      <c r="C80" s="58"/>
    </row>
    <row r="81" spans="3:3">
      <c r="C81" s="58"/>
    </row>
    <row r="82" spans="3:3">
      <c r="C82" s="58"/>
    </row>
    <row r="83" spans="3:3">
      <c r="C83" s="58"/>
    </row>
    <row r="84" spans="3:3">
      <c r="C84" s="58"/>
    </row>
    <row r="85" spans="3:3">
      <c r="C85" s="58"/>
    </row>
    <row r="86" spans="3:3">
      <c r="C86" s="58"/>
    </row>
    <row r="87" spans="3:3">
      <c r="C87" s="58"/>
    </row>
    <row r="88" spans="3:3">
      <c r="C88" s="58"/>
    </row>
    <row r="89" spans="3:3">
      <c r="C89" s="58"/>
    </row>
    <row r="90" spans="3:3">
      <c r="C90" s="58"/>
    </row>
    <row r="91" spans="3:3">
      <c r="C91" s="58"/>
    </row>
  </sheetData>
  <autoFilter ref="B3:B75" xr:uid="{14FA9926-6068-4E82-9207-2F191EC7DAAC}">
    <filterColumn colId="0">
      <filters>
        <filter val="_x000a_Укладка_x000a_блоков и плит ленточных фундаментов"/>
        <filter val="_x000a_Укладка_x000a_плит перекрытий"/>
        <filter val="_x000a_Укладка_x000a_ригелей"/>
        <filter val="_x000a_Установка_x000a_диафрагм жесткости"/>
        <filter val="_x000a_Установка_x000a_колонн прямоугольного сечения в стаканы фундаментов зданий"/>
        <filter val="Ввод в эксплуатацию"/>
        <filter val="Дороги, подъезды_x000a_тротуары"/>
        <filter val="Монтаж оборудования"/>
        <filter val="Озеленение"/>
        <filter val="Прочие и неучтенные_x000a_общестроительные работы"/>
        <filter val="Пусконаладочные_x000a_работы"/>
        <filter val="Разработка грунта в отвал в котлованах"/>
        <filter val="Сантехнические работы 1-я стадия"/>
        <filter val="Сантехнические работы 2-я стадия"/>
        <filter val="Укладка фундаментов под колонны"/>
        <filter val="Укладка_x000a_перемычек"/>
        <filter val="Установка_x000a_в жилых и общественных зданиях блоков оконных с переплетами"/>
        <filter val="Установка_x000a_деревянных дверных блоков"/>
        <filter val="Установка_x000a_деревянных подоконных досок в каменных стенах"/>
        <filter val="Установка_x000a_перегородок из гипсовых плит"/>
        <filter val="Устройство_x000a_кровель"/>
        <filter val="Устройство_x000a_лестничных маршей в опалубке"/>
        <filter val="Устройство_x000a_покрытий"/>
        <filter val="Устройство_x000a_покрытий на цементном растворе из плиток"/>
        <filter val="Устройство_x000a_полов бетонных толщиной"/>
        <filter val="Электромонтажные работы 1 стадия"/>
        <filter val="Электромонтажные работы 2 стадия"/>
      </filters>
    </filterColumn>
  </autoFilter>
  <mergeCells count="8">
    <mergeCell ref="J1:K1"/>
    <mergeCell ref="M1:M2"/>
    <mergeCell ref="A1:A2"/>
    <mergeCell ref="B1:B2"/>
    <mergeCell ref="C1:C2"/>
    <mergeCell ref="D1:D2"/>
    <mergeCell ref="E1:E2"/>
    <mergeCell ref="F1:I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6468-C467-4767-9D05-B1143D2C9113}">
  <dimension ref="A1:H208"/>
  <sheetViews>
    <sheetView zoomScale="115" zoomScaleNormal="115" workbookViewId="0">
      <selection activeCell="K19" sqref="K19"/>
    </sheetView>
  </sheetViews>
  <sheetFormatPr defaultColWidth="9.109375" defaultRowHeight="14.4"/>
  <cols>
    <col min="1" max="16384" width="9.109375" style="64"/>
  </cols>
  <sheetData>
    <row r="1" spans="1:8">
      <c r="A1" s="64" t="s">
        <v>1</v>
      </c>
      <c r="B1" s="64" t="s">
        <v>277</v>
      </c>
      <c r="C1" s="64" t="s">
        <v>271</v>
      </c>
      <c r="D1" s="64" t="s">
        <v>276</v>
      </c>
      <c r="E1" s="64" t="s">
        <v>275</v>
      </c>
      <c r="F1" s="64" t="s">
        <v>274</v>
      </c>
      <c r="G1" s="64" t="s">
        <v>273</v>
      </c>
      <c r="H1" s="64" t="s">
        <v>271</v>
      </c>
    </row>
    <row r="2" spans="1:8">
      <c r="A2" s="64" t="s">
        <v>271</v>
      </c>
      <c r="B2" s="64" t="s">
        <v>272</v>
      </c>
      <c r="C2" s="64" t="s">
        <v>269</v>
      </c>
      <c r="D2" s="64" t="s">
        <v>271</v>
      </c>
      <c r="E2" s="64" t="s">
        <v>271</v>
      </c>
      <c r="F2" s="64" t="s">
        <v>271</v>
      </c>
      <c r="G2" s="64" t="s">
        <v>270</v>
      </c>
      <c r="H2" s="64" t="s">
        <v>269</v>
      </c>
    </row>
    <row r="3" spans="1:8">
      <c r="A3" s="64" t="s">
        <v>22</v>
      </c>
      <c r="B3" s="64" t="s">
        <v>58</v>
      </c>
      <c r="C3" s="64">
        <v>0.17324999999999999</v>
      </c>
      <c r="D3" s="64" t="s">
        <v>268</v>
      </c>
    </row>
    <row r="4" spans="1:8">
      <c r="E4" s="64" t="s">
        <v>224</v>
      </c>
      <c r="F4" s="64" t="s">
        <v>223</v>
      </c>
      <c r="G4" s="64">
        <v>100</v>
      </c>
      <c r="H4" s="64">
        <v>17.324999999999999</v>
      </c>
    </row>
    <row r="5" spans="1:8">
      <c r="E5" s="64" t="s">
        <v>227</v>
      </c>
      <c r="F5" s="64" t="s">
        <v>181</v>
      </c>
      <c r="G5" s="64">
        <v>39.5</v>
      </c>
      <c r="H5" s="64">
        <v>6.8433749999999991</v>
      </c>
    </row>
    <row r="6" spans="1:8">
      <c r="A6" s="64" t="s">
        <v>23</v>
      </c>
      <c r="B6" s="64" t="s">
        <v>58</v>
      </c>
      <c r="C6" s="64">
        <v>1.3860000000000001E-2</v>
      </c>
      <c r="D6" s="64" t="s">
        <v>256</v>
      </c>
    </row>
    <row r="7" spans="1:8">
      <c r="E7" s="64" t="s">
        <v>243</v>
      </c>
      <c r="F7" s="64" t="s">
        <v>183</v>
      </c>
      <c r="G7" s="64">
        <v>8.0000000000000002E-3</v>
      </c>
      <c r="H7" s="64">
        <v>1.1088E-4</v>
      </c>
    </row>
    <row r="8" spans="1:8">
      <c r="E8" s="64" t="s">
        <v>241</v>
      </c>
      <c r="F8" s="64" t="s">
        <v>183</v>
      </c>
      <c r="G8" s="64">
        <v>9.5999999999999992E-3</v>
      </c>
      <c r="H8" s="64">
        <v>1.3305599999999999E-4</v>
      </c>
    </row>
    <row r="9" spans="1:8">
      <c r="E9" s="64" t="s">
        <v>240</v>
      </c>
      <c r="F9" s="64" t="s">
        <v>183</v>
      </c>
      <c r="G9" s="64">
        <v>0.08</v>
      </c>
      <c r="H9" s="64">
        <v>1.1088000000000001E-3</v>
      </c>
    </row>
    <row r="10" spans="1:8">
      <c r="E10" s="64" t="s">
        <v>239</v>
      </c>
      <c r="F10" s="64" t="s">
        <v>181</v>
      </c>
      <c r="G10" s="64">
        <v>0.16600000000000001</v>
      </c>
      <c r="H10" s="64">
        <v>2.3007599999999998E-3</v>
      </c>
    </row>
    <row r="11" spans="1:8">
      <c r="E11" s="64" t="s">
        <v>236</v>
      </c>
      <c r="F11" s="64" t="s">
        <v>181</v>
      </c>
      <c r="G11" s="64">
        <v>1.73</v>
      </c>
      <c r="H11" s="64">
        <v>2.3977800000000001E-2</v>
      </c>
    </row>
    <row r="12" spans="1:8">
      <c r="E12" s="64" t="s">
        <v>224</v>
      </c>
      <c r="F12" s="64" t="s">
        <v>223</v>
      </c>
      <c r="G12" s="64">
        <v>100</v>
      </c>
      <c r="H12" s="64">
        <v>1.3859999999999999</v>
      </c>
    </row>
    <row r="13" spans="1:8">
      <c r="A13" s="64" t="s">
        <v>24</v>
      </c>
      <c r="B13" s="64" t="s">
        <v>58</v>
      </c>
      <c r="C13" s="64">
        <v>0.23544000000000001</v>
      </c>
      <c r="D13" s="64" t="s">
        <v>255</v>
      </c>
    </row>
    <row r="14" spans="1:8">
      <c r="E14" s="64" t="s">
        <v>254</v>
      </c>
      <c r="F14" s="64" t="s">
        <v>183</v>
      </c>
      <c r="G14" s="64">
        <v>1E-3</v>
      </c>
      <c r="H14" s="64">
        <v>2.3544000000000001E-4</v>
      </c>
    </row>
    <row r="15" spans="1:8">
      <c r="E15" s="64" t="s">
        <v>253</v>
      </c>
      <c r="F15" s="64" t="s">
        <v>181</v>
      </c>
      <c r="G15" s="64">
        <v>5.2</v>
      </c>
      <c r="H15" s="64">
        <v>1.224288</v>
      </c>
    </row>
    <row r="16" spans="1:8">
      <c r="E16" s="64" t="s">
        <v>252</v>
      </c>
      <c r="F16" s="64" t="s">
        <v>183</v>
      </c>
      <c r="G16" s="64">
        <v>7.0000000000000001E-3</v>
      </c>
      <c r="H16" s="64">
        <v>1.6480799999999999E-3</v>
      </c>
    </row>
    <row r="17" spans="1:8">
      <c r="E17" s="64" t="s">
        <v>251</v>
      </c>
      <c r="F17" s="64" t="s">
        <v>183</v>
      </c>
      <c r="G17" s="64">
        <v>1.2E-2</v>
      </c>
      <c r="H17" s="64">
        <v>2.8252799999999999E-3</v>
      </c>
    </row>
    <row r="18" spans="1:8">
      <c r="E18" s="64" t="s">
        <v>240</v>
      </c>
      <c r="F18" s="64" t="s">
        <v>183</v>
      </c>
      <c r="G18" s="64">
        <v>0.22</v>
      </c>
      <c r="H18" s="64">
        <v>5.1796799999999997E-2</v>
      </c>
    </row>
    <row r="19" spans="1:8">
      <c r="E19" s="64" t="s">
        <v>250</v>
      </c>
      <c r="F19" s="64" t="s">
        <v>183</v>
      </c>
      <c r="G19" s="64">
        <v>7.2800000000000004E-2</v>
      </c>
      <c r="H19" s="64">
        <v>1.7140031999999999E-2</v>
      </c>
    </row>
    <row r="20" spans="1:8">
      <c r="E20" s="64" t="s">
        <v>189</v>
      </c>
      <c r="F20" s="64" t="s">
        <v>183</v>
      </c>
      <c r="G20" s="64">
        <v>9.41E-3</v>
      </c>
      <c r="H20" s="64">
        <v>2.2154903999999998E-3</v>
      </c>
    </row>
    <row r="21" spans="1:8">
      <c r="E21" s="64" t="s">
        <v>249</v>
      </c>
      <c r="F21" s="64" t="s">
        <v>181</v>
      </c>
      <c r="G21" s="64">
        <v>0.31</v>
      </c>
      <c r="H21" s="64">
        <v>7.2986400000000007E-2</v>
      </c>
    </row>
    <row r="22" spans="1:8">
      <c r="E22" s="64" t="s">
        <v>248</v>
      </c>
      <c r="F22" s="64" t="s">
        <v>181</v>
      </c>
      <c r="G22" s="64">
        <v>1.17</v>
      </c>
      <c r="H22" s="64">
        <v>0.27546480000000001</v>
      </c>
    </row>
    <row r="23" spans="1:8">
      <c r="E23" s="64" t="s">
        <v>238</v>
      </c>
      <c r="F23" s="64" t="s">
        <v>183</v>
      </c>
      <c r="G23" s="64">
        <v>3.45</v>
      </c>
      <c r="H23" s="64">
        <v>0.8122680000000001</v>
      </c>
    </row>
    <row r="24" spans="1:8">
      <c r="E24" s="64" t="s">
        <v>236</v>
      </c>
      <c r="F24" s="64" t="s">
        <v>181</v>
      </c>
      <c r="G24" s="64">
        <v>21.1</v>
      </c>
      <c r="H24" s="64">
        <v>4.9677840000000009</v>
      </c>
    </row>
    <row r="25" spans="1:8">
      <c r="E25" s="64" t="s">
        <v>247</v>
      </c>
      <c r="F25" s="64" t="s">
        <v>181</v>
      </c>
      <c r="G25" s="64">
        <v>1.87</v>
      </c>
      <c r="H25" s="64">
        <v>0.44027280000000002</v>
      </c>
    </row>
    <row r="26" spans="1:8">
      <c r="E26" s="64" t="s">
        <v>224</v>
      </c>
      <c r="F26" s="64" t="s">
        <v>223</v>
      </c>
      <c r="G26" s="64">
        <v>100</v>
      </c>
      <c r="H26" s="64">
        <v>23.544</v>
      </c>
    </row>
    <row r="27" spans="1:8">
      <c r="A27" s="64" t="s">
        <v>25</v>
      </c>
      <c r="B27" s="64" t="s">
        <v>58</v>
      </c>
      <c r="C27" s="64">
        <v>0.43</v>
      </c>
      <c r="D27" s="64" t="s">
        <v>246</v>
      </c>
    </row>
    <row r="28" spans="1:8">
      <c r="E28" s="64" t="s">
        <v>245</v>
      </c>
      <c r="F28" s="64" t="s">
        <v>181</v>
      </c>
      <c r="G28" s="64">
        <v>0.32</v>
      </c>
      <c r="H28" s="64">
        <v>0.1376</v>
      </c>
    </row>
    <row r="29" spans="1:8">
      <c r="E29" s="64" t="s">
        <v>236</v>
      </c>
      <c r="F29" s="64" t="s">
        <v>181</v>
      </c>
      <c r="G29" s="64">
        <v>10.8</v>
      </c>
      <c r="H29" s="64">
        <v>4.6440000000000001</v>
      </c>
    </row>
    <row r="30" spans="1:8">
      <c r="E30" s="64" t="s">
        <v>224</v>
      </c>
      <c r="F30" s="64" t="s">
        <v>223</v>
      </c>
      <c r="G30" s="64">
        <v>100</v>
      </c>
      <c r="H30" s="64">
        <v>43</v>
      </c>
    </row>
    <row r="31" spans="1:8">
      <c r="A31" s="64" t="s">
        <v>26</v>
      </c>
      <c r="B31" s="64" t="s">
        <v>58</v>
      </c>
      <c r="C31" s="64">
        <v>1.5135428571428571</v>
      </c>
      <c r="D31" s="64" t="s">
        <v>244</v>
      </c>
    </row>
    <row r="32" spans="1:8">
      <c r="E32" s="64" t="s">
        <v>243</v>
      </c>
      <c r="F32" s="64" t="s">
        <v>183</v>
      </c>
      <c r="G32" s="64">
        <v>4.1000000000000002E-2</v>
      </c>
      <c r="H32" s="64">
        <v>6.2055257142857152E-2</v>
      </c>
    </row>
    <row r="33" spans="1:8">
      <c r="E33" s="64" t="s">
        <v>242</v>
      </c>
      <c r="F33" s="64" t="s">
        <v>190</v>
      </c>
      <c r="G33" s="64">
        <v>98</v>
      </c>
      <c r="H33" s="64">
        <v>148.3272</v>
      </c>
    </row>
    <row r="34" spans="1:8">
      <c r="E34" s="64" t="s">
        <v>241</v>
      </c>
      <c r="F34" s="64" t="s">
        <v>183</v>
      </c>
      <c r="G34" s="64">
        <v>8.9999999999999993E-3</v>
      </c>
      <c r="H34" s="64">
        <v>1.3621885714285711E-2</v>
      </c>
    </row>
    <row r="35" spans="1:8">
      <c r="E35" s="64" t="s">
        <v>240</v>
      </c>
      <c r="F35" s="64" t="s">
        <v>183</v>
      </c>
      <c r="G35" s="64">
        <v>0.03</v>
      </c>
      <c r="H35" s="64">
        <v>4.5406285714285712E-2</v>
      </c>
    </row>
    <row r="36" spans="1:8">
      <c r="E36" s="64" t="s">
        <v>239</v>
      </c>
      <c r="F36" s="64" t="s">
        <v>181</v>
      </c>
      <c r="G36" s="64">
        <v>0.84799999999999998</v>
      </c>
      <c r="H36" s="64">
        <v>1.283484342857143</v>
      </c>
    </row>
    <row r="37" spans="1:8">
      <c r="E37" s="64" t="s">
        <v>238</v>
      </c>
      <c r="F37" s="64" t="s">
        <v>183</v>
      </c>
      <c r="G37" s="64">
        <v>0.26</v>
      </c>
      <c r="H37" s="64">
        <v>0.39352114285714279</v>
      </c>
    </row>
    <row r="38" spans="1:8">
      <c r="E38" s="64" t="s">
        <v>237</v>
      </c>
      <c r="F38" s="64" t="s">
        <v>183</v>
      </c>
      <c r="G38" s="64">
        <v>0.02</v>
      </c>
      <c r="H38" s="64">
        <v>3.0270857142857141E-2</v>
      </c>
    </row>
    <row r="39" spans="1:8">
      <c r="E39" s="64" t="s">
        <v>236</v>
      </c>
      <c r="F39" s="64" t="s">
        <v>181</v>
      </c>
      <c r="G39" s="64">
        <v>21</v>
      </c>
      <c r="H39" s="64">
        <v>31.784400000000002</v>
      </c>
    </row>
    <row r="40" spans="1:8">
      <c r="E40" s="64" t="s">
        <v>224</v>
      </c>
      <c r="F40" s="64" t="s">
        <v>223</v>
      </c>
      <c r="G40" s="64">
        <v>100</v>
      </c>
      <c r="H40" s="64">
        <v>151.35428571428571</v>
      </c>
    </row>
    <row r="41" spans="1:8">
      <c r="A41" s="64" t="s">
        <v>27</v>
      </c>
      <c r="B41" s="64" t="s">
        <v>58</v>
      </c>
      <c r="C41" s="64">
        <v>0.43</v>
      </c>
      <c r="D41" s="64" t="s">
        <v>235</v>
      </c>
    </row>
    <row r="42" spans="1:8">
      <c r="E42" s="64" t="s">
        <v>224</v>
      </c>
      <c r="F42" s="64" t="s">
        <v>223</v>
      </c>
      <c r="G42" s="64">
        <v>100</v>
      </c>
      <c r="H42" s="64">
        <v>43</v>
      </c>
    </row>
    <row r="43" spans="1:8">
      <c r="E43" s="64" t="s">
        <v>227</v>
      </c>
      <c r="F43" s="64" t="s">
        <v>181</v>
      </c>
      <c r="G43" s="64">
        <v>39.5</v>
      </c>
      <c r="H43" s="64">
        <v>16.984999999999999</v>
      </c>
    </row>
    <row r="44" spans="1:8">
      <c r="A44" s="64" t="s">
        <v>28</v>
      </c>
      <c r="B44" s="64" t="s">
        <v>60</v>
      </c>
      <c r="C44" s="64">
        <v>1.62</v>
      </c>
      <c r="D44" s="64" t="s">
        <v>234</v>
      </c>
    </row>
    <row r="45" spans="1:8">
      <c r="E45" s="64" t="s">
        <v>233</v>
      </c>
      <c r="F45" s="64" t="s">
        <v>183</v>
      </c>
      <c r="G45" s="64">
        <v>4.0000000000000002E-4</v>
      </c>
      <c r="H45" s="64">
        <v>6.4800000000000003E-4</v>
      </c>
    </row>
    <row r="46" spans="1:8">
      <c r="E46" s="64" t="s">
        <v>232</v>
      </c>
      <c r="F46" s="64" t="s">
        <v>183</v>
      </c>
      <c r="G46" s="64">
        <v>8.0000000000000002E-3</v>
      </c>
      <c r="H46" s="64">
        <v>1.2959999999999999E-2</v>
      </c>
    </row>
    <row r="47" spans="1:8">
      <c r="E47" s="64" t="s">
        <v>231</v>
      </c>
      <c r="F47" s="64" t="s">
        <v>190</v>
      </c>
      <c r="G47" s="64">
        <v>6</v>
      </c>
      <c r="H47" s="64">
        <v>9.7200000000000006</v>
      </c>
    </row>
    <row r="48" spans="1:8">
      <c r="E48" s="64" t="s">
        <v>230</v>
      </c>
      <c r="F48" s="64" t="s">
        <v>190</v>
      </c>
      <c r="G48" s="64">
        <v>91</v>
      </c>
      <c r="H48" s="64">
        <v>147.41999999999999</v>
      </c>
    </row>
    <row r="49" spans="1:8">
      <c r="E49" s="64" t="s">
        <v>229</v>
      </c>
      <c r="F49" s="64" t="s">
        <v>181</v>
      </c>
      <c r="G49" s="64">
        <v>0.1</v>
      </c>
      <c r="H49" s="64">
        <v>0.16200000000000001</v>
      </c>
    </row>
    <row r="50" spans="1:8">
      <c r="E50" s="64" t="s">
        <v>228</v>
      </c>
      <c r="F50" s="64" t="s">
        <v>183</v>
      </c>
      <c r="G50" s="64">
        <v>1.2999999999999999E-2</v>
      </c>
      <c r="H50" s="64">
        <v>2.1059999999999999E-2</v>
      </c>
    </row>
    <row r="51" spans="1:8">
      <c r="E51" s="64" t="s">
        <v>184</v>
      </c>
      <c r="F51" s="64" t="s">
        <v>183</v>
      </c>
      <c r="G51" s="64">
        <v>0.56999999999999995</v>
      </c>
      <c r="H51" s="64">
        <v>0.9234</v>
      </c>
    </row>
    <row r="52" spans="1:8">
      <c r="E52" s="64" t="s">
        <v>227</v>
      </c>
      <c r="F52" s="64" t="s">
        <v>181</v>
      </c>
      <c r="G52" s="64">
        <v>0.6</v>
      </c>
      <c r="H52" s="64">
        <v>0.97199999999999998</v>
      </c>
    </row>
    <row r="53" spans="1:8">
      <c r="E53" s="64" t="s">
        <v>182</v>
      </c>
      <c r="F53" s="64" t="s">
        <v>181</v>
      </c>
      <c r="G53" s="64">
        <v>0.24</v>
      </c>
      <c r="H53" s="64">
        <v>0.38879999999999998</v>
      </c>
    </row>
    <row r="54" spans="1:8">
      <c r="A54" s="64" t="s">
        <v>29</v>
      </c>
      <c r="B54" s="64" t="s">
        <v>58</v>
      </c>
      <c r="C54" s="64">
        <v>0.62</v>
      </c>
      <c r="D54" s="64" t="s">
        <v>226</v>
      </c>
    </row>
    <row r="55" spans="1:8">
      <c r="E55" s="64" t="s">
        <v>225</v>
      </c>
      <c r="F55" s="64" t="s">
        <v>181</v>
      </c>
      <c r="G55" s="64">
        <v>0.33</v>
      </c>
      <c r="H55" s="64">
        <v>0.2046</v>
      </c>
    </row>
    <row r="56" spans="1:8">
      <c r="E56" s="64" t="s">
        <v>224</v>
      </c>
      <c r="F56" s="64" t="s">
        <v>223</v>
      </c>
      <c r="G56" s="64">
        <v>100</v>
      </c>
      <c r="H56" s="64">
        <v>62</v>
      </c>
    </row>
    <row r="57" spans="1:8">
      <c r="A57" s="64" t="s">
        <v>30</v>
      </c>
      <c r="B57" s="64" t="s">
        <v>60</v>
      </c>
      <c r="C57" s="64">
        <v>3.5316000000000001</v>
      </c>
      <c r="D57" s="64" t="s">
        <v>222</v>
      </c>
    </row>
    <row r="58" spans="1:8">
      <c r="E58" s="64" t="s">
        <v>221</v>
      </c>
      <c r="F58" s="64" t="s">
        <v>183</v>
      </c>
      <c r="G58" s="64">
        <v>1.26</v>
      </c>
      <c r="H58" s="64">
        <v>4.4498160000000002</v>
      </c>
    </row>
    <row r="59" spans="1:8">
      <c r="E59" s="64" t="s">
        <v>220</v>
      </c>
      <c r="F59" s="64" t="s">
        <v>190</v>
      </c>
      <c r="G59" s="64">
        <v>460</v>
      </c>
      <c r="H59" s="64">
        <v>1624.5360000000001</v>
      </c>
    </row>
    <row r="60" spans="1:8">
      <c r="E60" s="64" t="s">
        <v>219</v>
      </c>
      <c r="F60" s="64" t="s">
        <v>183</v>
      </c>
      <c r="G60" s="64">
        <v>1E-3</v>
      </c>
      <c r="H60" s="64">
        <v>3.5316000000000002E-3</v>
      </c>
    </row>
    <row r="61" spans="1:8">
      <c r="E61" s="64" t="s">
        <v>218</v>
      </c>
      <c r="F61" s="64" t="s">
        <v>181</v>
      </c>
      <c r="G61" s="64">
        <v>1.05</v>
      </c>
      <c r="H61" s="64">
        <v>3.70818</v>
      </c>
    </row>
    <row r="62" spans="1:8">
      <c r="A62" s="64" t="s">
        <v>31</v>
      </c>
      <c r="B62" s="64" t="s">
        <v>62</v>
      </c>
      <c r="C62" s="64">
        <v>0.02</v>
      </c>
      <c r="D62" s="64" t="s">
        <v>267</v>
      </c>
    </row>
    <row r="63" spans="1:8">
      <c r="E63" s="64" t="s">
        <v>266</v>
      </c>
      <c r="F63" s="64" t="s">
        <v>183</v>
      </c>
      <c r="G63" s="64">
        <v>0.17299999999999999</v>
      </c>
      <c r="H63" s="64">
        <v>3.46E-3</v>
      </c>
    </row>
    <row r="64" spans="1:8">
      <c r="E64" s="64" t="s">
        <v>265</v>
      </c>
      <c r="F64" s="64" t="s">
        <v>183</v>
      </c>
      <c r="G64" s="64">
        <v>2.3599999999999999E-2</v>
      </c>
      <c r="H64" s="64">
        <v>4.7199999999999998E-4</v>
      </c>
    </row>
    <row r="65" spans="1:8">
      <c r="E65" s="64" t="s">
        <v>264</v>
      </c>
      <c r="F65" s="64" t="s">
        <v>183</v>
      </c>
      <c r="G65" s="64">
        <v>1.2999999999999999E-2</v>
      </c>
      <c r="H65" s="64">
        <v>2.5999999999999998E-4</v>
      </c>
    </row>
    <row r="66" spans="1:8">
      <c r="E66" s="64" t="s">
        <v>263</v>
      </c>
      <c r="F66" s="64" t="s">
        <v>190</v>
      </c>
      <c r="G66" s="64">
        <v>42.9</v>
      </c>
      <c r="H66" s="64">
        <v>0.85799999999999998</v>
      </c>
    </row>
    <row r="67" spans="1:8">
      <c r="E67" s="64" t="s">
        <v>189</v>
      </c>
      <c r="F67" s="64" t="s">
        <v>183</v>
      </c>
      <c r="G67" s="64">
        <v>1.4999999999999999E-2</v>
      </c>
      <c r="H67" s="64">
        <v>2.9999999999999997E-4</v>
      </c>
    </row>
    <row r="68" spans="1:8">
      <c r="E68" s="64" t="s">
        <v>262</v>
      </c>
      <c r="F68" s="64" t="s">
        <v>196</v>
      </c>
      <c r="G68" s="64">
        <v>0</v>
      </c>
      <c r="H68" s="64">
        <v>0</v>
      </c>
    </row>
    <row r="69" spans="1:8">
      <c r="E69" s="64" t="s">
        <v>261</v>
      </c>
      <c r="F69" s="64" t="s">
        <v>196</v>
      </c>
      <c r="G69" s="64">
        <v>0</v>
      </c>
      <c r="H69" s="64">
        <v>0</v>
      </c>
    </row>
    <row r="70" spans="1:8">
      <c r="E70" s="64" t="s">
        <v>260</v>
      </c>
      <c r="F70" s="64" t="s">
        <v>190</v>
      </c>
      <c r="G70" s="64">
        <v>29.2</v>
      </c>
      <c r="H70" s="64">
        <v>0.58399999999999996</v>
      </c>
    </row>
    <row r="71" spans="1:8">
      <c r="E71" s="64" t="s">
        <v>229</v>
      </c>
      <c r="F71" s="64" t="s">
        <v>181</v>
      </c>
      <c r="G71" s="64">
        <v>0.82</v>
      </c>
      <c r="H71" s="64">
        <v>1.6400000000000001E-2</v>
      </c>
    </row>
    <row r="72" spans="1:8">
      <c r="E72" s="64" t="s">
        <v>259</v>
      </c>
      <c r="F72" s="64" t="s">
        <v>181</v>
      </c>
      <c r="G72" s="64">
        <v>0.26</v>
      </c>
      <c r="H72" s="64">
        <v>5.2000000000000006E-3</v>
      </c>
    </row>
    <row r="73" spans="1:8">
      <c r="E73" s="64" t="s">
        <v>258</v>
      </c>
      <c r="F73" s="64" t="s">
        <v>181</v>
      </c>
      <c r="G73" s="64">
        <v>1.02</v>
      </c>
      <c r="H73" s="64">
        <v>2.0400000000000001E-2</v>
      </c>
    </row>
    <row r="74" spans="1:8">
      <c r="E74" s="64" t="s">
        <v>257</v>
      </c>
      <c r="F74" s="64" t="s">
        <v>183</v>
      </c>
      <c r="G74" s="64">
        <v>15.7</v>
      </c>
      <c r="H74" s="64">
        <v>0.314</v>
      </c>
    </row>
    <row r="75" spans="1:8">
      <c r="E75" s="64" t="s">
        <v>215</v>
      </c>
      <c r="F75" s="64" t="s">
        <v>181</v>
      </c>
      <c r="G75" s="64">
        <v>101.5</v>
      </c>
      <c r="H75" s="64">
        <v>2.0299999999999998</v>
      </c>
    </row>
    <row r="76" spans="1:8">
      <c r="E76" s="64" t="s">
        <v>182</v>
      </c>
      <c r="F76" s="64" t="s">
        <v>181</v>
      </c>
      <c r="G76" s="64">
        <v>0.20660000000000001</v>
      </c>
      <c r="H76" s="64">
        <v>4.1320000000000003E-3</v>
      </c>
    </row>
    <row r="77" spans="1:8">
      <c r="A77" s="64" t="s">
        <v>32</v>
      </c>
      <c r="B77" s="64" t="s">
        <v>60</v>
      </c>
      <c r="C77" s="64">
        <v>3.5316000000000001</v>
      </c>
      <c r="D77" s="64" t="s">
        <v>217</v>
      </c>
    </row>
    <row r="78" spans="1:8">
      <c r="E78" s="64" t="s">
        <v>216</v>
      </c>
      <c r="F78" s="64" t="s">
        <v>181</v>
      </c>
      <c r="G78" s="64">
        <v>0.06</v>
      </c>
      <c r="H78" s="64">
        <v>0.211896</v>
      </c>
    </row>
    <row r="79" spans="1:8">
      <c r="E79" s="64" t="s">
        <v>215</v>
      </c>
      <c r="F79" s="64" t="s">
        <v>181</v>
      </c>
      <c r="G79" s="64">
        <v>10.199999999999999</v>
      </c>
      <c r="H79" s="64">
        <v>36.022320000000001</v>
      </c>
    </row>
    <row r="80" spans="1:8">
      <c r="E80" s="64" t="s">
        <v>182</v>
      </c>
      <c r="F80" s="64" t="s">
        <v>181</v>
      </c>
      <c r="G80" s="64">
        <v>0.5</v>
      </c>
      <c r="H80" s="64">
        <v>1.7658</v>
      </c>
    </row>
    <row r="81" spans="1:8">
      <c r="A81" s="64" t="s">
        <v>33</v>
      </c>
      <c r="B81" s="64" t="s">
        <v>60</v>
      </c>
      <c r="C81" s="64">
        <v>3.5316000000000001</v>
      </c>
      <c r="D81" s="64" t="s">
        <v>214</v>
      </c>
    </row>
    <row r="82" spans="1:8">
      <c r="E82" s="64" t="s">
        <v>213</v>
      </c>
      <c r="F82" s="64" t="s">
        <v>183</v>
      </c>
      <c r="G82" s="64">
        <v>0.05</v>
      </c>
      <c r="H82" s="64">
        <v>0.17657999999999999</v>
      </c>
    </row>
    <row r="83" spans="1:8">
      <c r="E83" s="64" t="s">
        <v>212</v>
      </c>
      <c r="F83" s="64" t="s">
        <v>211</v>
      </c>
      <c r="G83" s="64">
        <v>0.5</v>
      </c>
      <c r="H83" s="64">
        <v>1.7658</v>
      </c>
    </row>
    <row r="84" spans="1:8">
      <c r="E84" s="64" t="s">
        <v>210</v>
      </c>
      <c r="F84" s="64" t="s">
        <v>190</v>
      </c>
      <c r="G84" s="64">
        <v>102</v>
      </c>
      <c r="H84" s="64">
        <v>360.22320000000002</v>
      </c>
    </row>
    <row r="85" spans="1:8">
      <c r="A85" s="64" t="s">
        <v>34</v>
      </c>
      <c r="B85" s="64" t="s">
        <v>60</v>
      </c>
      <c r="C85" s="64">
        <v>1.7658</v>
      </c>
      <c r="D85" s="64" t="s">
        <v>209</v>
      </c>
    </row>
    <row r="86" spans="1:8">
      <c r="E86" s="64" t="s">
        <v>208</v>
      </c>
      <c r="F86" s="64" t="s">
        <v>181</v>
      </c>
      <c r="G86" s="64">
        <v>3.06</v>
      </c>
      <c r="H86" s="64">
        <v>5.4033480000000003</v>
      </c>
    </row>
    <row r="87" spans="1:8">
      <c r="E87" s="64" t="s">
        <v>207</v>
      </c>
      <c r="F87" s="64" t="s">
        <v>190</v>
      </c>
      <c r="G87" s="64">
        <v>102</v>
      </c>
      <c r="H87" s="64">
        <v>180.11160000000001</v>
      </c>
    </row>
    <row r="88" spans="1:8">
      <c r="E88" s="64" t="s">
        <v>206</v>
      </c>
      <c r="F88" s="64" t="s">
        <v>181</v>
      </c>
      <c r="G88" s="64">
        <v>1.3</v>
      </c>
      <c r="H88" s="64">
        <v>2.2955399999999999</v>
      </c>
    </row>
    <row r="89" spans="1:8">
      <c r="E89" s="64" t="s">
        <v>182</v>
      </c>
      <c r="F89" s="64" t="s">
        <v>181</v>
      </c>
      <c r="G89" s="64">
        <v>3.85</v>
      </c>
      <c r="H89" s="64">
        <v>6.79833</v>
      </c>
    </row>
    <row r="90" spans="1:8">
      <c r="A90" s="64" t="s">
        <v>35</v>
      </c>
      <c r="B90" s="64" t="s">
        <v>60</v>
      </c>
      <c r="C90" s="64">
        <v>1.5</v>
      </c>
      <c r="D90" s="64" t="s">
        <v>205</v>
      </c>
    </row>
    <row r="91" spans="1:8">
      <c r="E91" s="64" t="s">
        <v>204</v>
      </c>
      <c r="F91" s="64" t="s">
        <v>183</v>
      </c>
      <c r="G91" s="64">
        <v>2.8E-3</v>
      </c>
      <c r="H91" s="64">
        <v>4.1999999999999997E-3</v>
      </c>
    </row>
    <row r="92" spans="1:8">
      <c r="E92" s="64" t="s">
        <v>193</v>
      </c>
      <c r="F92" s="64" t="s">
        <v>183</v>
      </c>
      <c r="G92" s="64">
        <v>3.1E-2</v>
      </c>
      <c r="H92" s="64">
        <v>4.65E-2</v>
      </c>
    </row>
    <row r="93" spans="1:8">
      <c r="E93" s="64" t="s">
        <v>191</v>
      </c>
      <c r="F93" s="64" t="s">
        <v>190</v>
      </c>
      <c r="G93" s="64">
        <v>118</v>
      </c>
      <c r="H93" s="64">
        <v>177</v>
      </c>
    </row>
    <row r="94" spans="1:8">
      <c r="E94" s="64" t="s">
        <v>189</v>
      </c>
      <c r="F94" s="64" t="s">
        <v>183</v>
      </c>
      <c r="G94" s="64">
        <v>2.96E-3</v>
      </c>
      <c r="H94" s="64">
        <v>4.4400000000000004E-3</v>
      </c>
    </row>
    <row r="95" spans="1:8">
      <c r="E95" s="64" t="s">
        <v>203</v>
      </c>
      <c r="F95" s="64" t="s">
        <v>202</v>
      </c>
      <c r="G95" s="64">
        <v>51.9</v>
      </c>
      <c r="H95" s="64">
        <v>77.849999999999994</v>
      </c>
    </row>
    <row r="96" spans="1:8">
      <c r="E96" s="64" t="s">
        <v>197</v>
      </c>
      <c r="F96" s="64" t="s">
        <v>196</v>
      </c>
      <c r="G96" s="64">
        <v>0</v>
      </c>
      <c r="H96" s="64">
        <v>0</v>
      </c>
    </row>
    <row r="97" spans="1:8">
      <c r="E97" s="64" t="s">
        <v>201</v>
      </c>
      <c r="F97" s="64" t="s">
        <v>183</v>
      </c>
      <c r="G97" s="64">
        <v>1.14E-2</v>
      </c>
      <c r="H97" s="64">
        <v>1.7100000000000001E-2</v>
      </c>
    </row>
    <row r="98" spans="1:8">
      <c r="E98" s="64" t="s">
        <v>200</v>
      </c>
      <c r="F98" s="64" t="s">
        <v>190</v>
      </c>
      <c r="G98" s="64">
        <v>100</v>
      </c>
      <c r="H98" s="64">
        <v>150</v>
      </c>
    </row>
    <row r="99" spans="1:8">
      <c r="E99" s="64" t="s">
        <v>199</v>
      </c>
      <c r="F99" s="64" t="s">
        <v>181</v>
      </c>
      <c r="G99" s="64">
        <v>0.13800000000000001</v>
      </c>
      <c r="H99" s="64">
        <v>0.20699999999999999</v>
      </c>
    </row>
    <row r="100" spans="1:8">
      <c r="E100" s="64" t="s">
        <v>184</v>
      </c>
      <c r="F100" s="64" t="s">
        <v>183</v>
      </c>
      <c r="G100" s="64">
        <v>2.98E-2</v>
      </c>
      <c r="H100" s="64">
        <v>4.4699999999999997E-2</v>
      </c>
    </row>
    <row r="101" spans="1:8">
      <c r="A101" s="64" t="s">
        <v>36</v>
      </c>
      <c r="B101" s="64" t="s">
        <v>60</v>
      </c>
      <c r="C101" s="64">
        <v>1.8</v>
      </c>
      <c r="D101" s="64" t="s">
        <v>198</v>
      </c>
    </row>
    <row r="102" spans="1:8">
      <c r="E102" s="64" t="s">
        <v>189</v>
      </c>
      <c r="F102" s="64" t="s">
        <v>183</v>
      </c>
      <c r="G102" s="64">
        <v>3.3999999999999998E-3</v>
      </c>
      <c r="H102" s="64">
        <v>6.1199999999999996E-3</v>
      </c>
    </row>
    <row r="103" spans="1:8">
      <c r="E103" s="64" t="s">
        <v>197</v>
      </c>
      <c r="F103" s="64" t="s">
        <v>196</v>
      </c>
      <c r="G103" s="64">
        <v>0</v>
      </c>
      <c r="H103" s="64">
        <v>0</v>
      </c>
    </row>
    <row r="104" spans="1:8">
      <c r="E104" s="64" t="s">
        <v>195</v>
      </c>
      <c r="F104" s="64" t="s">
        <v>190</v>
      </c>
      <c r="G104" s="64">
        <v>100</v>
      </c>
      <c r="H104" s="64">
        <v>180</v>
      </c>
    </row>
    <row r="105" spans="1:8">
      <c r="A105" s="64" t="s">
        <v>37</v>
      </c>
      <c r="B105" s="64" t="s">
        <v>60</v>
      </c>
      <c r="C105" s="64">
        <v>0.8</v>
      </c>
      <c r="D105" s="64" t="s">
        <v>194</v>
      </c>
    </row>
    <row r="106" spans="1:8">
      <c r="E106" s="64" t="s">
        <v>193</v>
      </c>
      <c r="F106" s="64" t="s">
        <v>183</v>
      </c>
      <c r="G106" s="64">
        <v>6.0000000000000001E-3</v>
      </c>
      <c r="H106" s="64">
        <v>4.7999999999999996E-3</v>
      </c>
    </row>
    <row r="107" spans="1:8">
      <c r="E107" s="64" t="s">
        <v>192</v>
      </c>
      <c r="F107" s="64" t="s">
        <v>183</v>
      </c>
      <c r="G107" s="64">
        <v>5.1999999999999998E-2</v>
      </c>
      <c r="H107" s="64">
        <v>4.1599999999999998E-2</v>
      </c>
    </row>
    <row r="108" spans="1:8">
      <c r="E108" s="64" t="s">
        <v>191</v>
      </c>
      <c r="F108" s="64" t="s">
        <v>190</v>
      </c>
      <c r="G108" s="64">
        <v>5.58</v>
      </c>
      <c r="H108" s="64">
        <v>4.4640000000000004</v>
      </c>
    </row>
    <row r="109" spans="1:8">
      <c r="E109" s="64" t="s">
        <v>189</v>
      </c>
      <c r="F109" s="64" t="s">
        <v>183</v>
      </c>
      <c r="G109" s="64">
        <v>5.5999999999999999E-3</v>
      </c>
      <c r="H109" s="64">
        <v>4.4799999999999996E-3</v>
      </c>
    </row>
    <row r="110" spans="1:8">
      <c r="E110" s="64" t="s">
        <v>188</v>
      </c>
      <c r="F110" s="64" t="s">
        <v>183</v>
      </c>
      <c r="G110" s="64">
        <v>6.9999999999999999E-4</v>
      </c>
      <c r="H110" s="64">
        <v>5.6000000000000006E-4</v>
      </c>
    </row>
    <row r="111" spans="1:8">
      <c r="E111" s="64" t="s">
        <v>187</v>
      </c>
      <c r="F111" s="64" t="s">
        <v>186</v>
      </c>
      <c r="G111" s="64">
        <v>74</v>
      </c>
      <c r="H111" s="64">
        <v>59.2</v>
      </c>
    </row>
    <row r="112" spans="1:8">
      <c r="E112" s="64" t="s">
        <v>185</v>
      </c>
      <c r="F112" s="64" t="s">
        <v>181</v>
      </c>
      <c r="G112" s="64">
        <v>0.34</v>
      </c>
      <c r="H112" s="64">
        <v>0.27200000000000002</v>
      </c>
    </row>
    <row r="113" spans="1:8">
      <c r="E113" s="64" t="s">
        <v>184</v>
      </c>
      <c r="F113" s="64" t="s">
        <v>183</v>
      </c>
      <c r="G113" s="64">
        <v>0.3</v>
      </c>
      <c r="H113" s="64">
        <v>0.24</v>
      </c>
    </row>
    <row r="114" spans="1:8">
      <c r="E114" s="64" t="s">
        <v>182</v>
      </c>
      <c r="F114" s="64" t="s">
        <v>181</v>
      </c>
      <c r="G114" s="64">
        <v>0.6</v>
      </c>
      <c r="H114" s="64">
        <v>0.48</v>
      </c>
    </row>
    <row r="115" spans="1:8">
      <c r="A115" s="64" t="s">
        <v>23</v>
      </c>
      <c r="B115" s="64" t="s">
        <v>58</v>
      </c>
      <c r="C115" s="64">
        <v>0.24274285714285709</v>
      </c>
      <c r="D115" s="64" t="s">
        <v>256</v>
      </c>
    </row>
    <row r="116" spans="1:8">
      <c r="E116" s="64" t="s">
        <v>243</v>
      </c>
      <c r="F116" s="64" t="s">
        <v>183</v>
      </c>
      <c r="G116" s="64">
        <v>8.0000000000000002E-3</v>
      </c>
      <c r="H116" s="64">
        <v>1.941942857142857E-3</v>
      </c>
    </row>
    <row r="117" spans="1:8">
      <c r="E117" s="64" t="s">
        <v>241</v>
      </c>
      <c r="F117" s="64" t="s">
        <v>183</v>
      </c>
      <c r="G117" s="64">
        <v>9.5999999999999992E-3</v>
      </c>
      <c r="H117" s="64">
        <v>2.3303314285714289E-3</v>
      </c>
    </row>
    <row r="118" spans="1:8">
      <c r="E118" s="64" t="s">
        <v>240</v>
      </c>
      <c r="F118" s="64" t="s">
        <v>183</v>
      </c>
      <c r="G118" s="64">
        <v>0.08</v>
      </c>
      <c r="H118" s="64">
        <v>1.941942857142857E-2</v>
      </c>
    </row>
    <row r="119" spans="1:8">
      <c r="E119" s="64" t="s">
        <v>239</v>
      </c>
      <c r="F119" s="64" t="s">
        <v>181</v>
      </c>
      <c r="G119" s="64">
        <v>0.16600000000000001</v>
      </c>
      <c r="H119" s="64">
        <v>4.0295314285714291E-2</v>
      </c>
    </row>
    <row r="120" spans="1:8">
      <c r="E120" s="64" t="s">
        <v>236</v>
      </c>
      <c r="F120" s="64" t="s">
        <v>181</v>
      </c>
      <c r="G120" s="64">
        <v>1.73</v>
      </c>
      <c r="H120" s="64">
        <v>0.41994514285714291</v>
      </c>
    </row>
    <row r="121" spans="1:8">
      <c r="E121" s="64" t="s">
        <v>224</v>
      </c>
      <c r="F121" s="64" t="s">
        <v>223</v>
      </c>
      <c r="G121" s="64">
        <v>100</v>
      </c>
      <c r="H121" s="64">
        <v>24.27428571428571</v>
      </c>
    </row>
    <row r="122" spans="1:8">
      <c r="A122" s="64" t="s">
        <v>24</v>
      </c>
      <c r="B122" s="64" t="s">
        <v>58</v>
      </c>
      <c r="C122" s="64">
        <v>0.22656000000000001</v>
      </c>
      <c r="D122" s="64" t="s">
        <v>255</v>
      </c>
    </row>
    <row r="123" spans="1:8">
      <c r="E123" s="64" t="s">
        <v>254</v>
      </c>
      <c r="F123" s="64" t="s">
        <v>183</v>
      </c>
      <c r="G123" s="64">
        <v>1E-3</v>
      </c>
      <c r="H123" s="64">
        <v>2.2656E-4</v>
      </c>
    </row>
    <row r="124" spans="1:8">
      <c r="E124" s="64" t="s">
        <v>253</v>
      </c>
      <c r="F124" s="64" t="s">
        <v>181</v>
      </c>
      <c r="G124" s="64">
        <v>5.2</v>
      </c>
      <c r="H124" s="64">
        <v>1.178112</v>
      </c>
    </row>
    <row r="125" spans="1:8">
      <c r="E125" s="64" t="s">
        <v>252</v>
      </c>
      <c r="F125" s="64" t="s">
        <v>183</v>
      </c>
      <c r="G125" s="64">
        <v>7.0000000000000001E-3</v>
      </c>
      <c r="H125" s="64">
        <v>1.58592E-3</v>
      </c>
    </row>
    <row r="126" spans="1:8">
      <c r="E126" s="64" t="s">
        <v>251</v>
      </c>
      <c r="F126" s="64" t="s">
        <v>183</v>
      </c>
      <c r="G126" s="64">
        <v>1.2E-2</v>
      </c>
      <c r="H126" s="64">
        <v>2.71872E-3</v>
      </c>
    </row>
    <row r="127" spans="1:8">
      <c r="E127" s="64" t="s">
        <v>240</v>
      </c>
      <c r="F127" s="64" t="s">
        <v>183</v>
      </c>
      <c r="G127" s="64">
        <v>0.22</v>
      </c>
      <c r="H127" s="64">
        <v>4.9843199999999997E-2</v>
      </c>
    </row>
    <row r="128" spans="1:8">
      <c r="E128" s="64" t="s">
        <v>250</v>
      </c>
      <c r="F128" s="64" t="s">
        <v>183</v>
      </c>
      <c r="G128" s="64">
        <v>7.2800000000000004E-2</v>
      </c>
      <c r="H128" s="64">
        <v>1.6493568E-2</v>
      </c>
    </row>
    <row r="129" spans="1:8">
      <c r="E129" s="64" t="s">
        <v>189</v>
      </c>
      <c r="F129" s="64" t="s">
        <v>183</v>
      </c>
      <c r="G129" s="64">
        <v>9.41E-3</v>
      </c>
      <c r="H129" s="64">
        <v>2.1319296000000001E-3</v>
      </c>
    </row>
    <row r="130" spans="1:8">
      <c r="E130" s="64" t="s">
        <v>249</v>
      </c>
      <c r="F130" s="64" t="s">
        <v>181</v>
      </c>
      <c r="G130" s="64">
        <v>0.31</v>
      </c>
      <c r="H130" s="64">
        <v>7.0233599999999993E-2</v>
      </c>
    </row>
    <row r="131" spans="1:8">
      <c r="E131" s="64" t="s">
        <v>248</v>
      </c>
      <c r="F131" s="64" t="s">
        <v>181</v>
      </c>
      <c r="G131" s="64">
        <v>1.17</v>
      </c>
      <c r="H131" s="64">
        <v>0.26507520000000001</v>
      </c>
    </row>
    <row r="132" spans="1:8">
      <c r="E132" s="64" t="s">
        <v>238</v>
      </c>
      <c r="F132" s="64" t="s">
        <v>183</v>
      </c>
      <c r="G132" s="64">
        <v>3.45</v>
      </c>
      <c r="H132" s="64">
        <v>0.78163199999999999</v>
      </c>
    </row>
    <row r="133" spans="1:8">
      <c r="E133" s="64" t="s">
        <v>236</v>
      </c>
      <c r="F133" s="64" t="s">
        <v>181</v>
      </c>
      <c r="G133" s="64">
        <v>21.1</v>
      </c>
      <c r="H133" s="64">
        <v>4.7804159999999998</v>
      </c>
    </row>
    <row r="134" spans="1:8">
      <c r="E134" s="64" t="s">
        <v>247</v>
      </c>
      <c r="F134" s="64" t="s">
        <v>181</v>
      </c>
      <c r="G134" s="64">
        <v>1.87</v>
      </c>
      <c r="H134" s="64">
        <v>0.42366720000000002</v>
      </c>
    </row>
    <row r="135" spans="1:8">
      <c r="E135" s="64" t="s">
        <v>224</v>
      </c>
      <c r="F135" s="64" t="s">
        <v>223</v>
      </c>
      <c r="G135" s="64">
        <v>100</v>
      </c>
      <c r="H135" s="64">
        <v>22.655999999999999</v>
      </c>
    </row>
    <row r="136" spans="1:8">
      <c r="A136" s="64" t="s">
        <v>25</v>
      </c>
      <c r="B136" s="64" t="s">
        <v>58</v>
      </c>
      <c r="C136" s="64">
        <v>0.34</v>
      </c>
      <c r="D136" s="64" t="s">
        <v>246</v>
      </c>
    </row>
    <row r="137" spans="1:8">
      <c r="E137" s="64" t="s">
        <v>245</v>
      </c>
      <c r="F137" s="64" t="s">
        <v>181</v>
      </c>
      <c r="G137" s="64">
        <v>0.32</v>
      </c>
      <c r="H137" s="64">
        <v>0.10879999999999999</v>
      </c>
    </row>
    <row r="138" spans="1:8">
      <c r="E138" s="64" t="s">
        <v>236</v>
      </c>
      <c r="F138" s="64" t="s">
        <v>181</v>
      </c>
      <c r="G138" s="64">
        <v>10.8</v>
      </c>
      <c r="H138" s="64">
        <v>3.672000000000001</v>
      </c>
    </row>
    <row r="139" spans="1:8">
      <c r="E139" s="64" t="s">
        <v>224</v>
      </c>
      <c r="F139" s="64" t="s">
        <v>223</v>
      </c>
      <c r="G139" s="64">
        <v>100</v>
      </c>
      <c r="H139" s="64">
        <v>34</v>
      </c>
    </row>
    <row r="140" spans="1:8">
      <c r="A140" s="64" t="s">
        <v>26</v>
      </c>
      <c r="B140" s="64" t="s">
        <v>58</v>
      </c>
      <c r="C140" s="64">
        <v>0.9709714285714286</v>
      </c>
      <c r="D140" s="64" t="s">
        <v>244</v>
      </c>
    </row>
    <row r="141" spans="1:8">
      <c r="E141" s="64" t="s">
        <v>243</v>
      </c>
      <c r="F141" s="64" t="s">
        <v>183</v>
      </c>
      <c r="G141" s="64">
        <v>4.1000000000000002E-2</v>
      </c>
      <c r="H141" s="64">
        <v>3.9809828571428577E-2</v>
      </c>
    </row>
    <row r="142" spans="1:8">
      <c r="E142" s="64" t="s">
        <v>242</v>
      </c>
      <c r="F142" s="64" t="s">
        <v>190</v>
      </c>
      <c r="G142" s="64">
        <v>98</v>
      </c>
      <c r="H142" s="64">
        <v>95.155200000000008</v>
      </c>
    </row>
    <row r="143" spans="1:8">
      <c r="E143" s="64" t="s">
        <v>241</v>
      </c>
      <c r="F143" s="64" t="s">
        <v>183</v>
      </c>
      <c r="G143" s="64">
        <v>8.9999999999999993E-3</v>
      </c>
      <c r="H143" s="64">
        <v>8.7387428571428574E-3</v>
      </c>
    </row>
    <row r="144" spans="1:8">
      <c r="E144" s="64" t="s">
        <v>240</v>
      </c>
      <c r="F144" s="64" t="s">
        <v>183</v>
      </c>
      <c r="G144" s="64">
        <v>0.03</v>
      </c>
      <c r="H144" s="64">
        <v>2.912914285714286E-2</v>
      </c>
    </row>
    <row r="145" spans="1:8">
      <c r="E145" s="64" t="s">
        <v>239</v>
      </c>
      <c r="F145" s="64" t="s">
        <v>181</v>
      </c>
      <c r="G145" s="64">
        <v>0.84799999999999998</v>
      </c>
      <c r="H145" s="64">
        <v>0.82338377142857144</v>
      </c>
    </row>
    <row r="146" spans="1:8">
      <c r="E146" s="64" t="s">
        <v>238</v>
      </c>
      <c r="F146" s="64" t="s">
        <v>183</v>
      </c>
      <c r="G146" s="64">
        <v>0.26</v>
      </c>
      <c r="H146" s="64">
        <v>0.25245257142857153</v>
      </c>
    </row>
    <row r="147" spans="1:8">
      <c r="E147" s="64" t="s">
        <v>237</v>
      </c>
      <c r="F147" s="64" t="s">
        <v>183</v>
      </c>
      <c r="G147" s="64">
        <v>0.02</v>
      </c>
      <c r="H147" s="64">
        <v>1.941942857142857E-2</v>
      </c>
    </row>
    <row r="148" spans="1:8">
      <c r="E148" s="64" t="s">
        <v>236</v>
      </c>
      <c r="F148" s="64" t="s">
        <v>181</v>
      </c>
      <c r="G148" s="64">
        <v>21</v>
      </c>
      <c r="H148" s="64">
        <v>20.3904</v>
      </c>
    </row>
    <row r="149" spans="1:8">
      <c r="E149" s="64" t="s">
        <v>224</v>
      </c>
      <c r="F149" s="64" t="s">
        <v>223</v>
      </c>
      <c r="G149" s="64">
        <v>100</v>
      </c>
      <c r="H149" s="64">
        <v>97.097142857142856</v>
      </c>
    </row>
    <row r="150" spans="1:8">
      <c r="A150" s="64" t="s">
        <v>27</v>
      </c>
      <c r="B150" s="64" t="s">
        <v>58</v>
      </c>
      <c r="C150" s="64">
        <v>0.21</v>
      </c>
      <c r="D150" s="64" t="s">
        <v>235</v>
      </c>
    </row>
    <row r="151" spans="1:8">
      <c r="E151" s="64" t="s">
        <v>224</v>
      </c>
      <c r="F151" s="64" t="s">
        <v>223</v>
      </c>
      <c r="G151" s="64">
        <v>100</v>
      </c>
      <c r="H151" s="64">
        <v>21</v>
      </c>
    </row>
    <row r="152" spans="1:8">
      <c r="E152" s="64" t="s">
        <v>227</v>
      </c>
      <c r="F152" s="64" t="s">
        <v>181</v>
      </c>
      <c r="G152" s="64">
        <v>39.5</v>
      </c>
      <c r="H152" s="64">
        <v>8.2949999999999999</v>
      </c>
    </row>
    <row r="153" spans="1:8">
      <c r="A153" s="64" t="s">
        <v>28</v>
      </c>
      <c r="B153" s="64" t="s">
        <v>60</v>
      </c>
      <c r="C153" s="64">
        <v>0.75</v>
      </c>
      <c r="D153" s="64" t="s">
        <v>234</v>
      </c>
    </row>
    <row r="154" spans="1:8">
      <c r="E154" s="64" t="s">
        <v>233</v>
      </c>
      <c r="F154" s="64" t="s">
        <v>183</v>
      </c>
      <c r="G154" s="64">
        <v>4.0000000000000002E-4</v>
      </c>
      <c r="H154" s="64">
        <v>2.9999999999999997E-4</v>
      </c>
    </row>
    <row r="155" spans="1:8">
      <c r="E155" s="64" t="s">
        <v>232</v>
      </c>
      <c r="F155" s="64" t="s">
        <v>183</v>
      </c>
      <c r="G155" s="64">
        <v>8.0000000000000002E-3</v>
      </c>
      <c r="H155" s="64">
        <v>6.0000000000000001E-3</v>
      </c>
    </row>
    <row r="156" spans="1:8">
      <c r="E156" s="64" t="s">
        <v>231</v>
      </c>
      <c r="F156" s="64" t="s">
        <v>190</v>
      </c>
      <c r="G156" s="64">
        <v>6</v>
      </c>
      <c r="H156" s="64">
        <v>4.5</v>
      </c>
    </row>
    <row r="157" spans="1:8">
      <c r="E157" s="64" t="s">
        <v>230</v>
      </c>
      <c r="F157" s="64" t="s">
        <v>190</v>
      </c>
      <c r="G157" s="64">
        <v>91</v>
      </c>
      <c r="H157" s="64">
        <v>68.25</v>
      </c>
    </row>
    <row r="158" spans="1:8">
      <c r="E158" s="64" t="s">
        <v>229</v>
      </c>
      <c r="F158" s="64" t="s">
        <v>181</v>
      </c>
      <c r="G158" s="64">
        <v>0.1</v>
      </c>
      <c r="H158" s="64">
        <v>7.5000000000000011E-2</v>
      </c>
    </row>
    <row r="159" spans="1:8">
      <c r="E159" s="64" t="s">
        <v>228</v>
      </c>
      <c r="F159" s="64" t="s">
        <v>183</v>
      </c>
      <c r="G159" s="64">
        <v>1.2999999999999999E-2</v>
      </c>
      <c r="H159" s="64">
        <v>9.75E-3</v>
      </c>
    </row>
    <row r="160" spans="1:8">
      <c r="E160" s="64" t="s">
        <v>184</v>
      </c>
      <c r="F160" s="64" t="s">
        <v>183</v>
      </c>
      <c r="G160" s="64">
        <v>0.56999999999999995</v>
      </c>
      <c r="H160" s="64">
        <v>0.42749999999999999</v>
      </c>
    </row>
    <row r="161" spans="1:8">
      <c r="E161" s="64" t="s">
        <v>227</v>
      </c>
      <c r="F161" s="64" t="s">
        <v>181</v>
      </c>
      <c r="G161" s="64">
        <v>0.6</v>
      </c>
      <c r="H161" s="64">
        <v>0.45</v>
      </c>
    </row>
    <row r="162" spans="1:8">
      <c r="E162" s="64" t="s">
        <v>182</v>
      </c>
      <c r="F162" s="64" t="s">
        <v>181</v>
      </c>
      <c r="G162" s="64">
        <v>0.24</v>
      </c>
      <c r="H162" s="64">
        <v>0.18</v>
      </c>
    </row>
    <row r="163" spans="1:8">
      <c r="A163" s="64" t="s">
        <v>29</v>
      </c>
      <c r="B163" s="64" t="s">
        <v>58</v>
      </c>
      <c r="C163" s="64">
        <v>0.3</v>
      </c>
      <c r="D163" s="64" t="s">
        <v>226</v>
      </c>
    </row>
    <row r="164" spans="1:8">
      <c r="E164" s="64" t="s">
        <v>225</v>
      </c>
      <c r="F164" s="64" t="s">
        <v>181</v>
      </c>
      <c r="G164" s="64">
        <v>0.33</v>
      </c>
      <c r="H164" s="64">
        <v>9.9000000000000005E-2</v>
      </c>
    </row>
    <row r="165" spans="1:8">
      <c r="E165" s="64" t="s">
        <v>224</v>
      </c>
      <c r="F165" s="64" t="s">
        <v>223</v>
      </c>
      <c r="G165" s="64">
        <v>100</v>
      </c>
      <c r="H165" s="64">
        <v>30</v>
      </c>
    </row>
    <row r="166" spans="1:8">
      <c r="A166" s="64" t="s">
        <v>30</v>
      </c>
      <c r="B166" s="64" t="s">
        <v>60</v>
      </c>
      <c r="C166" s="64">
        <v>3.3984000000000001</v>
      </c>
      <c r="D166" s="64" t="s">
        <v>222</v>
      </c>
    </row>
    <row r="167" spans="1:8">
      <c r="E167" s="64" t="s">
        <v>221</v>
      </c>
      <c r="F167" s="64" t="s">
        <v>183</v>
      </c>
      <c r="G167" s="64">
        <v>1.26</v>
      </c>
      <c r="H167" s="64">
        <v>4.2819839999999996</v>
      </c>
    </row>
    <row r="168" spans="1:8">
      <c r="E168" s="64" t="s">
        <v>220</v>
      </c>
      <c r="F168" s="64" t="s">
        <v>190</v>
      </c>
      <c r="G168" s="64">
        <v>460</v>
      </c>
      <c r="H168" s="64">
        <v>1563.2639999999999</v>
      </c>
    </row>
    <row r="169" spans="1:8">
      <c r="E169" s="64" t="s">
        <v>219</v>
      </c>
      <c r="F169" s="64" t="s">
        <v>183</v>
      </c>
      <c r="G169" s="64">
        <v>1E-3</v>
      </c>
      <c r="H169" s="64">
        <v>3.3984000000000002E-3</v>
      </c>
    </row>
    <row r="170" spans="1:8">
      <c r="E170" s="64" t="s">
        <v>218</v>
      </c>
      <c r="F170" s="64" t="s">
        <v>181</v>
      </c>
      <c r="G170" s="64">
        <v>1.05</v>
      </c>
      <c r="H170" s="64">
        <v>3.5683199999999999</v>
      </c>
    </row>
    <row r="171" spans="1:8">
      <c r="A171" s="64" t="s">
        <v>32</v>
      </c>
      <c r="B171" s="64" t="s">
        <v>60</v>
      </c>
      <c r="C171" s="64">
        <v>3.3984000000000001</v>
      </c>
      <c r="D171" s="64" t="s">
        <v>217</v>
      </c>
    </row>
    <row r="172" spans="1:8">
      <c r="E172" s="64" t="s">
        <v>216</v>
      </c>
      <c r="F172" s="64" t="s">
        <v>181</v>
      </c>
      <c r="G172" s="64">
        <v>0.06</v>
      </c>
      <c r="H172" s="64">
        <v>0.203904</v>
      </c>
    </row>
    <row r="173" spans="1:8">
      <c r="E173" s="64" t="s">
        <v>215</v>
      </c>
      <c r="F173" s="64" t="s">
        <v>181</v>
      </c>
      <c r="G173" s="64">
        <v>10.199999999999999</v>
      </c>
      <c r="H173" s="64">
        <v>34.663679999999992</v>
      </c>
    </row>
    <row r="174" spans="1:8">
      <c r="E174" s="64" t="s">
        <v>182</v>
      </c>
      <c r="F174" s="64" t="s">
        <v>181</v>
      </c>
      <c r="G174" s="64">
        <v>0.5</v>
      </c>
      <c r="H174" s="64">
        <v>1.6992</v>
      </c>
    </row>
    <row r="175" spans="1:8">
      <c r="A175" s="64" t="s">
        <v>33</v>
      </c>
      <c r="B175" s="64" t="s">
        <v>60</v>
      </c>
      <c r="C175" s="64">
        <v>3.3984000000000001</v>
      </c>
      <c r="D175" s="64" t="s">
        <v>214</v>
      </c>
    </row>
    <row r="176" spans="1:8">
      <c r="E176" s="64" t="s">
        <v>213</v>
      </c>
      <c r="F176" s="64" t="s">
        <v>183</v>
      </c>
      <c r="G176" s="64">
        <v>0.05</v>
      </c>
      <c r="H176" s="64">
        <v>0.16991999999999999</v>
      </c>
    </row>
    <row r="177" spans="1:8">
      <c r="E177" s="64" t="s">
        <v>212</v>
      </c>
      <c r="F177" s="64" t="s">
        <v>211</v>
      </c>
      <c r="G177" s="64">
        <v>0.5</v>
      </c>
      <c r="H177" s="64">
        <v>1.6992</v>
      </c>
    </row>
    <row r="178" spans="1:8">
      <c r="E178" s="64" t="s">
        <v>210</v>
      </c>
      <c r="F178" s="64" t="s">
        <v>190</v>
      </c>
      <c r="G178" s="64">
        <v>102</v>
      </c>
      <c r="H178" s="64">
        <v>346.63679999999988</v>
      </c>
    </row>
    <row r="179" spans="1:8">
      <c r="A179" s="64" t="s">
        <v>34</v>
      </c>
      <c r="B179" s="64" t="s">
        <v>60</v>
      </c>
      <c r="C179" s="64">
        <v>3.3984000000000001</v>
      </c>
      <c r="D179" s="64" t="s">
        <v>209</v>
      </c>
    </row>
    <row r="180" spans="1:8">
      <c r="E180" s="64" t="s">
        <v>208</v>
      </c>
      <c r="F180" s="64" t="s">
        <v>181</v>
      </c>
      <c r="G180" s="64">
        <v>3.06</v>
      </c>
      <c r="H180" s="64">
        <v>10.399103999999999</v>
      </c>
    </row>
    <row r="181" spans="1:8">
      <c r="E181" s="64" t="s">
        <v>207</v>
      </c>
      <c r="F181" s="64" t="s">
        <v>190</v>
      </c>
      <c r="G181" s="64">
        <v>102</v>
      </c>
      <c r="H181" s="64">
        <v>346.63679999999988</v>
      </c>
    </row>
    <row r="182" spans="1:8">
      <c r="E182" s="64" t="s">
        <v>206</v>
      </c>
      <c r="F182" s="64" t="s">
        <v>181</v>
      </c>
      <c r="G182" s="64">
        <v>1.3</v>
      </c>
      <c r="H182" s="64">
        <v>4.4179199999999996</v>
      </c>
    </row>
    <row r="183" spans="1:8">
      <c r="E183" s="64" t="s">
        <v>182</v>
      </c>
      <c r="F183" s="64" t="s">
        <v>181</v>
      </c>
      <c r="G183" s="64">
        <v>3.85</v>
      </c>
      <c r="H183" s="64">
        <v>13.08384</v>
      </c>
    </row>
    <row r="184" spans="1:8">
      <c r="A184" s="64" t="s">
        <v>35</v>
      </c>
      <c r="B184" s="64" t="s">
        <v>60</v>
      </c>
      <c r="C184" s="64">
        <v>0.75</v>
      </c>
      <c r="D184" s="64" t="s">
        <v>205</v>
      </c>
    </row>
    <row r="185" spans="1:8">
      <c r="E185" s="64" t="s">
        <v>204</v>
      </c>
      <c r="F185" s="64" t="s">
        <v>183</v>
      </c>
      <c r="G185" s="64">
        <v>2.8E-3</v>
      </c>
      <c r="H185" s="64">
        <v>2.0999999999999999E-3</v>
      </c>
    </row>
    <row r="186" spans="1:8">
      <c r="E186" s="64" t="s">
        <v>193</v>
      </c>
      <c r="F186" s="64" t="s">
        <v>183</v>
      </c>
      <c r="G186" s="64">
        <v>3.1E-2</v>
      </c>
      <c r="H186" s="64">
        <v>2.325E-2</v>
      </c>
    </row>
    <row r="187" spans="1:8">
      <c r="E187" s="64" t="s">
        <v>191</v>
      </c>
      <c r="F187" s="64" t="s">
        <v>190</v>
      </c>
      <c r="G187" s="64">
        <v>118</v>
      </c>
      <c r="H187" s="64">
        <v>88.5</v>
      </c>
    </row>
    <row r="188" spans="1:8">
      <c r="E188" s="64" t="s">
        <v>189</v>
      </c>
      <c r="F188" s="64" t="s">
        <v>183</v>
      </c>
      <c r="G188" s="64">
        <v>2.96E-3</v>
      </c>
      <c r="H188" s="64">
        <v>2.2200000000000002E-3</v>
      </c>
    </row>
    <row r="189" spans="1:8">
      <c r="E189" s="64" t="s">
        <v>203</v>
      </c>
      <c r="F189" s="64" t="s">
        <v>202</v>
      </c>
      <c r="G189" s="64">
        <v>51.9</v>
      </c>
      <c r="H189" s="64">
        <v>38.924999999999997</v>
      </c>
    </row>
    <row r="190" spans="1:8">
      <c r="E190" s="64" t="s">
        <v>197</v>
      </c>
      <c r="F190" s="64" t="s">
        <v>196</v>
      </c>
      <c r="G190" s="64">
        <v>0</v>
      </c>
      <c r="H190" s="64">
        <v>0</v>
      </c>
    </row>
    <row r="191" spans="1:8">
      <c r="E191" s="64" t="s">
        <v>201</v>
      </c>
      <c r="F191" s="64" t="s">
        <v>183</v>
      </c>
      <c r="G191" s="64">
        <v>1.14E-2</v>
      </c>
      <c r="H191" s="64">
        <v>8.5500000000000003E-3</v>
      </c>
    </row>
    <row r="192" spans="1:8">
      <c r="E192" s="64" t="s">
        <v>200</v>
      </c>
      <c r="F192" s="64" t="s">
        <v>190</v>
      </c>
      <c r="G192" s="64">
        <v>100</v>
      </c>
      <c r="H192" s="64">
        <v>75</v>
      </c>
    </row>
    <row r="193" spans="1:8">
      <c r="E193" s="64" t="s">
        <v>199</v>
      </c>
      <c r="F193" s="64" t="s">
        <v>181</v>
      </c>
      <c r="G193" s="64">
        <v>0.13800000000000001</v>
      </c>
      <c r="H193" s="64">
        <v>0.10349999999999999</v>
      </c>
    </row>
    <row r="194" spans="1:8">
      <c r="E194" s="64" t="s">
        <v>184</v>
      </c>
      <c r="F194" s="64" t="s">
        <v>183</v>
      </c>
      <c r="G194" s="64">
        <v>2.98E-2</v>
      </c>
      <c r="H194" s="64">
        <v>2.2349999999999998E-2</v>
      </c>
    </row>
    <row r="195" spans="1:8">
      <c r="A195" s="64" t="s">
        <v>36</v>
      </c>
      <c r="B195" s="64" t="s">
        <v>60</v>
      </c>
      <c r="C195" s="64">
        <v>0.9</v>
      </c>
      <c r="D195" s="64" t="s">
        <v>198</v>
      </c>
    </row>
    <row r="196" spans="1:8">
      <c r="E196" s="64" t="s">
        <v>189</v>
      </c>
      <c r="F196" s="64" t="s">
        <v>183</v>
      </c>
      <c r="G196" s="64">
        <v>3.3999999999999998E-3</v>
      </c>
      <c r="H196" s="64">
        <v>3.0599999999999998E-3</v>
      </c>
    </row>
    <row r="197" spans="1:8">
      <c r="E197" s="64" t="s">
        <v>197</v>
      </c>
      <c r="F197" s="64" t="s">
        <v>196</v>
      </c>
      <c r="G197" s="64">
        <v>0</v>
      </c>
      <c r="H197" s="64">
        <v>0</v>
      </c>
    </row>
    <row r="198" spans="1:8">
      <c r="E198" s="64" t="s">
        <v>195</v>
      </c>
      <c r="F198" s="64" t="s">
        <v>190</v>
      </c>
      <c r="G198" s="64">
        <v>100</v>
      </c>
      <c r="H198" s="64">
        <v>90</v>
      </c>
    </row>
    <row r="199" spans="1:8">
      <c r="A199" s="64" t="s">
        <v>37</v>
      </c>
      <c r="B199" s="64" t="s">
        <v>60</v>
      </c>
      <c r="C199" s="64">
        <v>0.1</v>
      </c>
      <c r="D199" s="64" t="s">
        <v>194</v>
      </c>
    </row>
    <row r="200" spans="1:8">
      <c r="E200" s="64" t="s">
        <v>193</v>
      </c>
      <c r="F200" s="64" t="s">
        <v>183</v>
      </c>
      <c r="G200" s="64">
        <v>6.0000000000000001E-3</v>
      </c>
      <c r="H200" s="64">
        <v>6.0000000000000006E-4</v>
      </c>
    </row>
    <row r="201" spans="1:8">
      <c r="E201" s="64" t="s">
        <v>192</v>
      </c>
      <c r="F201" s="64" t="s">
        <v>183</v>
      </c>
      <c r="G201" s="64">
        <v>5.1999999999999998E-2</v>
      </c>
      <c r="H201" s="64">
        <v>5.1999999999999998E-3</v>
      </c>
    </row>
    <row r="202" spans="1:8">
      <c r="E202" s="64" t="s">
        <v>191</v>
      </c>
      <c r="F202" s="64" t="s">
        <v>190</v>
      </c>
      <c r="G202" s="64">
        <v>5.58</v>
      </c>
      <c r="H202" s="64">
        <v>0.55800000000000005</v>
      </c>
    </row>
    <row r="203" spans="1:8">
      <c r="E203" s="64" t="s">
        <v>189</v>
      </c>
      <c r="F203" s="64" t="s">
        <v>183</v>
      </c>
      <c r="G203" s="64">
        <v>5.5999999999999999E-3</v>
      </c>
      <c r="H203" s="64">
        <v>5.6000000000000006E-4</v>
      </c>
    </row>
    <row r="204" spans="1:8">
      <c r="E204" s="64" t="s">
        <v>188</v>
      </c>
      <c r="F204" s="64" t="s">
        <v>183</v>
      </c>
      <c r="G204" s="64">
        <v>6.9999999999999999E-4</v>
      </c>
      <c r="H204" s="64">
        <v>7.0000000000000007E-5</v>
      </c>
    </row>
    <row r="205" spans="1:8">
      <c r="E205" s="64" t="s">
        <v>187</v>
      </c>
      <c r="F205" s="64" t="s">
        <v>186</v>
      </c>
      <c r="G205" s="64">
        <v>74</v>
      </c>
      <c r="H205" s="64">
        <v>7.4</v>
      </c>
    </row>
    <row r="206" spans="1:8">
      <c r="E206" s="64" t="s">
        <v>185</v>
      </c>
      <c r="F206" s="64" t="s">
        <v>181</v>
      </c>
      <c r="G206" s="64">
        <v>0.34</v>
      </c>
      <c r="H206" s="64">
        <v>3.4000000000000002E-2</v>
      </c>
    </row>
    <row r="207" spans="1:8">
      <c r="E207" s="64" t="s">
        <v>184</v>
      </c>
      <c r="F207" s="64" t="s">
        <v>183</v>
      </c>
      <c r="G207" s="64">
        <v>0.3</v>
      </c>
      <c r="H207" s="64">
        <v>0.03</v>
      </c>
    </row>
    <row r="208" spans="1:8">
      <c r="E208" s="64" t="s">
        <v>182</v>
      </c>
      <c r="F208" s="64" t="s">
        <v>181</v>
      </c>
      <c r="G208" s="64">
        <v>0.6</v>
      </c>
      <c r="H208" s="64">
        <v>0.06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DAE0-E1A5-41DE-A542-BAD5C3227038}">
  <dimension ref="A1:C64"/>
  <sheetViews>
    <sheetView tabSelected="1" topLeftCell="A13" workbookViewId="0">
      <selection activeCell="E23" sqref="E23"/>
    </sheetView>
  </sheetViews>
  <sheetFormatPr defaultColWidth="9.109375" defaultRowHeight="14.4"/>
  <cols>
    <col min="1" max="1" width="81.33203125" style="64" customWidth="1"/>
    <col min="2" max="16384" width="9.109375" style="64"/>
  </cols>
  <sheetData>
    <row r="1" spans="1:3">
      <c r="A1" t="s">
        <v>224</v>
      </c>
      <c r="B1" t="s">
        <v>223</v>
      </c>
      <c r="C1">
        <v>570.63671428571433</v>
      </c>
    </row>
    <row r="2" spans="1:3">
      <c r="A2" t="s">
        <v>227</v>
      </c>
      <c r="B2" t="s">
        <v>181</v>
      </c>
      <c r="C2">
        <v>33.545375</v>
      </c>
    </row>
    <row r="3" spans="1:3">
      <c r="A3" t="s">
        <v>243</v>
      </c>
      <c r="B3" t="s">
        <v>183</v>
      </c>
      <c r="C3">
        <v>0.1039179085714286</v>
      </c>
    </row>
    <row r="4" spans="1:3">
      <c r="A4" t="s">
        <v>241</v>
      </c>
      <c r="B4" t="s">
        <v>183</v>
      </c>
      <c r="C4">
        <v>2.4824016000000001E-2</v>
      </c>
    </row>
    <row r="5" spans="1:3">
      <c r="A5" t="s">
        <v>240</v>
      </c>
      <c r="B5" t="s">
        <v>183</v>
      </c>
      <c r="C5">
        <v>0.19670365714285709</v>
      </c>
    </row>
    <row r="6" spans="1:3">
      <c r="A6" t="s">
        <v>239</v>
      </c>
      <c r="B6" t="s">
        <v>181</v>
      </c>
      <c r="C6">
        <v>2.1494641885714292</v>
      </c>
    </row>
    <row r="7" spans="1:3">
      <c r="A7" t="s">
        <v>236</v>
      </c>
      <c r="B7" t="s">
        <v>181</v>
      </c>
      <c r="C7">
        <v>70.682922942857147</v>
      </c>
    </row>
    <row r="8" spans="1:3">
      <c r="A8" t="s">
        <v>254</v>
      </c>
      <c r="B8" t="s">
        <v>183</v>
      </c>
      <c r="C8">
        <v>4.6200000000000001E-4</v>
      </c>
    </row>
    <row r="9" spans="1:3">
      <c r="A9" t="s">
        <v>253</v>
      </c>
      <c r="B9" t="s">
        <v>181</v>
      </c>
      <c r="C9">
        <v>2.4024000000000001</v>
      </c>
    </row>
    <row r="10" spans="1:3">
      <c r="A10" t="s">
        <v>252</v>
      </c>
      <c r="B10" t="s">
        <v>183</v>
      </c>
      <c r="C10">
        <v>3.2339999999999999E-3</v>
      </c>
    </row>
    <row r="11" spans="1:3">
      <c r="A11" t="s">
        <v>251</v>
      </c>
      <c r="B11" t="s">
        <v>183</v>
      </c>
      <c r="C11">
        <v>5.5440000000000003E-3</v>
      </c>
    </row>
    <row r="12" spans="1:3">
      <c r="A12" t="s">
        <v>250</v>
      </c>
      <c r="B12" t="s">
        <v>183</v>
      </c>
      <c r="C12">
        <v>3.36336E-2</v>
      </c>
    </row>
    <row r="13" spans="1:3">
      <c r="A13" t="s">
        <v>189</v>
      </c>
      <c r="B13" t="s">
        <v>183</v>
      </c>
      <c r="C13">
        <v>2.5527419999999999E-2</v>
      </c>
    </row>
    <row r="14" spans="1:3">
      <c r="A14" t="s">
        <v>249</v>
      </c>
      <c r="B14" t="s">
        <v>181</v>
      </c>
      <c r="C14">
        <v>0.14321999999999999</v>
      </c>
    </row>
    <row r="15" spans="1:3">
      <c r="A15" t="s">
        <v>248</v>
      </c>
      <c r="B15" t="s">
        <v>181</v>
      </c>
      <c r="C15">
        <v>0.54054000000000002</v>
      </c>
    </row>
    <row r="16" spans="1:3">
      <c r="A16" t="s">
        <v>238</v>
      </c>
      <c r="B16" t="s">
        <v>183</v>
      </c>
      <c r="C16">
        <v>2.2398737142857139</v>
      </c>
    </row>
    <row r="17" spans="1:3">
      <c r="A17" t="s">
        <v>247</v>
      </c>
      <c r="B17" t="s">
        <v>181</v>
      </c>
      <c r="C17">
        <v>0.86393999999999993</v>
      </c>
    </row>
    <row r="18" spans="1:3">
      <c r="A18" t="s">
        <v>245</v>
      </c>
      <c r="B18" t="s">
        <v>181</v>
      </c>
      <c r="C18">
        <v>0.24640000000000001</v>
      </c>
    </row>
    <row r="19" spans="1:3">
      <c r="A19" t="s">
        <v>242</v>
      </c>
      <c r="B19" t="s">
        <v>190</v>
      </c>
      <c r="C19">
        <v>243.48240000000001</v>
      </c>
    </row>
    <row r="20" spans="1:3">
      <c r="A20" t="s">
        <v>237</v>
      </c>
      <c r="B20" t="s">
        <v>183</v>
      </c>
      <c r="C20">
        <v>4.9690285714285708E-2</v>
      </c>
    </row>
    <row r="21" spans="1:3">
      <c r="A21" t="s">
        <v>233</v>
      </c>
      <c r="B21" t="s">
        <v>183</v>
      </c>
      <c r="C21">
        <v>9.4800000000000006E-4</v>
      </c>
    </row>
    <row r="22" spans="1:3">
      <c r="A22" t="s">
        <v>232</v>
      </c>
      <c r="B22" t="s">
        <v>183</v>
      </c>
      <c r="C22">
        <v>1.8960000000000001E-2</v>
      </c>
    </row>
    <row r="23" spans="1:3">
      <c r="A23" t="s">
        <v>231</v>
      </c>
      <c r="B23" t="s">
        <v>190</v>
      </c>
      <c r="C23">
        <v>14.22</v>
      </c>
    </row>
    <row r="24" spans="1:3">
      <c r="A24" t="s">
        <v>230</v>
      </c>
      <c r="B24" t="s">
        <v>190</v>
      </c>
      <c r="C24">
        <v>215.67</v>
      </c>
    </row>
    <row r="25" spans="1:3">
      <c r="A25" t="s">
        <v>229</v>
      </c>
      <c r="B25" t="s">
        <v>181</v>
      </c>
      <c r="C25">
        <v>0.25340000000000013</v>
      </c>
    </row>
    <row r="26" spans="1:3">
      <c r="A26" t="s">
        <v>228</v>
      </c>
      <c r="B26" t="s">
        <v>183</v>
      </c>
      <c r="C26">
        <v>3.0810000000000001E-2</v>
      </c>
    </row>
    <row r="27" spans="1:3">
      <c r="A27" t="s">
        <v>184</v>
      </c>
      <c r="B27" t="s">
        <v>183</v>
      </c>
      <c r="C27">
        <v>1.6879500000000001</v>
      </c>
    </row>
    <row r="28" spans="1:3">
      <c r="A28" t="s">
        <v>182</v>
      </c>
      <c r="B28" t="s">
        <v>181</v>
      </c>
      <c r="C28">
        <v>24.460101999999999</v>
      </c>
    </row>
    <row r="29" spans="1:3">
      <c r="A29" t="s">
        <v>225</v>
      </c>
      <c r="B29" t="s">
        <v>181</v>
      </c>
      <c r="C29">
        <v>0.30359999999999998</v>
      </c>
    </row>
    <row r="30" spans="1:3">
      <c r="A30" t="s">
        <v>221</v>
      </c>
      <c r="B30" t="s">
        <v>183</v>
      </c>
      <c r="C30">
        <v>8.7317999999999998</v>
      </c>
    </row>
    <row r="31" spans="1:3">
      <c r="A31" t="s">
        <v>220</v>
      </c>
      <c r="B31" t="s">
        <v>190</v>
      </c>
      <c r="C31">
        <v>3187.8</v>
      </c>
    </row>
    <row r="32" spans="1:3">
      <c r="A32" t="s">
        <v>219</v>
      </c>
      <c r="B32" t="s">
        <v>183</v>
      </c>
      <c r="C32">
        <v>6.9300000000000004E-3</v>
      </c>
    </row>
    <row r="33" spans="1:3">
      <c r="A33" t="s">
        <v>218</v>
      </c>
      <c r="B33" t="s">
        <v>181</v>
      </c>
      <c r="C33">
        <v>7.2765000000000004</v>
      </c>
    </row>
    <row r="34" spans="1:3">
      <c r="A34" t="s">
        <v>266</v>
      </c>
      <c r="B34" t="s">
        <v>183</v>
      </c>
      <c r="C34">
        <v>3.46E-3</v>
      </c>
    </row>
    <row r="35" spans="1:3">
      <c r="A35" t="s">
        <v>265</v>
      </c>
      <c r="B35" t="s">
        <v>183</v>
      </c>
      <c r="C35">
        <v>4.7199999999999998E-4</v>
      </c>
    </row>
    <row r="36" spans="1:3">
      <c r="A36" t="s">
        <v>264</v>
      </c>
      <c r="B36" t="s">
        <v>183</v>
      </c>
      <c r="C36">
        <v>2.5999999999999998E-4</v>
      </c>
    </row>
    <row r="37" spans="1:3">
      <c r="A37" t="s">
        <v>263</v>
      </c>
      <c r="B37" t="s">
        <v>190</v>
      </c>
      <c r="C37">
        <v>0.85799999999999998</v>
      </c>
    </row>
    <row r="38" spans="1:3">
      <c r="A38" t="s">
        <v>262</v>
      </c>
      <c r="B38" t="s">
        <v>196</v>
      </c>
      <c r="C38">
        <v>0</v>
      </c>
    </row>
    <row r="39" spans="1:3">
      <c r="A39" t="s">
        <v>261</v>
      </c>
      <c r="B39" t="s">
        <v>196</v>
      </c>
      <c r="C39">
        <v>0</v>
      </c>
    </row>
    <row r="40" spans="1:3">
      <c r="A40" t="s">
        <v>260</v>
      </c>
      <c r="B40" t="s">
        <v>190</v>
      </c>
      <c r="C40">
        <v>0.58399999999999996</v>
      </c>
    </row>
    <row r="41" spans="1:3">
      <c r="A41" t="s">
        <v>259</v>
      </c>
      <c r="B41" t="s">
        <v>181</v>
      </c>
      <c r="C41">
        <v>5.2000000000000006E-3</v>
      </c>
    </row>
    <row r="42" spans="1:3">
      <c r="A42" t="s">
        <v>258</v>
      </c>
      <c r="B42" t="s">
        <v>181</v>
      </c>
      <c r="C42">
        <v>2.0400000000000001E-2</v>
      </c>
    </row>
    <row r="43" spans="1:3">
      <c r="A43" t="s">
        <v>257</v>
      </c>
      <c r="B43" t="s">
        <v>183</v>
      </c>
      <c r="C43">
        <v>0.314</v>
      </c>
    </row>
    <row r="44" spans="1:3">
      <c r="A44" t="s">
        <v>215</v>
      </c>
      <c r="B44" t="s">
        <v>181</v>
      </c>
      <c r="C44">
        <v>72.715999999999994</v>
      </c>
    </row>
    <row r="45" spans="1:3">
      <c r="A45" t="s">
        <v>216</v>
      </c>
      <c r="B45" t="s">
        <v>181</v>
      </c>
      <c r="C45">
        <v>0.41579999999999989</v>
      </c>
    </row>
    <row r="46" spans="1:3">
      <c r="A46" t="s">
        <v>213</v>
      </c>
      <c r="B46" t="s">
        <v>183</v>
      </c>
      <c r="C46">
        <v>0.34649999999999997</v>
      </c>
    </row>
    <row r="47" spans="1:3">
      <c r="A47" t="s">
        <v>212</v>
      </c>
      <c r="B47" t="s">
        <v>211</v>
      </c>
      <c r="C47">
        <v>3.4649999999999999</v>
      </c>
    </row>
    <row r="48" spans="1:3">
      <c r="A48" t="s">
        <v>210</v>
      </c>
      <c r="B48" t="s">
        <v>190</v>
      </c>
      <c r="C48">
        <v>706.8599999999999</v>
      </c>
    </row>
    <row r="49" spans="1:3">
      <c r="A49" t="s">
        <v>208</v>
      </c>
      <c r="B49" t="s">
        <v>181</v>
      </c>
      <c r="C49">
        <v>15.802452000000001</v>
      </c>
    </row>
    <row r="50" spans="1:3">
      <c r="A50" t="s">
        <v>207</v>
      </c>
      <c r="B50" t="s">
        <v>190</v>
      </c>
      <c r="C50">
        <v>526.74839999999995</v>
      </c>
    </row>
    <row r="51" spans="1:3">
      <c r="A51" t="s">
        <v>206</v>
      </c>
      <c r="B51" t="s">
        <v>181</v>
      </c>
      <c r="C51">
        <v>6.7134600000000004</v>
      </c>
    </row>
    <row r="52" spans="1:3">
      <c r="A52" t="s">
        <v>204</v>
      </c>
      <c r="B52" t="s">
        <v>183</v>
      </c>
      <c r="C52">
        <v>6.3E-3</v>
      </c>
    </row>
    <row r="53" spans="1:3">
      <c r="A53" t="s">
        <v>193</v>
      </c>
      <c r="B53" t="s">
        <v>183</v>
      </c>
      <c r="C53">
        <v>7.5150000000000008E-2</v>
      </c>
    </row>
    <row r="54" spans="1:3">
      <c r="A54" t="s">
        <v>191</v>
      </c>
      <c r="B54" t="s">
        <v>190</v>
      </c>
      <c r="C54">
        <v>270.52199999999999</v>
      </c>
    </row>
    <row r="55" spans="1:3">
      <c r="A55" t="s">
        <v>203</v>
      </c>
      <c r="B55" t="s">
        <v>202</v>
      </c>
      <c r="C55">
        <v>116.77500000000001</v>
      </c>
    </row>
    <row r="56" spans="1:3">
      <c r="A56" t="s">
        <v>197</v>
      </c>
      <c r="B56" t="s">
        <v>196</v>
      </c>
      <c r="C56">
        <v>0</v>
      </c>
    </row>
    <row r="57" spans="1:3">
      <c r="A57" t="s">
        <v>201</v>
      </c>
      <c r="B57" t="s">
        <v>183</v>
      </c>
      <c r="C57">
        <v>2.5649999999999999E-2</v>
      </c>
    </row>
    <row r="58" spans="1:3">
      <c r="A58" t="s">
        <v>200</v>
      </c>
      <c r="B58" t="s">
        <v>190</v>
      </c>
      <c r="C58">
        <v>225</v>
      </c>
    </row>
    <row r="59" spans="1:3">
      <c r="A59" t="s">
        <v>199</v>
      </c>
      <c r="B59" t="s">
        <v>181</v>
      </c>
      <c r="C59">
        <v>0.3105</v>
      </c>
    </row>
    <row r="60" spans="1:3">
      <c r="A60" t="s">
        <v>195</v>
      </c>
      <c r="B60" t="s">
        <v>190</v>
      </c>
      <c r="C60">
        <v>270</v>
      </c>
    </row>
    <row r="61" spans="1:3">
      <c r="A61" t="s">
        <v>192</v>
      </c>
      <c r="B61" t="s">
        <v>183</v>
      </c>
      <c r="C61">
        <v>4.6799999999999987E-2</v>
      </c>
    </row>
    <row r="62" spans="1:3">
      <c r="A62" t="s">
        <v>188</v>
      </c>
      <c r="B62" t="s">
        <v>183</v>
      </c>
      <c r="C62">
        <v>6.3000000000000003E-4</v>
      </c>
    </row>
    <row r="63" spans="1:3">
      <c r="A63" t="s">
        <v>187</v>
      </c>
      <c r="B63" t="s">
        <v>186</v>
      </c>
      <c r="C63">
        <v>66.600000000000009</v>
      </c>
    </row>
    <row r="64" spans="1:3">
      <c r="A64" t="s">
        <v>185</v>
      </c>
      <c r="B64" t="s">
        <v>181</v>
      </c>
      <c r="C64">
        <v>0.30599999999999999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3820-A22A-4B08-AAB3-24CE69F0D1CA}">
  <dimension ref="A18:E51"/>
  <sheetViews>
    <sheetView topLeftCell="A7" zoomScale="115" zoomScaleNormal="115" workbookViewId="0">
      <selection activeCell="A41" sqref="A41"/>
    </sheetView>
  </sheetViews>
  <sheetFormatPr defaultRowHeight="14.4"/>
  <sheetData>
    <row r="18" spans="1:5">
      <c r="A18" s="65">
        <v>4.0999999999999996</v>
      </c>
    </row>
    <row r="19" spans="1:5" ht="15.6">
      <c r="A19" s="66"/>
    </row>
    <row r="20" spans="1:5" ht="18">
      <c r="A20" s="8" t="s">
        <v>278</v>
      </c>
      <c r="B20" t="s">
        <v>279</v>
      </c>
      <c r="C20" s="8">
        <v>7.5</v>
      </c>
    </row>
    <row r="21" spans="1:5" ht="18">
      <c r="A21" s="8" t="s">
        <v>280</v>
      </c>
      <c r="B21" t="s">
        <v>279</v>
      </c>
      <c r="C21" s="8">
        <v>2.5</v>
      </c>
    </row>
    <row r="22" spans="1:5" ht="18">
      <c r="A22" s="8" t="s">
        <v>281</v>
      </c>
      <c r="B22" t="s">
        <v>279</v>
      </c>
      <c r="C22" s="8">
        <v>0.5</v>
      </c>
    </row>
    <row r="23" spans="1:5" ht="18">
      <c r="A23" s="8" t="s">
        <v>282</v>
      </c>
      <c r="B23" t="s">
        <v>279</v>
      </c>
      <c r="C23" s="8">
        <v>2.8</v>
      </c>
    </row>
    <row r="25" spans="1:5" ht="16.2">
      <c r="A25" s="67" t="s">
        <v>283</v>
      </c>
      <c r="B25" t="s">
        <v>279</v>
      </c>
      <c r="C25">
        <f>C20+C21+C22+C23</f>
        <v>13.3</v>
      </c>
      <c r="D25" s="68" t="s">
        <v>284</v>
      </c>
    </row>
    <row r="26" spans="1:5">
      <c r="E26" t="s">
        <v>271</v>
      </c>
    </row>
    <row r="28" spans="1:5" ht="15.6">
      <c r="A28" s="8" t="s">
        <v>285</v>
      </c>
      <c r="B28" t="s">
        <v>279</v>
      </c>
      <c r="C28" s="8">
        <v>6</v>
      </c>
    </row>
    <row r="29" spans="1:5" ht="15.6">
      <c r="A29" s="8" t="s">
        <v>286</v>
      </c>
      <c r="B29" t="s">
        <v>279</v>
      </c>
      <c r="C29" s="8">
        <v>2</v>
      </c>
    </row>
    <row r="30" spans="1:5" ht="15.6">
      <c r="A30" s="8" t="s">
        <v>287</v>
      </c>
      <c r="B30" t="s">
        <v>279</v>
      </c>
      <c r="C30" s="8">
        <v>22.4</v>
      </c>
    </row>
    <row r="31" spans="1:5" ht="15.6">
      <c r="D31" s="8" t="s">
        <v>289</v>
      </c>
    </row>
    <row r="32" spans="1:5" ht="18">
      <c r="A32" s="69" t="s">
        <v>288</v>
      </c>
      <c r="B32" t="s">
        <v>279</v>
      </c>
      <c r="C32">
        <f>C28/2+C29+C30</f>
        <v>27.4</v>
      </c>
    </row>
    <row r="35" spans="1:4" ht="18">
      <c r="A35" s="8" t="s">
        <v>290</v>
      </c>
      <c r="B35" t="s">
        <v>279</v>
      </c>
      <c r="C35" s="8">
        <v>5</v>
      </c>
    </row>
    <row r="36" spans="1:4" ht="18">
      <c r="A36" s="8" t="s">
        <v>291</v>
      </c>
      <c r="B36" t="s">
        <v>279</v>
      </c>
      <c r="C36" s="8">
        <v>0.32</v>
      </c>
    </row>
    <row r="37" spans="1:4" ht="15.6">
      <c r="D37" s="8" t="s">
        <v>293</v>
      </c>
    </row>
    <row r="38" spans="1:4" ht="18">
      <c r="A38" s="69" t="s">
        <v>292</v>
      </c>
      <c r="B38" t="s">
        <v>279</v>
      </c>
      <c r="C38">
        <f>C35+C36</f>
        <v>5.32</v>
      </c>
    </row>
    <row r="40" spans="1:4" ht="15.6">
      <c r="A40" s="70" t="s">
        <v>294</v>
      </c>
      <c r="B40" s="70"/>
      <c r="C40" s="70"/>
      <c r="D40" s="70"/>
    </row>
    <row r="41" spans="1:4" ht="15.6">
      <c r="A41" s="71" t="s">
        <v>299</v>
      </c>
      <c r="B41" s="70"/>
      <c r="C41" s="70"/>
      <c r="D41" s="70"/>
    </row>
    <row r="42" spans="1:4" ht="15.6">
      <c r="A42" s="70" t="s">
        <v>295</v>
      </c>
      <c r="B42" s="70"/>
      <c r="C42" s="70"/>
      <c r="D42" s="70"/>
    </row>
    <row r="43" spans="1:4" ht="15.6">
      <c r="A43" s="70" t="s">
        <v>300</v>
      </c>
      <c r="B43" s="70"/>
      <c r="C43" s="70"/>
      <c r="D43" s="70"/>
    </row>
    <row r="44" spans="1:4" ht="15.6">
      <c r="A44" s="70"/>
      <c r="B44" s="70"/>
      <c r="C44" s="70"/>
      <c r="D44" s="70"/>
    </row>
    <row r="45" spans="1:4" ht="15.6">
      <c r="A45" s="72">
        <v>4.2</v>
      </c>
      <c r="B45" s="70"/>
      <c r="C45" s="70"/>
      <c r="D45" s="70"/>
    </row>
    <row r="46" spans="1:4" ht="15.6">
      <c r="A46" s="70"/>
      <c r="B46" s="70"/>
      <c r="C46" s="70"/>
      <c r="D46" s="70"/>
    </row>
    <row r="47" spans="1:4" ht="15.6">
      <c r="A47" s="70" t="s">
        <v>296</v>
      </c>
      <c r="C47" s="65">
        <f>C32</f>
        <v>27.4</v>
      </c>
    </row>
    <row r="48" spans="1:4" ht="15.6">
      <c r="A48" s="70"/>
    </row>
    <row r="49" spans="1:4" ht="15.6">
      <c r="A49" s="70" t="s">
        <v>297</v>
      </c>
      <c r="D49" s="65">
        <f>C47+0.5*3</f>
        <v>28.9</v>
      </c>
    </row>
    <row r="51" spans="1:4" ht="15.6">
      <c r="A51" s="70" t="s">
        <v>298</v>
      </c>
      <c r="C51" s="65">
        <f>C47+0.5*0.75+4+3</f>
        <v>34.774999999999999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7648-F012-4EA0-ACD7-778604AE6810}">
  <dimension ref="B1:E26"/>
  <sheetViews>
    <sheetView zoomScale="85" zoomScaleNormal="85" workbookViewId="0">
      <selection activeCell="D35" sqref="D35"/>
    </sheetView>
  </sheetViews>
  <sheetFormatPr defaultRowHeight="14.4"/>
  <cols>
    <col min="3" max="3" width="31.109375" bestFit="1" customWidth="1"/>
    <col min="4" max="4" width="117.88671875" bestFit="1" customWidth="1"/>
    <col min="5" max="5" width="18.5546875" bestFit="1" customWidth="1"/>
  </cols>
  <sheetData>
    <row r="1" spans="2:5" ht="28.8">
      <c r="B1" s="73" t="s">
        <v>0</v>
      </c>
      <c r="C1" s="73" t="s">
        <v>324</v>
      </c>
      <c r="D1" s="74" t="s">
        <v>325</v>
      </c>
      <c r="E1" s="73" t="s">
        <v>326</v>
      </c>
    </row>
    <row r="2" spans="2:5">
      <c r="B2" s="76">
        <v>1</v>
      </c>
      <c r="C2" s="76" t="s">
        <v>328</v>
      </c>
      <c r="D2" s="76" t="s">
        <v>301</v>
      </c>
      <c r="E2" s="76">
        <v>1</v>
      </c>
    </row>
    <row r="3" spans="2:5">
      <c r="B3" s="76">
        <v>2</v>
      </c>
      <c r="C3" s="76" t="s">
        <v>329</v>
      </c>
      <c r="D3" s="76" t="s">
        <v>302</v>
      </c>
      <c r="E3" s="76">
        <v>1</v>
      </c>
    </row>
    <row r="4" spans="2:5">
      <c r="B4" s="76">
        <v>3</v>
      </c>
      <c r="C4" s="76" t="s">
        <v>330</v>
      </c>
      <c r="D4" s="76" t="s">
        <v>303</v>
      </c>
      <c r="E4" s="76">
        <v>1</v>
      </c>
    </row>
    <row r="5" spans="2:5" ht="43.2">
      <c r="B5" s="76">
        <v>4</v>
      </c>
      <c r="C5" s="75" t="s">
        <v>331</v>
      </c>
      <c r="D5" s="76" t="s">
        <v>304</v>
      </c>
      <c r="E5" s="76">
        <v>3</v>
      </c>
    </row>
    <row r="6" spans="2:5">
      <c r="B6" s="76">
        <v>5</v>
      </c>
      <c r="C6" s="75" t="s">
        <v>334</v>
      </c>
      <c r="D6" s="76" t="s">
        <v>305</v>
      </c>
      <c r="E6" s="76">
        <v>1</v>
      </c>
    </row>
    <row r="7" spans="2:5">
      <c r="B7" s="76">
        <v>6</v>
      </c>
      <c r="C7" s="77" t="s">
        <v>333</v>
      </c>
      <c r="D7" s="76" t="s">
        <v>306</v>
      </c>
      <c r="E7" s="76">
        <v>1</v>
      </c>
    </row>
    <row r="8" spans="2:5">
      <c r="B8" s="76">
        <v>7</v>
      </c>
      <c r="C8" s="76" t="s">
        <v>342</v>
      </c>
      <c r="D8" s="76" t="s">
        <v>307</v>
      </c>
      <c r="E8" s="76">
        <v>1</v>
      </c>
    </row>
    <row r="9" spans="2:5">
      <c r="B9" s="76">
        <v>8</v>
      </c>
      <c r="C9" s="76" t="s">
        <v>341</v>
      </c>
      <c r="D9" s="76" t="s">
        <v>308</v>
      </c>
      <c r="E9" s="76">
        <v>1</v>
      </c>
    </row>
    <row r="10" spans="2:5">
      <c r="B10" s="76">
        <v>9</v>
      </c>
      <c r="C10" s="76" t="s">
        <v>340</v>
      </c>
      <c r="D10" s="76" t="s">
        <v>309</v>
      </c>
      <c r="E10" s="76">
        <v>1</v>
      </c>
    </row>
    <row r="11" spans="2:5">
      <c r="B11" s="76">
        <v>10</v>
      </c>
      <c r="C11" s="76" t="s">
        <v>338</v>
      </c>
      <c r="D11" s="76" t="s">
        <v>310</v>
      </c>
      <c r="E11" s="76">
        <v>2</v>
      </c>
    </row>
    <row r="12" spans="2:5">
      <c r="B12" s="76">
        <v>11</v>
      </c>
      <c r="C12" s="76" t="s">
        <v>337</v>
      </c>
      <c r="D12" s="76" t="s">
        <v>311</v>
      </c>
      <c r="E12" s="76">
        <v>1</v>
      </c>
    </row>
    <row r="13" spans="2:5">
      <c r="B13" s="76">
        <v>12</v>
      </c>
      <c r="C13" s="76" t="s">
        <v>336</v>
      </c>
      <c r="D13" s="76" t="s">
        <v>63</v>
      </c>
      <c r="E13" s="76">
        <v>1</v>
      </c>
    </row>
    <row r="14" spans="2:5">
      <c r="B14" s="76">
        <v>13</v>
      </c>
      <c r="C14" s="76" t="s">
        <v>335</v>
      </c>
      <c r="D14" s="76" t="s">
        <v>312</v>
      </c>
      <c r="E14" s="76">
        <v>1</v>
      </c>
    </row>
    <row r="15" spans="2:5" ht="28.8">
      <c r="B15" s="76">
        <v>14</v>
      </c>
      <c r="C15" s="75" t="s">
        <v>332</v>
      </c>
      <c r="D15" s="76" t="s">
        <v>313</v>
      </c>
      <c r="E15" s="76">
        <v>1</v>
      </c>
    </row>
    <row r="16" spans="2:5">
      <c r="B16" s="76">
        <v>15</v>
      </c>
      <c r="C16" s="76" t="s">
        <v>339</v>
      </c>
      <c r="D16" s="76" t="s">
        <v>314</v>
      </c>
      <c r="E16" s="76">
        <v>1</v>
      </c>
    </row>
    <row r="17" spans="2:5">
      <c r="B17" s="76">
        <v>16</v>
      </c>
      <c r="C17" s="76" t="s">
        <v>343</v>
      </c>
      <c r="D17" s="76" t="s">
        <v>315</v>
      </c>
      <c r="E17" s="76">
        <v>1</v>
      </c>
    </row>
    <row r="18" spans="2:5">
      <c r="B18" s="76">
        <v>17</v>
      </c>
      <c r="C18" s="76" t="s">
        <v>349</v>
      </c>
      <c r="D18" s="76" t="s">
        <v>316</v>
      </c>
      <c r="E18" s="76">
        <v>1</v>
      </c>
    </row>
    <row r="19" spans="2:5">
      <c r="B19" s="76">
        <v>18</v>
      </c>
      <c r="C19" s="76" t="s">
        <v>344</v>
      </c>
      <c r="D19" s="76" t="s">
        <v>317</v>
      </c>
      <c r="E19" s="76">
        <v>1</v>
      </c>
    </row>
    <row r="20" spans="2:5">
      <c r="B20" s="76">
        <v>19</v>
      </c>
      <c r="C20" s="76" t="s">
        <v>299</v>
      </c>
      <c r="D20" s="76" t="s">
        <v>318</v>
      </c>
      <c r="E20" s="76">
        <v>1</v>
      </c>
    </row>
    <row r="21" spans="2:5">
      <c r="B21" s="76">
        <v>20</v>
      </c>
      <c r="C21" s="76" t="s">
        <v>345</v>
      </c>
      <c r="D21" s="76" t="s">
        <v>67</v>
      </c>
      <c r="E21" s="76">
        <v>1</v>
      </c>
    </row>
    <row r="22" spans="2:5">
      <c r="B22" s="76">
        <v>21</v>
      </c>
      <c r="C22" s="76" t="s">
        <v>346</v>
      </c>
      <c r="D22" s="76" t="s">
        <v>319</v>
      </c>
      <c r="E22" s="76">
        <v>1</v>
      </c>
    </row>
    <row r="23" spans="2:5">
      <c r="B23" s="76">
        <v>22</v>
      </c>
      <c r="C23" s="76" t="s">
        <v>299</v>
      </c>
      <c r="D23" s="76" t="s">
        <v>320</v>
      </c>
      <c r="E23" s="76">
        <v>2</v>
      </c>
    </row>
    <row r="24" spans="2:5">
      <c r="B24" s="76">
        <v>23</v>
      </c>
      <c r="C24" s="76" t="s">
        <v>347</v>
      </c>
      <c r="D24" s="76" t="s">
        <v>321</v>
      </c>
      <c r="E24" s="76">
        <v>1</v>
      </c>
    </row>
    <row r="25" spans="2:5">
      <c r="B25" s="76">
        <v>24</v>
      </c>
      <c r="C25" s="76" t="s">
        <v>348</v>
      </c>
      <c r="D25" s="76" t="s">
        <v>322</v>
      </c>
      <c r="E25" s="76">
        <v>1</v>
      </c>
    </row>
    <row r="26" spans="2:5">
      <c r="B26" s="76">
        <v>25</v>
      </c>
      <c r="C26" s="76" t="s">
        <v>327</v>
      </c>
      <c r="D26" s="76" t="s">
        <v>323</v>
      </c>
      <c r="E26" s="7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568F-F307-4876-A7EA-BD07A28D546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3A67-D11F-4A90-BABD-DBBF12D0938E}">
  <dimension ref="A1:M14"/>
  <sheetViews>
    <sheetView zoomScale="130" zoomScaleNormal="130" workbookViewId="0">
      <selection activeCell="I9" sqref="I9"/>
    </sheetView>
  </sheetViews>
  <sheetFormatPr defaultRowHeight="14.4"/>
  <cols>
    <col min="8" max="8" width="25.5546875" bestFit="1" customWidth="1"/>
  </cols>
  <sheetData>
    <row r="1" spans="1:13" ht="30.6">
      <c r="A1" s="78" t="s">
        <v>350</v>
      </c>
      <c r="B1" s="78" t="s">
        <v>351</v>
      </c>
      <c r="C1" s="78" t="s">
        <v>352</v>
      </c>
      <c r="D1" s="78" t="s">
        <v>353</v>
      </c>
      <c r="E1" s="78" t="s">
        <v>354</v>
      </c>
      <c r="F1" s="78" t="s">
        <v>355</v>
      </c>
      <c r="G1" s="78" t="s">
        <v>356</v>
      </c>
      <c r="H1" s="78" t="s">
        <v>357</v>
      </c>
      <c r="K1" s="80" t="s">
        <v>350</v>
      </c>
      <c r="L1" s="80" t="s">
        <v>76</v>
      </c>
      <c r="M1" s="80" t="s">
        <v>358</v>
      </c>
    </row>
    <row r="2" spans="1:13">
      <c r="A2" s="78" t="s">
        <v>359</v>
      </c>
      <c r="B2" s="78">
        <v>2</v>
      </c>
      <c r="C2" s="78">
        <v>3</v>
      </c>
      <c r="D2" s="78">
        <f>C2*B2</f>
        <v>6</v>
      </c>
      <c r="E2" s="78">
        <f>ROUNDUP(D2,0)</f>
        <v>6</v>
      </c>
      <c r="F2" s="78" t="s">
        <v>360</v>
      </c>
      <c r="G2" s="78">
        <v>1</v>
      </c>
      <c r="H2" s="78" t="s">
        <v>361</v>
      </c>
      <c r="K2" s="81" t="s">
        <v>362</v>
      </c>
      <c r="L2" s="82">
        <f>26.5*1.12*1.16</f>
        <v>34.428800000000003</v>
      </c>
      <c r="M2" s="81">
        <f>ROUND(L2,0)</f>
        <v>34</v>
      </c>
    </row>
    <row r="3" spans="1:13">
      <c r="A3" s="78" t="s">
        <v>363</v>
      </c>
      <c r="B3" s="78">
        <v>26</v>
      </c>
      <c r="C3" s="78">
        <v>0.6</v>
      </c>
      <c r="D3" s="78">
        <f t="shared" ref="D3:D10" si="0">C3*B3</f>
        <v>15.6</v>
      </c>
      <c r="E3" s="78">
        <f>ROUNDUP(D3,0)</f>
        <v>16</v>
      </c>
      <c r="F3" s="78" t="s">
        <v>364</v>
      </c>
      <c r="G3" s="78">
        <v>2</v>
      </c>
      <c r="H3" s="78" t="s">
        <v>365</v>
      </c>
      <c r="K3" s="81" t="s">
        <v>366</v>
      </c>
      <c r="L3" s="81">
        <f>L2*0.85</f>
        <v>29.264480000000002</v>
      </c>
      <c r="M3" s="81">
        <f t="shared" ref="M3:M5" si="1">ROUND(L3,0)</f>
        <v>29</v>
      </c>
    </row>
    <row r="4" spans="1:13">
      <c r="A4" s="78" t="s">
        <v>367</v>
      </c>
      <c r="B4" s="78">
        <v>22</v>
      </c>
      <c r="C4" s="78">
        <v>0.43</v>
      </c>
      <c r="D4" s="78">
        <f t="shared" si="0"/>
        <v>9.4599999999999991</v>
      </c>
      <c r="E4" s="78">
        <f t="shared" ref="E4:E10" si="2">ROUNDUP(D4,0)</f>
        <v>10</v>
      </c>
      <c r="F4" s="78" t="s">
        <v>368</v>
      </c>
      <c r="G4" s="78">
        <v>2</v>
      </c>
      <c r="H4" s="78" t="s">
        <v>361</v>
      </c>
      <c r="K4" s="81" t="s">
        <v>369</v>
      </c>
      <c r="L4" s="81">
        <f>L2*0.08</f>
        <v>2.7543040000000003</v>
      </c>
      <c r="M4" s="81">
        <f t="shared" si="1"/>
        <v>3</v>
      </c>
    </row>
    <row r="5" spans="1:13">
      <c r="A5" s="78" t="s">
        <v>370</v>
      </c>
      <c r="B5" s="78">
        <v>26</v>
      </c>
      <c r="C5" s="78">
        <v>0.05</v>
      </c>
      <c r="D5" s="78">
        <f t="shared" si="0"/>
        <v>1.3</v>
      </c>
      <c r="E5" s="78">
        <f t="shared" si="2"/>
        <v>2</v>
      </c>
      <c r="F5" s="78" t="s">
        <v>371</v>
      </c>
      <c r="G5" s="78">
        <v>2</v>
      </c>
      <c r="H5" s="78" t="s">
        <v>361</v>
      </c>
      <c r="K5" s="81" t="s">
        <v>372</v>
      </c>
      <c r="L5" s="81">
        <f>L2*0.05</f>
        <v>1.7214400000000003</v>
      </c>
      <c r="M5" s="81">
        <f t="shared" si="1"/>
        <v>2</v>
      </c>
    </row>
    <row r="6" spans="1:13">
      <c r="A6" s="117" t="s">
        <v>373</v>
      </c>
      <c r="B6" s="83">
        <v>18</v>
      </c>
      <c r="C6" s="83" t="s">
        <v>374</v>
      </c>
      <c r="D6" s="83"/>
      <c r="E6" s="83">
        <v>2</v>
      </c>
      <c r="F6" s="84" t="s">
        <v>371</v>
      </c>
      <c r="G6" s="83">
        <v>2</v>
      </c>
      <c r="H6" s="117" t="s">
        <v>375</v>
      </c>
      <c r="K6" s="81" t="s">
        <v>376</v>
      </c>
      <c r="L6" s="81">
        <f>L2*0.03</f>
        <v>1.032864</v>
      </c>
      <c r="M6" s="81">
        <f>ROUND(L6,0)</f>
        <v>1</v>
      </c>
    </row>
    <row r="7" spans="1:13">
      <c r="A7" s="117"/>
      <c r="B7" s="83">
        <v>8</v>
      </c>
      <c r="C7" s="83" t="s">
        <v>377</v>
      </c>
      <c r="D7" s="83"/>
      <c r="E7" s="83">
        <v>1</v>
      </c>
      <c r="F7" s="84" t="s">
        <v>371</v>
      </c>
      <c r="G7" s="83">
        <v>1</v>
      </c>
      <c r="H7" s="117"/>
      <c r="K7" s="85" t="s">
        <v>378</v>
      </c>
      <c r="L7" s="86"/>
      <c r="M7" s="87"/>
    </row>
    <row r="8" spans="1:13">
      <c r="A8" s="78" t="s">
        <v>379</v>
      </c>
      <c r="B8" s="78">
        <v>22</v>
      </c>
      <c r="C8" s="78">
        <v>0.2</v>
      </c>
      <c r="D8" s="78">
        <f t="shared" si="0"/>
        <v>4.4000000000000004</v>
      </c>
      <c r="E8" s="78">
        <f t="shared" si="2"/>
        <v>5</v>
      </c>
      <c r="F8" s="78" t="s">
        <v>380</v>
      </c>
      <c r="G8" s="78">
        <v>1</v>
      </c>
      <c r="H8" s="78" t="s">
        <v>361</v>
      </c>
      <c r="K8" s="81" t="s">
        <v>381</v>
      </c>
      <c r="L8" s="81">
        <f>L2*0.3</f>
        <v>10.32864</v>
      </c>
      <c r="M8" s="81">
        <f>ROUND(L8,0)</f>
        <v>10</v>
      </c>
    </row>
    <row r="9" spans="1:13" ht="61.2">
      <c r="A9" s="78" t="s">
        <v>382</v>
      </c>
      <c r="B9" s="78">
        <v>22</v>
      </c>
      <c r="C9" s="78">
        <v>0.9</v>
      </c>
      <c r="D9" s="78">
        <f t="shared" si="0"/>
        <v>19.8</v>
      </c>
      <c r="E9" s="78">
        <f t="shared" si="2"/>
        <v>20</v>
      </c>
      <c r="F9" s="78" t="s">
        <v>383</v>
      </c>
      <c r="G9" s="78">
        <v>1</v>
      </c>
      <c r="H9" s="78" t="s">
        <v>361</v>
      </c>
      <c r="K9" s="81" t="s">
        <v>384</v>
      </c>
      <c r="L9" s="81">
        <f>L2*0.7</f>
        <v>24.100159999999999</v>
      </c>
      <c r="M9" s="81">
        <f>ROUND(L9,0)</f>
        <v>24</v>
      </c>
    </row>
    <row r="10" spans="1:13">
      <c r="A10" s="78" t="s">
        <v>385</v>
      </c>
      <c r="B10" s="78">
        <v>26</v>
      </c>
      <c r="C10" s="78">
        <v>0.6</v>
      </c>
      <c r="D10" s="78">
        <f t="shared" si="0"/>
        <v>15.6</v>
      </c>
      <c r="E10" s="78">
        <f t="shared" si="2"/>
        <v>16</v>
      </c>
      <c r="F10" s="78" t="s">
        <v>364</v>
      </c>
      <c r="G10" s="78">
        <v>1</v>
      </c>
      <c r="H10" s="78" t="s">
        <v>361</v>
      </c>
    </row>
    <row r="11" spans="1:13">
      <c r="A11" s="78" t="s">
        <v>386</v>
      </c>
      <c r="B11" s="78">
        <v>26</v>
      </c>
      <c r="C11" s="78" t="s">
        <v>84</v>
      </c>
      <c r="D11" s="78" t="s">
        <v>84</v>
      </c>
      <c r="E11" s="78">
        <v>10</v>
      </c>
      <c r="F11" s="78" t="s">
        <v>387</v>
      </c>
      <c r="G11" s="78">
        <v>1</v>
      </c>
      <c r="H11" s="78" t="s">
        <v>365</v>
      </c>
    </row>
    <row r="12" spans="1:13">
      <c r="A12" s="78" t="s">
        <v>388</v>
      </c>
      <c r="B12" s="83">
        <v>22</v>
      </c>
      <c r="C12" s="83">
        <v>60</v>
      </c>
      <c r="D12" s="83">
        <v>60</v>
      </c>
      <c r="E12" s="83">
        <v>60</v>
      </c>
      <c r="F12" s="83" t="s">
        <v>389</v>
      </c>
      <c r="G12" s="83">
        <v>1</v>
      </c>
      <c r="H12" s="78" t="s">
        <v>390</v>
      </c>
    </row>
    <row r="14" spans="1:13">
      <c r="E14" s="79">
        <f>SUM(E2:E12)</f>
        <v>148</v>
      </c>
    </row>
  </sheetData>
  <mergeCells count="2">
    <mergeCell ref="A6:A7"/>
    <mergeCell ref="H6:H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1A7B-41DC-41DE-9C00-304DF1FD4721}">
  <dimension ref="A1:Q72"/>
  <sheetViews>
    <sheetView zoomScale="85" zoomScaleNormal="85" workbookViewId="0">
      <selection activeCell="Q28" sqref="Q28"/>
    </sheetView>
  </sheetViews>
  <sheetFormatPr defaultRowHeight="14.4"/>
  <cols>
    <col min="2" max="2" width="46.44140625" customWidth="1"/>
  </cols>
  <sheetData>
    <row r="1" spans="1:17" ht="66.599999999999994" thickBot="1">
      <c r="A1" s="89" t="s">
        <v>0</v>
      </c>
      <c r="B1" s="90" t="s">
        <v>391</v>
      </c>
      <c r="C1" s="90" t="s">
        <v>392</v>
      </c>
      <c r="D1" s="90" t="s">
        <v>269</v>
      </c>
      <c r="E1" s="90" t="s">
        <v>393</v>
      </c>
      <c r="F1" s="90" t="s">
        <v>394</v>
      </c>
      <c r="G1" s="90" t="s">
        <v>395</v>
      </c>
      <c r="H1" s="90" t="s">
        <v>396</v>
      </c>
      <c r="I1" s="90" t="s">
        <v>397</v>
      </c>
      <c r="J1" s="90" t="s">
        <v>398</v>
      </c>
      <c r="K1" s="90" t="s">
        <v>399</v>
      </c>
      <c r="L1" s="90" t="s">
        <v>400</v>
      </c>
      <c r="M1" s="90" t="s">
        <v>401</v>
      </c>
      <c r="N1" s="91" t="s">
        <v>402</v>
      </c>
      <c r="O1" s="88"/>
    </row>
    <row r="2" spans="1:17">
      <c r="A2" s="92">
        <v>1</v>
      </c>
      <c r="B2" t="s">
        <v>224</v>
      </c>
      <c r="C2" t="s">
        <v>223</v>
      </c>
      <c r="D2">
        <v>570.63671428571433</v>
      </c>
      <c r="E2" s="92"/>
      <c r="F2" s="92" t="e">
        <f>D2/E2</f>
        <v>#DIV/0!</v>
      </c>
      <c r="G2" s="92"/>
      <c r="H2" s="92" t="e">
        <f>F2*G2</f>
        <v>#DIV/0!</v>
      </c>
      <c r="I2" s="92"/>
      <c r="J2" s="92" t="e">
        <f>I2*H2*1.1*1.3</f>
        <v>#DIV/0!</v>
      </c>
      <c r="K2" s="92" t="e">
        <f>ROUNDUP(J2,0)</f>
        <v>#DIV/0!</v>
      </c>
      <c r="L2" s="93"/>
      <c r="M2" s="93" t="s">
        <v>403</v>
      </c>
      <c r="N2" s="93"/>
      <c r="O2">
        <f>IF(L2="+",$M2,0)</f>
        <v>0</v>
      </c>
      <c r="P2" t="str">
        <f t="shared" ref="P2:Q17" si="0">IF(M2="+",$M2,0)</f>
        <v>+</v>
      </c>
      <c r="Q2">
        <f t="shared" si="0"/>
        <v>0</v>
      </c>
    </row>
    <row r="3" spans="1:17">
      <c r="A3" s="76">
        <v>2</v>
      </c>
      <c r="B3" t="s">
        <v>227</v>
      </c>
      <c r="C3" t="s">
        <v>181</v>
      </c>
      <c r="D3">
        <v>33.545375</v>
      </c>
      <c r="E3" s="76"/>
      <c r="F3" s="76" t="e">
        <f t="shared" ref="F3:F65" si="1">D3/E3</f>
        <v>#DIV/0!</v>
      </c>
      <c r="G3" s="76"/>
      <c r="H3" s="76" t="e">
        <f t="shared" ref="H3:H65" si="2">F3*G3</f>
        <v>#DIV/0!</v>
      </c>
      <c r="I3" s="76"/>
      <c r="J3" s="76" t="e">
        <f t="shared" ref="J3:J65" si="3">I3*H3*1.1*1.3</f>
        <v>#DIV/0!</v>
      </c>
      <c r="K3" s="76" t="e">
        <f t="shared" ref="K3:K65" si="4">ROUNDUP(J3,0)</f>
        <v>#DIV/0!</v>
      </c>
      <c r="L3" s="76"/>
      <c r="M3" s="76" t="s">
        <v>403</v>
      </c>
      <c r="N3" s="76"/>
      <c r="O3">
        <f t="shared" ref="O3:Q47" si="5">IF(L3="+",$M3,0)</f>
        <v>0</v>
      </c>
      <c r="P3" t="str">
        <f t="shared" si="0"/>
        <v>+</v>
      </c>
      <c r="Q3">
        <f t="shared" si="0"/>
        <v>0</v>
      </c>
    </row>
    <row r="4" spans="1:17">
      <c r="A4" s="76">
        <v>3</v>
      </c>
      <c r="B4" t="s">
        <v>243</v>
      </c>
      <c r="C4" t="s">
        <v>183</v>
      </c>
      <c r="D4">
        <v>0.1039179085714286</v>
      </c>
      <c r="E4" s="76"/>
      <c r="F4" s="76" t="e">
        <f t="shared" si="1"/>
        <v>#DIV/0!</v>
      </c>
      <c r="G4" s="76"/>
      <c r="H4" s="76" t="e">
        <f t="shared" si="2"/>
        <v>#DIV/0!</v>
      </c>
      <c r="I4" s="76"/>
      <c r="J4" s="76" t="e">
        <f t="shared" si="3"/>
        <v>#DIV/0!</v>
      </c>
      <c r="K4" s="76" t="e">
        <f t="shared" si="4"/>
        <v>#DIV/0!</v>
      </c>
      <c r="L4" s="76"/>
      <c r="M4" s="76" t="s">
        <v>403</v>
      </c>
      <c r="N4" s="76"/>
      <c r="O4">
        <f t="shared" si="5"/>
        <v>0</v>
      </c>
      <c r="P4" t="str">
        <f t="shared" si="0"/>
        <v>+</v>
      </c>
      <c r="Q4">
        <f t="shared" si="0"/>
        <v>0</v>
      </c>
    </row>
    <row r="5" spans="1:17">
      <c r="A5" s="76">
        <v>4</v>
      </c>
      <c r="B5" t="s">
        <v>241</v>
      </c>
      <c r="C5" t="s">
        <v>183</v>
      </c>
      <c r="D5">
        <v>2.4824016000000001E-2</v>
      </c>
      <c r="E5" s="76"/>
      <c r="F5" s="76" t="e">
        <f t="shared" si="1"/>
        <v>#DIV/0!</v>
      </c>
      <c r="G5" s="76"/>
      <c r="H5" s="76" t="e">
        <f t="shared" si="2"/>
        <v>#DIV/0!</v>
      </c>
      <c r="I5" s="76"/>
      <c r="J5" s="76" t="e">
        <f t="shared" si="3"/>
        <v>#DIV/0!</v>
      </c>
      <c r="K5" s="76" t="e">
        <f t="shared" si="4"/>
        <v>#DIV/0!</v>
      </c>
      <c r="L5" s="76"/>
      <c r="M5" s="76" t="s">
        <v>403</v>
      </c>
      <c r="N5" s="76"/>
      <c r="O5">
        <f t="shared" si="5"/>
        <v>0</v>
      </c>
      <c r="P5" t="str">
        <f t="shared" si="0"/>
        <v>+</v>
      </c>
      <c r="Q5">
        <f t="shared" si="0"/>
        <v>0</v>
      </c>
    </row>
    <row r="6" spans="1:17">
      <c r="A6" s="76">
        <v>5</v>
      </c>
      <c r="B6" t="s">
        <v>240</v>
      </c>
      <c r="C6" t="s">
        <v>183</v>
      </c>
      <c r="D6">
        <v>0.19670365714285709</v>
      </c>
      <c r="E6" s="76"/>
      <c r="F6" s="76" t="e">
        <f t="shared" si="1"/>
        <v>#DIV/0!</v>
      </c>
      <c r="G6" s="76"/>
      <c r="H6" s="76" t="e">
        <f t="shared" si="2"/>
        <v>#DIV/0!</v>
      </c>
      <c r="I6" s="76"/>
      <c r="J6" s="76" t="e">
        <f t="shared" si="3"/>
        <v>#DIV/0!</v>
      </c>
      <c r="K6" s="76" t="e">
        <f t="shared" si="4"/>
        <v>#DIV/0!</v>
      </c>
      <c r="L6" s="76"/>
      <c r="M6" s="76"/>
      <c r="N6" s="76" t="s">
        <v>403</v>
      </c>
      <c r="O6">
        <f t="shared" si="5"/>
        <v>0</v>
      </c>
      <c r="P6">
        <f t="shared" si="0"/>
        <v>0</v>
      </c>
      <c r="Q6">
        <f t="shared" si="0"/>
        <v>0</v>
      </c>
    </row>
    <row r="7" spans="1:17">
      <c r="A7" s="76">
        <v>6</v>
      </c>
      <c r="B7" t="s">
        <v>239</v>
      </c>
      <c r="C7" t="s">
        <v>181</v>
      </c>
      <c r="D7">
        <v>2.1494641885714292</v>
      </c>
      <c r="E7" s="76"/>
      <c r="F7" s="76" t="e">
        <f t="shared" si="1"/>
        <v>#DIV/0!</v>
      </c>
      <c r="G7" s="76"/>
      <c r="H7" s="76" t="e">
        <f t="shared" si="2"/>
        <v>#DIV/0!</v>
      </c>
      <c r="I7" s="76"/>
      <c r="J7" s="76" t="e">
        <f t="shared" si="3"/>
        <v>#DIV/0!</v>
      </c>
      <c r="K7" s="76" t="e">
        <f t="shared" si="4"/>
        <v>#DIV/0!</v>
      </c>
      <c r="L7" s="76"/>
      <c r="M7" s="76"/>
      <c r="N7" s="76" t="s">
        <v>403</v>
      </c>
      <c r="O7">
        <f t="shared" si="5"/>
        <v>0</v>
      </c>
      <c r="P7">
        <f t="shared" si="0"/>
        <v>0</v>
      </c>
      <c r="Q7">
        <f t="shared" si="0"/>
        <v>0</v>
      </c>
    </row>
    <row r="8" spans="1:17">
      <c r="A8" s="76">
        <v>7</v>
      </c>
      <c r="B8" t="s">
        <v>236</v>
      </c>
      <c r="C8" t="s">
        <v>181</v>
      </c>
      <c r="D8">
        <v>70.682922942857147</v>
      </c>
      <c r="E8" s="76"/>
      <c r="F8" s="76" t="e">
        <f t="shared" si="1"/>
        <v>#DIV/0!</v>
      </c>
      <c r="G8" s="76"/>
      <c r="H8" s="76" t="e">
        <f t="shared" si="2"/>
        <v>#DIV/0!</v>
      </c>
      <c r="I8" s="76"/>
      <c r="J8" s="76" t="e">
        <f t="shared" si="3"/>
        <v>#DIV/0!</v>
      </c>
      <c r="K8" s="76" t="e">
        <f t="shared" si="4"/>
        <v>#DIV/0!</v>
      </c>
      <c r="L8" s="76"/>
      <c r="M8" s="76"/>
      <c r="N8" s="76" t="s">
        <v>403</v>
      </c>
      <c r="O8">
        <f t="shared" si="5"/>
        <v>0</v>
      </c>
      <c r="P8">
        <f t="shared" si="0"/>
        <v>0</v>
      </c>
      <c r="Q8">
        <f t="shared" si="0"/>
        <v>0</v>
      </c>
    </row>
    <row r="9" spans="1:17">
      <c r="A9" s="76">
        <v>8</v>
      </c>
      <c r="B9" t="s">
        <v>254</v>
      </c>
      <c r="C9" t="s">
        <v>183</v>
      </c>
      <c r="D9">
        <v>4.6200000000000001E-4</v>
      </c>
      <c r="E9" s="76"/>
      <c r="F9" s="76" t="e">
        <f t="shared" si="1"/>
        <v>#DIV/0!</v>
      </c>
      <c r="G9" s="76"/>
      <c r="H9" s="76" t="e">
        <f t="shared" si="2"/>
        <v>#DIV/0!</v>
      </c>
      <c r="I9" s="76"/>
      <c r="J9" s="76" t="e">
        <f t="shared" si="3"/>
        <v>#DIV/0!</v>
      </c>
      <c r="K9" s="76" t="e">
        <f t="shared" si="4"/>
        <v>#DIV/0!</v>
      </c>
      <c r="L9" s="76"/>
      <c r="M9" s="76"/>
      <c r="N9" s="76" t="s">
        <v>403</v>
      </c>
      <c r="O9">
        <f t="shared" si="5"/>
        <v>0</v>
      </c>
      <c r="P9">
        <f t="shared" si="0"/>
        <v>0</v>
      </c>
      <c r="Q9">
        <f t="shared" si="0"/>
        <v>0</v>
      </c>
    </row>
    <row r="10" spans="1:17">
      <c r="A10" s="76">
        <v>9</v>
      </c>
      <c r="B10" t="s">
        <v>253</v>
      </c>
      <c r="C10" t="s">
        <v>181</v>
      </c>
      <c r="D10">
        <v>2.4024000000000001</v>
      </c>
      <c r="E10" s="76"/>
      <c r="F10" s="76" t="e">
        <f t="shared" si="1"/>
        <v>#DIV/0!</v>
      </c>
      <c r="G10" s="76"/>
      <c r="H10" s="76" t="e">
        <f t="shared" si="2"/>
        <v>#DIV/0!</v>
      </c>
      <c r="I10" s="76"/>
      <c r="J10" s="76" t="e">
        <f t="shared" si="3"/>
        <v>#DIV/0!</v>
      </c>
      <c r="K10" s="76" t="e">
        <f t="shared" si="4"/>
        <v>#DIV/0!</v>
      </c>
      <c r="L10" s="76"/>
      <c r="M10" s="76"/>
      <c r="N10" s="76" t="s">
        <v>403</v>
      </c>
      <c r="O10">
        <f t="shared" si="5"/>
        <v>0</v>
      </c>
      <c r="P10">
        <f t="shared" si="0"/>
        <v>0</v>
      </c>
      <c r="Q10">
        <f t="shared" si="0"/>
        <v>0</v>
      </c>
    </row>
    <row r="11" spans="1:17">
      <c r="A11" s="76">
        <v>10</v>
      </c>
      <c r="B11" t="s">
        <v>252</v>
      </c>
      <c r="C11" t="s">
        <v>183</v>
      </c>
      <c r="D11">
        <v>3.2339999999999999E-3</v>
      </c>
      <c r="E11" s="76"/>
      <c r="F11" s="76" t="e">
        <f t="shared" si="1"/>
        <v>#DIV/0!</v>
      </c>
      <c r="G11" s="76"/>
      <c r="H11" s="76" t="e">
        <f t="shared" si="2"/>
        <v>#DIV/0!</v>
      </c>
      <c r="I11" s="76"/>
      <c r="J11" s="76" t="e">
        <f t="shared" si="3"/>
        <v>#DIV/0!</v>
      </c>
      <c r="K11" s="76" t="e">
        <f t="shared" si="4"/>
        <v>#DIV/0!</v>
      </c>
      <c r="L11" s="76"/>
      <c r="M11" s="76"/>
      <c r="N11" s="76" t="s">
        <v>403</v>
      </c>
      <c r="O11">
        <f t="shared" si="5"/>
        <v>0</v>
      </c>
      <c r="P11">
        <f t="shared" si="0"/>
        <v>0</v>
      </c>
      <c r="Q11">
        <f t="shared" si="0"/>
        <v>0</v>
      </c>
    </row>
    <row r="12" spans="1:17">
      <c r="A12" s="76">
        <v>11</v>
      </c>
      <c r="B12" t="s">
        <v>251</v>
      </c>
      <c r="C12" t="s">
        <v>183</v>
      </c>
      <c r="D12">
        <v>5.5440000000000003E-3</v>
      </c>
      <c r="E12" s="76"/>
      <c r="F12" s="76" t="e">
        <f t="shared" si="1"/>
        <v>#DIV/0!</v>
      </c>
      <c r="G12" s="76"/>
      <c r="H12" s="76" t="e">
        <f t="shared" si="2"/>
        <v>#DIV/0!</v>
      </c>
      <c r="I12" s="76"/>
      <c r="J12" s="76" t="e">
        <f t="shared" si="3"/>
        <v>#DIV/0!</v>
      </c>
      <c r="K12" s="76" t="e">
        <f t="shared" si="4"/>
        <v>#DIV/0!</v>
      </c>
      <c r="L12" s="76"/>
      <c r="M12" s="76" t="s">
        <v>403</v>
      </c>
      <c r="N12" s="76"/>
      <c r="O12">
        <f t="shared" si="5"/>
        <v>0</v>
      </c>
      <c r="P12" t="str">
        <f t="shared" si="0"/>
        <v>+</v>
      </c>
      <c r="Q12">
        <f t="shared" si="0"/>
        <v>0</v>
      </c>
    </row>
    <row r="13" spans="1:17">
      <c r="A13" s="76">
        <v>12</v>
      </c>
      <c r="B13" t="s">
        <v>250</v>
      </c>
      <c r="C13" t="s">
        <v>183</v>
      </c>
      <c r="D13">
        <v>3.36336E-2</v>
      </c>
      <c r="E13" s="76"/>
      <c r="F13" s="76" t="e">
        <f t="shared" si="1"/>
        <v>#DIV/0!</v>
      </c>
      <c r="G13" s="76"/>
      <c r="H13" s="76" t="e">
        <f t="shared" si="2"/>
        <v>#DIV/0!</v>
      </c>
      <c r="I13" s="76"/>
      <c r="J13" s="76" t="e">
        <f t="shared" si="3"/>
        <v>#DIV/0!</v>
      </c>
      <c r="K13" s="76" t="e">
        <f t="shared" si="4"/>
        <v>#DIV/0!</v>
      </c>
      <c r="L13" s="76" t="s">
        <v>403</v>
      </c>
      <c r="M13" s="76"/>
      <c r="N13" s="76"/>
      <c r="O13">
        <f t="shared" si="5"/>
        <v>0</v>
      </c>
      <c r="P13">
        <f t="shared" si="0"/>
        <v>0</v>
      </c>
      <c r="Q13">
        <f t="shared" si="0"/>
        <v>0</v>
      </c>
    </row>
    <row r="14" spans="1:17">
      <c r="A14" s="76">
        <v>13</v>
      </c>
      <c r="B14" t="s">
        <v>189</v>
      </c>
      <c r="C14" t="s">
        <v>183</v>
      </c>
      <c r="D14">
        <v>2.5527419999999999E-2</v>
      </c>
      <c r="E14" s="76"/>
      <c r="F14" s="76" t="e">
        <f t="shared" si="1"/>
        <v>#DIV/0!</v>
      </c>
      <c r="G14" s="76"/>
      <c r="H14" s="76" t="e">
        <f t="shared" si="2"/>
        <v>#DIV/0!</v>
      </c>
      <c r="I14" s="76"/>
      <c r="J14" s="76" t="e">
        <f t="shared" si="3"/>
        <v>#DIV/0!</v>
      </c>
      <c r="K14" s="76" t="e">
        <f t="shared" si="4"/>
        <v>#DIV/0!</v>
      </c>
      <c r="L14" s="76"/>
      <c r="M14" s="76"/>
      <c r="N14" s="76" t="s">
        <v>403</v>
      </c>
      <c r="O14">
        <f t="shared" si="5"/>
        <v>0</v>
      </c>
      <c r="P14">
        <f t="shared" si="0"/>
        <v>0</v>
      </c>
      <c r="Q14">
        <f t="shared" si="0"/>
        <v>0</v>
      </c>
    </row>
    <row r="15" spans="1:17">
      <c r="A15" s="76">
        <v>14</v>
      </c>
      <c r="B15" t="s">
        <v>249</v>
      </c>
      <c r="C15" t="s">
        <v>181</v>
      </c>
      <c r="D15">
        <v>0.14321999999999999</v>
      </c>
      <c r="E15" s="76"/>
      <c r="F15" s="76" t="e">
        <f t="shared" si="1"/>
        <v>#DIV/0!</v>
      </c>
      <c r="G15" s="76"/>
      <c r="H15" s="76" t="e">
        <f t="shared" si="2"/>
        <v>#DIV/0!</v>
      </c>
      <c r="I15" s="76"/>
      <c r="J15" s="76" t="e">
        <f t="shared" si="3"/>
        <v>#DIV/0!</v>
      </c>
      <c r="K15" s="76" t="e">
        <f t="shared" si="4"/>
        <v>#DIV/0!</v>
      </c>
      <c r="L15" s="76"/>
      <c r="M15" s="76"/>
      <c r="N15" s="76" t="s">
        <v>403</v>
      </c>
      <c r="O15">
        <f t="shared" si="5"/>
        <v>0</v>
      </c>
      <c r="P15">
        <f t="shared" si="0"/>
        <v>0</v>
      </c>
      <c r="Q15">
        <f t="shared" si="0"/>
        <v>0</v>
      </c>
    </row>
    <row r="16" spans="1:17">
      <c r="A16" s="76">
        <v>15</v>
      </c>
      <c r="B16" t="s">
        <v>248</v>
      </c>
      <c r="C16" t="s">
        <v>181</v>
      </c>
      <c r="D16">
        <v>0.54054000000000002</v>
      </c>
      <c r="E16" s="76"/>
      <c r="F16" s="76" t="e">
        <f t="shared" si="1"/>
        <v>#DIV/0!</v>
      </c>
      <c r="G16" s="76"/>
      <c r="H16" s="76" t="e">
        <f t="shared" si="2"/>
        <v>#DIV/0!</v>
      </c>
      <c r="I16" s="76"/>
      <c r="J16" s="76" t="e">
        <f t="shared" si="3"/>
        <v>#DIV/0!</v>
      </c>
      <c r="K16" s="76" t="e">
        <f t="shared" si="4"/>
        <v>#DIV/0!</v>
      </c>
      <c r="L16" s="76"/>
      <c r="M16" s="76"/>
      <c r="N16" s="76" t="s">
        <v>403</v>
      </c>
      <c r="O16">
        <f t="shared" si="5"/>
        <v>0</v>
      </c>
      <c r="P16">
        <f t="shared" si="0"/>
        <v>0</v>
      </c>
      <c r="Q16">
        <f t="shared" si="0"/>
        <v>0</v>
      </c>
    </row>
    <row r="17" spans="1:17">
      <c r="A17" s="76">
        <v>16</v>
      </c>
      <c r="B17" t="s">
        <v>238</v>
      </c>
      <c r="C17" t="s">
        <v>183</v>
      </c>
      <c r="D17">
        <v>2.2398737142857139</v>
      </c>
      <c r="E17" s="76"/>
      <c r="F17" s="76" t="e">
        <f t="shared" si="1"/>
        <v>#DIV/0!</v>
      </c>
      <c r="G17" s="76"/>
      <c r="H17" s="76" t="e">
        <f t="shared" si="2"/>
        <v>#DIV/0!</v>
      </c>
      <c r="I17" s="76"/>
      <c r="J17" s="76" t="e">
        <f t="shared" si="3"/>
        <v>#DIV/0!</v>
      </c>
      <c r="K17" s="76" t="e">
        <f t="shared" si="4"/>
        <v>#DIV/0!</v>
      </c>
      <c r="L17" s="76"/>
      <c r="M17" s="76"/>
      <c r="N17" s="76" t="s">
        <v>403</v>
      </c>
      <c r="O17">
        <f t="shared" si="5"/>
        <v>0</v>
      </c>
      <c r="P17">
        <f t="shared" si="0"/>
        <v>0</v>
      </c>
      <c r="Q17">
        <f t="shared" si="0"/>
        <v>0</v>
      </c>
    </row>
    <row r="18" spans="1:17">
      <c r="A18" s="76">
        <v>17</v>
      </c>
      <c r="B18" t="s">
        <v>247</v>
      </c>
      <c r="C18" t="s">
        <v>181</v>
      </c>
      <c r="D18">
        <v>0.86393999999999993</v>
      </c>
      <c r="E18" s="76"/>
      <c r="F18" s="76" t="e">
        <f t="shared" si="1"/>
        <v>#DIV/0!</v>
      </c>
      <c r="G18" s="76"/>
      <c r="H18" s="76" t="e">
        <f t="shared" si="2"/>
        <v>#DIV/0!</v>
      </c>
      <c r="I18" s="76"/>
      <c r="J18" s="76" t="e">
        <f t="shared" si="3"/>
        <v>#DIV/0!</v>
      </c>
      <c r="K18" s="76" t="e">
        <f t="shared" si="4"/>
        <v>#DIV/0!</v>
      </c>
      <c r="L18" s="76"/>
      <c r="M18" s="76"/>
      <c r="N18" s="76" t="s">
        <v>403</v>
      </c>
      <c r="O18">
        <f t="shared" si="5"/>
        <v>0</v>
      </c>
      <c r="P18">
        <f t="shared" si="5"/>
        <v>0</v>
      </c>
      <c r="Q18">
        <f t="shared" si="5"/>
        <v>0</v>
      </c>
    </row>
    <row r="19" spans="1:17">
      <c r="A19" s="76">
        <v>18</v>
      </c>
      <c r="B19" t="s">
        <v>245</v>
      </c>
      <c r="C19" t="s">
        <v>181</v>
      </c>
      <c r="D19">
        <v>0.24640000000000001</v>
      </c>
      <c r="E19" s="76"/>
      <c r="F19" s="76" t="e">
        <f t="shared" si="1"/>
        <v>#DIV/0!</v>
      </c>
      <c r="G19" s="76"/>
      <c r="H19" s="76" t="e">
        <f t="shared" si="2"/>
        <v>#DIV/0!</v>
      </c>
      <c r="I19" s="76"/>
      <c r="J19" s="76" t="e">
        <f t="shared" si="3"/>
        <v>#DIV/0!</v>
      </c>
      <c r="K19" s="76" t="e">
        <f t="shared" si="4"/>
        <v>#DIV/0!</v>
      </c>
      <c r="L19" s="76"/>
      <c r="M19" s="76"/>
      <c r="N19" s="76" t="s">
        <v>403</v>
      </c>
      <c r="O19">
        <f t="shared" si="5"/>
        <v>0</v>
      </c>
      <c r="P19">
        <f t="shared" si="5"/>
        <v>0</v>
      </c>
      <c r="Q19">
        <f t="shared" si="5"/>
        <v>0</v>
      </c>
    </row>
    <row r="20" spans="1:17">
      <c r="A20" s="76">
        <v>19</v>
      </c>
      <c r="B20" t="s">
        <v>242</v>
      </c>
      <c r="C20" t="s">
        <v>190</v>
      </c>
      <c r="D20">
        <v>243.48240000000001</v>
      </c>
      <c r="E20" s="76"/>
      <c r="F20" s="76" t="e">
        <f t="shared" si="1"/>
        <v>#DIV/0!</v>
      </c>
      <c r="G20" s="76"/>
      <c r="H20" s="76" t="e">
        <f t="shared" si="2"/>
        <v>#DIV/0!</v>
      </c>
      <c r="I20" s="76"/>
      <c r="J20" s="76" t="e">
        <f t="shared" si="3"/>
        <v>#DIV/0!</v>
      </c>
      <c r="K20" s="76" t="e">
        <f t="shared" si="4"/>
        <v>#DIV/0!</v>
      </c>
      <c r="L20" s="76" t="s">
        <v>403</v>
      </c>
      <c r="M20" s="76"/>
      <c r="N20" s="76"/>
      <c r="O20">
        <f t="shared" si="5"/>
        <v>0</v>
      </c>
      <c r="P20">
        <f t="shared" si="5"/>
        <v>0</v>
      </c>
      <c r="Q20">
        <f t="shared" si="5"/>
        <v>0</v>
      </c>
    </row>
    <row r="21" spans="1:17">
      <c r="A21" s="76">
        <v>20</v>
      </c>
      <c r="B21" t="s">
        <v>237</v>
      </c>
      <c r="C21" t="s">
        <v>183</v>
      </c>
      <c r="D21">
        <v>4.9690285714285708E-2</v>
      </c>
      <c r="E21" s="76"/>
      <c r="F21" s="76" t="e">
        <f t="shared" si="1"/>
        <v>#DIV/0!</v>
      </c>
      <c r="G21" s="76"/>
      <c r="H21" s="76" t="e">
        <f t="shared" si="2"/>
        <v>#DIV/0!</v>
      </c>
      <c r="I21" s="76"/>
      <c r="J21" s="76" t="e">
        <f t="shared" si="3"/>
        <v>#DIV/0!</v>
      </c>
      <c r="K21" s="76" t="e">
        <f t="shared" si="4"/>
        <v>#DIV/0!</v>
      </c>
      <c r="L21" s="76" t="s">
        <v>403</v>
      </c>
      <c r="M21" s="76"/>
      <c r="N21" s="76"/>
      <c r="O21">
        <f t="shared" si="5"/>
        <v>0</v>
      </c>
      <c r="P21">
        <f t="shared" si="5"/>
        <v>0</v>
      </c>
      <c r="Q21">
        <f t="shared" si="5"/>
        <v>0</v>
      </c>
    </row>
    <row r="22" spans="1:17">
      <c r="A22" s="76">
        <v>21</v>
      </c>
      <c r="B22" t="s">
        <v>233</v>
      </c>
      <c r="C22" t="s">
        <v>183</v>
      </c>
      <c r="D22">
        <v>9.4800000000000006E-4</v>
      </c>
      <c r="E22" s="76"/>
      <c r="F22" s="76" t="e">
        <f t="shared" si="1"/>
        <v>#DIV/0!</v>
      </c>
      <c r="G22" s="76"/>
      <c r="H22" s="76" t="e">
        <f t="shared" si="2"/>
        <v>#DIV/0!</v>
      </c>
      <c r="I22" s="76"/>
      <c r="J22" s="76" t="e">
        <f t="shared" si="3"/>
        <v>#DIV/0!</v>
      </c>
      <c r="K22" s="76" t="e">
        <f t="shared" si="4"/>
        <v>#DIV/0!</v>
      </c>
      <c r="L22" s="76" t="s">
        <v>403</v>
      </c>
      <c r="M22" s="76"/>
      <c r="N22" s="76"/>
      <c r="O22">
        <f t="shared" si="5"/>
        <v>0</v>
      </c>
      <c r="P22">
        <f t="shared" si="5"/>
        <v>0</v>
      </c>
      <c r="Q22">
        <f t="shared" si="5"/>
        <v>0</v>
      </c>
    </row>
    <row r="23" spans="1:17">
      <c r="A23" s="76">
        <v>22</v>
      </c>
      <c r="B23" t="s">
        <v>232</v>
      </c>
      <c r="C23" t="s">
        <v>183</v>
      </c>
      <c r="D23">
        <v>1.8960000000000001E-2</v>
      </c>
      <c r="E23" s="76"/>
      <c r="F23" s="76" t="e">
        <f t="shared" si="1"/>
        <v>#DIV/0!</v>
      </c>
      <c r="G23" s="76"/>
      <c r="H23" s="76" t="e">
        <f t="shared" si="2"/>
        <v>#DIV/0!</v>
      </c>
      <c r="I23" s="76"/>
      <c r="J23" s="76" t="e">
        <f t="shared" si="3"/>
        <v>#DIV/0!</v>
      </c>
      <c r="K23" s="76" t="e">
        <f t="shared" si="4"/>
        <v>#DIV/0!</v>
      </c>
      <c r="L23" s="76"/>
      <c r="M23" s="76"/>
      <c r="N23" s="76" t="s">
        <v>403</v>
      </c>
      <c r="O23">
        <f t="shared" si="5"/>
        <v>0</v>
      </c>
      <c r="P23">
        <f t="shared" si="5"/>
        <v>0</v>
      </c>
      <c r="Q23">
        <f t="shared" si="5"/>
        <v>0</v>
      </c>
    </row>
    <row r="24" spans="1:17">
      <c r="A24" s="76">
        <v>23</v>
      </c>
      <c r="B24" t="s">
        <v>231</v>
      </c>
      <c r="C24" t="s">
        <v>190</v>
      </c>
      <c r="D24">
        <v>14.22</v>
      </c>
      <c r="E24" s="76"/>
      <c r="F24" s="76" t="e">
        <f t="shared" si="1"/>
        <v>#DIV/0!</v>
      </c>
      <c r="G24" s="76"/>
      <c r="H24" s="76" t="e">
        <f t="shared" si="2"/>
        <v>#DIV/0!</v>
      </c>
      <c r="I24" s="76"/>
      <c r="J24" s="76" t="e">
        <f t="shared" si="3"/>
        <v>#DIV/0!</v>
      </c>
      <c r="K24" s="76" t="e">
        <f t="shared" si="4"/>
        <v>#DIV/0!</v>
      </c>
      <c r="L24" s="76" t="s">
        <v>403</v>
      </c>
      <c r="M24" s="76"/>
      <c r="N24" s="76"/>
      <c r="O24">
        <f t="shared" si="5"/>
        <v>0</v>
      </c>
      <c r="P24">
        <f t="shared" si="5"/>
        <v>0</v>
      </c>
      <c r="Q24">
        <f t="shared" si="5"/>
        <v>0</v>
      </c>
    </row>
    <row r="25" spans="1:17">
      <c r="A25" s="76">
        <v>24</v>
      </c>
      <c r="B25" t="s">
        <v>230</v>
      </c>
      <c r="C25" t="s">
        <v>190</v>
      </c>
      <c r="D25">
        <v>215.67</v>
      </c>
      <c r="E25" s="76"/>
      <c r="F25" s="76" t="e">
        <f t="shared" si="1"/>
        <v>#DIV/0!</v>
      </c>
      <c r="G25" s="76"/>
      <c r="H25" s="76" t="e">
        <f t="shared" si="2"/>
        <v>#DIV/0!</v>
      </c>
      <c r="I25" s="76"/>
      <c r="J25" s="76" t="e">
        <f t="shared" si="3"/>
        <v>#DIV/0!</v>
      </c>
      <c r="K25" s="76" t="e">
        <f t="shared" si="4"/>
        <v>#DIV/0!</v>
      </c>
      <c r="L25" s="76"/>
      <c r="M25" s="76"/>
      <c r="N25" s="76" t="s">
        <v>403</v>
      </c>
      <c r="O25">
        <f t="shared" si="5"/>
        <v>0</v>
      </c>
      <c r="P25">
        <f t="shared" si="5"/>
        <v>0</v>
      </c>
      <c r="Q25">
        <f t="shared" si="5"/>
        <v>0</v>
      </c>
    </row>
    <row r="26" spans="1:17">
      <c r="A26" s="76">
        <v>25</v>
      </c>
      <c r="B26" t="s">
        <v>229</v>
      </c>
      <c r="C26" t="s">
        <v>181</v>
      </c>
      <c r="D26">
        <v>0.25340000000000013</v>
      </c>
      <c r="E26" s="76"/>
      <c r="F26" s="76" t="e">
        <f t="shared" si="1"/>
        <v>#DIV/0!</v>
      </c>
      <c r="G26" s="76"/>
      <c r="H26" s="76" t="e">
        <f t="shared" si="2"/>
        <v>#DIV/0!</v>
      </c>
      <c r="I26" s="76"/>
      <c r="J26" s="76" t="e">
        <f t="shared" si="3"/>
        <v>#DIV/0!</v>
      </c>
      <c r="K26" s="76" t="e">
        <f t="shared" si="4"/>
        <v>#DIV/0!</v>
      </c>
      <c r="L26" s="76"/>
      <c r="M26" s="76"/>
      <c r="N26" s="76" t="s">
        <v>403</v>
      </c>
      <c r="O26">
        <f t="shared" si="5"/>
        <v>0</v>
      </c>
      <c r="P26">
        <f t="shared" si="5"/>
        <v>0</v>
      </c>
      <c r="Q26">
        <f t="shared" si="5"/>
        <v>0</v>
      </c>
    </row>
    <row r="27" spans="1:17">
      <c r="A27" s="76">
        <v>26</v>
      </c>
      <c r="B27" t="s">
        <v>228</v>
      </c>
      <c r="C27" t="s">
        <v>183</v>
      </c>
      <c r="D27">
        <v>3.0810000000000001E-2</v>
      </c>
      <c r="E27" s="76"/>
      <c r="F27" s="76" t="e">
        <f t="shared" si="1"/>
        <v>#DIV/0!</v>
      </c>
      <c r="G27" s="76"/>
      <c r="H27" s="76" t="e">
        <f t="shared" si="2"/>
        <v>#DIV/0!</v>
      </c>
      <c r="I27" s="76"/>
      <c r="J27" s="76" t="e">
        <f t="shared" si="3"/>
        <v>#DIV/0!</v>
      </c>
      <c r="K27" s="76" t="e">
        <f t="shared" si="4"/>
        <v>#DIV/0!</v>
      </c>
      <c r="L27" s="76"/>
      <c r="M27" s="76"/>
      <c r="N27" s="76" t="s">
        <v>403</v>
      </c>
      <c r="O27">
        <f t="shared" si="5"/>
        <v>0</v>
      </c>
      <c r="P27">
        <f t="shared" si="5"/>
        <v>0</v>
      </c>
      <c r="Q27">
        <f t="shared" si="5"/>
        <v>0</v>
      </c>
    </row>
    <row r="28" spans="1:17">
      <c r="A28" s="76">
        <v>27</v>
      </c>
      <c r="B28" t="s">
        <v>184</v>
      </c>
      <c r="C28" t="s">
        <v>183</v>
      </c>
      <c r="D28">
        <v>1.6879500000000001</v>
      </c>
      <c r="E28" s="76"/>
      <c r="F28" s="76" t="e">
        <f t="shared" si="1"/>
        <v>#DIV/0!</v>
      </c>
      <c r="G28" s="76"/>
      <c r="H28" s="76" t="e">
        <f t="shared" si="2"/>
        <v>#DIV/0!</v>
      </c>
      <c r="I28" s="76"/>
      <c r="J28" s="76" t="e">
        <f t="shared" si="3"/>
        <v>#DIV/0!</v>
      </c>
      <c r="K28" s="76" t="e">
        <f t="shared" si="4"/>
        <v>#DIV/0!</v>
      </c>
      <c r="L28" s="76"/>
      <c r="M28" s="76"/>
      <c r="N28" s="76" t="s">
        <v>403</v>
      </c>
      <c r="O28">
        <f t="shared" si="5"/>
        <v>0</v>
      </c>
      <c r="P28">
        <f t="shared" si="5"/>
        <v>0</v>
      </c>
      <c r="Q28">
        <f t="shared" si="5"/>
        <v>0</v>
      </c>
    </row>
    <row r="29" spans="1:17">
      <c r="A29" s="76">
        <v>28</v>
      </c>
      <c r="B29" t="s">
        <v>182</v>
      </c>
      <c r="C29" t="s">
        <v>181</v>
      </c>
      <c r="D29">
        <v>24.460101999999999</v>
      </c>
      <c r="E29" s="76"/>
      <c r="F29" s="76" t="e">
        <f t="shared" si="1"/>
        <v>#DIV/0!</v>
      </c>
      <c r="G29" s="76"/>
      <c r="H29" s="76" t="e">
        <f t="shared" si="2"/>
        <v>#DIV/0!</v>
      </c>
      <c r="I29" s="76"/>
      <c r="J29" s="76" t="e">
        <f t="shared" si="3"/>
        <v>#DIV/0!</v>
      </c>
      <c r="K29" s="76" t="e">
        <f t="shared" si="4"/>
        <v>#DIV/0!</v>
      </c>
      <c r="L29" s="76"/>
      <c r="M29" s="76"/>
      <c r="N29" s="76" t="s">
        <v>403</v>
      </c>
      <c r="O29">
        <f t="shared" si="5"/>
        <v>0</v>
      </c>
      <c r="P29">
        <f t="shared" si="5"/>
        <v>0</v>
      </c>
      <c r="Q29">
        <f t="shared" si="5"/>
        <v>0</v>
      </c>
    </row>
    <row r="30" spans="1:17">
      <c r="A30" s="76">
        <v>29</v>
      </c>
      <c r="B30" t="s">
        <v>225</v>
      </c>
      <c r="C30" t="s">
        <v>181</v>
      </c>
      <c r="D30">
        <v>0.30359999999999998</v>
      </c>
      <c r="E30" s="76"/>
      <c r="F30" s="76" t="e">
        <f t="shared" si="1"/>
        <v>#DIV/0!</v>
      </c>
      <c r="G30" s="76"/>
      <c r="H30" s="76" t="e">
        <f t="shared" si="2"/>
        <v>#DIV/0!</v>
      </c>
      <c r="I30" s="76"/>
      <c r="J30" s="76" t="e">
        <f t="shared" si="3"/>
        <v>#DIV/0!</v>
      </c>
      <c r="K30" s="76" t="e">
        <f t="shared" si="4"/>
        <v>#DIV/0!</v>
      </c>
      <c r="L30" s="76"/>
      <c r="M30" s="76" t="s">
        <v>403</v>
      </c>
      <c r="N30" s="76"/>
      <c r="O30">
        <f t="shared" si="5"/>
        <v>0</v>
      </c>
      <c r="P30" t="str">
        <f t="shared" si="5"/>
        <v>+</v>
      </c>
      <c r="Q30">
        <f t="shared" si="5"/>
        <v>0</v>
      </c>
    </row>
    <row r="31" spans="1:17">
      <c r="A31" s="76">
        <v>30</v>
      </c>
      <c r="B31" t="s">
        <v>221</v>
      </c>
      <c r="C31" t="s">
        <v>183</v>
      </c>
      <c r="D31">
        <v>8.7317999999999998</v>
      </c>
      <c r="E31" s="76"/>
      <c r="F31" s="76" t="e">
        <f t="shared" si="1"/>
        <v>#DIV/0!</v>
      </c>
      <c r="G31" s="76"/>
      <c r="H31" s="76" t="e">
        <f t="shared" si="2"/>
        <v>#DIV/0!</v>
      </c>
      <c r="I31" s="76"/>
      <c r="J31" s="76" t="e">
        <f t="shared" si="3"/>
        <v>#DIV/0!</v>
      </c>
      <c r="K31" s="76" t="e">
        <f t="shared" si="4"/>
        <v>#DIV/0!</v>
      </c>
      <c r="L31" s="76"/>
      <c r="M31" s="76"/>
      <c r="N31" s="76" t="s">
        <v>403</v>
      </c>
      <c r="O31">
        <f t="shared" si="5"/>
        <v>0</v>
      </c>
      <c r="P31">
        <f t="shared" si="5"/>
        <v>0</v>
      </c>
      <c r="Q31">
        <f t="shared" si="5"/>
        <v>0</v>
      </c>
    </row>
    <row r="32" spans="1:17">
      <c r="A32" s="76">
        <v>31</v>
      </c>
      <c r="B32" t="s">
        <v>220</v>
      </c>
      <c r="C32" t="s">
        <v>190</v>
      </c>
      <c r="D32">
        <v>3187.8</v>
      </c>
      <c r="E32" s="76"/>
      <c r="F32" s="76" t="e">
        <f t="shared" si="1"/>
        <v>#DIV/0!</v>
      </c>
      <c r="G32" s="76"/>
      <c r="H32" s="76" t="e">
        <f t="shared" si="2"/>
        <v>#DIV/0!</v>
      </c>
      <c r="I32" s="76"/>
      <c r="J32" s="76" t="e">
        <f t="shared" si="3"/>
        <v>#DIV/0!</v>
      </c>
      <c r="K32" s="76" t="e">
        <f t="shared" si="4"/>
        <v>#DIV/0!</v>
      </c>
      <c r="L32" s="76"/>
      <c r="M32" s="76"/>
      <c r="N32" s="76" t="s">
        <v>403</v>
      </c>
      <c r="O32">
        <f t="shared" si="5"/>
        <v>0</v>
      </c>
      <c r="P32">
        <f t="shared" si="5"/>
        <v>0</v>
      </c>
      <c r="Q32">
        <f t="shared" si="5"/>
        <v>0</v>
      </c>
    </row>
    <row r="33" spans="1:17">
      <c r="A33" s="76">
        <v>32</v>
      </c>
      <c r="B33" t="s">
        <v>219</v>
      </c>
      <c r="C33" t="s">
        <v>183</v>
      </c>
      <c r="D33">
        <v>6.9300000000000004E-3</v>
      </c>
      <c r="E33" s="76"/>
      <c r="F33" s="76" t="e">
        <f t="shared" si="1"/>
        <v>#DIV/0!</v>
      </c>
      <c r="G33" s="76"/>
      <c r="H33" s="76" t="e">
        <f t="shared" si="2"/>
        <v>#DIV/0!</v>
      </c>
      <c r="I33" s="76"/>
      <c r="J33" s="76" t="e">
        <f t="shared" si="3"/>
        <v>#DIV/0!</v>
      </c>
      <c r="K33" s="76" t="e">
        <f t="shared" si="4"/>
        <v>#DIV/0!</v>
      </c>
      <c r="L33" s="76"/>
      <c r="M33" s="76"/>
      <c r="N33" s="76" t="s">
        <v>403</v>
      </c>
      <c r="O33">
        <f t="shared" si="5"/>
        <v>0</v>
      </c>
      <c r="P33">
        <f t="shared" si="5"/>
        <v>0</v>
      </c>
      <c r="Q33">
        <f t="shared" si="5"/>
        <v>0</v>
      </c>
    </row>
    <row r="34" spans="1:17">
      <c r="A34" s="76">
        <v>33</v>
      </c>
      <c r="B34" t="s">
        <v>218</v>
      </c>
      <c r="C34" t="s">
        <v>181</v>
      </c>
      <c r="D34">
        <v>7.2765000000000004</v>
      </c>
      <c r="E34" s="76"/>
      <c r="F34" s="76" t="e">
        <f t="shared" si="1"/>
        <v>#DIV/0!</v>
      </c>
      <c r="G34" s="76"/>
      <c r="H34" s="76" t="e">
        <f t="shared" si="2"/>
        <v>#DIV/0!</v>
      </c>
      <c r="I34" s="76"/>
      <c r="J34" s="76" t="e">
        <f t="shared" si="3"/>
        <v>#DIV/0!</v>
      </c>
      <c r="K34" s="76" t="e">
        <f t="shared" si="4"/>
        <v>#DIV/0!</v>
      </c>
      <c r="L34" s="76"/>
      <c r="M34" s="76"/>
      <c r="N34" s="76" t="s">
        <v>403</v>
      </c>
      <c r="O34">
        <f t="shared" si="5"/>
        <v>0</v>
      </c>
      <c r="P34">
        <f t="shared" si="5"/>
        <v>0</v>
      </c>
      <c r="Q34">
        <f t="shared" si="5"/>
        <v>0</v>
      </c>
    </row>
    <row r="35" spans="1:17">
      <c r="A35" s="76">
        <v>34</v>
      </c>
      <c r="B35" t="s">
        <v>266</v>
      </c>
      <c r="C35" t="s">
        <v>183</v>
      </c>
      <c r="D35">
        <v>3.46E-3</v>
      </c>
      <c r="E35" s="76"/>
      <c r="F35" s="76" t="e">
        <f t="shared" si="1"/>
        <v>#DIV/0!</v>
      </c>
      <c r="G35" s="76"/>
      <c r="H35" s="76" t="e">
        <f t="shared" si="2"/>
        <v>#DIV/0!</v>
      </c>
      <c r="I35" s="76"/>
      <c r="J35" s="76" t="e">
        <f t="shared" si="3"/>
        <v>#DIV/0!</v>
      </c>
      <c r="K35" s="76" t="e">
        <f t="shared" si="4"/>
        <v>#DIV/0!</v>
      </c>
      <c r="L35" s="76"/>
      <c r="M35" s="76"/>
      <c r="N35" s="76" t="s">
        <v>403</v>
      </c>
      <c r="O35">
        <f t="shared" si="5"/>
        <v>0</v>
      </c>
      <c r="P35">
        <f t="shared" si="5"/>
        <v>0</v>
      </c>
      <c r="Q35">
        <f t="shared" si="5"/>
        <v>0</v>
      </c>
    </row>
    <row r="36" spans="1:17">
      <c r="A36" s="76">
        <v>35</v>
      </c>
      <c r="B36" t="s">
        <v>265</v>
      </c>
      <c r="C36" t="s">
        <v>183</v>
      </c>
      <c r="D36">
        <v>4.7199999999999998E-4</v>
      </c>
      <c r="E36" s="76"/>
      <c r="F36" s="76" t="e">
        <f t="shared" si="1"/>
        <v>#DIV/0!</v>
      </c>
      <c r="G36" s="76"/>
      <c r="H36" s="76" t="e">
        <f t="shared" si="2"/>
        <v>#DIV/0!</v>
      </c>
      <c r="I36" s="76"/>
      <c r="J36" s="76" t="e">
        <f t="shared" si="3"/>
        <v>#DIV/0!</v>
      </c>
      <c r="K36" s="76" t="e">
        <f t="shared" si="4"/>
        <v>#DIV/0!</v>
      </c>
      <c r="L36" s="76"/>
      <c r="M36" s="76"/>
      <c r="N36" s="76" t="s">
        <v>403</v>
      </c>
      <c r="O36">
        <f t="shared" si="5"/>
        <v>0</v>
      </c>
      <c r="P36">
        <f t="shared" si="5"/>
        <v>0</v>
      </c>
      <c r="Q36">
        <f t="shared" si="5"/>
        <v>0</v>
      </c>
    </row>
    <row r="37" spans="1:17">
      <c r="A37" s="76">
        <v>36</v>
      </c>
      <c r="B37" t="s">
        <v>264</v>
      </c>
      <c r="C37" t="s">
        <v>183</v>
      </c>
      <c r="D37">
        <v>2.5999999999999998E-4</v>
      </c>
      <c r="E37" s="76"/>
      <c r="F37" s="76" t="e">
        <f t="shared" si="1"/>
        <v>#DIV/0!</v>
      </c>
      <c r="G37" s="76"/>
      <c r="H37" s="76" t="e">
        <f t="shared" si="2"/>
        <v>#DIV/0!</v>
      </c>
      <c r="I37" s="76"/>
      <c r="J37" s="76" t="e">
        <f t="shared" si="3"/>
        <v>#DIV/0!</v>
      </c>
      <c r="K37" s="76" t="e">
        <f t="shared" si="4"/>
        <v>#DIV/0!</v>
      </c>
      <c r="L37" s="76" t="s">
        <v>403</v>
      </c>
      <c r="M37" s="76"/>
      <c r="N37" s="76"/>
      <c r="O37">
        <f t="shared" si="5"/>
        <v>0</v>
      </c>
      <c r="P37">
        <f t="shared" si="5"/>
        <v>0</v>
      </c>
      <c r="Q37">
        <f t="shared" si="5"/>
        <v>0</v>
      </c>
    </row>
    <row r="38" spans="1:17">
      <c r="A38" s="76">
        <v>37</v>
      </c>
      <c r="B38" t="s">
        <v>263</v>
      </c>
      <c r="C38" t="s">
        <v>190</v>
      </c>
      <c r="D38">
        <v>0.85799999999999998</v>
      </c>
      <c r="E38" s="76"/>
      <c r="F38" s="76" t="e">
        <f t="shared" si="1"/>
        <v>#DIV/0!</v>
      </c>
      <c r="G38" s="76"/>
      <c r="H38" s="76" t="e">
        <f t="shared" si="2"/>
        <v>#DIV/0!</v>
      </c>
      <c r="I38" s="76"/>
      <c r="J38" s="76" t="e">
        <f t="shared" si="3"/>
        <v>#DIV/0!</v>
      </c>
      <c r="K38" s="76" t="e">
        <f t="shared" si="4"/>
        <v>#DIV/0!</v>
      </c>
      <c r="L38" s="76"/>
      <c r="M38" s="76"/>
      <c r="N38" s="76" t="s">
        <v>403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1:17">
      <c r="A39" s="76">
        <v>38</v>
      </c>
      <c r="B39" t="s">
        <v>262</v>
      </c>
      <c r="C39" t="s">
        <v>196</v>
      </c>
      <c r="D39">
        <v>0</v>
      </c>
      <c r="E39" s="76"/>
      <c r="F39" s="76" t="e">
        <f t="shared" si="1"/>
        <v>#DIV/0!</v>
      </c>
      <c r="G39" s="76"/>
      <c r="H39" s="76" t="e">
        <f t="shared" si="2"/>
        <v>#DIV/0!</v>
      </c>
      <c r="I39" s="76"/>
      <c r="J39" s="76" t="e">
        <f t="shared" si="3"/>
        <v>#DIV/0!</v>
      </c>
      <c r="K39" s="76" t="e">
        <f t="shared" si="4"/>
        <v>#DIV/0!</v>
      </c>
      <c r="L39" s="76"/>
      <c r="M39" s="76"/>
      <c r="N39" s="76" t="s">
        <v>403</v>
      </c>
      <c r="O39">
        <f t="shared" si="5"/>
        <v>0</v>
      </c>
      <c r="P39">
        <f t="shared" si="5"/>
        <v>0</v>
      </c>
      <c r="Q39">
        <f t="shared" si="5"/>
        <v>0</v>
      </c>
    </row>
    <row r="40" spans="1:17">
      <c r="A40" s="76">
        <v>39</v>
      </c>
      <c r="B40" t="s">
        <v>261</v>
      </c>
      <c r="C40" t="s">
        <v>196</v>
      </c>
      <c r="D40">
        <v>0</v>
      </c>
      <c r="E40" s="76"/>
      <c r="F40" s="76" t="e">
        <f t="shared" si="1"/>
        <v>#DIV/0!</v>
      </c>
      <c r="G40" s="76"/>
      <c r="H40" s="76" t="e">
        <f t="shared" si="2"/>
        <v>#DIV/0!</v>
      </c>
      <c r="I40" s="76"/>
      <c r="J40" s="76" t="e">
        <f t="shared" si="3"/>
        <v>#DIV/0!</v>
      </c>
      <c r="K40" s="76" t="e">
        <f t="shared" si="4"/>
        <v>#DIV/0!</v>
      </c>
      <c r="L40" s="76"/>
      <c r="M40" s="76"/>
      <c r="N40" s="76" t="s">
        <v>403</v>
      </c>
      <c r="O40">
        <f t="shared" si="5"/>
        <v>0</v>
      </c>
      <c r="P40">
        <f t="shared" si="5"/>
        <v>0</v>
      </c>
      <c r="Q40">
        <f t="shared" si="5"/>
        <v>0</v>
      </c>
    </row>
    <row r="41" spans="1:17">
      <c r="A41" s="76">
        <v>40</v>
      </c>
      <c r="B41" t="s">
        <v>260</v>
      </c>
      <c r="C41" t="s">
        <v>190</v>
      </c>
      <c r="D41">
        <v>0.58399999999999996</v>
      </c>
      <c r="E41" s="76"/>
      <c r="F41" s="76" t="e">
        <f t="shared" si="1"/>
        <v>#DIV/0!</v>
      </c>
      <c r="G41" s="76"/>
      <c r="H41" s="76" t="e">
        <f t="shared" si="2"/>
        <v>#DIV/0!</v>
      </c>
      <c r="I41" s="76"/>
      <c r="J41" s="76" t="e">
        <f t="shared" si="3"/>
        <v>#DIV/0!</v>
      </c>
      <c r="K41" s="76" t="e">
        <f t="shared" si="4"/>
        <v>#DIV/0!</v>
      </c>
      <c r="L41" s="76"/>
      <c r="M41" s="76"/>
      <c r="N41" s="76" t="s">
        <v>403</v>
      </c>
      <c r="O41">
        <f t="shared" si="5"/>
        <v>0</v>
      </c>
      <c r="P41">
        <f t="shared" si="5"/>
        <v>0</v>
      </c>
      <c r="Q41">
        <f t="shared" si="5"/>
        <v>0</v>
      </c>
    </row>
    <row r="42" spans="1:17">
      <c r="A42" s="76">
        <v>41</v>
      </c>
      <c r="B42" t="s">
        <v>259</v>
      </c>
      <c r="C42" t="s">
        <v>181</v>
      </c>
      <c r="D42">
        <v>5.2000000000000006E-3</v>
      </c>
      <c r="E42" s="76"/>
      <c r="F42" s="76" t="e">
        <f t="shared" si="1"/>
        <v>#DIV/0!</v>
      </c>
      <c r="G42" s="76"/>
      <c r="H42" s="76" t="e">
        <f t="shared" si="2"/>
        <v>#DIV/0!</v>
      </c>
      <c r="I42" s="76"/>
      <c r="J42" s="76" t="e">
        <f t="shared" si="3"/>
        <v>#DIV/0!</v>
      </c>
      <c r="K42" s="76" t="e">
        <f t="shared" si="4"/>
        <v>#DIV/0!</v>
      </c>
      <c r="L42" s="76"/>
      <c r="M42" s="76"/>
      <c r="N42" s="76" t="s">
        <v>403</v>
      </c>
      <c r="O42">
        <f t="shared" si="5"/>
        <v>0</v>
      </c>
      <c r="P42">
        <f t="shared" si="5"/>
        <v>0</v>
      </c>
      <c r="Q42">
        <f t="shared" si="5"/>
        <v>0</v>
      </c>
    </row>
    <row r="43" spans="1:17">
      <c r="A43" s="76">
        <v>42</v>
      </c>
      <c r="B43" t="s">
        <v>258</v>
      </c>
      <c r="C43" t="s">
        <v>181</v>
      </c>
      <c r="D43">
        <v>2.0400000000000001E-2</v>
      </c>
      <c r="E43" s="76"/>
      <c r="F43" s="76" t="e">
        <f t="shared" si="1"/>
        <v>#DIV/0!</v>
      </c>
      <c r="G43" s="76"/>
      <c r="H43" s="76" t="e">
        <f t="shared" si="2"/>
        <v>#DIV/0!</v>
      </c>
      <c r="I43" s="76"/>
      <c r="J43" s="76" t="e">
        <f t="shared" si="3"/>
        <v>#DIV/0!</v>
      </c>
      <c r="K43" s="76" t="e">
        <f t="shared" si="4"/>
        <v>#DIV/0!</v>
      </c>
      <c r="L43" s="76"/>
      <c r="M43" s="76"/>
      <c r="N43" s="76" t="s">
        <v>403</v>
      </c>
      <c r="O43">
        <f t="shared" si="5"/>
        <v>0</v>
      </c>
      <c r="P43">
        <f t="shared" si="5"/>
        <v>0</v>
      </c>
      <c r="Q43">
        <f t="shared" si="5"/>
        <v>0</v>
      </c>
    </row>
    <row r="44" spans="1:17">
      <c r="A44" s="76">
        <v>43</v>
      </c>
      <c r="B44" t="s">
        <v>257</v>
      </c>
      <c r="C44" t="s">
        <v>183</v>
      </c>
      <c r="D44">
        <v>0.314</v>
      </c>
      <c r="E44" s="76"/>
      <c r="F44" s="76" t="e">
        <f t="shared" si="1"/>
        <v>#DIV/0!</v>
      </c>
      <c r="G44" s="76"/>
      <c r="H44" s="76" t="e">
        <f t="shared" si="2"/>
        <v>#DIV/0!</v>
      </c>
      <c r="I44" s="76"/>
      <c r="J44" s="76" t="e">
        <f t="shared" si="3"/>
        <v>#DIV/0!</v>
      </c>
      <c r="K44" s="76" t="e">
        <f t="shared" si="4"/>
        <v>#DIV/0!</v>
      </c>
      <c r="L44" s="76"/>
      <c r="M44" s="76"/>
      <c r="N44" s="76" t="s">
        <v>403</v>
      </c>
      <c r="O44">
        <f t="shared" si="5"/>
        <v>0</v>
      </c>
      <c r="P44">
        <f t="shared" si="5"/>
        <v>0</v>
      </c>
      <c r="Q44">
        <f t="shared" si="5"/>
        <v>0</v>
      </c>
    </row>
    <row r="45" spans="1:17">
      <c r="A45" s="76">
        <v>44</v>
      </c>
      <c r="B45" t="s">
        <v>215</v>
      </c>
      <c r="C45" t="s">
        <v>181</v>
      </c>
      <c r="D45">
        <v>72.715999999999994</v>
      </c>
      <c r="E45" s="76"/>
      <c r="F45" s="76" t="e">
        <f t="shared" si="1"/>
        <v>#DIV/0!</v>
      </c>
      <c r="G45" s="76"/>
      <c r="H45" s="76" t="e">
        <f t="shared" si="2"/>
        <v>#DIV/0!</v>
      </c>
      <c r="I45" s="76"/>
      <c r="J45" s="76" t="e">
        <f t="shared" si="3"/>
        <v>#DIV/0!</v>
      </c>
      <c r="K45" s="76" t="e">
        <f t="shared" si="4"/>
        <v>#DIV/0!</v>
      </c>
      <c r="L45" s="76"/>
      <c r="M45" s="76"/>
      <c r="N45" s="76" t="s">
        <v>403</v>
      </c>
      <c r="O45">
        <f t="shared" si="5"/>
        <v>0</v>
      </c>
      <c r="P45">
        <f t="shared" si="5"/>
        <v>0</v>
      </c>
      <c r="Q45">
        <f t="shared" si="5"/>
        <v>0</v>
      </c>
    </row>
    <row r="46" spans="1:17">
      <c r="A46" s="76">
        <v>45</v>
      </c>
      <c r="B46" t="s">
        <v>216</v>
      </c>
      <c r="C46" t="s">
        <v>181</v>
      </c>
      <c r="D46">
        <v>0.41579999999999989</v>
      </c>
      <c r="E46" s="76"/>
      <c r="F46" s="76" t="e">
        <f t="shared" si="1"/>
        <v>#DIV/0!</v>
      </c>
      <c r="G46" s="76"/>
      <c r="H46" s="76" t="e">
        <f t="shared" si="2"/>
        <v>#DIV/0!</v>
      </c>
      <c r="I46" s="76"/>
      <c r="J46" s="76" t="e">
        <f t="shared" si="3"/>
        <v>#DIV/0!</v>
      </c>
      <c r="K46" s="76" t="e">
        <f t="shared" si="4"/>
        <v>#DIV/0!</v>
      </c>
      <c r="L46" s="76"/>
      <c r="M46" s="76"/>
      <c r="N46" s="76" t="s">
        <v>403</v>
      </c>
      <c r="O46">
        <f t="shared" si="5"/>
        <v>0</v>
      </c>
      <c r="P46">
        <f t="shared" si="5"/>
        <v>0</v>
      </c>
      <c r="Q46">
        <f t="shared" si="5"/>
        <v>0</v>
      </c>
    </row>
    <row r="47" spans="1:17">
      <c r="A47" s="76">
        <v>46</v>
      </c>
      <c r="B47" t="s">
        <v>213</v>
      </c>
      <c r="C47" t="s">
        <v>183</v>
      </c>
      <c r="D47">
        <v>0.34649999999999997</v>
      </c>
      <c r="E47" s="76"/>
      <c r="F47" s="76" t="e">
        <f t="shared" si="1"/>
        <v>#DIV/0!</v>
      </c>
      <c r="G47" s="76"/>
      <c r="H47" s="76" t="e">
        <f t="shared" si="2"/>
        <v>#DIV/0!</v>
      </c>
      <c r="I47" s="76"/>
      <c r="J47" s="76" t="e">
        <f t="shared" si="3"/>
        <v>#DIV/0!</v>
      </c>
      <c r="K47" s="76" t="e">
        <f t="shared" si="4"/>
        <v>#DIV/0!</v>
      </c>
      <c r="L47" s="76"/>
      <c r="M47" s="76"/>
      <c r="N47" s="76" t="s">
        <v>403</v>
      </c>
      <c r="O47">
        <f t="shared" si="5"/>
        <v>0</v>
      </c>
      <c r="P47">
        <f t="shared" si="5"/>
        <v>0</v>
      </c>
      <c r="Q47">
        <f t="shared" si="5"/>
        <v>0</v>
      </c>
    </row>
    <row r="48" spans="1:17">
      <c r="A48" s="76">
        <v>47</v>
      </c>
      <c r="B48" t="s">
        <v>212</v>
      </c>
      <c r="C48" t="s">
        <v>211</v>
      </c>
      <c r="D48">
        <v>3.4649999999999999</v>
      </c>
      <c r="E48" s="76"/>
      <c r="F48" s="76" t="e">
        <f t="shared" si="1"/>
        <v>#DIV/0!</v>
      </c>
      <c r="G48" s="76"/>
      <c r="H48" s="76" t="e">
        <f t="shared" si="2"/>
        <v>#DIV/0!</v>
      </c>
      <c r="I48" s="76"/>
      <c r="J48" s="76" t="e">
        <f t="shared" si="3"/>
        <v>#DIV/0!</v>
      </c>
      <c r="K48" s="76" t="e">
        <f t="shared" si="4"/>
        <v>#DIV/0!</v>
      </c>
      <c r="L48" s="76"/>
      <c r="M48" s="76"/>
      <c r="N48" s="76" t="s">
        <v>403</v>
      </c>
      <c r="O48">
        <f t="shared" ref="O48:Q63" si="6">IF(L48="+",$M48,0)</f>
        <v>0</v>
      </c>
      <c r="P48">
        <f t="shared" si="6"/>
        <v>0</v>
      </c>
      <c r="Q48">
        <f t="shared" si="6"/>
        <v>0</v>
      </c>
    </row>
    <row r="49" spans="1:17">
      <c r="A49" s="76">
        <v>48</v>
      </c>
      <c r="B49" t="s">
        <v>210</v>
      </c>
      <c r="C49" t="s">
        <v>190</v>
      </c>
      <c r="D49">
        <v>706.8599999999999</v>
      </c>
      <c r="E49" s="76"/>
      <c r="F49" s="76" t="e">
        <f t="shared" si="1"/>
        <v>#DIV/0!</v>
      </c>
      <c r="G49" s="76"/>
      <c r="H49" s="76" t="e">
        <f t="shared" si="2"/>
        <v>#DIV/0!</v>
      </c>
      <c r="I49" s="76"/>
      <c r="J49" s="76" t="e">
        <f t="shared" si="3"/>
        <v>#DIV/0!</v>
      </c>
      <c r="K49" s="76" t="e">
        <f t="shared" si="4"/>
        <v>#DIV/0!</v>
      </c>
      <c r="L49" s="76"/>
      <c r="M49" s="76"/>
      <c r="N49" s="76" t="s">
        <v>403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1:17">
      <c r="A50" s="76">
        <v>49</v>
      </c>
      <c r="B50" t="s">
        <v>208</v>
      </c>
      <c r="C50" t="s">
        <v>181</v>
      </c>
      <c r="D50">
        <v>15.802452000000001</v>
      </c>
      <c r="E50" s="76"/>
      <c r="F50" s="76" t="e">
        <f t="shared" si="1"/>
        <v>#DIV/0!</v>
      </c>
      <c r="G50" s="76"/>
      <c r="H50" s="76" t="e">
        <f t="shared" si="2"/>
        <v>#DIV/0!</v>
      </c>
      <c r="I50" s="76"/>
      <c r="J50" s="76" t="e">
        <f t="shared" si="3"/>
        <v>#DIV/0!</v>
      </c>
      <c r="K50" s="76" t="e">
        <f t="shared" si="4"/>
        <v>#DIV/0!</v>
      </c>
      <c r="L50" s="76" t="s">
        <v>403</v>
      </c>
      <c r="M50" s="76"/>
      <c r="N50" s="76"/>
      <c r="O50">
        <f t="shared" si="6"/>
        <v>0</v>
      </c>
      <c r="P50">
        <f t="shared" si="6"/>
        <v>0</v>
      </c>
      <c r="Q50">
        <f t="shared" si="6"/>
        <v>0</v>
      </c>
    </row>
    <row r="51" spans="1:17">
      <c r="A51" s="76">
        <v>50</v>
      </c>
      <c r="B51" t="s">
        <v>207</v>
      </c>
      <c r="C51" t="s">
        <v>190</v>
      </c>
      <c r="D51">
        <v>526.74839999999995</v>
      </c>
      <c r="E51" s="76"/>
      <c r="F51" s="76" t="e">
        <f t="shared" si="1"/>
        <v>#DIV/0!</v>
      </c>
      <c r="G51" s="76"/>
      <c r="H51" s="76" t="e">
        <f t="shared" si="2"/>
        <v>#DIV/0!</v>
      </c>
      <c r="I51" s="76"/>
      <c r="J51" s="76" t="e">
        <f t="shared" si="3"/>
        <v>#DIV/0!</v>
      </c>
      <c r="K51" s="76" t="e">
        <f t="shared" si="4"/>
        <v>#DIV/0!</v>
      </c>
      <c r="L51" s="76" t="s">
        <v>403</v>
      </c>
      <c r="M51" s="76"/>
      <c r="N51" s="76"/>
      <c r="O51">
        <f t="shared" si="6"/>
        <v>0</v>
      </c>
      <c r="P51">
        <f t="shared" si="6"/>
        <v>0</v>
      </c>
      <c r="Q51">
        <f t="shared" si="6"/>
        <v>0</v>
      </c>
    </row>
    <row r="52" spans="1:17">
      <c r="A52" s="76">
        <v>51</v>
      </c>
      <c r="B52" t="s">
        <v>206</v>
      </c>
      <c r="C52" t="s">
        <v>181</v>
      </c>
      <c r="D52">
        <v>6.7134600000000004</v>
      </c>
      <c r="E52" s="76"/>
      <c r="F52" s="76" t="e">
        <f t="shared" si="1"/>
        <v>#DIV/0!</v>
      </c>
      <c r="G52" s="76"/>
      <c r="H52" s="76" t="e">
        <f t="shared" si="2"/>
        <v>#DIV/0!</v>
      </c>
      <c r="I52" s="76"/>
      <c r="J52" s="76" t="e">
        <f t="shared" si="3"/>
        <v>#DIV/0!</v>
      </c>
      <c r="K52" s="76" t="e">
        <f t="shared" si="4"/>
        <v>#DIV/0!</v>
      </c>
      <c r="L52" s="76" t="s">
        <v>403</v>
      </c>
      <c r="M52" s="76"/>
      <c r="N52" s="76"/>
      <c r="O52">
        <f t="shared" si="6"/>
        <v>0</v>
      </c>
      <c r="P52">
        <f t="shared" si="6"/>
        <v>0</v>
      </c>
      <c r="Q52">
        <f t="shared" si="6"/>
        <v>0</v>
      </c>
    </row>
    <row r="53" spans="1:17">
      <c r="A53" s="76">
        <v>52</v>
      </c>
      <c r="B53" t="s">
        <v>204</v>
      </c>
      <c r="C53" t="s">
        <v>183</v>
      </c>
      <c r="D53">
        <v>6.3E-3</v>
      </c>
      <c r="E53" s="76"/>
      <c r="F53" s="76" t="e">
        <f t="shared" si="1"/>
        <v>#DIV/0!</v>
      </c>
      <c r="G53" s="76"/>
      <c r="H53" s="76" t="e">
        <f t="shared" si="2"/>
        <v>#DIV/0!</v>
      </c>
      <c r="I53" s="76"/>
      <c r="J53" s="76" t="e">
        <f t="shared" si="3"/>
        <v>#DIV/0!</v>
      </c>
      <c r="K53" s="76" t="e">
        <f t="shared" si="4"/>
        <v>#DIV/0!</v>
      </c>
      <c r="L53" s="76" t="s">
        <v>403</v>
      </c>
      <c r="M53" s="76"/>
      <c r="N53" s="76"/>
      <c r="O53">
        <f t="shared" si="6"/>
        <v>0</v>
      </c>
      <c r="P53">
        <f t="shared" si="6"/>
        <v>0</v>
      </c>
      <c r="Q53">
        <f t="shared" si="6"/>
        <v>0</v>
      </c>
    </row>
    <row r="54" spans="1:17">
      <c r="A54" s="76">
        <v>53</v>
      </c>
      <c r="B54" t="s">
        <v>193</v>
      </c>
      <c r="C54" t="s">
        <v>183</v>
      </c>
      <c r="D54">
        <v>7.5150000000000008E-2</v>
      </c>
      <c r="E54" s="76"/>
      <c r="F54" s="76" t="e">
        <f t="shared" si="1"/>
        <v>#DIV/0!</v>
      </c>
      <c r="G54" s="76"/>
      <c r="H54" s="76" t="e">
        <f t="shared" si="2"/>
        <v>#DIV/0!</v>
      </c>
      <c r="I54" s="76"/>
      <c r="J54" s="76" t="e">
        <f t="shared" si="3"/>
        <v>#DIV/0!</v>
      </c>
      <c r="K54" s="76" t="e">
        <f t="shared" si="4"/>
        <v>#DIV/0!</v>
      </c>
      <c r="L54" s="76" t="s">
        <v>403</v>
      </c>
      <c r="M54" s="76"/>
      <c r="N54" s="76"/>
      <c r="O54">
        <f t="shared" si="6"/>
        <v>0</v>
      </c>
      <c r="P54">
        <f t="shared" si="6"/>
        <v>0</v>
      </c>
      <c r="Q54">
        <f t="shared" si="6"/>
        <v>0</v>
      </c>
    </row>
    <row r="55" spans="1:17">
      <c r="A55" s="76">
        <v>54</v>
      </c>
      <c r="B55" t="s">
        <v>191</v>
      </c>
      <c r="C55" t="s">
        <v>190</v>
      </c>
      <c r="D55">
        <v>270.52199999999999</v>
      </c>
      <c r="E55" s="76"/>
      <c r="F55" s="76" t="e">
        <f t="shared" si="1"/>
        <v>#DIV/0!</v>
      </c>
      <c r="G55" s="76"/>
      <c r="H55" s="76" t="e">
        <f t="shared" si="2"/>
        <v>#DIV/0!</v>
      </c>
      <c r="I55" s="76"/>
      <c r="J55" s="76" t="e">
        <f t="shared" si="3"/>
        <v>#DIV/0!</v>
      </c>
      <c r="K55" s="76" t="e">
        <f t="shared" si="4"/>
        <v>#DIV/0!</v>
      </c>
      <c r="L55" s="76" t="s">
        <v>403</v>
      </c>
      <c r="M55" s="76"/>
      <c r="N55" s="76"/>
      <c r="O55">
        <f t="shared" si="6"/>
        <v>0</v>
      </c>
      <c r="P55">
        <f t="shared" si="6"/>
        <v>0</v>
      </c>
      <c r="Q55">
        <f t="shared" si="6"/>
        <v>0</v>
      </c>
    </row>
    <row r="56" spans="1:17">
      <c r="A56" s="76">
        <v>55</v>
      </c>
      <c r="B56" t="s">
        <v>203</v>
      </c>
      <c r="C56" t="s">
        <v>202</v>
      </c>
      <c r="D56">
        <v>116.77500000000001</v>
      </c>
      <c r="E56" s="76"/>
      <c r="F56" s="76" t="e">
        <f t="shared" si="1"/>
        <v>#DIV/0!</v>
      </c>
      <c r="G56" s="76"/>
      <c r="H56" s="76" t="e">
        <f t="shared" si="2"/>
        <v>#DIV/0!</v>
      </c>
      <c r="I56" s="76"/>
      <c r="J56" s="76" t="e">
        <f t="shared" si="3"/>
        <v>#DIV/0!</v>
      </c>
      <c r="K56" s="76" t="e">
        <f t="shared" si="4"/>
        <v>#DIV/0!</v>
      </c>
      <c r="L56" s="76" t="s">
        <v>403</v>
      </c>
      <c r="M56" s="76"/>
      <c r="N56" s="76"/>
      <c r="O56">
        <f t="shared" si="6"/>
        <v>0</v>
      </c>
      <c r="P56">
        <f t="shared" si="6"/>
        <v>0</v>
      </c>
      <c r="Q56">
        <f t="shared" si="6"/>
        <v>0</v>
      </c>
    </row>
    <row r="57" spans="1:17">
      <c r="A57" s="76">
        <v>56</v>
      </c>
      <c r="B57" t="s">
        <v>197</v>
      </c>
      <c r="C57" t="s">
        <v>196</v>
      </c>
      <c r="D57">
        <v>0</v>
      </c>
      <c r="E57" s="76"/>
      <c r="F57" s="76" t="e">
        <f t="shared" si="1"/>
        <v>#DIV/0!</v>
      </c>
      <c r="G57" s="76"/>
      <c r="H57" s="76" t="e">
        <f t="shared" si="2"/>
        <v>#DIV/0!</v>
      </c>
      <c r="I57" s="76"/>
      <c r="J57" s="76" t="e">
        <f t="shared" si="3"/>
        <v>#DIV/0!</v>
      </c>
      <c r="K57" s="76" t="e">
        <f t="shared" si="4"/>
        <v>#DIV/0!</v>
      </c>
      <c r="L57" s="76" t="s">
        <v>403</v>
      </c>
      <c r="M57" s="76"/>
      <c r="N57" s="76"/>
      <c r="O57">
        <f t="shared" si="6"/>
        <v>0</v>
      </c>
      <c r="P57">
        <f t="shared" si="6"/>
        <v>0</v>
      </c>
      <c r="Q57">
        <f t="shared" si="6"/>
        <v>0</v>
      </c>
    </row>
    <row r="58" spans="1:17">
      <c r="A58" s="76">
        <v>57</v>
      </c>
      <c r="B58" t="s">
        <v>201</v>
      </c>
      <c r="C58" t="s">
        <v>183</v>
      </c>
      <c r="D58">
        <v>2.5649999999999999E-2</v>
      </c>
      <c r="E58" s="76"/>
      <c r="F58" s="76" t="e">
        <f t="shared" si="1"/>
        <v>#DIV/0!</v>
      </c>
      <c r="G58" s="76"/>
      <c r="H58" s="76" t="e">
        <f t="shared" si="2"/>
        <v>#DIV/0!</v>
      </c>
      <c r="I58" s="76"/>
      <c r="J58" s="76" t="e">
        <f t="shared" si="3"/>
        <v>#DIV/0!</v>
      </c>
      <c r="K58" s="76" t="e">
        <f t="shared" si="4"/>
        <v>#DIV/0!</v>
      </c>
      <c r="L58" s="76" t="s">
        <v>403</v>
      </c>
      <c r="M58" s="76"/>
      <c r="N58" s="76"/>
      <c r="O58">
        <f t="shared" si="6"/>
        <v>0</v>
      </c>
      <c r="P58">
        <f t="shared" si="6"/>
        <v>0</v>
      </c>
      <c r="Q58">
        <f t="shared" si="6"/>
        <v>0</v>
      </c>
    </row>
    <row r="59" spans="1:17">
      <c r="A59" s="76">
        <v>58</v>
      </c>
      <c r="B59" t="s">
        <v>200</v>
      </c>
      <c r="C59" t="s">
        <v>190</v>
      </c>
      <c r="D59">
        <v>225</v>
      </c>
      <c r="E59" s="76"/>
      <c r="F59" s="76" t="e">
        <f t="shared" si="1"/>
        <v>#DIV/0!</v>
      </c>
      <c r="G59" s="76"/>
      <c r="H59" s="76" t="e">
        <f t="shared" si="2"/>
        <v>#DIV/0!</v>
      </c>
      <c r="I59" s="76"/>
      <c r="J59" s="76" t="e">
        <f t="shared" si="3"/>
        <v>#DIV/0!</v>
      </c>
      <c r="K59" s="76" t="e">
        <f t="shared" si="4"/>
        <v>#DIV/0!</v>
      </c>
      <c r="L59" s="76" t="s">
        <v>403</v>
      </c>
      <c r="M59" s="76"/>
      <c r="N59" s="76"/>
      <c r="O59">
        <f t="shared" si="6"/>
        <v>0</v>
      </c>
      <c r="P59">
        <f t="shared" si="6"/>
        <v>0</v>
      </c>
      <c r="Q59">
        <f t="shared" si="6"/>
        <v>0</v>
      </c>
    </row>
    <row r="60" spans="1:17">
      <c r="A60" s="76">
        <v>59</v>
      </c>
      <c r="B60" t="s">
        <v>199</v>
      </c>
      <c r="C60" t="s">
        <v>181</v>
      </c>
      <c r="D60">
        <v>0.3105</v>
      </c>
      <c r="E60" s="76"/>
      <c r="F60" s="76" t="e">
        <f t="shared" si="1"/>
        <v>#DIV/0!</v>
      </c>
      <c r="G60" s="76"/>
      <c r="H60" s="76" t="e">
        <f t="shared" si="2"/>
        <v>#DIV/0!</v>
      </c>
      <c r="I60" s="76"/>
      <c r="J60" s="76" t="e">
        <f t="shared" si="3"/>
        <v>#DIV/0!</v>
      </c>
      <c r="K60" s="76" t="e">
        <f t="shared" si="4"/>
        <v>#DIV/0!</v>
      </c>
      <c r="L60" s="76" t="s">
        <v>403</v>
      </c>
      <c r="M60" s="76"/>
      <c r="N60" s="76"/>
      <c r="O60">
        <f t="shared" si="6"/>
        <v>0</v>
      </c>
      <c r="P60">
        <f t="shared" si="6"/>
        <v>0</v>
      </c>
      <c r="Q60">
        <f t="shared" si="6"/>
        <v>0</v>
      </c>
    </row>
    <row r="61" spans="1:17">
      <c r="A61" s="76">
        <v>60</v>
      </c>
      <c r="B61" t="s">
        <v>195</v>
      </c>
      <c r="C61" t="s">
        <v>190</v>
      </c>
      <c r="D61">
        <v>270</v>
      </c>
      <c r="E61" s="76"/>
      <c r="F61" s="76" t="e">
        <f t="shared" si="1"/>
        <v>#DIV/0!</v>
      </c>
      <c r="G61" s="76"/>
      <c r="H61" s="76" t="e">
        <f t="shared" si="2"/>
        <v>#DIV/0!</v>
      </c>
      <c r="I61" s="76"/>
      <c r="J61" s="76" t="e">
        <f t="shared" si="3"/>
        <v>#DIV/0!</v>
      </c>
      <c r="K61" s="76" t="e">
        <f t="shared" si="4"/>
        <v>#DIV/0!</v>
      </c>
      <c r="L61" s="76" t="s">
        <v>403</v>
      </c>
      <c r="M61" s="76"/>
      <c r="N61" s="76"/>
      <c r="O61">
        <f t="shared" si="6"/>
        <v>0</v>
      </c>
      <c r="P61">
        <f t="shared" si="6"/>
        <v>0</v>
      </c>
      <c r="Q61">
        <f t="shared" si="6"/>
        <v>0</v>
      </c>
    </row>
    <row r="62" spans="1:17">
      <c r="A62" s="76">
        <v>61</v>
      </c>
      <c r="B62" t="s">
        <v>192</v>
      </c>
      <c r="C62" t="s">
        <v>183</v>
      </c>
      <c r="D62">
        <v>4.6799999999999987E-2</v>
      </c>
      <c r="E62" s="76"/>
      <c r="F62" s="76" t="e">
        <f t="shared" si="1"/>
        <v>#DIV/0!</v>
      </c>
      <c r="G62" s="76"/>
      <c r="H62" s="76" t="e">
        <f t="shared" si="2"/>
        <v>#DIV/0!</v>
      </c>
      <c r="I62" s="76"/>
      <c r="J62" s="76" t="e">
        <f t="shared" si="3"/>
        <v>#DIV/0!</v>
      </c>
      <c r="K62" s="76" t="e">
        <f t="shared" si="4"/>
        <v>#DIV/0!</v>
      </c>
      <c r="L62" s="76"/>
      <c r="M62" s="76"/>
      <c r="N62" s="76" t="s">
        <v>403</v>
      </c>
      <c r="O62">
        <f t="shared" si="6"/>
        <v>0</v>
      </c>
      <c r="P62">
        <f t="shared" si="6"/>
        <v>0</v>
      </c>
      <c r="Q62">
        <f t="shared" si="6"/>
        <v>0</v>
      </c>
    </row>
    <row r="63" spans="1:17">
      <c r="A63" s="76">
        <v>62</v>
      </c>
      <c r="B63" t="s">
        <v>188</v>
      </c>
      <c r="C63" t="s">
        <v>183</v>
      </c>
      <c r="D63">
        <v>6.3000000000000003E-4</v>
      </c>
      <c r="E63" s="76"/>
      <c r="F63" s="76" t="e">
        <f t="shared" si="1"/>
        <v>#DIV/0!</v>
      </c>
      <c r="G63" s="76"/>
      <c r="H63" s="76" t="e">
        <f t="shared" si="2"/>
        <v>#DIV/0!</v>
      </c>
      <c r="I63" s="76"/>
      <c r="J63" s="76" t="e">
        <f t="shared" si="3"/>
        <v>#DIV/0!</v>
      </c>
      <c r="K63" s="76" t="e">
        <f t="shared" si="4"/>
        <v>#DIV/0!</v>
      </c>
      <c r="L63" s="76"/>
      <c r="M63" s="76"/>
      <c r="N63" s="76" t="s">
        <v>403</v>
      </c>
      <c r="O63">
        <f t="shared" si="6"/>
        <v>0</v>
      </c>
      <c r="P63">
        <f t="shared" si="6"/>
        <v>0</v>
      </c>
      <c r="Q63">
        <f t="shared" si="6"/>
        <v>0</v>
      </c>
    </row>
    <row r="64" spans="1:17">
      <c r="A64" s="76">
        <v>63</v>
      </c>
      <c r="B64" t="s">
        <v>187</v>
      </c>
      <c r="C64" t="s">
        <v>186</v>
      </c>
      <c r="D64">
        <v>66.600000000000009</v>
      </c>
      <c r="E64" s="76"/>
      <c r="F64" s="76" t="e">
        <f t="shared" si="1"/>
        <v>#DIV/0!</v>
      </c>
      <c r="G64" s="76"/>
      <c r="H64" s="76" t="e">
        <f t="shared" si="2"/>
        <v>#DIV/0!</v>
      </c>
      <c r="I64" s="76"/>
      <c r="J64" s="76" t="e">
        <f t="shared" si="3"/>
        <v>#DIV/0!</v>
      </c>
      <c r="K64" s="76" t="e">
        <f t="shared" si="4"/>
        <v>#DIV/0!</v>
      </c>
      <c r="L64" s="76"/>
      <c r="M64" s="76"/>
      <c r="N64" s="76" t="s">
        <v>403</v>
      </c>
      <c r="O64">
        <f t="shared" ref="O64:Q65" si="7">IF(L64="+",$M64,0)</f>
        <v>0</v>
      </c>
      <c r="P64">
        <f t="shared" si="7"/>
        <v>0</v>
      </c>
      <c r="Q64">
        <f t="shared" si="7"/>
        <v>0</v>
      </c>
    </row>
    <row r="65" spans="1:17">
      <c r="A65" s="76">
        <v>64</v>
      </c>
      <c r="B65" t="s">
        <v>185</v>
      </c>
      <c r="C65" t="s">
        <v>181</v>
      </c>
      <c r="D65">
        <v>0.30599999999999999</v>
      </c>
      <c r="E65" s="76"/>
      <c r="F65" s="76" t="e">
        <f t="shared" si="1"/>
        <v>#DIV/0!</v>
      </c>
      <c r="G65" s="76"/>
      <c r="H65" s="76" t="e">
        <f t="shared" si="2"/>
        <v>#DIV/0!</v>
      </c>
      <c r="I65" s="76"/>
      <c r="J65" s="76" t="e">
        <f t="shared" si="3"/>
        <v>#DIV/0!</v>
      </c>
      <c r="K65" s="76" t="e">
        <f t="shared" si="4"/>
        <v>#DIV/0!</v>
      </c>
      <c r="L65" s="76"/>
      <c r="M65" s="76"/>
      <c r="N65" s="76" t="s">
        <v>403</v>
      </c>
      <c r="O65">
        <f t="shared" si="7"/>
        <v>0</v>
      </c>
      <c r="P65">
        <f t="shared" si="7"/>
        <v>0</v>
      </c>
      <c r="Q65">
        <f t="shared" si="7"/>
        <v>0</v>
      </c>
    </row>
    <row r="66" spans="1:17">
      <c r="A66" s="76"/>
      <c r="B66" s="94"/>
      <c r="C66" s="73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7">
      <c r="A67" s="76"/>
      <c r="B67" s="94"/>
      <c r="C67" s="73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7">
      <c r="A68" s="76"/>
      <c r="B68" s="94"/>
      <c r="C68" s="73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</row>
    <row r="69" spans="1:17">
      <c r="A69" s="76"/>
      <c r="B69" s="94"/>
      <c r="C69" s="73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</row>
    <row r="70" spans="1:17">
      <c r="A70" s="76"/>
      <c r="B70" s="94"/>
      <c r="C70" s="73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</row>
    <row r="71" spans="1:17" ht="15" thickBot="1">
      <c r="C71" s="95"/>
      <c r="K71" s="92" t="s">
        <v>404</v>
      </c>
      <c r="L71" s="92"/>
      <c r="M71" s="93"/>
      <c r="N71" s="93"/>
      <c r="O71">
        <f>SUM(O2:O70)</f>
        <v>0</v>
      </c>
      <c r="P71">
        <f>SUM(P2:P70)</f>
        <v>0</v>
      </c>
      <c r="Q71">
        <f>SUM(Q2:Q70)</f>
        <v>0</v>
      </c>
    </row>
    <row r="72" spans="1:17" ht="15" thickBot="1">
      <c r="C72" s="95"/>
      <c r="K72" s="96" t="s">
        <v>405</v>
      </c>
      <c r="L72" s="97">
        <f>SUM(L71:N71)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ВОР</vt:lpstr>
      <vt:lpstr>Табличный метод</vt:lpstr>
      <vt:lpstr>Ведомость ресурсов</vt:lpstr>
      <vt:lpstr>Сводная таблица</vt:lpstr>
      <vt:lpstr>Подбор крана</vt:lpstr>
      <vt:lpstr>Строительные машины</vt:lpstr>
      <vt:lpstr>Лист1</vt:lpstr>
      <vt:lpstr>Временные здания</vt:lpstr>
      <vt:lpstr>Склады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Федулова</dc:creator>
  <cp:lastModifiedBy>Даниил Синякин</cp:lastModifiedBy>
  <dcterms:created xsi:type="dcterms:W3CDTF">2024-02-13T18:52:44Z</dcterms:created>
  <dcterms:modified xsi:type="dcterms:W3CDTF">2024-05-08T11:49:42Z</dcterms:modified>
</cp:coreProperties>
</file>