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Project\файлы\"/>
    </mc:Choice>
  </mc:AlternateContent>
  <xr:revisionPtr revIDLastSave="0" documentId="13_ncr:1_{EFB18183-0A46-460B-9FB0-FB71FC1CAD5B}" xr6:coauthVersionLast="47" xr6:coauthVersionMax="47" xr10:uidLastSave="{00000000-0000-0000-0000-000000000000}"/>
  <bookViews>
    <workbookView xWindow="-120" yWindow="-120" windowWidth="38640" windowHeight="20010" xr2:uid="{02CA0E13-B26E-4D07-B08E-2515C6469ED3}"/>
  </bookViews>
  <sheets>
    <sheet name="ВОР" sheetId="1" r:id="rId1"/>
    <sheet name="Табличный метод" sheetId="2" r:id="rId2"/>
    <sheet name="Лист1" sheetId="3" r:id="rId3"/>
  </sheets>
  <definedNames>
    <definedName name="_xlnm._FilterDatabase" localSheetId="1" hidden="1">'Табличный метод'!$B$3:$B$75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K16" i="2"/>
  <c r="K18" i="2"/>
  <c r="K20" i="2"/>
  <c r="K22" i="2"/>
  <c r="K24" i="2"/>
  <c r="K26" i="2"/>
  <c r="K27" i="2"/>
  <c r="K28" i="2"/>
  <c r="K30" i="2"/>
  <c r="K32" i="2"/>
  <c r="K34" i="2"/>
  <c r="K36" i="2"/>
  <c r="K38" i="2"/>
  <c r="K40" i="2"/>
  <c r="K42" i="2"/>
  <c r="K43" i="2"/>
  <c r="K49" i="2"/>
  <c r="K51" i="2"/>
  <c r="K53" i="2"/>
  <c r="K55" i="2"/>
  <c r="K57" i="2"/>
  <c r="K58" i="2"/>
  <c r="K60" i="2"/>
  <c r="K62" i="2"/>
  <c r="K64" i="2"/>
  <c r="K66" i="2"/>
  <c r="K68" i="2"/>
  <c r="K71" i="2"/>
  <c r="F3" i="2"/>
  <c r="J49" i="2" l="1"/>
  <c r="J51" i="2"/>
  <c r="J53" i="2"/>
  <c r="J55" i="2"/>
  <c r="J57" i="2"/>
  <c r="J58" i="2"/>
  <c r="J60" i="2"/>
  <c r="J62" i="2"/>
  <c r="J64" i="2"/>
  <c r="J66" i="2"/>
  <c r="J68" i="2"/>
  <c r="J71" i="2"/>
  <c r="J14" i="2"/>
  <c r="J16" i="2"/>
  <c r="J18" i="2"/>
  <c r="J20" i="2"/>
  <c r="J22" i="2"/>
  <c r="J24" i="2"/>
  <c r="J26" i="2"/>
  <c r="J27" i="2"/>
  <c r="J28" i="2"/>
  <c r="J30" i="2"/>
  <c r="J32" i="2"/>
  <c r="J34" i="2"/>
  <c r="J36" i="2"/>
  <c r="J38" i="2"/>
  <c r="J40" i="2"/>
  <c r="J42" i="2"/>
  <c r="J43" i="2"/>
  <c r="G3" i="2"/>
  <c r="D5" i="1"/>
  <c r="D7" i="1" s="1"/>
  <c r="D10" i="1"/>
  <c r="D36" i="1"/>
  <c r="D22" i="1"/>
  <c r="D21" i="1"/>
  <c r="D20" i="1"/>
  <c r="D19" i="1"/>
  <c r="D35" i="1"/>
  <c r="D34" i="1"/>
  <c r="D18" i="1"/>
  <c r="D33" i="1"/>
  <c r="D17" i="1"/>
  <c r="D31" i="1"/>
  <c r="D15" i="1"/>
  <c r="D29" i="1"/>
  <c r="D14" i="1"/>
  <c r="D30" i="1"/>
  <c r="D13" i="1"/>
  <c r="D27" i="1"/>
  <c r="D11" i="1"/>
  <c r="J11" i="1"/>
  <c r="D26" i="1"/>
  <c r="D28" i="1"/>
  <c r="G28" i="1" s="1"/>
  <c r="O28" i="1" s="1"/>
  <c r="D12" i="1"/>
  <c r="D16" i="1"/>
  <c r="D37" i="1"/>
  <c r="D38" i="1"/>
  <c r="D23" i="1"/>
  <c r="D32" i="1"/>
  <c r="D6" i="1"/>
  <c r="D9" i="1" s="1"/>
  <c r="K3" i="2" l="1"/>
  <c r="F4" i="2"/>
  <c r="G4" i="2" s="1"/>
  <c r="F5" i="2"/>
  <c r="G5" i="2" s="1"/>
  <c r="D25" i="1"/>
  <c r="J28" i="1"/>
  <c r="N28" i="1" s="1"/>
  <c r="P28" i="1" s="1"/>
  <c r="G5" i="1"/>
  <c r="J38" i="1"/>
  <c r="N38" i="1" s="1"/>
  <c r="G38" i="1"/>
  <c r="O38" i="1" s="1"/>
  <c r="J37" i="1"/>
  <c r="N37" i="1" s="1"/>
  <c r="G37" i="1"/>
  <c r="O37" i="1" s="1"/>
  <c r="J36" i="1"/>
  <c r="N36" i="1" s="1"/>
  <c r="G36" i="1"/>
  <c r="O36" i="1" s="1"/>
  <c r="J35" i="1"/>
  <c r="N35" i="1" s="1"/>
  <c r="G35" i="1"/>
  <c r="O35" i="1" s="1"/>
  <c r="J34" i="1"/>
  <c r="N34" i="1" s="1"/>
  <c r="G34" i="1"/>
  <c r="O34" i="1" s="1"/>
  <c r="J33" i="1"/>
  <c r="N33" i="1" s="1"/>
  <c r="G33" i="1"/>
  <c r="O33" i="1" s="1"/>
  <c r="J32" i="1"/>
  <c r="N32" i="1" s="1"/>
  <c r="G32" i="1"/>
  <c r="O32" i="1" s="1"/>
  <c r="J31" i="1"/>
  <c r="N31" i="1" s="1"/>
  <c r="G31" i="1"/>
  <c r="O31" i="1" s="1"/>
  <c r="J30" i="1"/>
  <c r="N30" i="1" s="1"/>
  <c r="G30" i="1"/>
  <c r="O30" i="1" s="1"/>
  <c r="J29" i="1"/>
  <c r="N29" i="1" s="1"/>
  <c r="G29" i="1"/>
  <c r="O29" i="1" s="1"/>
  <c r="J27" i="1"/>
  <c r="N27" i="1" s="1"/>
  <c r="G27" i="1"/>
  <c r="O27" i="1" s="1"/>
  <c r="J26" i="1"/>
  <c r="N26" i="1" s="1"/>
  <c r="G26" i="1"/>
  <c r="O26" i="1" s="1"/>
  <c r="J25" i="1"/>
  <c r="N25" i="1" s="1"/>
  <c r="G25" i="1"/>
  <c r="O25" i="1" s="1"/>
  <c r="J6" i="1"/>
  <c r="N6" i="1" s="1"/>
  <c r="J7" i="1"/>
  <c r="N7" i="1" s="1"/>
  <c r="J9" i="1"/>
  <c r="N9" i="1" s="1"/>
  <c r="J10" i="1"/>
  <c r="N10" i="1" s="1"/>
  <c r="N11" i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5" i="1"/>
  <c r="G6" i="1"/>
  <c r="O6" i="1" s="1"/>
  <c r="G7" i="1"/>
  <c r="O7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F6" i="2" l="1"/>
  <c r="G6" i="2" s="1"/>
  <c r="K4" i="2"/>
  <c r="N5" i="1"/>
  <c r="D44" i="1"/>
  <c r="O5" i="1"/>
  <c r="C44" i="1"/>
  <c r="P5" i="1"/>
  <c r="P27" i="1"/>
  <c r="P9" i="1"/>
  <c r="P13" i="1"/>
  <c r="P23" i="1"/>
  <c r="P10" i="1"/>
  <c r="P38" i="1"/>
  <c r="P32" i="1"/>
  <c r="P6" i="1"/>
  <c r="P7" i="1"/>
  <c r="P25" i="1"/>
  <c r="P40" i="1" s="1"/>
  <c r="P26" i="1"/>
  <c r="P33" i="1"/>
  <c r="P11" i="1"/>
  <c r="P34" i="1"/>
  <c r="P29" i="1"/>
  <c r="P30" i="1"/>
  <c r="P37" i="1"/>
  <c r="P35" i="1"/>
  <c r="P36" i="1"/>
  <c r="P31" i="1"/>
  <c r="P21" i="1"/>
  <c r="P19" i="1"/>
  <c r="P18" i="1"/>
  <c r="P15" i="1"/>
  <c r="P14" i="1"/>
  <c r="P12" i="1"/>
  <c r="P22" i="1"/>
  <c r="P20" i="1"/>
  <c r="P17" i="1"/>
  <c r="P16" i="1"/>
  <c r="F7" i="2" l="1"/>
  <c r="G7" i="2" s="1"/>
  <c r="K6" i="2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4" i="1"/>
  <c r="H54" i="1" s="1"/>
  <c r="D45" i="1"/>
  <c r="H45" i="1" s="1"/>
  <c r="D53" i="1"/>
  <c r="H53" i="1" s="1"/>
  <c r="C52" i="1"/>
  <c r="I52" i="1" s="1"/>
  <c r="J52" i="1" s="1"/>
  <c r="C53" i="1"/>
  <c r="I53" i="1" s="1"/>
  <c r="J53" i="1" s="1"/>
  <c r="C54" i="1"/>
  <c r="I54" i="1" s="1"/>
  <c r="J54" i="1" s="1"/>
  <c r="C45" i="1"/>
  <c r="I45" i="1" s="1"/>
  <c r="J45" i="1" s="1"/>
  <c r="C46" i="1"/>
  <c r="I46" i="1" s="1"/>
  <c r="J46" i="1" s="1"/>
  <c r="C47" i="1"/>
  <c r="I47" i="1" s="1"/>
  <c r="C48" i="1"/>
  <c r="I48" i="1" s="1"/>
  <c r="C49" i="1"/>
  <c r="I49" i="1" s="1"/>
  <c r="C50" i="1"/>
  <c r="I50" i="1" s="1"/>
  <c r="C51" i="1"/>
  <c r="I51" i="1" s="1"/>
  <c r="K7" i="2" l="1"/>
  <c r="F10" i="2"/>
  <c r="F8" i="2"/>
  <c r="F9" i="2"/>
  <c r="J51" i="1"/>
  <c r="J50" i="1"/>
  <c r="J49" i="1"/>
  <c r="J48" i="1"/>
  <c r="J47" i="1"/>
  <c r="G9" i="2" l="1"/>
  <c r="K9" i="2" s="1"/>
  <c r="G10" i="2"/>
  <c r="G8" i="2"/>
  <c r="J56" i="1"/>
  <c r="L56" i="1" s="1"/>
  <c r="N56" i="1" s="1"/>
  <c r="K8" i="2" l="1"/>
  <c r="F12" i="2"/>
  <c r="F11" i="2"/>
  <c r="F43" i="2"/>
  <c r="G43" i="2" s="1"/>
  <c r="G11" i="2" l="1"/>
  <c r="K11" i="2" s="1"/>
  <c r="G12" i="2"/>
  <c r="K12" i="2" s="1"/>
  <c r="F28" i="2" l="1"/>
  <c r="G28" i="2" s="1"/>
  <c r="F14" i="2"/>
  <c r="G14" i="2" s="1"/>
  <c r="F13" i="2"/>
  <c r="G13" i="2" l="1"/>
  <c r="K13" i="2" s="1"/>
  <c r="F29" i="2"/>
  <c r="G29" i="2" l="1"/>
  <c r="K29" i="2" s="1"/>
  <c r="F16" i="2"/>
  <c r="G16" i="2" s="1"/>
  <c r="F15" i="2"/>
  <c r="G15" i="2" l="1"/>
  <c r="K15" i="2" s="1"/>
  <c r="F30" i="2"/>
  <c r="G30" i="2" s="1"/>
  <c r="F31" i="2" s="1"/>
  <c r="G31" i="2" l="1"/>
  <c r="K31" i="2" s="1"/>
  <c r="F17" i="2"/>
  <c r="F18" i="2"/>
  <c r="G18" i="2" s="1"/>
  <c r="G17" i="2" l="1"/>
  <c r="K17" i="2" s="1"/>
  <c r="F32" i="2"/>
  <c r="G32" i="2" s="1"/>
  <c r="F33" i="2" s="1"/>
  <c r="G33" i="2" l="1"/>
  <c r="K33" i="2" s="1"/>
  <c r="F20" i="2"/>
  <c r="G20" i="2" s="1"/>
  <c r="F19" i="2"/>
  <c r="G19" i="2" l="1"/>
  <c r="K19" i="2" s="1"/>
  <c r="F34" i="2"/>
  <c r="G34" i="2" s="1"/>
  <c r="F35" i="2" s="1"/>
  <c r="G35" i="2" l="1"/>
  <c r="K35" i="2" s="1"/>
  <c r="F21" i="2"/>
  <c r="F22" i="2"/>
  <c r="G22" i="2" s="1"/>
  <c r="G21" i="2" l="1"/>
  <c r="K21" i="2" s="1"/>
  <c r="F36" i="2"/>
  <c r="G36" i="2" s="1"/>
  <c r="F37" i="2" s="1"/>
  <c r="G37" i="2" l="1"/>
  <c r="K37" i="2" s="1"/>
  <c r="F23" i="2"/>
  <c r="F24" i="2"/>
  <c r="G24" i="2" s="1"/>
  <c r="G23" i="2" l="1"/>
  <c r="K23" i="2" s="1"/>
  <c r="F38" i="2"/>
  <c r="G38" i="2" s="1"/>
  <c r="F39" i="2" s="1"/>
  <c r="G39" i="2" l="1"/>
  <c r="K39" i="2" s="1"/>
  <c r="F26" i="2"/>
  <c r="G26" i="2" s="1"/>
  <c r="F25" i="2"/>
  <c r="G25" i="2" l="1"/>
  <c r="K25" i="2" s="1"/>
  <c r="F40" i="2"/>
  <c r="G40" i="2" s="1"/>
  <c r="F41" i="2" s="1"/>
  <c r="G41" i="2" l="1"/>
  <c r="K41" i="2" s="1"/>
  <c r="F27" i="2"/>
  <c r="G27" i="2" s="1"/>
  <c r="F42" i="2" l="1"/>
  <c r="G42" i="2" s="1"/>
  <c r="F44" i="2" s="1"/>
  <c r="G44" i="2" l="1"/>
  <c r="K10" i="2" l="1"/>
  <c r="K44" i="2"/>
  <c r="F46" i="2"/>
  <c r="F47" i="2"/>
  <c r="F45" i="2"/>
  <c r="G45" i="2" l="1"/>
  <c r="K45" i="2" s="1"/>
  <c r="G47" i="2"/>
  <c r="G46" i="2"/>
  <c r="K46" i="2" s="1"/>
  <c r="F49" i="2" l="1"/>
  <c r="G49" i="2" s="1"/>
  <c r="F59" i="2" s="1"/>
  <c r="F48" i="2"/>
  <c r="F71" i="2"/>
  <c r="G71" i="2" s="1"/>
  <c r="G48" i="2" l="1"/>
  <c r="K48" i="2" s="1"/>
  <c r="G59" i="2"/>
  <c r="K59" i="2" s="1"/>
  <c r="F51" i="2" l="1"/>
  <c r="G51" i="2" s="1"/>
  <c r="F50" i="2"/>
  <c r="F60" i="2"/>
  <c r="G60" i="2" s="1"/>
  <c r="F61" i="2" l="1"/>
  <c r="G61" i="2" s="1"/>
  <c r="K61" i="2" s="1"/>
  <c r="G50" i="2"/>
  <c r="K50" i="2" s="1"/>
  <c r="F62" i="2" l="1"/>
  <c r="G62" i="2" s="1"/>
  <c r="F52" i="2"/>
  <c r="F53" i="2"/>
  <c r="G53" i="2" s="1"/>
  <c r="F63" i="2" l="1"/>
  <c r="G63" i="2" s="1"/>
  <c r="K63" i="2" s="1"/>
  <c r="G52" i="2"/>
  <c r="K52" i="2" s="1"/>
  <c r="F54" i="2" l="1"/>
  <c r="F55" i="2"/>
  <c r="G55" i="2" s="1"/>
  <c r="F64" i="2"/>
  <c r="G64" i="2" s="1"/>
  <c r="F65" i="2" l="1"/>
  <c r="G65" i="2" s="1"/>
  <c r="K65" i="2" s="1"/>
  <c r="G54" i="2"/>
  <c r="K54" i="2" s="1"/>
  <c r="F57" i="2" l="1"/>
  <c r="G57" i="2" s="1"/>
  <c r="F56" i="2"/>
  <c r="F66" i="2"/>
  <c r="G66" i="2" s="1"/>
  <c r="G56" i="2" l="1"/>
  <c r="K56" i="2" s="1"/>
  <c r="F67" i="2"/>
  <c r="G67" i="2" l="1"/>
  <c r="K67" i="2" s="1"/>
  <c r="F58" i="2"/>
  <c r="G58" i="2" s="1"/>
  <c r="F68" i="2" l="1"/>
  <c r="G68" i="2" s="1"/>
  <c r="F69" i="2" s="1"/>
  <c r="G69" i="2" l="1"/>
  <c r="K69" i="2" s="1"/>
  <c r="F70" i="2" l="1"/>
  <c r="G70" i="2" l="1"/>
  <c r="K70" i="2" l="1"/>
  <c r="K47" i="2"/>
  <c r="F72" i="2"/>
  <c r="G72" i="2" l="1"/>
  <c r="K72" i="2" s="1"/>
  <c r="F73" i="2" l="1"/>
  <c r="G73" i="2" l="1"/>
  <c r="K73" i="2" s="1"/>
  <c r="F74" i="2" l="1"/>
  <c r="G74" i="2" l="1"/>
  <c r="F75" i="2" l="1"/>
  <c r="K74" i="2"/>
  <c r="G75" i="2" l="1"/>
  <c r="G78" i="2" l="1"/>
  <c r="K5" i="2"/>
  <c r="K75" i="2"/>
  <c r="I75" i="2"/>
  <c r="H75" i="2" s="1"/>
  <c r="I74" i="2" s="1"/>
  <c r="I5" i="2"/>
  <c r="H74" i="2" l="1"/>
  <c r="I73" i="2" s="1"/>
  <c r="J74" i="2"/>
  <c r="H5" i="2"/>
  <c r="J5" i="2"/>
  <c r="J75" i="2"/>
  <c r="H73" i="2" l="1"/>
  <c r="I72" i="2" s="1"/>
  <c r="J73" i="2"/>
  <c r="H72" i="2" l="1"/>
  <c r="J72" i="2"/>
  <c r="I71" i="2" l="1"/>
  <c r="H71" i="2" s="1"/>
  <c r="I46" i="2" s="1"/>
  <c r="I70" i="2"/>
  <c r="I47" i="2"/>
  <c r="H47" i="2" l="1"/>
  <c r="J47" i="2"/>
  <c r="H70" i="2"/>
  <c r="I69" i="2" s="1"/>
  <c r="J70" i="2"/>
  <c r="H46" i="2"/>
  <c r="J46" i="2"/>
  <c r="H69" i="2" l="1"/>
  <c r="J69" i="2"/>
  <c r="I68" i="2" l="1"/>
  <c r="H68" i="2" s="1"/>
  <c r="I67" i="2" s="1"/>
  <c r="I58" i="2"/>
  <c r="H58" i="2" s="1"/>
  <c r="I56" i="2" s="1"/>
  <c r="H56" i="2" l="1"/>
  <c r="J56" i="2"/>
  <c r="H67" i="2"/>
  <c r="J67" i="2"/>
  <c r="I66" i="2" l="1"/>
  <c r="H66" i="2" s="1"/>
  <c r="I65" i="2" s="1"/>
  <c r="I57" i="2"/>
  <c r="H57" i="2" s="1"/>
  <c r="I54" i="2" s="1"/>
  <c r="H54" i="2" l="1"/>
  <c r="J54" i="2"/>
  <c r="H65" i="2"/>
  <c r="J65" i="2"/>
  <c r="I55" i="2" l="1"/>
  <c r="H55" i="2" s="1"/>
  <c r="I52" i="2" s="1"/>
  <c r="I64" i="2"/>
  <c r="H64" i="2" s="1"/>
  <c r="I63" i="2" s="1"/>
  <c r="H63" i="2" l="1"/>
  <c r="J63" i="2"/>
  <c r="H52" i="2"/>
  <c r="J52" i="2"/>
  <c r="I53" i="2" l="1"/>
  <c r="H53" i="2" s="1"/>
  <c r="I50" i="2" s="1"/>
  <c r="I62" i="2"/>
  <c r="H62" i="2" s="1"/>
  <c r="I61" i="2" s="1"/>
  <c r="H61" i="2" l="1"/>
  <c r="J61" i="2"/>
  <c r="H50" i="2"/>
  <c r="J50" i="2"/>
  <c r="I51" i="2" l="1"/>
  <c r="H51" i="2" s="1"/>
  <c r="I48" i="2" s="1"/>
  <c r="I60" i="2"/>
  <c r="H60" i="2" s="1"/>
  <c r="I59" i="2" s="1"/>
  <c r="H59" i="2" l="1"/>
  <c r="I49" i="2" s="1"/>
  <c r="H49" i="2" s="1"/>
  <c r="J59" i="2"/>
  <c r="H48" i="2"/>
  <c r="J48" i="2"/>
  <c r="I45" i="2" l="1"/>
  <c r="H45" i="2" s="1"/>
  <c r="J45" i="2" l="1"/>
  <c r="I10" i="2"/>
  <c r="I43" i="2"/>
  <c r="H43" i="2" s="1"/>
  <c r="I9" i="2" s="1"/>
  <c r="I44" i="2"/>
  <c r="H44" i="2" l="1"/>
  <c r="J44" i="2"/>
  <c r="H9" i="2"/>
  <c r="J9" i="2"/>
  <c r="H10" i="2"/>
  <c r="J10" i="2"/>
  <c r="I42" i="2" l="1"/>
  <c r="H42" i="2" s="1"/>
  <c r="I41" i="2" s="1"/>
  <c r="I27" i="2"/>
  <c r="H27" i="2" s="1"/>
  <c r="I25" i="2" s="1"/>
  <c r="H25" i="2" l="1"/>
  <c r="J25" i="2"/>
  <c r="H41" i="2"/>
  <c r="J41" i="2"/>
  <c r="I26" i="2" l="1"/>
  <c r="H26" i="2" s="1"/>
  <c r="I23" i="2" s="1"/>
  <c r="I40" i="2"/>
  <c r="H40" i="2" s="1"/>
  <c r="I39" i="2" s="1"/>
  <c r="H39" i="2" l="1"/>
  <c r="J39" i="2"/>
  <c r="H23" i="2"/>
  <c r="J23" i="2"/>
  <c r="I38" i="2" l="1"/>
  <c r="H38" i="2" s="1"/>
  <c r="I37" i="2" s="1"/>
  <c r="I24" i="2"/>
  <c r="H24" i="2" s="1"/>
  <c r="I21" i="2" s="1"/>
  <c r="H37" i="2" l="1"/>
  <c r="J37" i="2"/>
  <c r="H21" i="2"/>
  <c r="J21" i="2"/>
  <c r="I36" i="2" l="1"/>
  <c r="H36" i="2" s="1"/>
  <c r="I35" i="2" s="1"/>
  <c r="I22" i="2"/>
  <c r="H22" i="2" s="1"/>
  <c r="I19" i="2" s="1"/>
  <c r="H19" i="2" l="1"/>
  <c r="J19" i="2"/>
  <c r="H35" i="2"/>
  <c r="J35" i="2"/>
  <c r="I20" i="2" l="1"/>
  <c r="H20" i="2" s="1"/>
  <c r="I17" i="2" s="1"/>
  <c r="I34" i="2"/>
  <c r="H34" i="2" s="1"/>
  <c r="I33" i="2" s="1"/>
  <c r="H33" i="2" l="1"/>
  <c r="J33" i="2"/>
  <c r="H17" i="2"/>
  <c r="J17" i="2"/>
  <c r="I18" i="2" l="1"/>
  <c r="H18" i="2" s="1"/>
  <c r="I15" i="2" s="1"/>
  <c r="I32" i="2"/>
  <c r="H32" i="2" s="1"/>
  <c r="I31" i="2" s="1"/>
  <c r="H15" i="2" l="1"/>
  <c r="J15" i="2"/>
  <c r="H31" i="2"/>
  <c r="J31" i="2"/>
  <c r="I30" i="2" l="1"/>
  <c r="H30" i="2" s="1"/>
  <c r="I29" i="2" s="1"/>
  <c r="I16" i="2"/>
  <c r="H16" i="2" s="1"/>
  <c r="I13" i="2" s="1"/>
  <c r="H13" i="2" l="1"/>
  <c r="J13" i="2"/>
  <c r="H29" i="2"/>
  <c r="J29" i="2"/>
  <c r="I28" i="2" l="1"/>
  <c r="H28" i="2" s="1"/>
  <c r="I12" i="2" s="1"/>
  <c r="I14" i="2"/>
  <c r="H14" i="2" s="1"/>
  <c r="I11" i="2" s="1"/>
  <c r="H11" i="2" l="1"/>
  <c r="I8" i="2" s="1"/>
  <c r="J11" i="2"/>
  <c r="H12" i="2"/>
  <c r="J12" i="2"/>
  <c r="H8" i="2" l="1"/>
  <c r="I7" i="2" s="1"/>
  <c r="J8" i="2"/>
  <c r="H7" i="2" l="1"/>
  <c r="I6" i="2" s="1"/>
  <c r="J7" i="2"/>
  <c r="J6" i="2" l="1"/>
  <c r="H6" i="2"/>
  <c r="I4" i="2" s="1"/>
  <c r="J4" i="2" l="1"/>
  <c r="H4" i="2"/>
  <c r="I3" i="2" s="1"/>
  <c r="J3" i="2" l="1"/>
  <c r="H3" i="2"/>
</calcChain>
</file>

<file path=xl/sharedStrings.xml><?xml version="1.0" encoding="utf-8"?>
<sst xmlns="http://schemas.openxmlformats.org/spreadsheetml/2006/main" count="398" uniqueCount="180">
  <si>
    <t>№</t>
  </si>
  <si>
    <t>Наименование работ</t>
  </si>
  <si>
    <t>Объем работ</t>
  </si>
  <si>
    <t>Обоснование(ГЭСН)</t>
  </si>
  <si>
    <t>Затраты труда</t>
  </si>
  <si>
    <t>Затраты маш. вр.</t>
  </si>
  <si>
    <t>Числ. Рабочих</t>
  </si>
  <si>
    <t>Число машин</t>
  </si>
  <si>
    <t>Число смен</t>
  </si>
  <si>
    <t>Продолжит. Мех. работ</t>
  </si>
  <si>
    <t>Продолжит. НеМех. работ</t>
  </si>
  <si>
    <t>Продолжит. Раб. дн.</t>
  </si>
  <si>
    <t>ед. изм</t>
  </si>
  <si>
    <t>кол-во</t>
  </si>
  <si>
    <t>норм. чел.ч.</t>
  </si>
  <si>
    <t>Q всего чел.ч.</t>
  </si>
  <si>
    <t>Машина</t>
  </si>
  <si>
    <t>Норм. маш. ч.</t>
  </si>
  <si>
    <t>Q всего маш. см</t>
  </si>
  <si>
    <t>1 захватка</t>
  </si>
  <si>
    <t>Планировка площадей</t>
  </si>
  <si>
    <t>Разработка грунта в отвал в котлованах</t>
  </si>
  <si>
    <t>Укладка фундаментов под колонны</t>
  </si>
  <si>
    <t>Укладка ригелей</t>
  </si>
  <si>
    <t>Установка диафрагм жесткости</t>
  </si>
  <si>
    <t>Установка колонн прямоугольного сечения в стаканы фундаментов зданий</t>
  </si>
  <si>
    <t>Укладка плит перекрытий</t>
  </si>
  <si>
    <t>Укладка блоков и плит ленточных фундаментов</t>
  </si>
  <si>
    <t>Установка перегородок из гипсовых плит</t>
  </si>
  <si>
    <t>Укладка перемычек</t>
  </si>
  <si>
    <t>Устройство кровель</t>
  </si>
  <si>
    <t>Устройство лестничных маршей в опалубке</t>
  </si>
  <si>
    <t>Устройство полов бетонных толщиной</t>
  </si>
  <si>
    <t>Устройство покрытий</t>
  </si>
  <si>
    <t>Устройство покрытий на цементном растворе из плиток</t>
  </si>
  <si>
    <t>Установка в жилых и общественных зданиях блоков оконных с переплетами</t>
  </si>
  <si>
    <t>Установка деревянных дверных блоков</t>
  </si>
  <si>
    <t>Установка деревянных подоконных досок в каменных стенах</t>
  </si>
  <si>
    <t>2 захватка</t>
  </si>
  <si>
    <t>01-02-027-03</t>
  </si>
  <si>
    <t>01-01-007-03</t>
  </si>
  <si>
    <t xml:space="preserve">07-01-001-07 </t>
  </si>
  <si>
    <t xml:space="preserve">07-01-006-02 </t>
  </si>
  <si>
    <t xml:space="preserve">07-05-023-06 </t>
  </si>
  <si>
    <t xml:space="preserve">07-01-011-07 </t>
  </si>
  <si>
    <t xml:space="preserve">07-01-006-07 </t>
  </si>
  <si>
    <t xml:space="preserve">07-01-001-04 </t>
  </si>
  <si>
    <t xml:space="preserve">08-04-001-01 </t>
  </si>
  <si>
    <t xml:space="preserve">07-01-021-06 </t>
  </si>
  <si>
    <t xml:space="preserve">12-01-002-01 </t>
  </si>
  <si>
    <t xml:space="preserve">06-01-111-01 </t>
  </si>
  <si>
    <t xml:space="preserve">11-01-014-01 </t>
  </si>
  <si>
    <t xml:space="preserve">11-01-036-01 </t>
  </si>
  <si>
    <t xml:space="preserve">11-01-027-02 </t>
  </si>
  <si>
    <t xml:space="preserve">10-01-027-01 </t>
  </si>
  <si>
    <t xml:space="preserve">10-04-013-01 </t>
  </si>
  <si>
    <t xml:space="preserve">10-01-033-02 </t>
  </si>
  <si>
    <t>1000 м2</t>
  </si>
  <si>
    <t>1000 м3</t>
  </si>
  <si>
    <t>Бульдозеры</t>
  </si>
  <si>
    <t>Экскаваторы</t>
  </si>
  <si>
    <t>100 шт</t>
  </si>
  <si>
    <t>Краны </t>
  </si>
  <si>
    <t>100 м2</t>
  </si>
  <si>
    <t>Котлы битумные</t>
  </si>
  <si>
    <t>100 м3</t>
  </si>
  <si>
    <t>Вибратор поверхностный</t>
  </si>
  <si>
    <t>Комплексы вакуумные</t>
  </si>
  <si>
    <t>Автомобили бортовые</t>
  </si>
  <si>
    <t>Автопогрузчики </t>
  </si>
  <si>
    <t>Шуруповерт</t>
  </si>
  <si>
    <t>Котлы битумные </t>
  </si>
  <si>
    <t>Состав бригады чел.</t>
  </si>
  <si>
    <t>машинисты</t>
  </si>
  <si>
    <t>Рабочие-строители 3, 4 разряда; машинисты</t>
  </si>
  <si>
    <t>рабочих-строителей</t>
  </si>
  <si>
    <t>рабочих-строителей Разряд 3,2</t>
  </si>
  <si>
    <t>рабочих-строителей Разряд 3,4</t>
  </si>
  <si>
    <t>рабочих-строителей Разряд 3,1</t>
  </si>
  <si>
    <t>Число рабочих</t>
  </si>
  <si>
    <t>Продолж. мех. работ</t>
  </si>
  <si>
    <t>Продолж. немехан.
работ</t>
  </si>
  <si>
    <t>Продолж. раб.
дн.</t>
  </si>
  <si>
    <t>Процент</t>
  </si>
  <si>
    <t>Q
Всего чел. ч.</t>
  </si>
  <si>
    <t>Q 
Всего маш. ч.</t>
  </si>
  <si>
    <t>Основные общестроительные
работы</t>
  </si>
  <si>
    <t>-</t>
  </si>
  <si>
    <t>Сантехнические работы
(1-я стадия)</t>
  </si>
  <si>
    <t>Сантехнические работы
(2-я стадия)</t>
  </si>
  <si>
    <t>Электромонтажные работы
(1-я стадия)</t>
  </si>
  <si>
    <t>Электромонтажные работы
(2-я стадия)</t>
  </si>
  <si>
    <t>Подготовительные
работы</t>
  </si>
  <si>
    <t>Дороги, подъезды
тротуары</t>
  </si>
  <si>
    <t>Озеленение</t>
  </si>
  <si>
    <t>Прочие и неучтенные
общестроительные работы</t>
  </si>
  <si>
    <t>Монтаж
оборудования</t>
  </si>
  <si>
    <t>Пусконаладочные
работы</t>
  </si>
  <si>
    <t>месяцев</t>
  </si>
  <si>
    <t>Работа</t>
  </si>
  <si>
    <t>Откуда</t>
  </si>
  <si>
    <t>Куда</t>
  </si>
  <si>
    <t>Продолжительность работы</t>
  </si>
  <si>
    <t>Сроки работы</t>
  </si>
  <si>
    <t>Резервы</t>
  </si>
  <si>
    <t>Код начальных событий
предшествующих работ</t>
  </si>
  <si>
    <t>Tрн</t>
  </si>
  <si>
    <t>Тро</t>
  </si>
  <si>
    <t>Тпн</t>
  </si>
  <si>
    <t>Тпо</t>
  </si>
  <si>
    <t>Ro</t>
  </si>
  <si>
    <t>Rч</t>
  </si>
  <si>
    <t>Монтаж оборудования</t>
  </si>
  <si>
    <t>мес</t>
  </si>
  <si>
    <t>4</t>
  </si>
  <si>
    <t>5</t>
  </si>
  <si>
    <t xml:space="preserve">
Укладка
ригелей</t>
  </si>
  <si>
    <t>Сантехнические работы 1-я стадия</t>
  </si>
  <si>
    <t>Электромонтажные работы 1 стадия</t>
  </si>
  <si>
    <t>6</t>
  </si>
  <si>
    <t xml:space="preserve">
Установка
диафрагм жесткости</t>
  </si>
  <si>
    <t>7</t>
  </si>
  <si>
    <t xml:space="preserve">
Установка
колонн прямоугольного сечения в стаканы фундаментов зданий</t>
  </si>
  <si>
    <t>8</t>
  </si>
  <si>
    <t xml:space="preserve">
Укладка
плит перекрытий</t>
  </si>
  <si>
    <t>9</t>
  </si>
  <si>
    <t xml:space="preserve">
Укладка
блоков и плит ленточных фундаментов</t>
  </si>
  <si>
    <t>10</t>
  </si>
  <si>
    <t>Установка
перегородок из гипсовых плит</t>
  </si>
  <si>
    <t>11</t>
  </si>
  <si>
    <t>Укладка
перемычек</t>
  </si>
  <si>
    <t>12</t>
  </si>
  <si>
    <t>22</t>
  </si>
  <si>
    <t>13</t>
  </si>
  <si>
    <t>14</t>
  </si>
  <si>
    <t>Устройство
кровель</t>
  </si>
  <si>
    <t>Устройство
лестничных маршей в опалубке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</si>
  <si>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</si>
  <si>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</si>
  <si>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</si>
  <si>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</si>
  <si>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</si>
  <si>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</si>
  <si>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</si>
  <si>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</si>
  <si>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</si>
  <si>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</si>
  <si>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</si>
  <si>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</si>
  <si>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</si>
  <si>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</si>
  <si>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</si>
  <si>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Устройство
полов бетонных толщиной</t>
  </si>
  <si>
    <t>Сантехнические работы 2-я стадия</t>
  </si>
  <si>
    <t>Электромонтажные работы 2 стадия</t>
  </si>
  <si>
    <t>Устройство
покрытий</t>
  </si>
  <si>
    <t>Устройство
покрытий на цементном растворе из плиток</t>
  </si>
  <si>
    <t>Установка
в жилых и общественных зданиях блоков оконных с переплетами</t>
  </si>
  <si>
    <t>Установка
деревянных дверных блоков</t>
  </si>
  <si>
    <t>Установка
деревянных подоконных досок в каменных стенах</t>
  </si>
  <si>
    <t>Ввод в эксплуатацию</t>
  </si>
  <si>
    <t>7; 15</t>
  </si>
  <si>
    <t>8; 17</t>
  </si>
  <si>
    <t>9; 19</t>
  </si>
  <si>
    <t>10; 21</t>
  </si>
  <si>
    <t>11; 23</t>
  </si>
  <si>
    <t>12; 25</t>
  </si>
  <si>
    <t>13; 27</t>
  </si>
  <si>
    <t>14; 29</t>
  </si>
  <si>
    <t>5; 30; 31</t>
  </si>
  <si>
    <t>5; 30; 32</t>
  </si>
  <si>
    <t>5; 30; 33</t>
  </si>
  <si>
    <t>34; 40</t>
  </si>
  <si>
    <t>35; 42</t>
  </si>
  <si>
    <t>36; 44</t>
  </si>
  <si>
    <t>37; 46</t>
  </si>
  <si>
    <t>38; 48</t>
  </si>
  <si>
    <t>32; 50; 51</t>
  </si>
  <si>
    <t>2; 53</t>
  </si>
  <si>
    <t>Подготовительные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</si>
</sst>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12529"/>
      <name val="PT Sans"/>
      <family val="2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8C"/>
      </left>
      <right style="thin">
        <color rgb="FF00008C"/>
      </right>
      <top style="thin">
        <color rgb="FF00008C"/>
      </top>
      <bottom style="thin">
        <color rgb="FF00008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44" fontId="13" fillId="0" borderId="0" applyFont="0" applyFill="0" applyBorder="0" applyAlignment="0" applyProtection="0"/>
  </cellStyleXfs>
  <cellXfs count="84">
    <xf numFmtId="0" fontId="0" fillId="0" borderId="0" xfId="0"/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left" vertical="top"/>
    </xf>
    <xf numFmtId="0" fontId="3" fillId="0" borderId="0" xfId="0" applyFont="1"/>
    <xf numFmtId="0" fontId="7" fillId="0" borderId="0" xfId="0" applyFont="1"/>
    <xf numFmtId="0" fontId="8" fillId="0" borderId="5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right" vertical="top"/>
    </xf>
    <xf numFmtId="1" fontId="3" fillId="0" borderId="2" xfId="1" applyNumberFormat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0" fontId="8" fillId="0" borderId="0" xfId="0" applyFont="1" applyAlignment="1">
      <alignment horizontal="right" vertical="top"/>
    </xf>
    <xf numFmtId="0" fontId="11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1" fontId="12" fillId="2" borderId="17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1" fontId="0" fillId="0" borderId="0" xfId="0" applyNumberFormat="1"/>
    <xf numFmtId="0" fontId="14" fillId="0" borderId="0" xfId="0" applyFont="1" applyAlignment="1">
      <alignment vertical="center" wrapText="1"/>
    </xf>
    <xf numFmtId="1" fontId="15" fillId="0" borderId="12" xfId="0" applyNumberFormat="1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 wrapText="1"/>
    </xf>
    <xf numFmtId="1" fontId="14" fillId="0" borderId="1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 wrapText="1"/>
    </xf>
    <xf numFmtId="49" fontId="15" fillId="0" borderId="17" xfId="2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1" fontId="15" fillId="0" borderId="17" xfId="0" applyNumberFormat="1" applyFont="1" applyBorder="1" applyAlignment="1">
      <alignment horizontal="center" vertical="center"/>
    </xf>
    <xf numFmtId="1" fontId="15" fillId="0" borderId="19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0" fillId="0" borderId="2" xfId="1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 wrapText="1"/>
    </xf>
    <xf numFmtId="1" fontId="14" fillId="0" borderId="7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" fontId="15" fillId="0" borderId="7" xfId="0" applyNumberFormat="1" applyFont="1" applyBorder="1" applyAlignment="1">
      <alignment horizontal="center" vertical="center" wrapText="1"/>
    </xf>
  </cellXfs>
  <cellStyles count="3">
    <cellStyle name="Денежный" xfId="2" builtinId="4"/>
    <cellStyle name="Обычный" xfId="0" builtinId="0"/>
    <cellStyle name="Обычный 2" xfId="1" xr:uid="{D7B1FD56-AAC8-4AD8-94A0-87D8534A5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204106</xdr:colOff>
      <xdr:row>41</xdr:row>
      <xdr:rowOff>176893</xdr:rowOff>
    </xdr:from>
    <xdr:to>
      <xdr:col>20</xdr:col>
      <xdr:colOff>446904</xdr:colOff>
      <xdr:row>50</xdr:row>
      <xdr:rowOff>73044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81392BE-3249-4381-B20F-C1145B838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45392" y="12654643"/>
          <a:ext cx="6161905" cy="3474830"/>
        </a:xfrm>
        <a:prstGeom prst="rect">
          <a:avLst/>
        </a:prstGeom>
      </xdr:spPr>
    </xdr:pic>
    <xdr:clientData/>
  </xdr:twoCellAnchor>
  <xdr:twoCellAnchor editAs="oneCell">
    <xdr:from>
      <xdr:col>23</xdr:col>
      <xdr:colOff>231322</xdr:colOff>
      <xdr:row>41</xdr:row>
      <xdr:rowOff>258536</xdr:rowOff>
    </xdr:from>
    <xdr:to>
      <xdr:col>33</xdr:col>
      <xdr:colOff>174914</xdr:colOff>
      <xdr:row>51</xdr:row>
      <xdr:rowOff>45662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C08BE9-901B-447D-BFF2-4873AB7AC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28679" y="12736286"/>
          <a:ext cx="6066806" cy="3569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3A59-1880-4AE9-B2E8-C78625446B9D}">
  <dimension ref="A1:Q56"/>
  <sheetViews>
    <sheetView tabSelected="1" zoomScaleNormal="100" workbookViewId="0">
      <selection activeCell="L20" sqref="L20"/>
    </sheetView>
  </sheetViews>
  <sheetFormatPr defaultRowHeight="15" x14ac:dyDescent="0.25"/>
  <cols>
    <col min="1" max="1" width="12" bestFit="1" customWidth="1"/>
    <col min="2" max="2" width="63.42578125" customWidth="1"/>
    <col min="4" max="4" width="12.5703125" bestFit="1" customWidth="1"/>
    <col min="5" max="5" width="16" customWidth="1"/>
    <col min="7" max="7" width="15.85546875" customWidth="1"/>
    <col min="8" max="8" width="18" bestFit="1" customWidth="1"/>
    <col min="17" max="17" width="24.42578125" customWidth="1"/>
  </cols>
  <sheetData>
    <row r="1" spans="1:17" ht="15" customHeight="1" x14ac:dyDescent="0.25">
      <c r="A1" s="70" t="s">
        <v>0</v>
      </c>
      <c r="B1" s="72" t="s">
        <v>1</v>
      </c>
      <c r="C1" s="69" t="s">
        <v>2</v>
      </c>
      <c r="D1" s="69"/>
      <c r="E1" s="68" t="s">
        <v>3</v>
      </c>
      <c r="F1" s="69" t="s">
        <v>4</v>
      </c>
      <c r="G1" s="69"/>
      <c r="H1" s="69" t="s">
        <v>5</v>
      </c>
      <c r="I1" s="69"/>
      <c r="J1" s="69"/>
      <c r="K1" s="73" t="s">
        <v>6</v>
      </c>
      <c r="L1" s="73" t="s">
        <v>7</v>
      </c>
      <c r="M1" s="73" t="s">
        <v>8</v>
      </c>
      <c r="N1" s="68" t="s">
        <v>9</v>
      </c>
      <c r="O1" s="68" t="s">
        <v>10</v>
      </c>
      <c r="P1" s="68" t="s">
        <v>11</v>
      </c>
      <c r="Q1" s="67" t="s">
        <v>72</v>
      </c>
    </row>
    <row r="2" spans="1:17" ht="71.25" customHeight="1" x14ac:dyDescent="0.25">
      <c r="A2" s="71"/>
      <c r="B2" s="72"/>
      <c r="C2" s="1" t="s">
        <v>12</v>
      </c>
      <c r="D2" s="1" t="s">
        <v>13</v>
      </c>
      <c r="E2" s="68"/>
      <c r="F2" s="2" t="s">
        <v>14</v>
      </c>
      <c r="G2" s="2" t="s">
        <v>15</v>
      </c>
      <c r="H2" s="1" t="s">
        <v>16</v>
      </c>
      <c r="I2" s="2" t="s">
        <v>17</v>
      </c>
      <c r="J2" s="2" t="s">
        <v>18</v>
      </c>
      <c r="K2" s="73"/>
      <c r="L2" s="73"/>
      <c r="M2" s="73"/>
      <c r="N2" s="68"/>
      <c r="O2" s="68"/>
      <c r="P2" s="68"/>
      <c r="Q2" s="67"/>
    </row>
    <row r="3" spans="1:17" ht="15.75" x14ac:dyDescent="0.25">
      <c r="A3" s="3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12">
        <v>17</v>
      </c>
    </row>
    <row r="5" spans="1:17" ht="18.75" x14ac:dyDescent="0.3">
      <c r="A5" s="5">
        <v>1</v>
      </c>
      <c r="B5" s="5" t="s">
        <v>20</v>
      </c>
      <c r="C5" s="8" t="s">
        <v>57</v>
      </c>
      <c r="D5">
        <f>693/1000</f>
        <v>0.69299999999999995</v>
      </c>
      <c r="E5" s="6" t="s">
        <v>39</v>
      </c>
      <c r="F5" s="8">
        <v>1.49</v>
      </c>
      <c r="G5">
        <f>F5*D5</f>
        <v>1.03257</v>
      </c>
      <c r="H5" s="8" t="s">
        <v>59</v>
      </c>
      <c r="I5" s="10">
        <v>0.98</v>
      </c>
      <c r="J5">
        <f>I5*D5</f>
        <v>0.67913999999999997</v>
      </c>
      <c r="K5">
        <v>1</v>
      </c>
      <c r="L5">
        <v>1</v>
      </c>
      <c r="M5">
        <v>1</v>
      </c>
      <c r="N5">
        <f>ROUNDUP(J5/(M5*8*L5),0)</f>
        <v>1</v>
      </c>
      <c r="O5">
        <f>ROUNDUP((G5/(8*M5*K5)),0)</f>
        <v>1</v>
      </c>
      <c r="P5">
        <f>MAX(O5,N5)</f>
        <v>1</v>
      </c>
      <c r="Q5" s="13" t="s">
        <v>73</v>
      </c>
    </row>
    <row r="6" spans="1:17" ht="18.75" x14ac:dyDescent="0.3">
      <c r="A6" s="5">
        <v>2</v>
      </c>
      <c r="B6" s="6" t="s">
        <v>21</v>
      </c>
      <c r="C6" s="9" t="s">
        <v>58</v>
      </c>
      <c r="D6">
        <f>693*0.02/1000</f>
        <v>1.3859999999999999E-2</v>
      </c>
      <c r="E6" s="6" t="s">
        <v>40</v>
      </c>
      <c r="F6" s="8">
        <v>40.71</v>
      </c>
      <c r="G6">
        <f t="shared" ref="G6:G23" si="0">F6*D6</f>
        <v>0.56424059999999998</v>
      </c>
      <c r="H6" s="8" t="s">
        <v>60</v>
      </c>
      <c r="I6" s="8">
        <v>40.71</v>
      </c>
      <c r="J6">
        <f t="shared" ref="J6:J23" si="1">I6*D6</f>
        <v>0.56424059999999998</v>
      </c>
      <c r="K6">
        <v>1</v>
      </c>
      <c r="L6">
        <v>1</v>
      </c>
      <c r="M6">
        <v>1</v>
      </c>
      <c r="N6">
        <f t="shared" ref="N6:N23" si="2">ROUNDUP(J6/(M6*8*L6),0)</f>
        <v>1</v>
      </c>
      <c r="O6">
        <f t="shared" ref="O6:O23" si="3">ROUNDUP((G6/(8*M6*K6)),0)</f>
        <v>1</v>
      </c>
      <c r="P6">
        <f t="shared" ref="P6:P23" si="4">MAX(O6,N6)</f>
        <v>1</v>
      </c>
      <c r="Q6" s="13" t="s">
        <v>73</v>
      </c>
    </row>
    <row r="7" spans="1:17" ht="31.5" x14ac:dyDescent="0.25">
      <c r="A7" s="5">
        <v>3</v>
      </c>
      <c r="B7" s="5" t="s">
        <v>22</v>
      </c>
      <c r="C7" s="8" t="s">
        <v>61</v>
      </c>
      <c r="D7">
        <f>D5/4</f>
        <v>0.17324999999999999</v>
      </c>
      <c r="E7" s="5" t="s">
        <v>41</v>
      </c>
      <c r="F7" s="8">
        <v>308.58</v>
      </c>
      <c r="G7">
        <f t="shared" si="0"/>
        <v>53.461484999999996</v>
      </c>
      <c r="H7" s="8" t="s">
        <v>62</v>
      </c>
      <c r="I7" s="11">
        <v>85.56</v>
      </c>
      <c r="J7">
        <f t="shared" si="1"/>
        <v>14.823269999999999</v>
      </c>
      <c r="K7">
        <v>1</v>
      </c>
      <c r="L7">
        <v>1</v>
      </c>
      <c r="M7">
        <v>1</v>
      </c>
      <c r="N7">
        <f t="shared" si="2"/>
        <v>2</v>
      </c>
      <c r="O7">
        <f t="shared" si="3"/>
        <v>7</v>
      </c>
      <c r="P7">
        <f t="shared" si="4"/>
        <v>7</v>
      </c>
      <c r="Q7" s="13" t="s">
        <v>74</v>
      </c>
    </row>
    <row r="8" spans="1:17" ht="18.75" x14ac:dyDescent="0.25">
      <c r="A8" s="3" t="s">
        <v>19</v>
      </c>
      <c r="B8" s="5"/>
      <c r="C8" s="8"/>
      <c r="E8" s="5"/>
      <c r="F8" s="8"/>
      <c r="H8" s="8"/>
      <c r="I8" s="16"/>
      <c r="Q8" s="13"/>
    </row>
    <row r="9" spans="1:17" ht="18.75" x14ac:dyDescent="0.25">
      <c r="A9" s="5">
        <v>4</v>
      </c>
      <c r="B9" s="7" t="s">
        <v>23</v>
      </c>
      <c r="C9" s="8" t="s">
        <v>61</v>
      </c>
      <c r="D9">
        <f>D6</f>
        <v>1.3859999999999999E-2</v>
      </c>
      <c r="E9" s="7" t="s">
        <v>42</v>
      </c>
      <c r="F9" s="8">
        <v>404.04</v>
      </c>
      <c r="G9">
        <f t="shared" si="0"/>
        <v>5.5999943999999999</v>
      </c>
      <c r="H9" s="8" t="s">
        <v>62</v>
      </c>
      <c r="I9" s="8">
        <v>76.28</v>
      </c>
      <c r="J9">
        <f t="shared" si="1"/>
        <v>1.0572408</v>
      </c>
      <c r="K9">
        <v>1</v>
      </c>
      <c r="L9">
        <v>1</v>
      </c>
      <c r="M9">
        <v>1</v>
      </c>
      <c r="N9">
        <f t="shared" si="2"/>
        <v>1</v>
      </c>
      <c r="O9">
        <f t="shared" si="3"/>
        <v>1</v>
      </c>
      <c r="P9">
        <f t="shared" si="4"/>
        <v>1</v>
      </c>
      <c r="Q9" s="13" t="s">
        <v>73</v>
      </c>
    </row>
    <row r="10" spans="1:17" ht="18.75" x14ac:dyDescent="0.25">
      <c r="A10" s="5">
        <v>5</v>
      </c>
      <c r="B10" s="7" t="s">
        <v>24</v>
      </c>
      <c r="C10" s="8" t="s">
        <v>61</v>
      </c>
      <c r="D10">
        <f>353.16/15/100</f>
        <v>0.23544000000000001</v>
      </c>
      <c r="E10" s="7" t="s">
        <v>43</v>
      </c>
      <c r="F10" s="8">
        <v>1254.3399999999999</v>
      </c>
      <c r="G10">
        <f t="shared" si="0"/>
        <v>295.32180959999999</v>
      </c>
      <c r="H10" s="8" t="s">
        <v>62</v>
      </c>
      <c r="I10" s="8">
        <v>167.36</v>
      </c>
      <c r="J10">
        <f t="shared" si="1"/>
        <v>39.403238400000006</v>
      </c>
      <c r="K10">
        <v>5</v>
      </c>
      <c r="L10">
        <v>1</v>
      </c>
      <c r="M10">
        <v>1</v>
      </c>
      <c r="N10">
        <f t="shared" si="2"/>
        <v>5</v>
      </c>
      <c r="O10">
        <f t="shared" si="3"/>
        <v>8</v>
      </c>
      <c r="P10">
        <f t="shared" si="4"/>
        <v>8</v>
      </c>
      <c r="Q10" s="13" t="s">
        <v>73</v>
      </c>
    </row>
    <row r="11" spans="1:17" ht="18.75" x14ac:dyDescent="0.25">
      <c r="A11" s="5">
        <v>6</v>
      </c>
      <c r="B11" s="7" t="s">
        <v>25</v>
      </c>
      <c r="C11" s="8" t="s">
        <v>61</v>
      </c>
      <c r="D11">
        <f>43/100</f>
        <v>0.43</v>
      </c>
      <c r="E11" s="7" t="s">
        <v>44</v>
      </c>
      <c r="F11" s="8">
        <v>1254.3</v>
      </c>
      <c r="G11">
        <f t="shared" si="0"/>
        <v>539.34899999999993</v>
      </c>
      <c r="H11" s="8" t="s">
        <v>62</v>
      </c>
      <c r="I11" s="8">
        <v>176.65</v>
      </c>
      <c r="J11">
        <f>I11*D11</f>
        <v>75.959500000000006</v>
      </c>
      <c r="K11">
        <v>5</v>
      </c>
      <c r="L11">
        <v>1</v>
      </c>
      <c r="M11">
        <v>2</v>
      </c>
      <c r="N11">
        <f t="shared" si="2"/>
        <v>5</v>
      </c>
      <c r="O11">
        <f t="shared" si="3"/>
        <v>7</v>
      </c>
      <c r="P11">
        <f t="shared" si="4"/>
        <v>7</v>
      </c>
      <c r="Q11" s="13" t="s">
        <v>73</v>
      </c>
    </row>
    <row r="12" spans="1:17" ht="18.75" x14ac:dyDescent="0.25">
      <c r="A12" s="5">
        <v>7</v>
      </c>
      <c r="B12" s="7" t="s">
        <v>26</v>
      </c>
      <c r="C12" s="8" t="s">
        <v>61</v>
      </c>
      <c r="D12">
        <f>353.16*3/7/100</f>
        <v>1.5135428571428571</v>
      </c>
      <c r="E12" s="7" t="s">
        <v>45</v>
      </c>
      <c r="F12" s="8">
        <v>223.11</v>
      </c>
      <c r="G12">
        <f t="shared" si="0"/>
        <v>337.68654685714284</v>
      </c>
      <c r="H12" s="8" t="s">
        <v>62</v>
      </c>
      <c r="I12" s="10">
        <v>31.98</v>
      </c>
      <c r="J12">
        <f t="shared" si="1"/>
        <v>48.403100571428567</v>
      </c>
      <c r="K12">
        <v>7</v>
      </c>
      <c r="L12">
        <v>1</v>
      </c>
      <c r="M12">
        <v>1</v>
      </c>
      <c r="N12">
        <f t="shared" si="2"/>
        <v>7</v>
      </c>
      <c r="O12">
        <f t="shared" si="3"/>
        <v>7</v>
      </c>
      <c r="P12">
        <f t="shared" si="4"/>
        <v>7</v>
      </c>
      <c r="Q12" s="13" t="s">
        <v>73</v>
      </c>
    </row>
    <row r="13" spans="1:17" ht="18.75" x14ac:dyDescent="0.25">
      <c r="A13" s="5">
        <v>8</v>
      </c>
      <c r="B13" s="7" t="s">
        <v>27</v>
      </c>
      <c r="C13" s="8" t="s">
        <v>61</v>
      </c>
      <c r="D13">
        <f>43/100</f>
        <v>0.43</v>
      </c>
      <c r="E13" s="7" t="s">
        <v>46</v>
      </c>
      <c r="F13" s="8">
        <v>186.48</v>
      </c>
      <c r="G13">
        <f t="shared" si="0"/>
        <v>80.186399999999992</v>
      </c>
      <c r="H13" s="8" t="s">
        <v>62</v>
      </c>
      <c r="I13" s="10">
        <v>44.82</v>
      </c>
      <c r="J13">
        <f t="shared" si="1"/>
        <v>19.272600000000001</v>
      </c>
      <c r="K13">
        <v>4</v>
      </c>
      <c r="L13">
        <v>1</v>
      </c>
      <c r="M13">
        <v>1</v>
      </c>
      <c r="N13">
        <f t="shared" si="2"/>
        <v>3</v>
      </c>
      <c r="O13">
        <f t="shared" si="3"/>
        <v>3</v>
      </c>
      <c r="P13">
        <f t="shared" si="4"/>
        <v>3</v>
      </c>
      <c r="Q13" s="13" t="s">
        <v>73</v>
      </c>
    </row>
    <row r="14" spans="1:17" ht="18.75" x14ac:dyDescent="0.25">
      <c r="A14" s="5">
        <v>9</v>
      </c>
      <c r="B14" s="7" t="s">
        <v>28</v>
      </c>
      <c r="C14" s="8" t="s">
        <v>63</v>
      </c>
      <c r="D14">
        <f>3*27*2/1000</f>
        <v>0.16200000000000001</v>
      </c>
      <c r="E14" s="7" t="s">
        <v>47</v>
      </c>
      <c r="F14" s="8">
        <v>96.83</v>
      </c>
      <c r="G14">
        <f t="shared" si="0"/>
        <v>15.68646</v>
      </c>
      <c r="H14" s="8" t="s">
        <v>62</v>
      </c>
      <c r="I14" s="8">
        <v>2.14</v>
      </c>
      <c r="J14">
        <f t="shared" si="1"/>
        <v>0.34668000000000004</v>
      </c>
      <c r="K14">
        <v>1</v>
      </c>
      <c r="L14">
        <v>1</v>
      </c>
      <c r="M14">
        <v>1</v>
      </c>
      <c r="N14">
        <f t="shared" si="2"/>
        <v>1</v>
      </c>
      <c r="O14">
        <f t="shared" si="3"/>
        <v>2</v>
      </c>
      <c r="P14">
        <f t="shared" si="4"/>
        <v>2</v>
      </c>
      <c r="Q14" s="13" t="s">
        <v>73</v>
      </c>
    </row>
    <row r="15" spans="1:17" ht="18.75" x14ac:dyDescent="0.25">
      <c r="A15" s="5">
        <v>10</v>
      </c>
      <c r="B15" s="7" t="s">
        <v>29</v>
      </c>
      <c r="C15" s="8" t="s">
        <v>61</v>
      </c>
      <c r="D15">
        <f>31*2/100</f>
        <v>0.62</v>
      </c>
      <c r="E15" s="7" t="s">
        <v>48</v>
      </c>
      <c r="F15" s="8">
        <v>112.69</v>
      </c>
      <c r="G15">
        <f t="shared" si="0"/>
        <v>69.867800000000003</v>
      </c>
      <c r="H15" s="8" t="s">
        <v>62</v>
      </c>
      <c r="I15" s="8">
        <v>43.17</v>
      </c>
      <c r="J15">
        <f t="shared" si="1"/>
        <v>26.7654</v>
      </c>
      <c r="K15" s="15">
        <v>3</v>
      </c>
      <c r="L15">
        <v>1</v>
      </c>
      <c r="M15">
        <v>1</v>
      </c>
      <c r="N15">
        <f t="shared" si="2"/>
        <v>4</v>
      </c>
      <c r="O15">
        <f t="shared" si="3"/>
        <v>3</v>
      </c>
      <c r="P15">
        <f t="shared" si="4"/>
        <v>4</v>
      </c>
      <c r="Q15" s="13" t="s">
        <v>73</v>
      </c>
    </row>
    <row r="16" spans="1:17" ht="18.75" x14ac:dyDescent="0.25">
      <c r="A16" s="5">
        <v>11</v>
      </c>
      <c r="B16" s="7" t="s">
        <v>30</v>
      </c>
      <c r="C16" s="8" t="s">
        <v>63</v>
      </c>
      <c r="D16">
        <f>353.16/1000</f>
        <v>0.35316000000000003</v>
      </c>
      <c r="E16" s="7" t="s">
        <v>49</v>
      </c>
      <c r="F16" s="8">
        <v>29.72</v>
      </c>
      <c r="G16">
        <f t="shared" si="0"/>
        <v>10.495915200000001</v>
      </c>
      <c r="H16" s="8" t="s">
        <v>64</v>
      </c>
      <c r="I16" s="8">
        <v>10.29</v>
      </c>
      <c r="J16">
        <f t="shared" si="1"/>
        <v>3.6340164000000001</v>
      </c>
      <c r="K16">
        <v>1</v>
      </c>
      <c r="L16">
        <v>1</v>
      </c>
      <c r="M16">
        <v>1</v>
      </c>
      <c r="N16">
        <f t="shared" si="2"/>
        <v>1</v>
      </c>
      <c r="O16">
        <f t="shared" si="3"/>
        <v>2</v>
      </c>
      <c r="P16">
        <f t="shared" si="4"/>
        <v>2</v>
      </c>
      <c r="Q16" s="14" t="s">
        <v>75</v>
      </c>
    </row>
    <row r="17" spans="1:17" ht="18.75" x14ac:dyDescent="0.25">
      <c r="A17" s="5">
        <v>12</v>
      </c>
      <c r="B17" s="7" t="s">
        <v>31</v>
      </c>
      <c r="C17" s="8" t="s">
        <v>65</v>
      </c>
      <c r="D17">
        <f>2/100</f>
        <v>0.02</v>
      </c>
      <c r="E17" s="7" t="s">
        <v>50</v>
      </c>
      <c r="F17" s="8">
        <v>2412.6</v>
      </c>
      <c r="G17">
        <f t="shared" si="0"/>
        <v>48.252000000000002</v>
      </c>
      <c r="H17" s="8" t="s">
        <v>66</v>
      </c>
      <c r="I17" s="10">
        <v>78</v>
      </c>
      <c r="J17">
        <f t="shared" si="1"/>
        <v>1.56</v>
      </c>
      <c r="K17" s="15">
        <v>3</v>
      </c>
      <c r="L17">
        <v>1</v>
      </c>
      <c r="M17">
        <v>1</v>
      </c>
      <c r="N17">
        <f t="shared" si="2"/>
        <v>1</v>
      </c>
      <c r="O17">
        <f t="shared" si="3"/>
        <v>3</v>
      </c>
      <c r="P17">
        <f t="shared" si="4"/>
        <v>3</v>
      </c>
      <c r="Q17" s="14" t="s">
        <v>75</v>
      </c>
    </row>
    <row r="18" spans="1:17" ht="18.75" x14ac:dyDescent="0.25">
      <c r="A18" s="5">
        <v>13</v>
      </c>
      <c r="B18" s="7" t="s">
        <v>32</v>
      </c>
      <c r="C18" s="8" t="s">
        <v>63</v>
      </c>
      <c r="D18">
        <f>353.16*2/0.1/1000</f>
        <v>7.0632000000000001</v>
      </c>
      <c r="E18" s="7" t="s">
        <v>51</v>
      </c>
      <c r="F18" s="8">
        <v>30.3</v>
      </c>
      <c r="G18">
        <f t="shared" si="0"/>
        <v>214.01496</v>
      </c>
      <c r="H18" s="8" t="s">
        <v>67</v>
      </c>
      <c r="I18" s="8">
        <v>11.02</v>
      </c>
      <c r="J18">
        <f t="shared" si="1"/>
        <v>77.836463999999992</v>
      </c>
      <c r="K18">
        <v>5</v>
      </c>
      <c r="L18">
        <v>1</v>
      </c>
      <c r="M18">
        <v>2</v>
      </c>
      <c r="N18">
        <f t="shared" si="2"/>
        <v>5</v>
      </c>
      <c r="O18">
        <f t="shared" si="3"/>
        <v>3</v>
      </c>
      <c r="P18">
        <f t="shared" si="4"/>
        <v>5</v>
      </c>
      <c r="Q18" s="13" t="s">
        <v>73</v>
      </c>
    </row>
    <row r="19" spans="1:17" ht="18.75" x14ac:dyDescent="0.25">
      <c r="A19" s="5">
        <v>14</v>
      </c>
      <c r="B19" s="7" t="s">
        <v>33</v>
      </c>
      <c r="C19" s="8" t="s">
        <v>63</v>
      </c>
      <c r="D19">
        <f>353.16/1000</f>
        <v>0.35316000000000003</v>
      </c>
      <c r="E19" s="7" t="s">
        <v>52</v>
      </c>
      <c r="F19" s="8">
        <v>42.4</v>
      </c>
      <c r="G19">
        <f t="shared" si="0"/>
        <v>14.973984000000002</v>
      </c>
      <c r="H19" s="8" t="s">
        <v>68</v>
      </c>
      <c r="I19" s="8">
        <v>0.5</v>
      </c>
      <c r="J19">
        <f t="shared" si="1"/>
        <v>0.17658000000000001</v>
      </c>
      <c r="K19">
        <v>1</v>
      </c>
      <c r="L19">
        <v>1</v>
      </c>
      <c r="M19">
        <v>1</v>
      </c>
      <c r="N19">
        <f t="shared" si="2"/>
        <v>1</v>
      </c>
      <c r="O19">
        <f t="shared" si="3"/>
        <v>2</v>
      </c>
      <c r="P19">
        <f t="shared" si="4"/>
        <v>2</v>
      </c>
      <c r="Q19" s="14" t="s">
        <v>75</v>
      </c>
    </row>
    <row r="20" spans="1:17" ht="31.5" x14ac:dyDescent="0.25">
      <c r="A20" s="5">
        <v>15</v>
      </c>
      <c r="B20" s="7" t="s">
        <v>34</v>
      </c>
      <c r="C20" s="8" t="s">
        <v>63</v>
      </c>
      <c r="D20">
        <f>353.16/2/1000</f>
        <v>0.17658000000000001</v>
      </c>
      <c r="E20" s="7" t="s">
        <v>53</v>
      </c>
      <c r="F20" s="8">
        <v>119.78</v>
      </c>
      <c r="G20">
        <f t="shared" si="0"/>
        <v>21.150752400000002</v>
      </c>
      <c r="H20" s="8" t="s">
        <v>69</v>
      </c>
      <c r="I20" s="10">
        <v>0.36</v>
      </c>
      <c r="J20">
        <f t="shared" si="1"/>
        <v>6.3568800000000009E-2</v>
      </c>
      <c r="K20">
        <v>1</v>
      </c>
      <c r="L20">
        <v>1</v>
      </c>
      <c r="M20">
        <v>1</v>
      </c>
      <c r="N20">
        <f t="shared" si="2"/>
        <v>1</v>
      </c>
      <c r="O20">
        <f t="shared" si="3"/>
        <v>3</v>
      </c>
      <c r="P20">
        <f t="shared" si="4"/>
        <v>3</v>
      </c>
      <c r="Q20" s="14" t="s">
        <v>76</v>
      </c>
    </row>
    <row r="21" spans="1:17" ht="31.5" x14ac:dyDescent="0.25">
      <c r="A21" s="5">
        <v>16</v>
      </c>
      <c r="B21" s="7" t="s">
        <v>35</v>
      </c>
      <c r="C21" s="8" t="s">
        <v>63</v>
      </c>
      <c r="D21">
        <f>20*2.5*3/1000</f>
        <v>0.15</v>
      </c>
      <c r="E21" s="7" t="s">
        <v>54</v>
      </c>
      <c r="F21" s="8">
        <v>188.6</v>
      </c>
      <c r="G21">
        <f t="shared" si="0"/>
        <v>28.29</v>
      </c>
      <c r="H21" s="8" t="s">
        <v>70</v>
      </c>
      <c r="I21" s="8">
        <v>10.17</v>
      </c>
      <c r="J21">
        <f t="shared" si="1"/>
        <v>1.5254999999999999</v>
      </c>
      <c r="K21">
        <v>1</v>
      </c>
      <c r="L21">
        <v>1</v>
      </c>
      <c r="M21">
        <v>1</v>
      </c>
      <c r="N21">
        <f t="shared" si="2"/>
        <v>1</v>
      </c>
      <c r="O21">
        <f t="shared" si="3"/>
        <v>4</v>
      </c>
      <c r="P21">
        <f t="shared" si="4"/>
        <v>4</v>
      </c>
      <c r="Q21" s="14" t="s">
        <v>77</v>
      </c>
    </row>
    <row r="22" spans="1:17" ht="31.5" x14ac:dyDescent="0.25">
      <c r="A22" s="5">
        <v>17</v>
      </c>
      <c r="B22" s="7" t="s">
        <v>36</v>
      </c>
      <c r="C22" s="8" t="s">
        <v>63</v>
      </c>
      <c r="D22">
        <f>36*5/1000</f>
        <v>0.18</v>
      </c>
      <c r="E22" s="7" t="s">
        <v>55</v>
      </c>
      <c r="F22" s="8">
        <v>73.14</v>
      </c>
      <c r="G22">
        <f t="shared" si="0"/>
        <v>13.1652</v>
      </c>
      <c r="H22" s="8" t="s">
        <v>68</v>
      </c>
      <c r="I22" s="8">
        <v>2.06</v>
      </c>
      <c r="J22">
        <f t="shared" si="1"/>
        <v>0.37080000000000002</v>
      </c>
      <c r="K22">
        <v>1</v>
      </c>
      <c r="L22">
        <v>1</v>
      </c>
      <c r="M22">
        <v>1</v>
      </c>
      <c r="N22">
        <f t="shared" si="2"/>
        <v>1</v>
      </c>
      <c r="O22">
        <f t="shared" si="3"/>
        <v>2</v>
      </c>
      <c r="P22">
        <f t="shared" si="4"/>
        <v>2</v>
      </c>
      <c r="Q22" s="14" t="s">
        <v>76</v>
      </c>
    </row>
    <row r="23" spans="1:17" ht="31.5" x14ac:dyDescent="0.25">
      <c r="A23" s="5">
        <v>18</v>
      </c>
      <c r="B23" s="7" t="s">
        <v>37</v>
      </c>
      <c r="C23" s="8" t="s">
        <v>63</v>
      </c>
      <c r="D23">
        <f>80/1000</f>
        <v>0.08</v>
      </c>
      <c r="E23" s="7" t="s">
        <v>56</v>
      </c>
      <c r="F23" s="8">
        <v>66.22</v>
      </c>
      <c r="G23">
        <f t="shared" si="0"/>
        <v>5.2976000000000001</v>
      </c>
      <c r="H23" s="8" t="s">
        <v>71</v>
      </c>
      <c r="I23" s="8">
        <v>1</v>
      </c>
      <c r="J23">
        <f t="shared" si="1"/>
        <v>0.08</v>
      </c>
      <c r="K23">
        <v>1</v>
      </c>
      <c r="L23">
        <v>1</v>
      </c>
      <c r="M23">
        <v>1</v>
      </c>
      <c r="N23">
        <f t="shared" si="2"/>
        <v>1</v>
      </c>
      <c r="O23">
        <f t="shared" si="3"/>
        <v>1</v>
      </c>
      <c r="P23">
        <f t="shared" si="4"/>
        <v>1</v>
      </c>
      <c r="Q23" s="14" t="s">
        <v>78</v>
      </c>
    </row>
    <row r="24" spans="1:17" ht="15.75" x14ac:dyDescent="0.25">
      <c r="A24" s="3" t="s">
        <v>38</v>
      </c>
    </row>
    <row r="25" spans="1:17" ht="18.75" x14ac:dyDescent="0.25">
      <c r="A25" s="5">
        <v>19</v>
      </c>
      <c r="B25" s="7" t="s">
        <v>23</v>
      </c>
      <c r="C25" s="8" t="s">
        <v>61</v>
      </c>
      <c r="D25">
        <f>D28/4</f>
        <v>0.24274285714285715</v>
      </c>
      <c r="E25" s="7" t="s">
        <v>42</v>
      </c>
      <c r="F25" s="8">
        <v>404.04</v>
      </c>
      <c r="G25">
        <f t="shared" ref="G25:G32" si="5">F25*D25</f>
        <v>98.077824000000007</v>
      </c>
      <c r="H25" s="8" t="s">
        <v>62</v>
      </c>
      <c r="I25" s="8">
        <v>76.28</v>
      </c>
      <c r="J25">
        <f t="shared" ref="J25:J32" si="6">I25*D25</f>
        <v>18.516425142857145</v>
      </c>
      <c r="K25">
        <v>2</v>
      </c>
      <c r="L25">
        <v>1</v>
      </c>
      <c r="M25">
        <v>1</v>
      </c>
      <c r="N25">
        <f t="shared" ref="N25:N32" si="7">ROUNDUP(J25/(M25*8*L25),0)</f>
        <v>3</v>
      </c>
      <c r="O25">
        <f t="shared" ref="O25:O32" si="8">ROUNDUP((G25/(8*M25*K25)),0)</f>
        <v>7</v>
      </c>
      <c r="P25">
        <f t="shared" ref="P25:P32" si="9">MAX(O25,N25)</f>
        <v>7</v>
      </c>
      <c r="Q25" s="13" t="s">
        <v>73</v>
      </c>
    </row>
    <row r="26" spans="1:17" ht="18.75" x14ac:dyDescent="0.25">
      <c r="A26" s="5">
        <v>20</v>
      </c>
      <c r="B26" s="7" t="s">
        <v>24</v>
      </c>
      <c r="C26" s="8" t="s">
        <v>61</v>
      </c>
      <c r="D26">
        <f>339.84/15/1000</f>
        <v>2.2655999999999999E-2</v>
      </c>
      <c r="E26" s="7" t="s">
        <v>43</v>
      </c>
      <c r="F26" s="8">
        <v>1254.3399999999999</v>
      </c>
      <c r="G26">
        <f t="shared" si="5"/>
        <v>28.418327039999998</v>
      </c>
      <c r="H26" s="8" t="s">
        <v>62</v>
      </c>
      <c r="I26" s="8">
        <v>167.36</v>
      </c>
      <c r="J26">
        <f t="shared" si="6"/>
        <v>3.7917081600000002</v>
      </c>
      <c r="K26">
        <v>1</v>
      </c>
      <c r="L26">
        <v>1</v>
      </c>
      <c r="M26">
        <v>1</v>
      </c>
      <c r="N26">
        <f t="shared" si="7"/>
        <v>1</v>
      </c>
      <c r="O26">
        <f t="shared" si="8"/>
        <v>4</v>
      </c>
      <c r="P26">
        <f t="shared" si="9"/>
        <v>4</v>
      </c>
      <c r="Q26" s="13" t="s">
        <v>73</v>
      </c>
    </row>
    <row r="27" spans="1:17" ht="15" customHeight="1" x14ac:dyDescent="0.25">
      <c r="A27" s="5">
        <v>21</v>
      </c>
      <c r="B27" s="7" t="s">
        <v>25</v>
      </c>
      <c r="C27" s="8" t="s">
        <v>61</v>
      </c>
      <c r="D27">
        <f>34/100</f>
        <v>0.34</v>
      </c>
      <c r="E27" s="7" t="s">
        <v>44</v>
      </c>
      <c r="F27" s="8">
        <v>1254.3</v>
      </c>
      <c r="G27">
        <f t="shared" si="5"/>
        <v>426.46199999999999</v>
      </c>
      <c r="H27" s="8" t="s">
        <v>62</v>
      </c>
      <c r="I27" s="8">
        <v>176.65</v>
      </c>
      <c r="J27">
        <f t="shared" si="6"/>
        <v>60.061000000000007</v>
      </c>
      <c r="K27">
        <v>7</v>
      </c>
      <c r="L27">
        <v>1</v>
      </c>
      <c r="M27">
        <v>1</v>
      </c>
      <c r="N27">
        <f t="shared" si="7"/>
        <v>8</v>
      </c>
      <c r="O27">
        <f t="shared" si="8"/>
        <v>8</v>
      </c>
      <c r="P27">
        <f t="shared" si="9"/>
        <v>8</v>
      </c>
      <c r="Q27" s="13" t="s">
        <v>73</v>
      </c>
    </row>
    <row r="28" spans="1:17" ht="18.75" x14ac:dyDescent="0.25">
      <c r="A28" s="5">
        <v>22</v>
      </c>
      <c r="B28" s="7" t="s">
        <v>26</v>
      </c>
      <c r="C28" s="8" t="s">
        <v>61</v>
      </c>
      <c r="D28">
        <f>339.84*2/7/100</f>
        <v>0.9709714285714286</v>
      </c>
      <c r="E28" s="7" t="s">
        <v>45</v>
      </c>
      <c r="F28" s="8">
        <v>223.11</v>
      </c>
      <c r="G28">
        <f t="shared" si="5"/>
        <v>216.63343542857146</v>
      </c>
      <c r="H28" s="8" t="s">
        <v>62</v>
      </c>
      <c r="I28" s="10">
        <v>31.98</v>
      </c>
      <c r="J28">
        <f t="shared" si="6"/>
        <v>31.051666285714287</v>
      </c>
      <c r="K28">
        <v>5</v>
      </c>
      <c r="L28">
        <v>1</v>
      </c>
      <c r="M28">
        <v>1</v>
      </c>
      <c r="N28">
        <f t="shared" si="7"/>
        <v>4</v>
      </c>
      <c r="O28">
        <f t="shared" si="8"/>
        <v>6</v>
      </c>
      <c r="P28">
        <f t="shared" si="9"/>
        <v>6</v>
      </c>
      <c r="Q28" s="13" t="s">
        <v>73</v>
      </c>
    </row>
    <row r="29" spans="1:17" ht="18.75" x14ac:dyDescent="0.25">
      <c r="A29" s="5">
        <v>23</v>
      </c>
      <c r="B29" s="7" t="s">
        <v>27</v>
      </c>
      <c r="C29" s="8" t="s">
        <v>61</v>
      </c>
      <c r="D29">
        <f>21/100</f>
        <v>0.21</v>
      </c>
      <c r="E29" s="7" t="s">
        <v>46</v>
      </c>
      <c r="F29" s="8">
        <v>186.48</v>
      </c>
      <c r="G29">
        <f t="shared" si="5"/>
        <v>39.160799999999995</v>
      </c>
      <c r="H29" s="8" t="s">
        <v>62</v>
      </c>
      <c r="I29" s="10">
        <v>44.82</v>
      </c>
      <c r="J29">
        <f t="shared" si="6"/>
        <v>9.4122000000000003</v>
      </c>
      <c r="K29">
        <v>1</v>
      </c>
      <c r="L29">
        <v>1</v>
      </c>
      <c r="M29">
        <v>1</v>
      </c>
      <c r="N29">
        <f t="shared" si="7"/>
        <v>2</v>
      </c>
      <c r="O29">
        <f t="shared" si="8"/>
        <v>5</v>
      </c>
      <c r="P29">
        <f t="shared" si="9"/>
        <v>5</v>
      </c>
      <c r="Q29" s="13" t="s">
        <v>73</v>
      </c>
    </row>
    <row r="30" spans="1:17" ht="18.75" x14ac:dyDescent="0.25">
      <c r="A30" s="5">
        <v>24</v>
      </c>
      <c r="B30" s="7" t="s">
        <v>28</v>
      </c>
      <c r="C30" s="8" t="s">
        <v>63</v>
      </c>
      <c r="D30">
        <f>3*25/1000</f>
        <v>7.4999999999999997E-2</v>
      </c>
      <c r="E30" s="7" t="s">
        <v>47</v>
      </c>
      <c r="F30" s="8">
        <v>96.83</v>
      </c>
      <c r="G30">
        <f t="shared" si="5"/>
        <v>7.2622499999999999</v>
      </c>
      <c r="H30" s="8" t="s">
        <v>62</v>
      </c>
      <c r="I30" s="8">
        <v>2.14</v>
      </c>
      <c r="J30">
        <f t="shared" si="6"/>
        <v>0.1605</v>
      </c>
      <c r="K30">
        <v>1</v>
      </c>
      <c r="L30">
        <v>1</v>
      </c>
      <c r="M30">
        <v>1</v>
      </c>
      <c r="N30">
        <f t="shared" si="7"/>
        <v>1</v>
      </c>
      <c r="O30">
        <f t="shared" si="8"/>
        <v>1</v>
      </c>
      <c r="P30">
        <f t="shared" si="9"/>
        <v>1</v>
      </c>
      <c r="Q30" s="13" t="s">
        <v>73</v>
      </c>
    </row>
    <row r="31" spans="1:17" ht="18.75" x14ac:dyDescent="0.25">
      <c r="A31" s="5">
        <v>25</v>
      </c>
      <c r="B31" s="7" t="s">
        <v>29</v>
      </c>
      <c r="C31" s="8" t="s">
        <v>61</v>
      </c>
      <c r="D31">
        <f>30/100</f>
        <v>0.3</v>
      </c>
      <c r="E31" s="7" t="s">
        <v>48</v>
      </c>
      <c r="F31" s="8">
        <v>112.69</v>
      </c>
      <c r="G31">
        <f t="shared" si="5"/>
        <v>33.806999999999995</v>
      </c>
      <c r="H31" s="8" t="s">
        <v>62</v>
      </c>
      <c r="I31" s="8">
        <v>43.17</v>
      </c>
      <c r="J31">
        <f t="shared" si="6"/>
        <v>12.951000000000001</v>
      </c>
      <c r="K31">
        <v>1</v>
      </c>
      <c r="L31">
        <v>1</v>
      </c>
      <c r="M31">
        <v>1</v>
      </c>
      <c r="N31">
        <f t="shared" si="7"/>
        <v>2</v>
      </c>
      <c r="O31">
        <f t="shared" si="8"/>
        <v>5</v>
      </c>
      <c r="P31">
        <f t="shared" si="9"/>
        <v>5</v>
      </c>
      <c r="Q31" s="13" t="s">
        <v>73</v>
      </c>
    </row>
    <row r="32" spans="1:17" ht="18.75" x14ac:dyDescent="0.25">
      <c r="A32" s="5">
        <v>26</v>
      </c>
      <c r="B32" s="7" t="s">
        <v>30</v>
      </c>
      <c r="C32" s="8" t="s">
        <v>63</v>
      </c>
      <c r="D32">
        <f>339.84/1000</f>
        <v>0.33983999999999998</v>
      </c>
      <c r="E32" s="7" t="s">
        <v>49</v>
      </c>
      <c r="F32" s="8">
        <v>29.72</v>
      </c>
      <c r="G32">
        <f t="shared" si="5"/>
        <v>10.100044799999999</v>
      </c>
      <c r="H32" s="8" t="s">
        <v>64</v>
      </c>
      <c r="I32" s="8">
        <v>10.29</v>
      </c>
      <c r="J32">
        <f t="shared" si="6"/>
        <v>3.4969535999999994</v>
      </c>
      <c r="K32">
        <v>1</v>
      </c>
      <c r="L32">
        <v>1</v>
      </c>
      <c r="M32">
        <v>1</v>
      </c>
      <c r="N32">
        <f t="shared" si="7"/>
        <v>1</v>
      </c>
      <c r="O32">
        <f t="shared" si="8"/>
        <v>2</v>
      </c>
      <c r="P32">
        <f t="shared" si="9"/>
        <v>2</v>
      </c>
      <c r="Q32" s="14" t="s">
        <v>75</v>
      </c>
    </row>
    <row r="33" spans="1:17" ht="18.75" x14ac:dyDescent="0.25">
      <c r="A33" s="5">
        <v>27</v>
      </c>
      <c r="B33" s="7" t="s">
        <v>32</v>
      </c>
      <c r="C33" s="8" t="s">
        <v>63</v>
      </c>
      <c r="D33">
        <f>339.84/0.1/1000</f>
        <v>3.3983999999999996</v>
      </c>
      <c r="E33" s="7" t="s">
        <v>51</v>
      </c>
      <c r="F33" s="8">
        <v>30.3</v>
      </c>
      <c r="G33">
        <f t="shared" ref="G33:G38" si="10">F33*D33</f>
        <v>102.97152</v>
      </c>
      <c r="H33" s="8" t="s">
        <v>67</v>
      </c>
      <c r="I33" s="8">
        <v>11.02</v>
      </c>
      <c r="J33">
        <f t="shared" ref="J33:J38" si="11">I33*D33</f>
        <v>37.450367999999997</v>
      </c>
      <c r="K33">
        <v>4</v>
      </c>
      <c r="L33">
        <v>1</v>
      </c>
      <c r="M33">
        <v>1</v>
      </c>
      <c r="N33">
        <f t="shared" ref="N33:N38" si="12">ROUNDUP(J33/(M33*8*L33),0)</f>
        <v>5</v>
      </c>
      <c r="O33">
        <f t="shared" ref="O33:O38" si="13">ROUNDUP((G33/(8*M33*K33)),0)</f>
        <v>4</v>
      </c>
      <c r="P33">
        <f t="shared" ref="P33:P38" si="14">MAX(O33,N33)</f>
        <v>5</v>
      </c>
      <c r="Q33" s="13" t="s">
        <v>73</v>
      </c>
    </row>
    <row r="34" spans="1:17" ht="18.75" x14ac:dyDescent="0.25">
      <c r="A34" s="5">
        <v>28</v>
      </c>
      <c r="B34" s="7" t="s">
        <v>33</v>
      </c>
      <c r="C34" s="8" t="s">
        <v>63</v>
      </c>
      <c r="D34">
        <f>339.84/1000</f>
        <v>0.33983999999999998</v>
      </c>
      <c r="E34" s="7" t="s">
        <v>52</v>
      </c>
      <c r="F34" s="8">
        <v>42.4</v>
      </c>
      <c r="G34">
        <f t="shared" si="10"/>
        <v>14.409215999999999</v>
      </c>
      <c r="H34" s="8" t="s">
        <v>68</v>
      </c>
      <c r="I34" s="8">
        <v>0.5</v>
      </c>
      <c r="J34">
        <f t="shared" si="11"/>
        <v>0.16991999999999999</v>
      </c>
      <c r="K34">
        <v>1</v>
      </c>
      <c r="L34">
        <v>1</v>
      </c>
      <c r="M34">
        <v>1</v>
      </c>
      <c r="N34">
        <f t="shared" si="12"/>
        <v>1</v>
      </c>
      <c r="O34">
        <f t="shared" si="13"/>
        <v>2</v>
      </c>
      <c r="P34">
        <f t="shared" si="14"/>
        <v>2</v>
      </c>
      <c r="Q34" s="14" t="s">
        <v>75</v>
      </c>
    </row>
    <row r="35" spans="1:17" ht="31.5" x14ac:dyDescent="0.25">
      <c r="A35" s="5">
        <v>29</v>
      </c>
      <c r="B35" s="7" t="s">
        <v>34</v>
      </c>
      <c r="C35" s="8" t="s">
        <v>63</v>
      </c>
      <c r="D35">
        <f>339.84/1000</f>
        <v>0.33983999999999998</v>
      </c>
      <c r="E35" s="7" t="s">
        <v>53</v>
      </c>
      <c r="F35" s="8">
        <v>119.78</v>
      </c>
      <c r="G35">
        <f t="shared" si="10"/>
        <v>40.706035199999995</v>
      </c>
      <c r="H35" s="8" t="s">
        <v>69</v>
      </c>
      <c r="I35" s="10">
        <v>0.36</v>
      </c>
      <c r="J35">
        <f t="shared" si="11"/>
        <v>0.12234239999999999</v>
      </c>
      <c r="K35" s="15">
        <v>2</v>
      </c>
      <c r="L35">
        <v>1</v>
      </c>
      <c r="M35">
        <v>1</v>
      </c>
      <c r="N35">
        <f t="shared" si="12"/>
        <v>1</v>
      </c>
      <c r="O35">
        <f t="shared" si="13"/>
        <v>3</v>
      </c>
      <c r="P35">
        <f t="shared" si="14"/>
        <v>3</v>
      </c>
      <c r="Q35" s="14" t="s">
        <v>76</v>
      </c>
    </row>
    <row r="36" spans="1:17" ht="31.5" x14ac:dyDescent="0.25">
      <c r="A36" s="5">
        <v>30</v>
      </c>
      <c r="B36" s="7" t="s">
        <v>35</v>
      </c>
      <c r="C36" s="8" t="s">
        <v>63</v>
      </c>
      <c r="D36">
        <f>10*2.5*3/1000</f>
        <v>7.4999999999999997E-2</v>
      </c>
      <c r="E36" s="7" t="s">
        <v>54</v>
      </c>
      <c r="F36" s="8">
        <v>188.6</v>
      </c>
      <c r="G36">
        <f t="shared" si="10"/>
        <v>14.145</v>
      </c>
      <c r="H36" s="8" t="s">
        <v>70</v>
      </c>
      <c r="I36" s="8">
        <v>10.17</v>
      </c>
      <c r="J36">
        <f t="shared" si="11"/>
        <v>0.76274999999999993</v>
      </c>
      <c r="K36">
        <v>1</v>
      </c>
      <c r="L36">
        <v>1</v>
      </c>
      <c r="M36">
        <v>1</v>
      </c>
      <c r="N36">
        <f t="shared" si="12"/>
        <v>1</v>
      </c>
      <c r="O36">
        <f t="shared" si="13"/>
        <v>2</v>
      </c>
      <c r="P36">
        <f t="shared" si="14"/>
        <v>2</v>
      </c>
      <c r="Q36" s="14" t="s">
        <v>77</v>
      </c>
    </row>
    <row r="37" spans="1:17" ht="31.5" x14ac:dyDescent="0.25">
      <c r="A37" s="5">
        <v>31</v>
      </c>
      <c r="B37" s="7" t="s">
        <v>36</v>
      </c>
      <c r="C37" s="8" t="s">
        <v>63</v>
      </c>
      <c r="D37">
        <f>18*5/1000</f>
        <v>0.09</v>
      </c>
      <c r="E37" s="7" t="s">
        <v>55</v>
      </c>
      <c r="F37" s="8">
        <v>73.14</v>
      </c>
      <c r="G37">
        <f t="shared" si="10"/>
        <v>6.5826000000000002</v>
      </c>
      <c r="H37" s="8" t="s">
        <v>68</v>
      </c>
      <c r="I37" s="8">
        <v>2.06</v>
      </c>
      <c r="J37">
        <f t="shared" si="11"/>
        <v>0.18540000000000001</v>
      </c>
      <c r="K37">
        <v>1</v>
      </c>
      <c r="L37">
        <v>1</v>
      </c>
      <c r="M37">
        <v>1</v>
      </c>
      <c r="N37">
        <f t="shared" si="12"/>
        <v>1</v>
      </c>
      <c r="O37">
        <f t="shared" si="13"/>
        <v>1</v>
      </c>
      <c r="P37">
        <f t="shared" si="14"/>
        <v>1</v>
      </c>
      <c r="Q37" s="14" t="s">
        <v>76</v>
      </c>
    </row>
    <row r="38" spans="1:17" ht="31.5" x14ac:dyDescent="0.25">
      <c r="A38" s="5">
        <v>32</v>
      </c>
      <c r="B38" s="7" t="s">
        <v>37</v>
      </c>
      <c r="C38" s="8" t="s">
        <v>63</v>
      </c>
      <c r="D38">
        <f>10/1000</f>
        <v>0.01</v>
      </c>
      <c r="E38" s="7" t="s">
        <v>56</v>
      </c>
      <c r="F38" s="8">
        <v>66.22</v>
      </c>
      <c r="G38">
        <f t="shared" si="10"/>
        <v>0.66220000000000001</v>
      </c>
      <c r="H38" s="8" t="s">
        <v>71</v>
      </c>
      <c r="I38" s="8">
        <v>1</v>
      </c>
      <c r="J38">
        <f t="shared" si="11"/>
        <v>0.01</v>
      </c>
      <c r="K38">
        <v>1</v>
      </c>
      <c r="L38">
        <v>1</v>
      </c>
      <c r="M38">
        <v>1</v>
      </c>
      <c r="N38">
        <f t="shared" si="12"/>
        <v>1</v>
      </c>
      <c r="O38">
        <f t="shared" si="13"/>
        <v>1</v>
      </c>
      <c r="P38">
        <f t="shared" si="14"/>
        <v>1</v>
      </c>
      <c r="Q38" s="14" t="s">
        <v>78</v>
      </c>
    </row>
    <row r="40" spans="1:17" ht="15.75" thickBot="1" x14ac:dyDescent="0.3">
      <c r="P40">
        <f>SUM(P5:P38)</f>
        <v>115</v>
      </c>
    </row>
    <row r="41" spans="1:17" ht="78.75" x14ac:dyDescent="0.25">
      <c r="A41" s="17" t="s">
        <v>0</v>
      </c>
      <c r="B41" s="18" t="s">
        <v>1</v>
      </c>
      <c r="C41" s="65" t="s">
        <v>4</v>
      </c>
      <c r="D41" s="66"/>
      <c r="E41" s="18" t="s">
        <v>79</v>
      </c>
      <c r="F41" s="18" t="s">
        <v>7</v>
      </c>
      <c r="G41" s="19" t="s">
        <v>8</v>
      </c>
      <c r="H41" s="19" t="s">
        <v>80</v>
      </c>
      <c r="I41" s="19" t="s">
        <v>81</v>
      </c>
      <c r="J41" s="19" t="s">
        <v>82</v>
      </c>
      <c r="K41" s="20" t="s">
        <v>83</v>
      </c>
    </row>
    <row r="42" spans="1:17" ht="48" thickBot="1" x14ac:dyDescent="0.3">
      <c r="A42" s="21"/>
      <c r="B42" s="22"/>
      <c r="C42" s="23" t="s">
        <v>84</v>
      </c>
      <c r="D42" s="23" t="s">
        <v>85</v>
      </c>
      <c r="E42" s="22"/>
      <c r="F42" s="22"/>
      <c r="G42" s="23"/>
      <c r="H42" s="23"/>
      <c r="I42" s="22"/>
      <c r="J42" s="22"/>
      <c r="K42" s="24"/>
    </row>
    <row r="43" spans="1:17" ht="16.5" thickBot="1" x14ac:dyDescent="0.3">
      <c r="A43" s="25">
        <v>1</v>
      </c>
      <c r="B43" s="26">
        <v>2</v>
      </c>
      <c r="C43" s="26">
        <v>3</v>
      </c>
      <c r="D43" s="26">
        <v>4</v>
      </c>
      <c r="E43" s="26">
        <v>5</v>
      </c>
      <c r="F43" s="26">
        <v>6</v>
      </c>
      <c r="G43" s="27">
        <v>7</v>
      </c>
      <c r="H43" s="27">
        <v>8</v>
      </c>
      <c r="I43" s="26">
        <v>9</v>
      </c>
      <c r="J43" s="26">
        <v>10</v>
      </c>
      <c r="K43" s="28">
        <v>11</v>
      </c>
    </row>
    <row r="44" spans="1:17" ht="31.5" x14ac:dyDescent="0.25">
      <c r="A44" s="29">
        <v>1</v>
      </c>
      <c r="B44" s="30" t="s">
        <v>86</v>
      </c>
      <c r="C44" s="31">
        <f>ROUNDUP(SUM(G5:G38)*K44,0)</f>
        <v>2794</v>
      </c>
      <c r="D44" s="32">
        <f>ROUNDUP(SUM(J5:J38)*K44,0)</f>
        <v>491</v>
      </c>
      <c r="E44" s="31">
        <v>1</v>
      </c>
      <c r="F44" s="31" t="s">
        <v>87</v>
      </c>
      <c r="G44" s="30" t="s">
        <v>87</v>
      </c>
      <c r="H44" s="30" t="s">
        <v>87</v>
      </c>
      <c r="I44" s="31" t="s">
        <v>87</v>
      </c>
      <c r="J44" s="31"/>
      <c r="K44" s="31">
        <v>1</v>
      </c>
    </row>
    <row r="45" spans="1:17" ht="31.5" x14ac:dyDescent="0.25">
      <c r="A45" s="33">
        <v>2</v>
      </c>
      <c r="B45" s="34" t="s">
        <v>88</v>
      </c>
      <c r="C45" s="31">
        <f>$C$44*K45</f>
        <v>223.52</v>
      </c>
      <c r="D45" s="32">
        <f>$D$44*K45</f>
        <v>39.28</v>
      </c>
      <c r="E45" s="35">
        <v>2</v>
      </c>
      <c r="F45" s="35">
        <v>2</v>
      </c>
      <c r="G45" s="34">
        <v>1</v>
      </c>
      <c r="H45" s="34">
        <f>ROUNDUP(D45/(F45*G45*8),0)</f>
        <v>3</v>
      </c>
      <c r="I45" s="36">
        <f t="shared" ref="I45:I54" si="15">ROUNDUP(C45/(E45*G45*8),0)</f>
        <v>14</v>
      </c>
      <c r="J45" s="36">
        <f>MAX(I45,H45)</f>
        <v>14</v>
      </c>
      <c r="K45" s="35">
        <v>0.08</v>
      </c>
    </row>
    <row r="46" spans="1:17" ht="31.5" x14ac:dyDescent="0.25">
      <c r="A46" s="33">
        <v>3</v>
      </c>
      <c r="B46" s="34" t="s">
        <v>89</v>
      </c>
      <c r="C46" s="31">
        <f t="shared" ref="C46:C54" si="16">$C$44*K46</f>
        <v>139.70000000000002</v>
      </c>
      <c r="D46" s="32">
        <f t="shared" ref="D46:D54" si="17">$D$44*K46</f>
        <v>24.55</v>
      </c>
      <c r="E46" s="35">
        <v>1</v>
      </c>
      <c r="F46" s="35">
        <v>2</v>
      </c>
      <c r="G46" s="34">
        <v>1</v>
      </c>
      <c r="H46" s="34">
        <f t="shared" ref="H46:H54" si="18">ROUNDUP(D46/(F46*G46*8),0)</f>
        <v>2</v>
      </c>
      <c r="I46" s="36">
        <f t="shared" si="15"/>
        <v>18</v>
      </c>
      <c r="J46" s="36">
        <f t="shared" ref="J46:J54" si="19">MAX(I46,H46)</f>
        <v>18</v>
      </c>
      <c r="K46" s="35">
        <v>0.05</v>
      </c>
    </row>
    <row r="47" spans="1:17" ht="31.5" x14ac:dyDescent="0.25">
      <c r="A47" s="33">
        <v>4</v>
      </c>
      <c r="B47" s="34" t="s">
        <v>90</v>
      </c>
      <c r="C47" s="31">
        <f t="shared" si="16"/>
        <v>195.58</v>
      </c>
      <c r="D47" s="32">
        <f t="shared" si="17"/>
        <v>34.370000000000005</v>
      </c>
      <c r="E47" s="35">
        <v>2</v>
      </c>
      <c r="F47" s="35">
        <v>2</v>
      </c>
      <c r="G47" s="34">
        <v>1</v>
      </c>
      <c r="H47" s="34">
        <f t="shared" si="18"/>
        <v>3</v>
      </c>
      <c r="I47" s="36">
        <f t="shared" si="15"/>
        <v>13</v>
      </c>
      <c r="J47" s="36">
        <f t="shared" si="19"/>
        <v>13</v>
      </c>
      <c r="K47" s="35">
        <v>7.0000000000000007E-2</v>
      </c>
    </row>
    <row r="48" spans="1:17" ht="31.5" x14ac:dyDescent="0.25">
      <c r="A48" s="33">
        <v>5</v>
      </c>
      <c r="B48" s="34" t="s">
        <v>91</v>
      </c>
      <c r="C48" s="31">
        <f t="shared" si="16"/>
        <v>111.76</v>
      </c>
      <c r="D48" s="32">
        <f t="shared" si="17"/>
        <v>19.64</v>
      </c>
      <c r="E48" s="35">
        <v>1</v>
      </c>
      <c r="F48" s="35">
        <v>3</v>
      </c>
      <c r="G48" s="34">
        <v>1</v>
      </c>
      <c r="H48" s="34">
        <f t="shared" si="18"/>
        <v>1</v>
      </c>
      <c r="I48" s="36">
        <f t="shared" si="15"/>
        <v>14</v>
      </c>
      <c r="J48" s="36">
        <f t="shared" si="19"/>
        <v>14</v>
      </c>
      <c r="K48" s="35">
        <v>0.04</v>
      </c>
    </row>
    <row r="49" spans="1:15" ht="31.5" x14ac:dyDescent="0.25">
      <c r="A49" s="33">
        <v>6</v>
      </c>
      <c r="B49" s="34" t="s">
        <v>92</v>
      </c>
      <c r="C49" s="31">
        <f t="shared" si="16"/>
        <v>167.64</v>
      </c>
      <c r="D49" s="32">
        <f t="shared" si="17"/>
        <v>29.459999999999997</v>
      </c>
      <c r="E49" s="35">
        <v>2</v>
      </c>
      <c r="F49" s="35">
        <v>3</v>
      </c>
      <c r="G49" s="34">
        <v>1</v>
      </c>
      <c r="H49" s="34">
        <f t="shared" si="18"/>
        <v>2</v>
      </c>
      <c r="I49" s="36">
        <f t="shared" si="15"/>
        <v>11</v>
      </c>
      <c r="J49" s="36">
        <f t="shared" si="19"/>
        <v>11</v>
      </c>
      <c r="K49" s="35">
        <v>0.06</v>
      </c>
    </row>
    <row r="50" spans="1:15" ht="31.5" x14ac:dyDescent="0.25">
      <c r="A50" s="33">
        <v>7</v>
      </c>
      <c r="B50" s="34" t="s">
        <v>93</v>
      </c>
      <c r="C50" s="31">
        <f t="shared" si="16"/>
        <v>167.64</v>
      </c>
      <c r="D50" s="32">
        <f t="shared" si="17"/>
        <v>29.459999999999997</v>
      </c>
      <c r="E50" s="35">
        <v>2</v>
      </c>
      <c r="F50" s="35">
        <v>5</v>
      </c>
      <c r="G50" s="34">
        <v>1</v>
      </c>
      <c r="H50" s="34">
        <f t="shared" si="18"/>
        <v>1</v>
      </c>
      <c r="I50" s="36">
        <f t="shared" si="15"/>
        <v>11</v>
      </c>
      <c r="J50" s="36">
        <f t="shared" si="19"/>
        <v>11</v>
      </c>
      <c r="K50" s="35">
        <v>0.06</v>
      </c>
    </row>
    <row r="51" spans="1:15" ht="15.75" x14ac:dyDescent="0.25">
      <c r="A51" s="33">
        <v>8</v>
      </c>
      <c r="B51" s="35" t="s">
        <v>94</v>
      </c>
      <c r="C51" s="31">
        <f t="shared" si="16"/>
        <v>13.97</v>
      </c>
      <c r="D51" s="32">
        <f t="shared" si="17"/>
        <v>2.4550000000000001</v>
      </c>
      <c r="E51" s="35">
        <v>1</v>
      </c>
      <c r="F51" s="35">
        <v>2</v>
      </c>
      <c r="G51" s="34">
        <v>1</v>
      </c>
      <c r="H51" s="34">
        <f t="shared" si="18"/>
        <v>1</v>
      </c>
      <c r="I51" s="36">
        <f t="shared" si="15"/>
        <v>2</v>
      </c>
      <c r="J51" s="36">
        <f t="shared" si="19"/>
        <v>2</v>
      </c>
      <c r="K51" s="35">
        <v>5.0000000000000001E-3</v>
      </c>
    </row>
    <row r="52" spans="1:15" ht="31.5" x14ac:dyDescent="0.25">
      <c r="A52" s="33">
        <v>9</v>
      </c>
      <c r="B52" s="34" t="s">
        <v>95</v>
      </c>
      <c r="C52" s="31">
        <f t="shared" si="16"/>
        <v>223.52</v>
      </c>
      <c r="D52" s="32">
        <f t="shared" si="17"/>
        <v>39.28</v>
      </c>
      <c r="E52" s="35">
        <v>2</v>
      </c>
      <c r="F52" s="35">
        <v>2</v>
      </c>
      <c r="G52" s="34">
        <v>1</v>
      </c>
      <c r="H52" s="34">
        <f t="shared" si="18"/>
        <v>3</v>
      </c>
      <c r="I52" s="36">
        <f t="shared" si="15"/>
        <v>14</v>
      </c>
      <c r="J52" s="36">
        <f t="shared" si="19"/>
        <v>14</v>
      </c>
      <c r="K52" s="35">
        <v>0.08</v>
      </c>
    </row>
    <row r="53" spans="1:15" ht="31.5" x14ac:dyDescent="0.25">
      <c r="A53" s="33">
        <v>10</v>
      </c>
      <c r="B53" s="34" t="s">
        <v>96</v>
      </c>
      <c r="C53" s="31">
        <f t="shared" si="16"/>
        <v>195.58</v>
      </c>
      <c r="D53" s="32">
        <f t="shared" si="17"/>
        <v>34.370000000000005</v>
      </c>
      <c r="E53" s="35">
        <v>2</v>
      </c>
      <c r="F53" s="35">
        <v>5</v>
      </c>
      <c r="G53" s="34">
        <v>1</v>
      </c>
      <c r="H53" s="34">
        <f t="shared" si="18"/>
        <v>1</v>
      </c>
      <c r="I53" s="36">
        <f t="shared" si="15"/>
        <v>13</v>
      </c>
      <c r="J53" s="36">
        <f t="shared" si="19"/>
        <v>13</v>
      </c>
      <c r="K53" s="35">
        <v>7.0000000000000007E-2</v>
      </c>
    </row>
    <row r="54" spans="1:15" ht="31.5" x14ac:dyDescent="0.25">
      <c r="A54" s="33">
        <v>11</v>
      </c>
      <c r="B54" s="34" t="s">
        <v>97</v>
      </c>
      <c r="C54" s="31">
        <f t="shared" si="16"/>
        <v>83.82</v>
      </c>
      <c r="D54" s="32">
        <f t="shared" si="17"/>
        <v>14.729999999999999</v>
      </c>
      <c r="E54" s="35">
        <v>1</v>
      </c>
      <c r="F54" s="35">
        <v>2</v>
      </c>
      <c r="G54" s="34">
        <v>1</v>
      </c>
      <c r="H54" s="34">
        <f t="shared" si="18"/>
        <v>1</v>
      </c>
      <c r="I54" s="36">
        <f t="shared" si="15"/>
        <v>11</v>
      </c>
      <c r="J54" s="36">
        <f t="shared" si="19"/>
        <v>11</v>
      </c>
      <c r="K54" s="35">
        <v>0.03</v>
      </c>
    </row>
    <row r="56" spans="1:15" ht="15.75" x14ac:dyDescent="0.25">
      <c r="H56" s="37"/>
      <c r="J56" s="38">
        <f>SUM(J45:J54)</f>
        <v>121</v>
      </c>
      <c r="L56" s="38">
        <f>SUM(J56,P40)</f>
        <v>236</v>
      </c>
      <c r="N56">
        <f>L56/30</f>
        <v>7.8666666666666663</v>
      </c>
      <c r="O56" t="s">
        <v>98</v>
      </c>
    </row>
  </sheetData>
  <mergeCells count="14">
    <mergeCell ref="C41:D41"/>
    <mergeCell ref="Q1:Q2"/>
    <mergeCell ref="P1:P2"/>
    <mergeCell ref="H1:J1"/>
    <mergeCell ref="A1:A2"/>
    <mergeCell ref="B1:B2"/>
    <mergeCell ref="C1:D1"/>
    <mergeCell ref="E1:E2"/>
    <mergeCell ref="F1:G1"/>
    <mergeCell ref="K1:K2"/>
    <mergeCell ref="L1:L2"/>
    <mergeCell ref="M1:M2"/>
    <mergeCell ref="N1:N2"/>
    <mergeCell ref="O1:O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9926-6068-4E82-9207-2F191EC7DAAC}">
  <sheetPr filterMode="1"/>
  <dimension ref="A1:M91"/>
  <sheetViews>
    <sheetView zoomScale="115" zoomScaleNormal="115" workbookViewId="0">
      <selection activeCell="O5" sqref="O5"/>
    </sheetView>
  </sheetViews>
  <sheetFormatPr defaultRowHeight="15" x14ac:dyDescent="0.25"/>
  <cols>
    <col min="2" max="2" width="19.140625" style="61" customWidth="1"/>
    <col min="3" max="3" width="10.5703125" customWidth="1"/>
    <col min="12" max="12" width="4.28515625" customWidth="1"/>
    <col min="13" max="13" width="14.7109375" customWidth="1"/>
  </cols>
  <sheetData>
    <row r="1" spans="1:13" x14ac:dyDescent="0.25">
      <c r="A1" s="77" t="s">
        <v>0</v>
      </c>
      <c r="B1" s="79" t="s">
        <v>99</v>
      </c>
      <c r="C1" s="79" t="s">
        <v>100</v>
      </c>
      <c r="D1" s="79" t="s">
        <v>101</v>
      </c>
      <c r="E1" s="81" t="s">
        <v>102</v>
      </c>
      <c r="F1" s="83" t="s">
        <v>103</v>
      </c>
      <c r="G1" s="83"/>
      <c r="H1" s="83"/>
      <c r="I1" s="83"/>
      <c r="J1" s="74" t="s">
        <v>104</v>
      </c>
      <c r="K1" s="75"/>
      <c r="L1" s="39"/>
      <c r="M1" s="76" t="s">
        <v>105</v>
      </c>
    </row>
    <row r="2" spans="1:13" ht="43.9" customHeight="1" thickBot="1" x14ac:dyDescent="0.3">
      <c r="A2" s="78"/>
      <c r="B2" s="80"/>
      <c r="C2" s="80"/>
      <c r="D2" s="80"/>
      <c r="E2" s="82"/>
      <c r="F2" s="40" t="s">
        <v>106</v>
      </c>
      <c r="G2" s="40" t="s">
        <v>107</v>
      </c>
      <c r="H2" s="41" t="s">
        <v>108</v>
      </c>
      <c r="I2" s="41" t="s">
        <v>109</v>
      </c>
      <c r="J2" s="41" t="s">
        <v>110</v>
      </c>
      <c r="K2" s="42" t="s">
        <v>111</v>
      </c>
      <c r="L2" s="43"/>
      <c r="M2" s="76"/>
    </row>
    <row r="3" spans="1:13" ht="24" x14ac:dyDescent="0.25">
      <c r="A3" s="44">
        <v>1</v>
      </c>
      <c r="B3" s="45" t="s">
        <v>179</v>
      </c>
      <c r="C3" s="46">
        <v>1</v>
      </c>
      <c r="D3" s="47">
        <v>2</v>
      </c>
      <c r="E3" s="47">
        <v>10</v>
      </c>
      <c r="F3" s="48">
        <f>IF($C3=1,0,_xlfn.MAXIFS($G$3:$G$75,$D$3:$D$75,$C3))</f>
        <v>0</v>
      </c>
      <c r="G3" s="48">
        <f>F3+E3</f>
        <v>10</v>
      </c>
      <c r="H3" s="47">
        <f t="shared" ref="H3:H6" si="0">I3-E3</f>
        <v>0</v>
      </c>
      <c r="I3" s="48">
        <f>IF($D3=MAX($D$3:$D$75),MAX($G$3:$G$75),_xlfn.MINIFS($H$3:$H$75,$C$3:$C$75,$D3))</f>
        <v>10</v>
      </c>
      <c r="J3" s="48">
        <f>IF(E3=0,"-",I3-G3)</f>
        <v>0</v>
      </c>
      <c r="K3" s="49">
        <f>IF($E3=0,"-",_xlfn.MAXIFS($G$3:$G$75,$D$3:$D$75,$D3)-($F3+$E3))</f>
        <v>0</v>
      </c>
      <c r="M3" s="50" t="s">
        <v>87</v>
      </c>
    </row>
    <row r="4" spans="1:13" x14ac:dyDescent="0.25">
      <c r="A4" s="51">
        <v>2</v>
      </c>
      <c r="B4" s="52" t="s">
        <v>20</v>
      </c>
      <c r="C4" s="53">
        <v>2</v>
      </c>
      <c r="D4" s="54">
        <v>3</v>
      </c>
      <c r="E4" s="54">
        <v>1</v>
      </c>
      <c r="F4" s="48">
        <f t="shared" ref="F4:F67" si="1">IF($C4=1,0,_xlfn.MAXIFS($G$3:$G$75,$D$3:$D$75,$C4))</f>
        <v>10</v>
      </c>
      <c r="G4" s="55">
        <f>F4+E4</f>
        <v>11</v>
      </c>
      <c r="H4" s="54">
        <f t="shared" si="0"/>
        <v>10</v>
      </c>
      <c r="I4" s="48">
        <f t="shared" ref="I4:I67" si="2">IF($D4=MAX($D$3:$D$75),MAX($G$3:$G$75),_xlfn.MINIFS($H$3:$H$75,$C$3:$C$75,$D4))</f>
        <v>11</v>
      </c>
      <c r="J4" s="48">
        <f t="shared" ref="J4:J6" si="3">IF(E4=0,"-",I4-G4)</f>
        <v>0</v>
      </c>
      <c r="K4" s="49">
        <f t="shared" ref="K4:K67" si="4">IF($E4=0,"-",_xlfn.MAXIFS($G$3:$G$75,$D$3:$D$75,$D4)-($F4+$E4))</f>
        <v>0</v>
      </c>
      <c r="M4" s="54">
        <v>1</v>
      </c>
    </row>
    <row r="5" spans="1:13" ht="36" customHeight="1" x14ac:dyDescent="0.25">
      <c r="A5" s="51">
        <v>3</v>
      </c>
      <c r="B5" s="52" t="s">
        <v>95</v>
      </c>
      <c r="C5" s="56">
        <v>2</v>
      </c>
      <c r="D5" s="54">
        <v>56</v>
      </c>
      <c r="E5" s="54">
        <v>5</v>
      </c>
      <c r="F5" s="48">
        <f t="shared" si="1"/>
        <v>10</v>
      </c>
      <c r="G5" s="55">
        <f>F5+E5</f>
        <v>15</v>
      </c>
      <c r="H5" s="54">
        <f t="shared" si="0"/>
        <v>96</v>
      </c>
      <c r="I5" s="48">
        <f t="shared" si="2"/>
        <v>101</v>
      </c>
      <c r="J5" s="48">
        <f t="shared" si="3"/>
        <v>86</v>
      </c>
      <c r="K5" s="49">
        <f t="shared" si="4"/>
        <v>86</v>
      </c>
      <c r="M5" s="57">
        <v>1</v>
      </c>
    </row>
    <row r="6" spans="1:13" ht="24" x14ac:dyDescent="0.25">
      <c r="A6" s="51">
        <v>4</v>
      </c>
      <c r="B6" s="52" t="s">
        <v>21</v>
      </c>
      <c r="C6" s="56">
        <v>3</v>
      </c>
      <c r="D6" s="54">
        <v>4</v>
      </c>
      <c r="E6" s="54">
        <v>1</v>
      </c>
      <c r="F6" s="48">
        <f t="shared" si="1"/>
        <v>11</v>
      </c>
      <c r="G6" s="55">
        <f>F6+E6</f>
        <v>12</v>
      </c>
      <c r="H6" s="54">
        <f t="shared" si="0"/>
        <v>11</v>
      </c>
      <c r="I6" s="48">
        <f t="shared" si="2"/>
        <v>12</v>
      </c>
      <c r="J6" s="48">
        <f t="shared" si="3"/>
        <v>0</v>
      </c>
      <c r="K6" s="49">
        <f t="shared" si="4"/>
        <v>0</v>
      </c>
      <c r="M6" s="57">
        <v>2</v>
      </c>
    </row>
    <row r="7" spans="1:13" ht="24" x14ac:dyDescent="0.25">
      <c r="A7" s="44">
        <v>5</v>
      </c>
      <c r="B7" s="62" t="s">
        <v>22</v>
      </c>
      <c r="C7" s="60" t="s">
        <v>114</v>
      </c>
      <c r="D7" s="58">
        <v>5</v>
      </c>
      <c r="E7" s="58">
        <v>7</v>
      </c>
      <c r="F7" s="48">
        <f t="shared" si="1"/>
        <v>12</v>
      </c>
      <c r="G7" s="55">
        <f t="shared" ref="G7:G45" si="5">F7+E7</f>
        <v>19</v>
      </c>
      <c r="H7" s="54">
        <f t="shared" ref="H7:H45" si="6">I7-E7</f>
        <v>12</v>
      </c>
      <c r="I7" s="48">
        <f t="shared" si="2"/>
        <v>19</v>
      </c>
      <c r="J7" s="48">
        <f t="shared" ref="J7:J45" si="7">IF(E7=0,"-",I7-G7)</f>
        <v>0</v>
      </c>
      <c r="K7" s="49">
        <f t="shared" si="4"/>
        <v>0</v>
      </c>
      <c r="L7" s="58"/>
      <c r="M7">
        <v>3</v>
      </c>
    </row>
    <row r="8" spans="1:13" ht="36" x14ac:dyDescent="0.25">
      <c r="A8" s="51">
        <v>6</v>
      </c>
      <c r="B8" s="62" t="s">
        <v>116</v>
      </c>
      <c r="C8" s="60" t="s">
        <v>115</v>
      </c>
      <c r="D8" s="58">
        <v>6</v>
      </c>
      <c r="E8" s="58">
        <v>1</v>
      </c>
      <c r="F8" s="48">
        <f t="shared" si="1"/>
        <v>19</v>
      </c>
      <c r="G8" s="55">
        <f t="shared" si="5"/>
        <v>20</v>
      </c>
      <c r="H8" s="54">
        <f t="shared" si="6"/>
        <v>19</v>
      </c>
      <c r="I8" s="48">
        <f t="shared" si="2"/>
        <v>20</v>
      </c>
      <c r="J8" s="48">
        <f t="shared" si="7"/>
        <v>0</v>
      </c>
      <c r="K8" s="49">
        <f t="shared" si="4"/>
        <v>0</v>
      </c>
      <c r="L8" s="58"/>
      <c r="M8">
        <v>4</v>
      </c>
    </row>
    <row r="9" spans="1:13" ht="24" x14ac:dyDescent="0.25">
      <c r="A9" s="51">
        <v>7</v>
      </c>
      <c r="B9" s="62" t="s">
        <v>117</v>
      </c>
      <c r="C9" s="60" t="s">
        <v>115</v>
      </c>
      <c r="D9" s="58">
        <v>30</v>
      </c>
      <c r="E9" s="58">
        <v>5</v>
      </c>
      <c r="F9" s="48">
        <f t="shared" si="1"/>
        <v>19</v>
      </c>
      <c r="G9" s="55">
        <f t="shared" si="5"/>
        <v>24</v>
      </c>
      <c r="H9" s="54">
        <f t="shared" si="6"/>
        <v>60</v>
      </c>
      <c r="I9" s="48">
        <f t="shared" si="2"/>
        <v>65</v>
      </c>
      <c r="J9" s="48">
        <f t="shared" si="7"/>
        <v>41</v>
      </c>
      <c r="K9" s="49">
        <f t="shared" si="4"/>
        <v>0</v>
      </c>
      <c r="L9" s="58"/>
      <c r="M9">
        <v>4</v>
      </c>
    </row>
    <row r="10" spans="1:13" ht="24" x14ac:dyDescent="0.25">
      <c r="A10" s="51">
        <v>8</v>
      </c>
      <c r="B10" s="62" t="s">
        <v>118</v>
      </c>
      <c r="C10" s="60" t="s">
        <v>115</v>
      </c>
      <c r="D10" s="58">
        <v>32</v>
      </c>
      <c r="E10" s="58">
        <v>5</v>
      </c>
      <c r="F10" s="48">
        <f t="shared" si="1"/>
        <v>19</v>
      </c>
      <c r="G10" s="55">
        <f t="shared" si="5"/>
        <v>24</v>
      </c>
      <c r="H10" s="54">
        <f t="shared" si="6"/>
        <v>60</v>
      </c>
      <c r="I10" s="48">
        <f t="shared" si="2"/>
        <v>65</v>
      </c>
      <c r="J10" s="48">
        <f t="shared" si="7"/>
        <v>41</v>
      </c>
      <c r="K10" s="49">
        <f t="shared" si="4"/>
        <v>41</v>
      </c>
      <c r="L10" s="58"/>
      <c r="M10">
        <v>4</v>
      </c>
    </row>
    <row r="11" spans="1:13" ht="36" x14ac:dyDescent="0.25">
      <c r="A11" s="44">
        <v>9</v>
      </c>
      <c r="B11" s="62" t="s">
        <v>120</v>
      </c>
      <c r="C11" s="59" t="s">
        <v>119</v>
      </c>
      <c r="D11" s="58">
        <v>7</v>
      </c>
      <c r="E11" s="58">
        <v>8</v>
      </c>
      <c r="F11" s="48">
        <f t="shared" si="1"/>
        <v>20</v>
      </c>
      <c r="G11" s="55">
        <f t="shared" si="5"/>
        <v>28</v>
      </c>
      <c r="H11" s="54">
        <f t="shared" si="6"/>
        <v>20</v>
      </c>
      <c r="I11" s="48">
        <f t="shared" si="2"/>
        <v>28</v>
      </c>
      <c r="J11" s="48">
        <f t="shared" si="7"/>
        <v>0</v>
      </c>
      <c r="K11" s="49">
        <f t="shared" si="4"/>
        <v>0</v>
      </c>
      <c r="L11" s="58"/>
      <c r="M11">
        <v>5</v>
      </c>
    </row>
    <row r="12" spans="1:13" ht="36" x14ac:dyDescent="0.25">
      <c r="A12" s="51">
        <v>10</v>
      </c>
      <c r="B12" s="62" t="s">
        <v>116</v>
      </c>
      <c r="C12" s="59" t="s">
        <v>119</v>
      </c>
      <c r="D12" s="58">
        <v>15</v>
      </c>
      <c r="E12" s="58">
        <v>3</v>
      </c>
      <c r="F12" s="48">
        <f t="shared" si="1"/>
        <v>20</v>
      </c>
      <c r="G12" s="55">
        <f t="shared" si="5"/>
        <v>23</v>
      </c>
      <c r="H12" s="54">
        <f t="shared" si="6"/>
        <v>28</v>
      </c>
      <c r="I12" s="48">
        <f t="shared" si="2"/>
        <v>31</v>
      </c>
      <c r="J12" s="48">
        <f t="shared" si="7"/>
        <v>8</v>
      </c>
      <c r="K12" s="49">
        <f t="shared" si="4"/>
        <v>0</v>
      </c>
      <c r="L12" s="58"/>
      <c r="M12">
        <v>5</v>
      </c>
    </row>
    <row r="13" spans="1:13" ht="60" x14ac:dyDescent="0.25">
      <c r="A13" s="51">
        <v>11</v>
      </c>
      <c r="B13" s="62" t="s">
        <v>122</v>
      </c>
      <c r="C13" s="59" t="s">
        <v>121</v>
      </c>
      <c r="D13" s="58">
        <v>8</v>
      </c>
      <c r="E13" s="58">
        <v>7</v>
      </c>
      <c r="F13" s="48">
        <f t="shared" si="1"/>
        <v>28</v>
      </c>
      <c r="G13" s="55">
        <f t="shared" si="5"/>
        <v>35</v>
      </c>
      <c r="H13" s="54">
        <f t="shared" si="6"/>
        <v>28</v>
      </c>
      <c r="I13" s="48">
        <f t="shared" si="2"/>
        <v>35</v>
      </c>
      <c r="J13" s="48">
        <f t="shared" si="7"/>
        <v>0</v>
      </c>
      <c r="K13" s="49">
        <f t="shared" si="4"/>
        <v>0</v>
      </c>
      <c r="L13" s="58"/>
      <c r="M13">
        <v>6</v>
      </c>
    </row>
    <row r="14" spans="1:13" hidden="1" x14ac:dyDescent="0.25">
      <c r="A14" s="51">
        <v>12</v>
      </c>
      <c r="B14" s="58" t="s">
        <v>87</v>
      </c>
      <c r="C14" s="60" t="s">
        <v>121</v>
      </c>
      <c r="D14" s="58">
        <v>16</v>
      </c>
      <c r="E14" s="58">
        <v>0</v>
      </c>
      <c r="F14" s="48">
        <f t="shared" si="1"/>
        <v>28</v>
      </c>
      <c r="G14" s="55">
        <f t="shared" si="5"/>
        <v>28</v>
      </c>
      <c r="H14" s="54">
        <f t="shared" si="6"/>
        <v>31</v>
      </c>
      <c r="I14" s="48">
        <f t="shared" si="2"/>
        <v>31</v>
      </c>
      <c r="J14" s="48" t="str">
        <f t="shared" si="7"/>
        <v>-</v>
      </c>
      <c r="K14" s="49" t="str">
        <f t="shared" si="4"/>
        <v>-</v>
      </c>
      <c r="L14" s="58"/>
      <c r="M14">
        <v>6</v>
      </c>
    </row>
    <row r="15" spans="1:13" ht="36" x14ac:dyDescent="0.25">
      <c r="A15" s="44">
        <v>13</v>
      </c>
      <c r="B15" s="62" t="s">
        <v>124</v>
      </c>
      <c r="C15" s="59" t="s">
        <v>123</v>
      </c>
      <c r="D15" s="58">
        <v>9</v>
      </c>
      <c r="E15" s="58">
        <v>7</v>
      </c>
      <c r="F15" s="48">
        <f t="shared" si="1"/>
        <v>35</v>
      </c>
      <c r="G15" s="55">
        <f t="shared" si="5"/>
        <v>42</v>
      </c>
      <c r="H15" s="54">
        <f t="shared" si="6"/>
        <v>36</v>
      </c>
      <c r="I15" s="48">
        <f t="shared" si="2"/>
        <v>43</v>
      </c>
      <c r="J15" s="48">
        <f t="shared" si="7"/>
        <v>1</v>
      </c>
      <c r="K15" s="49">
        <f t="shared" si="4"/>
        <v>0</v>
      </c>
      <c r="L15" s="58"/>
      <c r="M15">
        <v>7</v>
      </c>
    </row>
    <row r="16" spans="1:13" hidden="1" x14ac:dyDescent="0.25">
      <c r="A16" s="51">
        <v>14</v>
      </c>
      <c r="B16" s="58" t="s">
        <v>87</v>
      </c>
      <c r="C16" s="59" t="s">
        <v>123</v>
      </c>
      <c r="D16" s="58">
        <v>18</v>
      </c>
      <c r="E16" s="58">
        <v>0</v>
      </c>
      <c r="F16" s="48">
        <f t="shared" si="1"/>
        <v>35</v>
      </c>
      <c r="G16" s="55">
        <f t="shared" si="5"/>
        <v>35</v>
      </c>
      <c r="H16" s="54">
        <f t="shared" si="6"/>
        <v>35</v>
      </c>
      <c r="I16" s="48">
        <f t="shared" si="2"/>
        <v>35</v>
      </c>
      <c r="J16" s="48" t="str">
        <f t="shared" si="7"/>
        <v>-</v>
      </c>
      <c r="K16" s="49" t="str">
        <f t="shared" si="4"/>
        <v>-</v>
      </c>
      <c r="L16" s="58"/>
      <c r="M16">
        <v>7</v>
      </c>
    </row>
    <row r="17" spans="1:13" ht="48" x14ac:dyDescent="0.25">
      <c r="A17" s="51">
        <v>15</v>
      </c>
      <c r="B17" s="62" t="s">
        <v>126</v>
      </c>
      <c r="C17" s="59" t="s">
        <v>125</v>
      </c>
      <c r="D17" s="58">
        <v>10</v>
      </c>
      <c r="E17" s="58">
        <v>3</v>
      </c>
      <c r="F17" s="48">
        <f t="shared" si="1"/>
        <v>42</v>
      </c>
      <c r="G17" s="55">
        <f t="shared" si="5"/>
        <v>45</v>
      </c>
      <c r="H17" s="54">
        <f t="shared" si="6"/>
        <v>46</v>
      </c>
      <c r="I17" s="48">
        <f t="shared" si="2"/>
        <v>49</v>
      </c>
      <c r="J17" s="48">
        <f t="shared" si="7"/>
        <v>4</v>
      </c>
      <c r="K17" s="49">
        <f t="shared" si="4"/>
        <v>0</v>
      </c>
      <c r="L17" s="58"/>
      <c r="M17">
        <v>8</v>
      </c>
    </row>
    <row r="18" spans="1:13" hidden="1" x14ac:dyDescent="0.25">
      <c r="A18" s="51">
        <v>16</v>
      </c>
      <c r="B18" s="58" t="s">
        <v>87</v>
      </c>
      <c r="C18" s="59" t="s">
        <v>125</v>
      </c>
      <c r="D18" s="58">
        <v>20</v>
      </c>
      <c r="E18" s="58">
        <v>0</v>
      </c>
      <c r="F18" s="48">
        <f t="shared" si="1"/>
        <v>42</v>
      </c>
      <c r="G18" s="55">
        <f t="shared" si="5"/>
        <v>42</v>
      </c>
      <c r="H18" s="54">
        <f t="shared" si="6"/>
        <v>43</v>
      </c>
      <c r="I18" s="48">
        <f t="shared" si="2"/>
        <v>43</v>
      </c>
      <c r="J18" s="48" t="str">
        <f t="shared" si="7"/>
        <v>-</v>
      </c>
      <c r="K18" s="49" t="str">
        <f t="shared" si="4"/>
        <v>-</v>
      </c>
      <c r="L18" s="58"/>
      <c r="M18">
        <v>8</v>
      </c>
    </row>
    <row r="19" spans="1:13" ht="36" x14ac:dyDescent="0.25">
      <c r="A19" s="44">
        <v>17</v>
      </c>
      <c r="B19" s="62" t="s">
        <v>128</v>
      </c>
      <c r="C19" s="59" t="s">
        <v>127</v>
      </c>
      <c r="D19" s="58">
        <v>11</v>
      </c>
      <c r="E19" s="58">
        <v>2</v>
      </c>
      <c r="F19" s="48">
        <f t="shared" si="1"/>
        <v>45</v>
      </c>
      <c r="G19" s="55">
        <f t="shared" si="5"/>
        <v>47</v>
      </c>
      <c r="H19" s="54">
        <f t="shared" si="6"/>
        <v>49</v>
      </c>
      <c r="I19" s="48">
        <f t="shared" si="2"/>
        <v>51</v>
      </c>
      <c r="J19" s="48">
        <f t="shared" si="7"/>
        <v>4</v>
      </c>
      <c r="K19" s="49">
        <f t="shared" si="4"/>
        <v>0</v>
      </c>
      <c r="L19" s="58"/>
      <c r="M19">
        <v>9</v>
      </c>
    </row>
    <row r="20" spans="1:13" hidden="1" x14ac:dyDescent="0.25">
      <c r="A20" s="51">
        <v>18</v>
      </c>
      <c r="B20" s="58" t="s">
        <v>87</v>
      </c>
      <c r="C20" s="59" t="s">
        <v>127</v>
      </c>
      <c r="D20" s="58">
        <v>22</v>
      </c>
      <c r="E20" s="58">
        <v>0</v>
      </c>
      <c r="F20" s="48">
        <f t="shared" si="1"/>
        <v>45</v>
      </c>
      <c r="G20" s="55">
        <f t="shared" si="5"/>
        <v>45</v>
      </c>
      <c r="H20" s="54">
        <f t="shared" si="6"/>
        <v>49</v>
      </c>
      <c r="I20" s="48">
        <f t="shared" si="2"/>
        <v>49</v>
      </c>
      <c r="J20" s="48" t="str">
        <f t="shared" si="7"/>
        <v>-</v>
      </c>
      <c r="K20" s="49" t="str">
        <f t="shared" si="4"/>
        <v>-</v>
      </c>
      <c r="L20" s="58"/>
      <c r="M20">
        <v>9</v>
      </c>
    </row>
    <row r="21" spans="1:13" ht="24" x14ac:dyDescent="0.25">
      <c r="A21" s="51">
        <v>19</v>
      </c>
      <c r="B21" s="62" t="s">
        <v>130</v>
      </c>
      <c r="C21" s="59" t="s">
        <v>129</v>
      </c>
      <c r="D21" s="58">
        <v>12</v>
      </c>
      <c r="E21" s="58">
        <v>4</v>
      </c>
      <c r="F21" s="48">
        <f t="shared" si="1"/>
        <v>47</v>
      </c>
      <c r="G21" s="55">
        <f t="shared" si="5"/>
        <v>51</v>
      </c>
      <c r="H21" s="54">
        <f t="shared" si="6"/>
        <v>51</v>
      </c>
      <c r="I21" s="48">
        <f t="shared" si="2"/>
        <v>55</v>
      </c>
      <c r="J21" s="48">
        <f t="shared" si="7"/>
        <v>4</v>
      </c>
      <c r="K21" s="49">
        <f t="shared" si="4"/>
        <v>0</v>
      </c>
      <c r="L21" s="58"/>
      <c r="M21">
        <v>10</v>
      </c>
    </row>
    <row r="22" spans="1:13" hidden="1" x14ac:dyDescent="0.25">
      <c r="A22" s="51">
        <v>20</v>
      </c>
      <c r="B22" s="58" t="s">
        <v>87</v>
      </c>
      <c r="C22" s="59" t="s">
        <v>129</v>
      </c>
      <c r="D22" s="58">
        <v>24</v>
      </c>
      <c r="E22" s="58">
        <v>0</v>
      </c>
      <c r="F22" s="48">
        <f t="shared" si="1"/>
        <v>47</v>
      </c>
      <c r="G22" s="55">
        <f t="shared" si="5"/>
        <v>47</v>
      </c>
      <c r="H22" s="54">
        <f t="shared" si="6"/>
        <v>54</v>
      </c>
      <c r="I22" s="48">
        <f t="shared" si="2"/>
        <v>54</v>
      </c>
      <c r="J22" s="48" t="str">
        <f t="shared" si="7"/>
        <v>-</v>
      </c>
      <c r="K22" s="49" t="str">
        <f t="shared" si="4"/>
        <v>-</v>
      </c>
      <c r="L22" s="58"/>
      <c r="M22">
        <v>10</v>
      </c>
    </row>
    <row r="23" spans="1:13" ht="24" x14ac:dyDescent="0.25">
      <c r="A23" s="44">
        <v>21</v>
      </c>
      <c r="B23" s="62" t="s">
        <v>135</v>
      </c>
      <c r="C23" s="59" t="s">
        <v>131</v>
      </c>
      <c r="D23" s="58">
        <v>13</v>
      </c>
      <c r="E23" s="58">
        <v>2</v>
      </c>
      <c r="F23" s="48">
        <f t="shared" si="1"/>
        <v>51</v>
      </c>
      <c r="G23" s="55">
        <f t="shared" si="5"/>
        <v>53</v>
      </c>
      <c r="H23" s="54">
        <f t="shared" si="6"/>
        <v>58</v>
      </c>
      <c r="I23" s="48">
        <f t="shared" si="2"/>
        <v>60</v>
      </c>
      <c r="J23" s="48">
        <f t="shared" si="7"/>
        <v>7</v>
      </c>
      <c r="K23" s="49">
        <f t="shared" si="4"/>
        <v>0</v>
      </c>
      <c r="L23" s="58"/>
      <c r="M23">
        <v>11</v>
      </c>
    </row>
    <row r="24" spans="1:13" hidden="1" x14ac:dyDescent="0.25">
      <c r="A24" s="51">
        <v>22</v>
      </c>
      <c r="B24" s="58" t="s">
        <v>87</v>
      </c>
      <c r="C24" s="59" t="s">
        <v>131</v>
      </c>
      <c r="D24" s="58">
        <v>26</v>
      </c>
      <c r="E24" s="58">
        <v>0</v>
      </c>
      <c r="F24" s="48">
        <f t="shared" si="1"/>
        <v>51</v>
      </c>
      <c r="G24" s="55">
        <f t="shared" si="5"/>
        <v>51</v>
      </c>
      <c r="H24" s="54">
        <f t="shared" si="6"/>
        <v>55</v>
      </c>
      <c r="I24" s="48">
        <f t="shared" si="2"/>
        <v>55</v>
      </c>
      <c r="J24" s="48" t="str">
        <f t="shared" si="7"/>
        <v>-</v>
      </c>
      <c r="K24" s="49" t="str">
        <f t="shared" si="4"/>
        <v>-</v>
      </c>
      <c r="L24" s="58"/>
      <c r="M24">
        <v>11</v>
      </c>
    </row>
    <row r="25" spans="1:13" ht="36" x14ac:dyDescent="0.25">
      <c r="A25" s="51">
        <v>23</v>
      </c>
      <c r="B25" s="62" t="s">
        <v>136</v>
      </c>
      <c r="C25" s="59" t="s">
        <v>133</v>
      </c>
      <c r="D25" s="58">
        <v>14</v>
      </c>
      <c r="E25" s="58">
        <v>2</v>
      </c>
      <c r="F25" s="48">
        <f t="shared" si="1"/>
        <v>53</v>
      </c>
      <c r="G25" s="55">
        <f t="shared" si="5"/>
        <v>55</v>
      </c>
      <c r="H25" s="54">
        <f t="shared" si="6"/>
        <v>60</v>
      </c>
      <c r="I25" s="48">
        <f t="shared" si="2"/>
        <v>62</v>
      </c>
      <c r="J25" s="48">
        <f t="shared" si="7"/>
        <v>7</v>
      </c>
      <c r="K25" s="49">
        <f t="shared" si="4"/>
        <v>0</v>
      </c>
      <c r="L25" s="58"/>
      <c r="M25">
        <v>12</v>
      </c>
    </row>
    <row r="26" spans="1:13" hidden="1" x14ac:dyDescent="0.25">
      <c r="A26" s="51">
        <v>24</v>
      </c>
      <c r="B26" s="58" t="s">
        <v>87</v>
      </c>
      <c r="C26" s="59" t="s">
        <v>133</v>
      </c>
      <c r="D26" s="58">
        <v>28</v>
      </c>
      <c r="E26" s="58">
        <v>0</v>
      </c>
      <c r="F26" s="48">
        <f t="shared" si="1"/>
        <v>53</v>
      </c>
      <c r="G26" s="55">
        <f t="shared" si="5"/>
        <v>53</v>
      </c>
      <c r="H26" s="54">
        <f t="shared" si="6"/>
        <v>60</v>
      </c>
      <c r="I26" s="48">
        <f t="shared" si="2"/>
        <v>60</v>
      </c>
      <c r="J26" s="48" t="str">
        <f t="shared" si="7"/>
        <v>-</v>
      </c>
      <c r="K26" s="49" t="str">
        <f t="shared" si="4"/>
        <v>-</v>
      </c>
      <c r="L26" s="58"/>
      <c r="M26">
        <v>12</v>
      </c>
    </row>
    <row r="27" spans="1:13" hidden="1" x14ac:dyDescent="0.25">
      <c r="A27" s="44">
        <v>25</v>
      </c>
      <c r="B27" s="62" t="s">
        <v>87</v>
      </c>
      <c r="C27" s="59" t="s">
        <v>134</v>
      </c>
      <c r="D27" s="58">
        <v>31</v>
      </c>
      <c r="E27" s="58">
        <v>0</v>
      </c>
      <c r="F27" s="48">
        <f t="shared" si="1"/>
        <v>55</v>
      </c>
      <c r="G27" s="55">
        <f t="shared" si="5"/>
        <v>55</v>
      </c>
      <c r="H27" s="54">
        <f t="shared" si="6"/>
        <v>62</v>
      </c>
      <c r="I27" s="48">
        <f t="shared" si="2"/>
        <v>62</v>
      </c>
      <c r="J27" s="48" t="str">
        <f t="shared" si="7"/>
        <v>-</v>
      </c>
      <c r="K27" s="49" t="str">
        <f t="shared" si="4"/>
        <v>-</v>
      </c>
      <c r="L27" s="58"/>
      <c r="M27">
        <v>13</v>
      </c>
    </row>
    <row r="28" spans="1:13" hidden="1" x14ac:dyDescent="0.25">
      <c r="A28" s="51">
        <v>26</v>
      </c>
      <c r="B28" s="58" t="s">
        <v>87</v>
      </c>
      <c r="C28" s="59" t="s">
        <v>137</v>
      </c>
      <c r="D28" s="58">
        <v>16</v>
      </c>
      <c r="E28" s="58">
        <v>0</v>
      </c>
      <c r="F28" s="48">
        <f t="shared" si="1"/>
        <v>23</v>
      </c>
      <c r="G28" s="55">
        <f t="shared" si="5"/>
        <v>23</v>
      </c>
      <c r="H28" s="54">
        <f t="shared" si="6"/>
        <v>31</v>
      </c>
      <c r="I28" s="48">
        <f t="shared" si="2"/>
        <v>31</v>
      </c>
      <c r="J28" s="48" t="str">
        <f t="shared" si="7"/>
        <v>-</v>
      </c>
      <c r="K28" s="49" t="str">
        <f t="shared" si="4"/>
        <v>-</v>
      </c>
      <c r="L28" s="58"/>
      <c r="M28">
        <v>6</v>
      </c>
    </row>
    <row r="29" spans="1:13" ht="36" x14ac:dyDescent="0.25">
      <c r="A29" s="51">
        <v>27</v>
      </c>
      <c r="B29" s="62" t="s">
        <v>120</v>
      </c>
      <c r="C29" s="59" t="s">
        <v>138</v>
      </c>
      <c r="D29" s="58">
        <v>17</v>
      </c>
      <c r="E29" s="58">
        <v>4</v>
      </c>
      <c r="F29" s="48">
        <f t="shared" si="1"/>
        <v>28</v>
      </c>
      <c r="G29" s="55">
        <f t="shared" si="5"/>
        <v>32</v>
      </c>
      <c r="H29" s="54">
        <f t="shared" si="6"/>
        <v>31</v>
      </c>
      <c r="I29" s="48">
        <f t="shared" si="2"/>
        <v>35</v>
      </c>
      <c r="J29" s="48">
        <f t="shared" si="7"/>
        <v>3</v>
      </c>
      <c r="K29" s="49">
        <f t="shared" si="4"/>
        <v>0</v>
      </c>
      <c r="L29" s="58"/>
      <c r="M29" t="s">
        <v>161</v>
      </c>
    </row>
    <row r="30" spans="1:13" hidden="1" x14ac:dyDescent="0.25">
      <c r="A30" s="51">
        <v>28</v>
      </c>
      <c r="B30" s="58" t="s">
        <v>87</v>
      </c>
      <c r="C30" s="59" t="s">
        <v>139</v>
      </c>
      <c r="D30" s="58">
        <v>18</v>
      </c>
      <c r="E30" s="58">
        <v>0</v>
      </c>
      <c r="F30" s="48">
        <f t="shared" si="1"/>
        <v>32</v>
      </c>
      <c r="G30" s="55">
        <f t="shared" si="5"/>
        <v>32</v>
      </c>
      <c r="H30" s="54">
        <f t="shared" si="6"/>
        <v>35</v>
      </c>
      <c r="I30" s="48">
        <f t="shared" si="2"/>
        <v>35</v>
      </c>
      <c r="J30" s="48" t="str">
        <f t="shared" si="7"/>
        <v>-</v>
      </c>
      <c r="K30" s="49" t="str">
        <f t="shared" si="4"/>
        <v>-</v>
      </c>
      <c r="L30" s="58"/>
      <c r="M30">
        <v>16</v>
      </c>
    </row>
    <row r="31" spans="1:13" ht="60" x14ac:dyDescent="0.25">
      <c r="A31" s="44">
        <v>29</v>
      </c>
      <c r="B31" s="62" t="s">
        <v>122</v>
      </c>
      <c r="C31" s="59" t="s">
        <v>140</v>
      </c>
      <c r="D31" s="58">
        <v>19</v>
      </c>
      <c r="E31" s="58">
        <v>8</v>
      </c>
      <c r="F31" s="48">
        <f t="shared" si="1"/>
        <v>35</v>
      </c>
      <c r="G31" s="55">
        <f t="shared" si="5"/>
        <v>43</v>
      </c>
      <c r="H31" s="54">
        <f t="shared" si="6"/>
        <v>35</v>
      </c>
      <c r="I31" s="48">
        <f t="shared" si="2"/>
        <v>43</v>
      </c>
      <c r="J31" s="48">
        <f t="shared" si="7"/>
        <v>0</v>
      </c>
      <c r="K31" s="49">
        <f t="shared" si="4"/>
        <v>0</v>
      </c>
      <c r="L31" s="58"/>
      <c r="M31" t="s">
        <v>162</v>
      </c>
    </row>
    <row r="32" spans="1:13" hidden="1" x14ac:dyDescent="0.25">
      <c r="A32" s="51">
        <v>30</v>
      </c>
      <c r="B32" s="58" t="s">
        <v>87</v>
      </c>
      <c r="C32" s="59" t="s">
        <v>141</v>
      </c>
      <c r="D32" s="58">
        <v>20</v>
      </c>
      <c r="E32" s="58">
        <v>0</v>
      </c>
      <c r="F32" s="48">
        <f t="shared" si="1"/>
        <v>43</v>
      </c>
      <c r="G32" s="55">
        <f t="shared" si="5"/>
        <v>43</v>
      </c>
      <c r="H32" s="54">
        <f t="shared" si="6"/>
        <v>43</v>
      </c>
      <c r="I32" s="48">
        <f t="shared" si="2"/>
        <v>43</v>
      </c>
      <c r="J32" s="48" t="str">
        <f t="shared" si="7"/>
        <v>-</v>
      </c>
      <c r="K32" s="49" t="str">
        <f t="shared" si="4"/>
        <v>-</v>
      </c>
      <c r="L32" s="58"/>
      <c r="M32">
        <v>18</v>
      </c>
    </row>
    <row r="33" spans="1:13" ht="36" x14ac:dyDescent="0.25">
      <c r="A33" s="51">
        <v>31</v>
      </c>
      <c r="B33" s="62" t="s">
        <v>124</v>
      </c>
      <c r="C33" s="59" t="s">
        <v>142</v>
      </c>
      <c r="D33" s="58">
        <v>21</v>
      </c>
      <c r="E33" s="58">
        <v>6</v>
      </c>
      <c r="F33" s="48">
        <f t="shared" si="1"/>
        <v>43</v>
      </c>
      <c r="G33" s="55">
        <f t="shared" si="5"/>
        <v>49</v>
      </c>
      <c r="H33" s="54">
        <f t="shared" si="6"/>
        <v>43</v>
      </c>
      <c r="I33" s="48">
        <f t="shared" si="2"/>
        <v>49</v>
      </c>
      <c r="J33" s="48">
        <f t="shared" si="7"/>
        <v>0</v>
      </c>
      <c r="K33" s="49">
        <f t="shared" si="4"/>
        <v>0</v>
      </c>
      <c r="L33" s="58"/>
      <c r="M33" t="s">
        <v>163</v>
      </c>
    </row>
    <row r="34" spans="1:13" hidden="1" x14ac:dyDescent="0.25">
      <c r="A34" s="51">
        <v>32</v>
      </c>
      <c r="B34" s="58" t="s">
        <v>87</v>
      </c>
      <c r="C34" s="59" t="s">
        <v>143</v>
      </c>
      <c r="D34" s="58">
        <v>22</v>
      </c>
      <c r="E34" s="58">
        <v>0</v>
      </c>
      <c r="F34" s="48">
        <f t="shared" si="1"/>
        <v>49</v>
      </c>
      <c r="G34" s="55">
        <f t="shared" si="5"/>
        <v>49</v>
      </c>
      <c r="H34" s="54">
        <f t="shared" si="6"/>
        <v>49</v>
      </c>
      <c r="I34" s="48">
        <f t="shared" si="2"/>
        <v>49</v>
      </c>
      <c r="J34" s="48" t="str">
        <f t="shared" si="7"/>
        <v>-</v>
      </c>
      <c r="K34" s="49" t="str">
        <f t="shared" si="4"/>
        <v>-</v>
      </c>
      <c r="L34" s="58"/>
      <c r="M34">
        <v>20</v>
      </c>
    </row>
    <row r="35" spans="1:13" ht="48" x14ac:dyDescent="0.25">
      <c r="A35" s="51">
        <v>33</v>
      </c>
      <c r="B35" s="62" t="s">
        <v>126</v>
      </c>
      <c r="C35" s="59" t="s">
        <v>132</v>
      </c>
      <c r="D35" s="58">
        <v>23</v>
      </c>
      <c r="E35" s="58">
        <v>5</v>
      </c>
      <c r="F35" s="48">
        <f t="shared" si="1"/>
        <v>49</v>
      </c>
      <c r="G35" s="55">
        <f t="shared" si="5"/>
        <v>54</v>
      </c>
      <c r="H35" s="54">
        <f t="shared" si="6"/>
        <v>49</v>
      </c>
      <c r="I35" s="48">
        <f t="shared" si="2"/>
        <v>54</v>
      </c>
      <c r="J35" s="48">
        <f t="shared" si="7"/>
        <v>0</v>
      </c>
      <c r="K35" s="49">
        <f t="shared" si="4"/>
        <v>0</v>
      </c>
      <c r="L35" s="58"/>
      <c r="M35" t="s">
        <v>164</v>
      </c>
    </row>
    <row r="36" spans="1:13" hidden="1" x14ac:dyDescent="0.25">
      <c r="A36" s="51">
        <v>34</v>
      </c>
      <c r="B36" s="58" t="s">
        <v>87</v>
      </c>
      <c r="C36" s="59" t="s">
        <v>144</v>
      </c>
      <c r="D36" s="58">
        <v>24</v>
      </c>
      <c r="E36" s="58">
        <v>0</v>
      </c>
      <c r="F36" s="48">
        <f t="shared" si="1"/>
        <v>54</v>
      </c>
      <c r="G36" s="55">
        <f t="shared" si="5"/>
        <v>54</v>
      </c>
      <c r="H36" s="54">
        <f t="shared" si="6"/>
        <v>54</v>
      </c>
      <c r="I36" s="48">
        <f t="shared" si="2"/>
        <v>54</v>
      </c>
      <c r="J36" s="48" t="str">
        <f t="shared" si="7"/>
        <v>-</v>
      </c>
      <c r="K36" s="49" t="str">
        <f t="shared" si="4"/>
        <v>-</v>
      </c>
      <c r="L36" s="58"/>
      <c r="M36">
        <v>22</v>
      </c>
    </row>
    <row r="37" spans="1:13" ht="36" x14ac:dyDescent="0.25">
      <c r="A37" s="51">
        <v>35</v>
      </c>
      <c r="B37" s="62" t="s">
        <v>128</v>
      </c>
      <c r="C37" s="59" t="s">
        <v>145</v>
      </c>
      <c r="D37" s="58">
        <v>25</v>
      </c>
      <c r="E37" s="58">
        <v>1</v>
      </c>
      <c r="F37" s="48">
        <f t="shared" si="1"/>
        <v>54</v>
      </c>
      <c r="G37" s="55">
        <f t="shared" si="5"/>
        <v>55</v>
      </c>
      <c r="H37" s="54">
        <f t="shared" si="6"/>
        <v>54</v>
      </c>
      <c r="I37" s="48">
        <f t="shared" si="2"/>
        <v>55</v>
      </c>
      <c r="J37" s="48">
        <f t="shared" si="7"/>
        <v>0</v>
      </c>
      <c r="K37" s="49">
        <f t="shared" si="4"/>
        <v>0</v>
      </c>
      <c r="L37" s="58"/>
      <c r="M37" t="s">
        <v>165</v>
      </c>
    </row>
    <row r="38" spans="1:13" hidden="1" x14ac:dyDescent="0.25">
      <c r="A38" s="51">
        <v>36</v>
      </c>
      <c r="B38" s="58" t="s">
        <v>87</v>
      </c>
      <c r="C38" s="59" t="s">
        <v>146</v>
      </c>
      <c r="D38" s="58">
        <v>26</v>
      </c>
      <c r="E38" s="58">
        <v>0</v>
      </c>
      <c r="F38" s="48">
        <f t="shared" si="1"/>
        <v>55</v>
      </c>
      <c r="G38" s="55">
        <f t="shared" si="5"/>
        <v>55</v>
      </c>
      <c r="H38" s="54">
        <f t="shared" si="6"/>
        <v>55</v>
      </c>
      <c r="I38" s="48">
        <f t="shared" si="2"/>
        <v>55</v>
      </c>
      <c r="J38" s="48" t="str">
        <f t="shared" si="7"/>
        <v>-</v>
      </c>
      <c r="K38" s="49" t="str">
        <f t="shared" si="4"/>
        <v>-</v>
      </c>
      <c r="L38" s="58"/>
      <c r="M38">
        <v>24</v>
      </c>
    </row>
    <row r="39" spans="1:13" ht="24" x14ac:dyDescent="0.25">
      <c r="A39" s="51">
        <v>37</v>
      </c>
      <c r="B39" s="62" t="s">
        <v>130</v>
      </c>
      <c r="C39" s="59" t="s">
        <v>147</v>
      </c>
      <c r="D39" s="58">
        <v>27</v>
      </c>
      <c r="E39" s="58">
        <v>5</v>
      </c>
      <c r="F39" s="48">
        <f t="shared" si="1"/>
        <v>55</v>
      </c>
      <c r="G39" s="55">
        <f t="shared" si="5"/>
        <v>60</v>
      </c>
      <c r="H39" s="54">
        <f t="shared" si="6"/>
        <v>55</v>
      </c>
      <c r="I39" s="48">
        <f t="shared" si="2"/>
        <v>60</v>
      </c>
      <c r="J39" s="48">
        <f t="shared" si="7"/>
        <v>0</v>
      </c>
      <c r="K39" s="49">
        <f t="shared" si="4"/>
        <v>0</v>
      </c>
      <c r="L39" s="58"/>
      <c r="M39" t="s">
        <v>166</v>
      </c>
    </row>
    <row r="40" spans="1:13" hidden="1" x14ac:dyDescent="0.25">
      <c r="A40" s="51">
        <v>38</v>
      </c>
      <c r="B40" s="58" t="s">
        <v>87</v>
      </c>
      <c r="C40" s="59" t="s">
        <v>148</v>
      </c>
      <c r="D40" s="58">
        <v>28</v>
      </c>
      <c r="E40" s="58">
        <v>0</v>
      </c>
      <c r="F40" s="48">
        <f t="shared" si="1"/>
        <v>60</v>
      </c>
      <c r="G40" s="55">
        <f t="shared" si="5"/>
        <v>60</v>
      </c>
      <c r="H40" s="54">
        <f t="shared" si="6"/>
        <v>60</v>
      </c>
      <c r="I40" s="48">
        <f t="shared" si="2"/>
        <v>60</v>
      </c>
      <c r="J40" s="48" t="str">
        <f t="shared" si="7"/>
        <v>-</v>
      </c>
      <c r="K40" s="49" t="str">
        <f t="shared" si="4"/>
        <v>-</v>
      </c>
      <c r="L40" s="58"/>
      <c r="M40">
        <v>26</v>
      </c>
    </row>
    <row r="41" spans="1:13" ht="24" x14ac:dyDescent="0.25">
      <c r="A41" s="51">
        <v>39</v>
      </c>
      <c r="B41" s="62" t="s">
        <v>135</v>
      </c>
      <c r="C41" s="59" t="s">
        <v>149</v>
      </c>
      <c r="D41" s="58">
        <v>29</v>
      </c>
      <c r="E41" s="58">
        <v>2</v>
      </c>
      <c r="F41" s="48">
        <f t="shared" si="1"/>
        <v>60</v>
      </c>
      <c r="G41" s="55">
        <f t="shared" si="5"/>
        <v>62</v>
      </c>
      <c r="H41" s="54">
        <f t="shared" si="6"/>
        <v>60</v>
      </c>
      <c r="I41" s="48">
        <f t="shared" si="2"/>
        <v>62</v>
      </c>
      <c r="J41" s="48">
        <f t="shared" si="7"/>
        <v>0</v>
      </c>
      <c r="K41" s="49">
        <f t="shared" si="4"/>
        <v>0</v>
      </c>
      <c r="L41" s="58"/>
      <c r="M41" t="s">
        <v>167</v>
      </c>
    </row>
    <row r="42" spans="1:13" hidden="1" x14ac:dyDescent="0.25">
      <c r="A42" s="51">
        <v>40</v>
      </c>
      <c r="B42" s="58" t="s">
        <v>87</v>
      </c>
      <c r="C42" s="59" t="s">
        <v>150</v>
      </c>
      <c r="D42" s="58">
        <v>31</v>
      </c>
      <c r="E42" s="58">
        <v>0</v>
      </c>
      <c r="F42" s="48">
        <f t="shared" si="1"/>
        <v>62</v>
      </c>
      <c r="G42" s="55">
        <f t="shared" si="5"/>
        <v>62</v>
      </c>
      <c r="H42" s="54">
        <f t="shared" si="6"/>
        <v>62</v>
      </c>
      <c r="I42" s="48">
        <f t="shared" si="2"/>
        <v>62</v>
      </c>
      <c r="J42" s="48" t="str">
        <f t="shared" si="7"/>
        <v>-</v>
      </c>
      <c r="K42" s="49" t="str">
        <f t="shared" si="4"/>
        <v>-</v>
      </c>
      <c r="L42" s="58"/>
      <c r="M42">
        <v>28</v>
      </c>
    </row>
    <row r="43" spans="1:13" hidden="1" x14ac:dyDescent="0.25">
      <c r="A43" s="51">
        <v>41</v>
      </c>
      <c r="B43" s="58" t="s">
        <v>87</v>
      </c>
      <c r="C43" s="60" t="s">
        <v>151</v>
      </c>
      <c r="D43" s="58">
        <v>32</v>
      </c>
      <c r="E43" s="58">
        <v>0</v>
      </c>
      <c r="F43" s="48">
        <f t="shared" si="1"/>
        <v>24</v>
      </c>
      <c r="G43" s="55">
        <f t="shared" si="5"/>
        <v>24</v>
      </c>
      <c r="H43" s="54">
        <f t="shared" si="6"/>
        <v>65</v>
      </c>
      <c r="I43" s="48">
        <f t="shared" si="2"/>
        <v>65</v>
      </c>
      <c r="J43" s="48" t="str">
        <f t="shared" si="7"/>
        <v>-</v>
      </c>
      <c r="K43" s="49" t="str">
        <f t="shared" si="4"/>
        <v>-</v>
      </c>
      <c r="L43" s="58"/>
      <c r="M43">
        <v>5</v>
      </c>
    </row>
    <row r="44" spans="1:13" ht="36" x14ac:dyDescent="0.25">
      <c r="A44" s="51">
        <v>42</v>
      </c>
      <c r="B44" s="62" t="s">
        <v>136</v>
      </c>
      <c r="C44" s="58">
        <v>31</v>
      </c>
      <c r="D44" s="58">
        <v>32</v>
      </c>
      <c r="E44" s="58">
        <v>3</v>
      </c>
      <c r="F44" s="48">
        <f t="shared" si="1"/>
        <v>62</v>
      </c>
      <c r="G44" s="55">
        <f t="shared" si="5"/>
        <v>65</v>
      </c>
      <c r="H44" s="54">
        <f t="shared" si="6"/>
        <v>62</v>
      </c>
      <c r="I44" s="48">
        <f t="shared" si="2"/>
        <v>65</v>
      </c>
      <c r="J44" s="48">
        <f t="shared" si="7"/>
        <v>0</v>
      </c>
      <c r="K44" s="49">
        <f t="shared" si="4"/>
        <v>0</v>
      </c>
      <c r="L44" s="58"/>
      <c r="M44" t="s">
        <v>168</v>
      </c>
    </row>
    <row r="45" spans="1:13" ht="36" x14ac:dyDescent="0.25">
      <c r="A45" s="51">
        <v>43</v>
      </c>
      <c r="B45" s="62" t="s">
        <v>152</v>
      </c>
      <c r="C45" s="58">
        <v>32</v>
      </c>
      <c r="D45" s="58">
        <v>33</v>
      </c>
      <c r="E45" s="58">
        <v>5</v>
      </c>
      <c r="F45" s="48">
        <f t="shared" si="1"/>
        <v>65</v>
      </c>
      <c r="G45" s="58">
        <f t="shared" si="5"/>
        <v>70</v>
      </c>
      <c r="H45" s="58">
        <f t="shared" si="6"/>
        <v>65</v>
      </c>
      <c r="I45" s="48">
        <f t="shared" si="2"/>
        <v>70</v>
      </c>
      <c r="J45" s="58">
        <f t="shared" si="7"/>
        <v>0</v>
      </c>
      <c r="K45" s="49">
        <f t="shared" si="4"/>
        <v>0</v>
      </c>
      <c r="L45" s="58"/>
      <c r="M45" t="s">
        <v>169</v>
      </c>
    </row>
    <row r="46" spans="1:13" ht="24" x14ac:dyDescent="0.25">
      <c r="A46" s="51">
        <v>44</v>
      </c>
      <c r="B46" s="62" t="s">
        <v>153</v>
      </c>
      <c r="C46" s="58">
        <v>32</v>
      </c>
      <c r="D46" s="58">
        <v>51</v>
      </c>
      <c r="E46" s="58">
        <v>4</v>
      </c>
      <c r="F46" s="48">
        <f t="shared" si="1"/>
        <v>65</v>
      </c>
      <c r="G46" s="58">
        <f t="shared" ref="G46:G75" si="8">F46+E46</f>
        <v>69</v>
      </c>
      <c r="H46" s="58">
        <f t="shared" ref="H46:H75" si="9">I46-E46</f>
        <v>87</v>
      </c>
      <c r="I46" s="48">
        <f t="shared" si="2"/>
        <v>91</v>
      </c>
      <c r="J46" s="58">
        <f t="shared" ref="J46:J75" si="10">IF(E46=0,"-",I46-G46)</f>
        <v>22</v>
      </c>
      <c r="K46" s="49">
        <f t="shared" si="4"/>
        <v>0</v>
      </c>
      <c r="L46" s="58"/>
      <c r="M46" t="s">
        <v>170</v>
      </c>
    </row>
    <row r="47" spans="1:13" ht="24" x14ac:dyDescent="0.25">
      <c r="A47" s="51">
        <v>45</v>
      </c>
      <c r="B47" s="62" t="s">
        <v>154</v>
      </c>
      <c r="C47" s="58">
        <v>32</v>
      </c>
      <c r="D47" s="58">
        <v>52</v>
      </c>
      <c r="E47" s="58">
        <v>4</v>
      </c>
      <c r="F47" s="48">
        <f t="shared" si="1"/>
        <v>65</v>
      </c>
      <c r="G47" s="58">
        <f t="shared" si="8"/>
        <v>69</v>
      </c>
      <c r="H47" s="58">
        <f t="shared" si="9"/>
        <v>87</v>
      </c>
      <c r="I47" s="48">
        <f t="shared" si="2"/>
        <v>91</v>
      </c>
      <c r="J47" s="58">
        <f t="shared" si="10"/>
        <v>22</v>
      </c>
      <c r="K47" s="49">
        <f t="shared" si="4"/>
        <v>22</v>
      </c>
      <c r="L47" s="58"/>
      <c r="M47" t="s">
        <v>171</v>
      </c>
    </row>
    <row r="48" spans="1:13" ht="24" x14ac:dyDescent="0.25">
      <c r="A48" s="51">
        <v>46</v>
      </c>
      <c r="B48" s="62" t="s">
        <v>155</v>
      </c>
      <c r="C48" s="58">
        <v>33</v>
      </c>
      <c r="D48" s="58">
        <v>34</v>
      </c>
      <c r="E48" s="58">
        <v>2</v>
      </c>
      <c r="F48" s="48">
        <f t="shared" si="1"/>
        <v>70</v>
      </c>
      <c r="G48" s="58">
        <f t="shared" si="8"/>
        <v>72</v>
      </c>
      <c r="H48" s="58">
        <f t="shared" si="9"/>
        <v>71</v>
      </c>
      <c r="I48" s="48">
        <f t="shared" si="2"/>
        <v>73</v>
      </c>
      <c r="J48" s="58">
        <f t="shared" si="10"/>
        <v>1</v>
      </c>
      <c r="K48" s="49">
        <f t="shared" si="4"/>
        <v>0</v>
      </c>
      <c r="L48" s="58"/>
      <c r="M48">
        <v>32</v>
      </c>
    </row>
    <row r="49" spans="1:13" hidden="1" x14ac:dyDescent="0.25">
      <c r="A49" s="51">
        <v>47</v>
      </c>
      <c r="B49" s="62" t="s">
        <v>87</v>
      </c>
      <c r="C49" s="58">
        <v>33</v>
      </c>
      <c r="D49" s="58">
        <v>39</v>
      </c>
      <c r="E49" s="58">
        <v>0</v>
      </c>
      <c r="F49" s="48">
        <f t="shared" si="1"/>
        <v>70</v>
      </c>
      <c r="G49" s="58">
        <f t="shared" si="8"/>
        <v>70</v>
      </c>
      <c r="H49" s="58">
        <f t="shared" si="9"/>
        <v>70</v>
      </c>
      <c r="I49" s="48">
        <f t="shared" si="2"/>
        <v>70</v>
      </c>
      <c r="J49" s="58" t="str">
        <f t="shared" si="10"/>
        <v>-</v>
      </c>
      <c r="K49" s="49" t="str">
        <f t="shared" si="4"/>
        <v>-</v>
      </c>
      <c r="L49" s="58"/>
      <c r="M49">
        <v>32</v>
      </c>
    </row>
    <row r="50" spans="1:13" ht="36" x14ac:dyDescent="0.25">
      <c r="A50" s="51">
        <v>48</v>
      </c>
      <c r="B50" s="62" t="s">
        <v>156</v>
      </c>
      <c r="C50" s="58">
        <v>34</v>
      </c>
      <c r="D50" s="58">
        <v>35</v>
      </c>
      <c r="E50" s="58">
        <v>3</v>
      </c>
      <c r="F50" s="48">
        <f t="shared" si="1"/>
        <v>72</v>
      </c>
      <c r="G50" s="58">
        <f t="shared" si="8"/>
        <v>75</v>
      </c>
      <c r="H50" s="58">
        <f t="shared" si="9"/>
        <v>73</v>
      </c>
      <c r="I50" s="48">
        <f t="shared" si="2"/>
        <v>76</v>
      </c>
      <c r="J50" s="58">
        <f t="shared" si="10"/>
        <v>1</v>
      </c>
      <c r="K50" s="49">
        <f t="shared" si="4"/>
        <v>0</v>
      </c>
      <c r="L50" s="58"/>
      <c r="M50">
        <v>33</v>
      </c>
    </row>
    <row r="51" spans="1:13" hidden="1" x14ac:dyDescent="0.25">
      <c r="A51" s="51">
        <v>49</v>
      </c>
      <c r="B51" s="62" t="s">
        <v>87</v>
      </c>
      <c r="C51" s="58">
        <v>34</v>
      </c>
      <c r="D51" s="58">
        <v>41</v>
      </c>
      <c r="E51" s="58">
        <v>0</v>
      </c>
      <c r="F51" s="48">
        <f t="shared" si="1"/>
        <v>72</v>
      </c>
      <c r="G51" s="58">
        <f t="shared" si="8"/>
        <v>72</v>
      </c>
      <c r="H51" s="58">
        <f t="shared" si="9"/>
        <v>75</v>
      </c>
      <c r="I51" s="48">
        <f t="shared" si="2"/>
        <v>75</v>
      </c>
      <c r="J51" s="58" t="str">
        <f t="shared" si="10"/>
        <v>-</v>
      </c>
      <c r="K51" s="49" t="str">
        <f t="shared" si="4"/>
        <v>-</v>
      </c>
      <c r="L51" s="58"/>
      <c r="M51">
        <v>33</v>
      </c>
    </row>
    <row r="52" spans="1:13" ht="60" x14ac:dyDescent="0.25">
      <c r="A52" s="51">
        <v>50</v>
      </c>
      <c r="B52" s="62" t="s">
        <v>157</v>
      </c>
      <c r="C52" s="58">
        <v>35</v>
      </c>
      <c r="D52" s="58">
        <v>36</v>
      </c>
      <c r="E52" s="58">
        <v>4</v>
      </c>
      <c r="F52" s="48">
        <f t="shared" si="1"/>
        <v>75</v>
      </c>
      <c r="G52" s="58">
        <f t="shared" si="8"/>
        <v>79</v>
      </c>
      <c r="H52" s="58">
        <f t="shared" si="9"/>
        <v>76</v>
      </c>
      <c r="I52" s="48">
        <f t="shared" si="2"/>
        <v>80</v>
      </c>
      <c r="J52" s="58">
        <f t="shared" si="10"/>
        <v>1</v>
      </c>
      <c r="K52" s="49">
        <f t="shared" si="4"/>
        <v>0</v>
      </c>
      <c r="L52" s="58"/>
      <c r="M52">
        <v>34</v>
      </c>
    </row>
    <row r="53" spans="1:13" hidden="1" x14ac:dyDescent="0.25">
      <c r="A53" s="51">
        <v>51</v>
      </c>
      <c r="B53" s="62" t="s">
        <v>87</v>
      </c>
      <c r="C53" s="58">
        <v>35</v>
      </c>
      <c r="D53" s="58">
        <v>43</v>
      </c>
      <c r="E53" s="58">
        <v>0</v>
      </c>
      <c r="F53" s="48">
        <f t="shared" si="1"/>
        <v>75</v>
      </c>
      <c r="G53" s="58">
        <f t="shared" si="8"/>
        <v>75</v>
      </c>
      <c r="H53" s="58">
        <f t="shared" si="9"/>
        <v>77</v>
      </c>
      <c r="I53" s="48">
        <f t="shared" si="2"/>
        <v>77</v>
      </c>
      <c r="J53" s="58" t="str">
        <f t="shared" si="10"/>
        <v>-</v>
      </c>
      <c r="K53" s="49" t="str">
        <f t="shared" si="4"/>
        <v>-</v>
      </c>
      <c r="L53" s="58"/>
      <c r="M53">
        <v>34</v>
      </c>
    </row>
    <row r="54" spans="1:13" ht="36" x14ac:dyDescent="0.25">
      <c r="A54" s="51">
        <v>52</v>
      </c>
      <c r="B54" s="62" t="s">
        <v>158</v>
      </c>
      <c r="C54" s="58">
        <v>36</v>
      </c>
      <c r="D54" s="58">
        <v>37</v>
      </c>
      <c r="E54" s="58">
        <v>2</v>
      </c>
      <c r="F54" s="48">
        <f t="shared" si="1"/>
        <v>79</v>
      </c>
      <c r="G54" s="58">
        <f t="shared" si="8"/>
        <v>81</v>
      </c>
      <c r="H54" s="58">
        <f t="shared" si="9"/>
        <v>80</v>
      </c>
      <c r="I54" s="48">
        <f t="shared" si="2"/>
        <v>82</v>
      </c>
      <c r="J54" s="58">
        <f t="shared" si="10"/>
        <v>1</v>
      </c>
      <c r="K54" s="49">
        <f t="shared" si="4"/>
        <v>0</v>
      </c>
      <c r="L54" s="58"/>
      <c r="M54">
        <v>35</v>
      </c>
    </row>
    <row r="55" spans="1:13" hidden="1" x14ac:dyDescent="0.25">
      <c r="A55" s="51">
        <v>53</v>
      </c>
      <c r="B55" s="62" t="s">
        <v>87</v>
      </c>
      <c r="C55" s="58">
        <v>36</v>
      </c>
      <c r="D55" s="58">
        <v>45</v>
      </c>
      <c r="E55" s="58">
        <v>0</v>
      </c>
      <c r="F55" s="48">
        <f t="shared" si="1"/>
        <v>79</v>
      </c>
      <c r="G55" s="58">
        <f t="shared" si="8"/>
        <v>79</v>
      </c>
      <c r="H55" s="58">
        <f t="shared" si="9"/>
        <v>80</v>
      </c>
      <c r="I55" s="48">
        <f t="shared" si="2"/>
        <v>80</v>
      </c>
      <c r="J55" s="58" t="str">
        <f t="shared" si="10"/>
        <v>-</v>
      </c>
      <c r="K55" s="49" t="str">
        <f t="shared" si="4"/>
        <v>-</v>
      </c>
      <c r="L55" s="58"/>
      <c r="M55">
        <v>35</v>
      </c>
    </row>
    <row r="56" spans="1:13" ht="36" x14ac:dyDescent="0.25">
      <c r="A56" s="51">
        <v>54</v>
      </c>
      <c r="B56" s="62" t="s">
        <v>159</v>
      </c>
      <c r="C56" s="58">
        <v>37</v>
      </c>
      <c r="D56" s="58">
        <v>38</v>
      </c>
      <c r="E56" s="58">
        <v>1</v>
      </c>
      <c r="F56" s="48">
        <f t="shared" si="1"/>
        <v>81</v>
      </c>
      <c r="G56" s="58">
        <f t="shared" si="8"/>
        <v>82</v>
      </c>
      <c r="H56" s="58">
        <f t="shared" si="9"/>
        <v>82</v>
      </c>
      <c r="I56" s="48">
        <f t="shared" si="2"/>
        <v>83</v>
      </c>
      <c r="J56" s="58">
        <f t="shared" si="10"/>
        <v>1</v>
      </c>
      <c r="K56" s="49">
        <f t="shared" si="4"/>
        <v>0</v>
      </c>
      <c r="L56" s="58"/>
      <c r="M56">
        <v>36</v>
      </c>
    </row>
    <row r="57" spans="1:13" hidden="1" x14ac:dyDescent="0.25">
      <c r="A57" s="51">
        <v>55</v>
      </c>
      <c r="B57" s="62" t="s">
        <v>87</v>
      </c>
      <c r="C57" s="58">
        <v>37</v>
      </c>
      <c r="D57" s="58">
        <v>47</v>
      </c>
      <c r="E57" s="58">
        <v>0</v>
      </c>
      <c r="F57" s="48">
        <f t="shared" si="1"/>
        <v>81</v>
      </c>
      <c r="G57" s="58">
        <f t="shared" si="8"/>
        <v>81</v>
      </c>
      <c r="H57" s="58">
        <f t="shared" si="9"/>
        <v>82</v>
      </c>
      <c r="I57" s="48">
        <f t="shared" si="2"/>
        <v>82</v>
      </c>
      <c r="J57" s="58" t="str">
        <f t="shared" si="10"/>
        <v>-</v>
      </c>
      <c r="K57" s="49" t="str">
        <f t="shared" si="4"/>
        <v>-</v>
      </c>
      <c r="L57" s="58"/>
      <c r="M57">
        <v>36</v>
      </c>
    </row>
    <row r="58" spans="1:13" hidden="1" x14ac:dyDescent="0.25">
      <c r="A58" s="51">
        <v>56</v>
      </c>
      <c r="B58" s="62" t="s">
        <v>87</v>
      </c>
      <c r="C58" s="58">
        <v>38</v>
      </c>
      <c r="D58" s="58">
        <v>49</v>
      </c>
      <c r="E58" s="58">
        <v>0</v>
      </c>
      <c r="F58" s="48">
        <f t="shared" si="1"/>
        <v>82</v>
      </c>
      <c r="G58" s="58">
        <f t="shared" si="8"/>
        <v>82</v>
      </c>
      <c r="H58" s="58">
        <f t="shared" si="9"/>
        <v>83</v>
      </c>
      <c r="I58" s="48">
        <f t="shared" si="2"/>
        <v>83</v>
      </c>
      <c r="J58" s="58" t="str">
        <f t="shared" si="10"/>
        <v>-</v>
      </c>
      <c r="K58" s="49" t="str">
        <f t="shared" si="4"/>
        <v>-</v>
      </c>
      <c r="L58" s="58"/>
      <c r="M58">
        <v>37</v>
      </c>
    </row>
    <row r="59" spans="1:13" ht="36" x14ac:dyDescent="0.25">
      <c r="A59" s="51">
        <v>57</v>
      </c>
      <c r="B59" s="62" t="s">
        <v>152</v>
      </c>
      <c r="C59" s="58">
        <v>39</v>
      </c>
      <c r="D59" s="58">
        <v>40</v>
      </c>
      <c r="E59" s="58">
        <v>5</v>
      </c>
      <c r="F59" s="48">
        <f t="shared" si="1"/>
        <v>70</v>
      </c>
      <c r="G59" s="58">
        <f t="shared" si="8"/>
        <v>75</v>
      </c>
      <c r="H59" s="58">
        <f t="shared" si="9"/>
        <v>70</v>
      </c>
      <c r="I59" s="48">
        <f t="shared" si="2"/>
        <v>75</v>
      </c>
      <c r="J59" s="58">
        <f t="shared" si="10"/>
        <v>0</v>
      </c>
      <c r="K59" s="49">
        <f t="shared" si="4"/>
        <v>0</v>
      </c>
      <c r="L59" s="58"/>
      <c r="M59">
        <v>33</v>
      </c>
    </row>
    <row r="60" spans="1:13" hidden="1" x14ac:dyDescent="0.25">
      <c r="A60" s="51">
        <v>58</v>
      </c>
      <c r="B60" s="62" t="s">
        <v>87</v>
      </c>
      <c r="C60" s="58">
        <v>40</v>
      </c>
      <c r="D60" s="58">
        <v>41</v>
      </c>
      <c r="E60" s="58">
        <v>0</v>
      </c>
      <c r="F60" s="48">
        <f t="shared" si="1"/>
        <v>75</v>
      </c>
      <c r="G60" s="58">
        <f t="shared" si="8"/>
        <v>75</v>
      </c>
      <c r="H60" s="58">
        <f t="shared" si="9"/>
        <v>75</v>
      </c>
      <c r="I60" s="48">
        <f t="shared" si="2"/>
        <v>75</v>
      </c>
      <c r="J60" s="58" t="str">
        <f t="shared" si="10"/>
        <v>-</v>
      </c>
      <c r="K60" s="49" t="str">
        <f t="shared" si="4"/>
        <v>-</v>
      </c>
      <c r="L60" s="58"/>
      <c r="M60">
        <v>39</v>
      </c>
    </row>
    <row r="61" spans="1:13" ht="24" x14ac:dyDescent="0.25">
      <c r="A61" s="51">
        <v>59</v>
      </c>
      <c r="B61" s="62" t="s">
        <v>155</v>
      </c>
      <c r="C61" s="58">
        <v>41</v>
      </c>
      <c r="D61" s="58">
        <v>42</v>
      </c>
      <c r="E61" s="58">
        <v>2</v>
      </c>
      <c r="F61" s="48">
        <f t="shared" si="1"/>
        <v>75</v>
      </c>
      <c r="G61" s="58">
        <f t="shared" si="8"/>
        <v>77</v>
      </c>
      <c r="H61" s="58">
        <f t="shared" si="9"/>
        <v>75</v>
      </c>
      <c r="I61" s="48">
        <f t="shared" si="2"/>
        <v>77</v>
      </c>
      <c r="J61" s="58">
        <f t="shared" si="10"/>
        <v>0</v>
      </c>
      <c r="K61" s="49">
        <f t="shared" si="4"/>
        <v>0</v>
      </c>
      <c r="L61" s="58"/>
      <c r="M61" t="s">
        <v>172</v>
      </c>
    </row>
    <row r="62" spans="1:13" hidden="1" x14ac:dyDescent="0.25">
      <c r="A62" s="51">
        <v>60</v>
      </c>
      <c r="B62" s="62" t="s">
        <v>87</v>
      </c>
      <c r="C62" s="58">
        <v>42</v>
      </c>
      <c r="D62" s="58">
        <v>43</v>
      </c>
      <c r="E62" s="58">
        <v>0</v>
      </c>
      <c r="F62" s="48">
        <f t="shared" si="1"/>
        <v>77</v>
      </c>
      <c r="G62" s="58">
        <f t="shared" si="8"/>
        <v>77</v>
      </c>
      <c r="H62" s="58">
        <f t="shared" si="9"/>
        <v>77</v>
      </c>
      <c r="I62" s="48">
        <f t="shared" si="2"/>
        <v>77</v>
      </c>
      <c r="J62" s="58" t="str">
        <f t="shared" si="10"/>
        <v>-</v>
      </c>
      <c r="K62" s="49" t="str">
        <f t="shared" si="4"/>
        <v>-</v>
      </c>
      <c r="L62" s="58"/>
      <c r="M62">
        <v>41</v>
      </c>
    </row>
    <row r="63" spans="1:13" ht="36" x14ac:dyDescent="0.25">
      <c r="A63" s="51">
        <v>61</v>
      </c>
      <c r="B63" s="62" t="s">
        <v>156</v>
      </c>
      <c r="C63" s="58">
        <v>43</v>
      </c>
      <c r="D63" s="58">
        <v>44</v>
      </c>
      <c r="E63" s="58">
        <v>3</v>
      </c>
      <c r="F63" s="48">
        <f t="shared" si="1"/>
        <v>77</v>
      </c>
      <c r="G63" s="58">
        <f t="shared" si="8"/>
        <v>80</v>
      </c>
      <c r="H63" s="58">
        <f t="shared" si="9"/>
        <v>77</v>
      </c>
      <c r="I63" s="48">
        <f t="shared" si="2"/>
        <v>80</v>
      </c>
      <c r="J63" s="58">
        <f t="shared" si="10"/>
        <v>0</v>
      </c>
      <c r="K63" s="49">
        <f t="shared" si="4"/>
        <v>0</v>
      </c>
      <c r="L63" s="58"/>
      <c r="M63" t="s">
        <v>173</v>
      </c>
    </row>
    <row r="64" spans="1:13" hidden="1" x14ac:dyDescent="0.25">
      <c r="A64" s="51">
        <v>62</v>
      </c>
      <c r="B64" s="62" t="s">
        <v>87</v>
      </c>
      <c r="C64" s="58">
        <v>44</v>
      </c>
      <c r="D64" s="58">
        <v>45</v>
      </c>
      <c r="E64" s="58">
        <v>0</v>
      </c>
      <c r="F64" s="48">
        <f t="shared" si="1"/>
        <v>80</v>
      </c>
      <c r="G64" s="58">
        <f t="shared" si="8"/>
        <v>80</v>
      </c>
      <c r="H64" s="58">
        <f t="shared" si="9"/>
        <v>80</v>
      </c>
      <c r="I64" s="48">
        <f t="shared" si="2"/>
        <v>80</v>
      </c>
      <c r="J64" s="58" t="str">
        <f t="shared" si="10"/>
        <v>-</v>
      </c>
      <c r="K64" s="49" t="str">
        <f t="shared" si="4"/>
        <v>-</v>
      </c>
      <c r="L64" s="58"/>
      <c r="M64">
        <v>43</v>
      </c>
    </row>
    <row r="65" spans="1:13" ht="60" x14ac:dyDescent="0.25">
      <c r="A65" s="51">
        <v>63</v>
      </c>
      <c r="B65" s="62" t="s">
        <v>157</v>
      </c>
      <c r="C65" s="58">
        <v>45</v>
      </c>
      <c r="D65" s="58">
        <v>46</v>
      </c>
      <c r="E65" s="58">
        <v>2</v>
      </c>
      <c r="F65" s="48">
        <f t="shared" si="1"/>
        <v>80</v>
      </c>
      <c r="G65" s="58">
        <f t="shared" si="8"/>
        <v>82</v>
      </c>
      <c r="H65" s="58">
        <f t="shared" si="9"/>
        <v>80</v>
      </c>
      <c r="I65" s="48">
        <f t="shared" si="2"/>
        <v>82</v>
      </c>
      <c r="J65" s="58">
        <f t="shared" si="10"/>
        <v>0</v>
      </c>
      <c r="K65" s="49">
        <f t="shared" si="4"/>
        <v>0</v>
      </c>
      <c r="L65" s="58"/>
      <c r="M65" t="s">
        <v>174</v>
      </c>
    </row>
    <row r="66" spans="1:13" hidden="1" x14ac:dyDescent="0.25">
      <c r="A66" s="51">
        <v>64</v>
      </c>
      <c r="B66" s="62" t="s">
        <v>87</v>
      </c>
      <c r="C66" s="58">
        <v>46</v>
      </c>
      <c r="D66" s="58">
        <v>47</v>
      </c>
      <c r="E66" s="58">
        <v>0</v>
      </c>
      <c r="F66" s="48">
        <f t="shared" si="1"/>
        <v>82</v>
      </c>
      <c r="G66" s="58">
        <f t="shared" si="8"/>
        <v>82</v>
      </c>
      <c r="H66" s="58">
        <f t="shared" si="9"/>
        <v>82</v>
      </c>
      <c r="I66" s="48">
        <f t="shared" si="2"/>
        <v>82</v>
      </c>
      <c r="J66" s="58" t="str">
        <f t="shared" si="10"/>
        <v>-</v>
      </c>
      <c r="K66" s="49" t="str">
        <f t="shared" si="4"/>
        <v>-</v>
      </c>
      <c r="L66" s="58"/>
      <c r="M66">
        <v>45</v>
      </c>
    </row>
    <row r="67" spans="1:13" ht="36" x14ac:dyDescent="0.25">
      <c r="A67" s="51">
        <v>65</v>
      </c>
      <c r="B67" s="62" t="s">
        <v>158</v>
      </c>
      <c r="C67" s="58">
        <v>47</v>
      </c>
      <c r="D67" s="58">
        <v>48</v>
      </c>
      <c r="E67" s="58">
        <v>1</v>
      </c>
      <c r="F67" s="48">
        <f t="shared" si="1"/>
        <v>82</v>
      </c>
      <c r="G67" s="58">
        <f t="shared" si="8"/>
        <v>83</v>
      </c>
      <c r="H67" s="58">
        <f t="shared" si="9"/>
        <v>82</v>
      </c>
      <c r="I67" s="48">
        <f t="shared" si="2"/>
        <v>83</v>
      </c>
      <c r="J67" s="58">
        <f t="shared" si="10"/>
        <v>0</v>
      </c>
      <c r="K67" s="49">
        <f t="shared" si="4"/>
        <v>0</v>
      </c>
      <c r="L67" s="58"/>
      <c r="M67" t="s">
        <v>175</v>
      </c>
    </row>
    <row r="68" spans="1:13" hidden="1" x14ac:dyDescent="0.25">
      <c r="A68" s="51">
        <v>66</v>
      </c>
      <c r="B68" s="62" t="s">
        <v>87</v>
      </c>
      <c r="C68" s="58">
        <v>48</v>
      </c>
      <c r="D68" s="58">
        <v>49</v>
      </c>
      <c r="E68" s="58">
        <v>0</v>
      </c>
      <c r="F68" s="48">
        <f t="shared" ref="F68:F74" si="11">IF($C68=1,0,_xlfn.MAXIFS($G$3:$G$75,$D$3:$D$75,$C68))</f>
        <v>83</v>
      </c>
      <c r="G68" s="58">
        <f t="shared" si="8"/>
        <v>83</v>
      </c>
      <c r="H68" s="58">
        <f t="shared" si="9"/>
        <v>83</v>
      </c>
      <c r="I68" s="48">
        <f t="shared" ref="I68:I75" si="12">IF($D68=MAX($D$3:$D$75),MAX($G$3:$G$75),_xlfn.MINIFS($H$3:$H$75,$C$3:$C$75,$D68))</f>
        <v>83</v>
      </c>
      <c r="J68" s="58" t="str">
        <f t="shared" si="10"/>
        <v>-</v>
      </c>
      <c r="K68" s="49" t="str">
        <f t="shared" ref="K68:K75" si="13">IF($E68=0,"-",_xlfn.MAXIFS($G$3:$G$75,$D$3:$D$75,$D68)-($F68+$E68))</f>
        <v>-</v>
      </c>
      <c r="L68" s="58"/>
      <c r="M68">
        <v>47</v>
      </c>
    </row>
    <row r="69" spans="1:13" ht="36" x14ac:dyDescent="0.25">
      <c r="A69" s="51">
        <v>67</v>
      </c>
      <c r="B69" s="62" t="s">
        <v>159</v>
      </c>
      <c r="C69" s="58">
        <v>49</v>
      </c>
      <c r="D69" s="58">
        <v>50</v>
      </c>
      <c r="E69" s="58">
        <v>1</v>
      </c>
      <c r="F69" s="48">
        <f t="shared" si="11"/>
        <v>83</v>
      </c>
      <c r="G69" s="58">
        <f t="shared" si="8"/>
        <v>84</v>
      </c>
      <c r="H69" s="58">
        <f t="shared" si="9"/>
        <v>83</v>
      </c>
      <c r="I69" s="48">
        <f t="shared" si="12"/>
        <v>84</v>
      </c>
      <c r="J69" s="58">
        <f t="shared" si="10"/>
        <v>0</v>
      </c>
      <c r="K69" s="49">
        <f t="shared" si="13"/>
        <v>0</v>
      </c>
      <c r="L69" s="58"/>
      <c r="M69" t="s">
        <v>176</v>
      </c>
    </row>
    <row r="70" spans="1:13" x14ac:dyDescent="0.25">
      <c r="A70" s="51">
        <v>68</v>
      </c>
      <c r="B70" s="62" t="s">
        <v>112</v>
      </c>
      <c r="C70" s="58">
        <v>50</v>
      </c>
      <c r="D70" s="58">
        <v>52</v>
      </c>
      <c r="E70" s="58">
        <v>7</v>
      </c>
      <c r="F70" s="48">
        <f t="shared" si="11"/>
        <v>84</v>
      </c>
      <c r="G70" s="58">
        <f t="shared" si="8"/>
        <v>91</v>
      </c>
      <c r="H70" s="58">
        <f t="shared" si="9"/>
        <v>84</v>
      </c>
      <c r="I70" s="48">
        <f t="shared" si="12"/>
        <v>91</v>
      </c>
      <c r="J70" s="58">
        <f t="shared" si="10"/>
        <v>0</v>
      </c>
      <c r="K70" s="49">
        <f t="shared" si="13"/>
        <v>0</v>
      </c>
      <c r="L70" s="58"/>
      <c r="M70">
        <v>49</v>
      </c>
    </row>
    <row r="71" spans="1:13" hidden="1" x14ac:dyDescent="0.25">
      <c r="A71" s="51">
        <v>69</v>
      </c>
      <c r="B71" s="62" t="s">
        <v>87</v>
      </c>
      <c r="C71" s="58">
        <v>51</v>
      </c>
      <c r="D71" s="58">
        <v>52</v>
      </c>
      <c r="E71" s="58">
        <v>0</v>
      </c>
      <c r="F71" s="48">
        <f t="shared" si="11"/>
        <v>69</v>
      </c>
      <c r="G71" s="58">
        <f t="shared" si="8"/>
        <v>69</v>
      </c>
      <c r="H71" s="58">
        <f t="shared" si="9"/>
        <v>91</v>
      </c>
      <c r="I71" s="48">
        <f t="shared" si="12"/>
        <v>91</v>
      </c>
      <c r="J71" s="58" t="str">
        <f t="shared" si="10"/>
        <v>-</v>
      </c>
      <c r="K71" s="49" t="str">
        <f t="shared" si="13"/>
        <v>-</v>
      </c>
      <c r="L71" s="58"/>
      <c r="M71">
        <v>32</v>
      </c>
    </row>
    <row r="72" spans="1:13" ht="24" x14ac:dyDescent="0.25">
      <c r="A72" s="51">
        <v>70</v>
      </c>
      <c r="B72" s="62" t="s">
        <v>93</v>
      </c>
      <c r="C72" s="58">
        <v>52</v>
      </c>
      <c r="D72" s="58">
        <v>53</v>
      </c>
      <c r="E72" s="58">
        <v>5</v>
      </c>
      <c r="F72" s="48">
        <f t="shared" si="11"/>
        <v>91</v>
      </c>
      <c r="G72" s="58">
        <f t="shared" si="8"/>
        <v>96</v>
      </c>
      <c r="H72" s="58">
        <f t="shared" si="9"/>
        <v>91</v>
      </c>
      <c r="I72" s="48">
        <f t="shared" si="12"/>
        <v>96</v>
      </c>
      <c r="J72" s="58">
        <f t="shared" si="10"/>
        <v>0</v>
      </c>
      <c r="K72" s="49">
        <f t="shared" si="13"/>
        <v>0</v>
      </c>
      <c r="L72" s="58"/>
      <c r="M72" t="s">
        <v>177</v>
      </c>
    </row>
    <row r="73" spans="1:13" x14ac:dyDescent="0.25">
      <c r="A73" s="51">
        <v>71</v>
      </c>
      <c r="B73" s="62" t="s">
        <v>94</v>
      </c>
      <c r="C73" s="58">
        <v>53</v>
      </c>
      <c r="D73" s="58">
        <v>54</v>
      </c>
      <c r="E73" s="58">
        <v>1</v>
      </c>
      <c r="F73" s="48">
        <f t="shared" si="11"/>
        <v>96</v>
      </c>
      <c r="G73" s="58">
        <f t="shared" si="8"/>
        <v>97</v>
      </c>
      <c r="H73" s="58">
        <f t="shared" si="9"/>
        <v>96</v>
      </c>
      <c r="I73" s="48">
        <f t="shared" si="12"/>
        <v>97</v>
      </c>
      <c r="J73" s="58">
        <f t="shared" si="10"/>
        <v>0</v>
      </c>
      <c r="K73" s="49">
        <f t="shared" si="13"/>
        <v>0</v>
      </c>
      <c r="L73" s="58"/>
      <c r="M73">
        <v>52</v>
      </c>
    </row>
    <row r="74" spans="1:13" ht="24" x14ac:dyDescent="0.25">
      <c r="A74" s="51">
        <v>72</v>
      </c>
      <c r="B74" s="62" t="s">
        <v>97</v>
      </c>
      <c r="C74" s="58">
        <v>54</v>
      </c>
      <c r="D74" s="58">
        <v>55</v>
      </c>
      <c r="E74" s="58">
        <v>3</v>
      </c>
      <c r="F74" s="48">
        <f t="shared" si="11"/>
        <v>97</v>
      </c>
      <c r="G74" s="58">
        <f t="shared" si="8"/>
        <v>100</v>
      </c>
      <c r="H74" s="58">
        <f t="shared" si="9"/>
        <v>97</v>
      </c>
      <c r="I74" s="48">
        <f t="shared" si="12"/>
        <v>100</v>
      </c>
      <c r="J74" s="58">
        <f t="shared" si="10"/>
        <v>0</v>
      </c>
      <c r="K74" s="49">
        <f t="shared" si="13"/>
        <v>0</v>
      </c>
      <c r="L74" s="58"/>
      <c r="M74" t="s">
        <v>178</v>
      </c>
    </row>
    <row r="75" spans="1:13" x14ac:dyDescent="0.25">
      <c r="A75" s="51">
        <v>73</v>
      </c>
      <c r="B75" s="62" t="s">
        <v>160</v>
      </c>
      <c r="C75" s="58">
        <v>55</v>
      </c>
      <c r="D75" s="58">
        <v>56</v>
      </c>
      <c r="E75" s="58">
        <v>1</v>
      </c>
      <c r="F75" s="48">
        <f>IF($C75=1,0,_xlfn.MAXIFS($G$3:$G$75,$D$3:$D$75,$C75))</f>
        <v>100</v>
      </c>
      <c r="G75" s="63">
        <f t="shared" si="8"/>
        <v>101</v>
      </c>
      <c r="H75" s="58">
        <f t="shared" si="9"/>
        <v>100</v>
      </c>
      <c r="I75" s="48">
        <f t="shared" si="12"/>
        <v>101</v>
      </c>
      <c r="J75" s="58">
        <f t="shared" si="10"/>
        <v>0</v>
      </c>
      <c r="K75" s="49">
        <f t="shared" si="13"/>
        <v>0</v>
      </c>
      <c r="L75" s="58"/>
      <c r="M75">
        <v>54</v>
      </c>
    </row>
    <row r="76" spans="1:13" x14ac:dyDescent="0.25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</row>
    <row r="77" spans="1:13" x14ac:dyDescent="0.25">
      <c r="C77" s="58"/>
    </row>
    <row r="78" spans="1:13" x14ac:dyDescent="0.25">
      <c r="C78" s="58"/>
      <c r="G78">
        <f>G75/21</f>
        <v>4.8095238095238093</v>
      </c>
      <c r="H78" t="s">
        <v>113</v>
      </c>
    </row>
    <row r="79" spans="1:13" x14ac:dyDescent="0.25">
      <c r="C79" s="58"/>
    </row>
    <row r="80" spans="1:13" x14ac:dyDescent="0.25">
      <c r="C80" s="58"/>
    </row>
    <row r="81" spans="3:3" x14ac:dyDescent="0.25">
      <c r="C81" s="58"/>
    </row>
    <row r="82" spans="3:3" x14ac:dyDescent="0.25">
      <c r="C82" s="58"/>
    </row>
    <row r="83" spans="3:3" x14ac:dyDescent="0.25">
      <c r="C83" s="58"/>
    </row>
    <row r="84" spans="3:3" x14ac:dyDescent="0.25">
      <c r="C84" s="58"/>
    </row>
    <row r="85" spans="3:3" x14ac:dyDescent="0.25">
      <c r="C85" s="58"/>
    </row>
    <row r="86" spans="3:3" x14ac:dyDescent="0.25">
      <c r="C86" s="58"/>
    </row>
    <row r="87" spans="3:3" x14ac:dyDescent="0.25">
      <c r="C87" s="58"/>
    </row>
    <row r="88" spans="3:3" x14ac:dyDescent="0.25">
      <c r="C88" s="58"/>
    </row>
    <row r="89" spans="3:3" x14ac:dyDescent="0.25">
      <c r="C89" s="58"/>
    </row>
    <row r="90" spans="3:3" x14ac:dyDescent="0.25">
      <c r="C90" s="58"/>
    </row>
    <row r="91" spans="3:3" x14ac:dyDescent="0.25">
      <c r="C91" s="58"/>
    </row>
  </sheetData>
  <autoFilter ref="B3:B75" xr:uid="{14FA9926-6068-4E82-9207-2F191EC7DAAC}">
    <filterColumn colId="0">
      <filters>
        <filter val="_x000a_Укладка_x000a_блоков и плит ленточных фундаментов"/>
        <filter val="_x000a_Укладка_x000a_плит перекрытий"/>
        <filter val="_x000a_Укладка_x000a_ригелей"/>
        <filter val="_x000a_Установка_x000a_диафрагм жесткости"/>
        <filter val="_x000a_Установка_x000a_колонн прямоугольного сечения в стаканы фундаментов зданий"/>
        <filter val="Ввод в эксплуатацию"/>
        <filter val="Дороги, подъезды_x000a_тротуары"/>
        <filter val="Монтаж оборудования"/>
        <filter val="Озеленение"/>
        <filter val="Прочие и неучтенные_x000a_общестроительные работы"/>
        <filter val="Пусконаладочные_x000a_работы"/>
        <filter val="Разработка грунта в отвал в котлованах"/>
        <filter val="Сантехнические работы 1-я стадия"/>
        <filter val="Сантехнические работы 2-я стадия"/>
        <filter val="Укладка фундаментов под колонны"/>
        <filter val="Укладка_x000a_перемычек"/>
        <filter val="Установка_x000a_в жилых и общественных зданиях блоков оконных с переплетами"/>
        <filter val="Установка_x000a_деревянных дверных блоков"/>
        <filter val="Установка_x000a_деревянных подоконных досок в каменных стенах"/>
        <filter val="Установка_x000a_перегородок из гипсовых плит"/>
        <filter val="Устройство_x000a_кровель"/>
        <filter val="Устройство_x000a_лестничных маршей в опалубке"/>
        <filter val="Устройство_x000a_покрытий"/>
        <filter val="Устройство_x000a_покрытий на цементном растворе из плиток"/>
        <filter val="Устройство_x000a_полов бетонных толщиной"/>
        <filter val="Электромонтажные работы 1 стадия"/>
        <filter val="Электромонтажные работы 2 стадия"/>
      </filters>
    </filterColumn>
  </autoFilter>
  <mergeCells count="8">
    <mergeCell ref="J1:K1"/>
    <mergeCell ref="M1:M2"/>
    <mergeCell ref="A1:A2"/>
    <mergeCell ref="B1:B2"/>
    <mergeCell ref="C1:C2"/>
    <mergeCell ref="D1:D2"/>
    <mergeCell ref="E1:E2"/>
    <mergeCell ref="F1:I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B32-22DC-4778-B29C-E1B36BD525A3}">
  <dimension ref="A1:A44"/>
  <sheetViews>
    <sheetView workbookViewId="0">
      <selection activeCell="A44" sqref="A1:A44"/>
    </sheetView>
  </sheetViews>
  <sheetFormatPr defaultRowHeight="15" x14ac:dyDescent="0.25"/>
  <sheetData>
    <row r="1" spans="1:1" ht="24" x14ac:dyDescent="0.25">
      <c r="A1" s="45" t="s">
        <v>20</v>
      </c>
    </row>
    <row r="2" spans="1:1" ht="48" x14ac:dyDescent="0.25">
      <c r="A2" s="64" t="s">
        <v>21</v>
      </c>
    </row>
    <row r="3" spans="1:1" ht="72" x14ac:dyDescent="0.25">
      <c r="A3" s="64" t="s">
        <v>95</v>
      </c>
    </row>
    <row r="4" spans="1:1" ht="48" x14ac:dyDescent="0.25">
      <c r="A4" s="64" t="s">
        <v>21</v>
      </c>
    </row>
    <row r="5" spans="1:1" ht="48" x14ac:dyDescent="0.25">
      <c r="A5" s="62" t="s">
        <v>22</v>
      </c>
    </row>
    <row r="6" spans="1:1" ht="36" x14ac:dyDescent="0.25">
      <c r="A6" s="62" t="s">
        <v>116</v>
      </c>
    </row>
    <row r="7" spans="1:1" ht="48" x14ac:dyDescent="0.25">
      <c r="A7" s="62" t="s">
        <v>117</v>
      </c>
    </row>
    <row r="8" spans="1:1" ht="48" x14ac:dyDescent="0.25">
      <c r="A8" s="62" t="s">
        <v>118</v>
      </c>
    </row>
    <row r="9" spans="1:1" ht="48" x14ac:dyDescent="0.25">
      <c r="A9" s="62" t="s">
        <v>120</v>
      </c>
    </row>
    <row r="10" spans="1:1" ht="36" x14ac:dyDescent="0.25">
      <c r="A10" s="62" t="s">
        <v>116</v>
      </c>
    </row>
    <row r="11" spans="1:1" ht="108" x14ac:dyDescent="0.25">
      <c r="A11" s="62" t="s">
        <v>122</v>
      </c>
    </row>
    <row r="12" spans="1:1" ht="60" x14ac:dyDescent="0.25">
      <c r="A12" s="62" t="s">
        <v>124</v>
      </c>
    </row>
    <row r="13" spans="1:1" ht="84" x14ac:dyDescent="0.25">
      <c r="A13" s="62" t="s">
        <v>126</v>
      </c>
    </row>
    <row r="14" spans="1:1" ht="60" x14ac:dyDescent="0.25">
      <c r="A14" s="62" t="s">
        <v>128</v>
      </c>
    </row>
    <row r="15" spans="1:1" ht="24" x14ac:dyDescent="0.25">
      <c r="A15" s="62" t="s">
        <v>130</v>
      </c>
    </row>
    <row r="16" spans="1:1" ht="36" x14ac:dyDescent="0.25">
      <c r="A16" s="62" t="s">
        <v>135</v>
      </c>
    </row>
    <row r="17" spans="1:1" ht="60" x14ac:dyDescent="0.25">
      <c r="A17" s="62" t="s">
        <v>136</v>
      </c>
    </row>
    <row r="18" spans="1:1" ht="48" x14ac:dyDescent="0.25">
      <c r="A18" s="62" t="s">
        <v>120</v>
      </c>
    </row>
    <row r="19" spans="1:1" ht="108" x14ac:dyDescent="0.25">
      <c r="A19" s="62" t="s">
        <v>122</v>
      </c>
    </row>
    <row r="20" spans="1:1" ht="60" x14ac:dyDescent="0.25">
      <c r="A20" s="62" t="s">
        <v>124</v>
      </c>
    </row>
    <row r="21" spans="1:1" ht="84" x14ac:dyDescent="0.25">
      <c r="A21" s="62" t="s">
        <v>126</v>
      </c>
    </row>
    <row r="22" spans="1:1" ht="60" x14ac:dyDescent="0.25">
      <c r="A22" s="62" t="s">
        <v>128</v>
      </c>
    </row>
    <row r="23" spans="1:1" ht="24" x14ac:dyDescent="0.25">
      <c r="A23" s="62" t="s">
        <v>130</v>
      </c>
    </row>
    <row r="24" spans="1:1" ht="36" x14ac:dyDescent="0.25">
      <c r="A24" s="62" t="s">
        <v>135</v>
      </c>
    </row>
    <row r="25" spans="1:1" ht="60" x14ac:dyDescent="0.25">
      <c r="A25" s="62" t="s">
        <v>136</v>
      </c>
    </row>
    <row r="26" spans="1:1" ht="60" x14ac:dyDescent="0.25">
      <c r="A26" s="62" t="s">
        <v>152</v>
      </c>
    </row>
    <row r="27" spans="1:1" ht="48" x14ac:dyDescent="0.25">
      <c r="A27" s="62" t="s">
        <v>153</v>
      </c>
    </row>
    <row r="28" spans="1:1" ht="48" x14ac:dyDescent="0.25">
      <c r="A28" s="62" t="s">
        <v>154</v>
      </c>
    </row>
    <row r="29" spans="1:1" ht="36" x14ac:dyDescent="0.25">
      <c r="A29" s="62" t="s">
        <v>155</v>
      </c>
    </row>
    <row r="30" spans="1:1" ht="84" x14ac:dyDescent="0.25">
      <c r="A30" s="62" t="s">
        <v>156</v>
      </c>
    </row>
    <row r="31" spans="1:1" ht="108" x14ac:dyDescent="0.25">
      <c r="A31" s="62" t="s">
        <v>157</v>
      </c>
    </row>
    <row r="32" spans="1:1" ht="48" x14ac:dyDescent="0.25">
      <c r="A32" s="62" t="s">
        <v>158</v>
      </c>
    </row>
    <row r="33" spans="1:1" ht="84" x14ac:dyDescent="0.25">
      <c r="A33" s="62" t="s">
        <v>159</v>
      </c>
    </row>
    <row r="34" spans="1:1" ht="60" x14ac:dyDescent="0.25">
      <c r="A34" s="62" t="s">
        <v>152</v>
      </c>
    </row>
    <row r="35" spans="1:1" ht="36" x14ac:dyDescent="0.25">
      <c r="A35" s="62" t="s">
        <v>155</v>
      </c>
    </row>
    <row r="36" spans="1:1" ht="84" x14ac:dyDescent="0.25">
      <c r="A36" s="62" t="s">
        <v>156</v>
      </c>
    </row>
    <row r="37" spans="1:1" ht="108" x14ac:dyDescent="0.25">
      <c r="A37" s="62" t="s">
        <v>157</v>
      </c>
    </row>
    <row r="38" spans="1:1" ht="48" x14ac:dyDescent="0.25">
      <c r="A38" s="62" t="s">
        <v>158</v>
      </c>
    </row>
    <row r="39" spans="1:1" ht="84" x14ac:dyDescent="0.25">
      <c r="A39" s="62" t="s">
        <v>159</v>
      </c>
    </row>
    <row r="40" spans="1:1" ht="36" x14ac:dyDescent="0.25">
      <c r="A40" s="62" t="s">
        <v>112</v>
      </c>
    </row>
    <row r="41" spans="1:1" ht="36" x14ac:dyDescent="0.25">
      <c r="A41" s="62" t="s">
        <v>93</v>
      </c>
    </row>
    <row r="42" spans="1:1" ht="24" x14ac:dyDescent="0.25">
      <c r="A42" s="62" t="s">
        <v>94</v>
      </c>
    </row>
    <row r="43" spans="1:1" ht="36" x14ac:dyDescent="0.25">
      <c r="A43" s="62" t="s">
        <v>97</v>
      </c>
    </row>
    <row r="44" spans="1:1" ht="36" x14ac:dyDescent="0.25">
      <c r="A44" s="62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ВОР</vt:lpstr>
      <vt:lpstr>Табличный метод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 Федулова</dc:creator>
  <cp:lastModifiedBy>iliodium</cp:lastModifiedBy>
  <dcterms:created xsi:type="dcterms:W3CDTF">2024-02-13T18:52:44Z</dcterms:created>
  <dcterms:modified xsi:type="dcterms:W3CDTF">2024-04-28T17:10:53Z</dcterms:modified>
</cp:coreProperties>
</file>