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ker\Desktop\"/>
    </mc:Choice>
  </mc:AlternateContent>
  <xr:revisionPtr revIDLastSave="0" documentId="13_ncr:1_{626044D0-0FF6-44B0-8C22-32D966351A93}" xr6:coauthVersionLast="47" xr6:coauthVersionMax="47" xr10:uidLastSave="{00000000-0000-0000-0000-000000000000}"/>
  <bookViews>
    <workbookView xWindow="28680" yWindow="-120" windowWidth="29040" windowHeight="15840" xr2:uid="{EED1C115-4283-4B3B-89EF-982296A14EA4}"/>
  </bookViews>
  <sheets>
    <sheet name="Hesaplama" sheetId="3" r:id="rId1"/>
    <sheet name="Tarihsel Çarpanlar" sheetId="4" r:id="rId2"/>
    <sheet name="Sermaye&amp;Fiya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3" l="1"/>
  <c r="J4" i="3"/>
  <c r="J3" i="3"/>
  <c r="I3" i="3"/>
  <c r="I4" i="3"/>
  <c r="I5" i="3"/>
  <c r="I6" i="3"/>
  <c r="I7" i="3"/>
  <c r="I8" i="3"/>
  <c r="I9" i="3"/>
  <c r="I10" i="3"/>
  <c r="D27" i="3"/>
  <c r="I2" i="4" a="1"/>
  <c r="I2" i="4" s="1"/>
  <c r="J3" i="4" a="1"/>
  <c r="J3" i="4" s="1"/>
  <c r="J4" i="4" a="1"/>
  <c r="J4" i="4" s="1"/>
  <c r="J5" i="4" a="1"/>
  <c r="J5" i="4" s="1"/>
  <c r="J6" i="4" a="1"/>
  <c r="J6" i="4" s="1"/>
  <c r="J7" i="4" a="1"/>
  <c r="J7" i="4" s="1"/>
  <c r="J8" i="4" a="1"/>
  <c r="J8" i="4" s="1"/>
  <c r="J9" i="4" a="1"/>
  <c r="J9" i="4" s="1"/>
  <c r="J10" i="4" a="1"/>
  <c r="J10" i="4" s="1"/>
  <c r="J11" i="4" a="1"/>
  <c r="J11" i="4" s="1"/>
  <c r="J12" i="4" a="1"/>
  <c r="J12" i="4" s="1"/>
  <c r="J13" i="4" a="1"/>
  <c r="J13" i="4" s="1"/>
  <c r="J14" i="4" a="1"/>
  <c r="J14" i="4" s="1"/>
  <c r="J15" i="4" a="1"/>
  <c r="J15" i="4" s="1"/>
  <c r="J16" i="4" a="1"/>
  <c r="J16" i="4" s="1"/>
  <c r="J17" i="4" a="1"/>
  <c r="J17" i="4" s="1"/>
  <c r="J18" i="4" a="1"/>
  <c r="J18" i="4" s="1"/>
  <c r="J19" i="4" a="1"/>
  <c r="J19" i="4" s="1"/>
  <c r="J20" i="4" a="1"/>
  <c r="J20" i="4" s="1"/>
  <c r="J21" i="4" a="1"/>
  <c r="J21" i="4" s="1"/>
  <c r="J22" i="4" a="1"/>
  <c r="J22" i="4" s="1"/>
  <c r="J23" i="4" a="1"/>
  <c r="J23" i="4" s="1"/>
  <c r="J24" i="4" a="1"/>
  <c r="J24" i="4" s="1"/>
  <c r="J25" i="4" a="1"/>
  <c r="J25" i="4" s="1"/>
  <c r="J2" i="4" a="1"/>
  <c r="J2" i="4" s="1"/>
  <c r="I3" i="4" a="1"/>
  <c r="I3" i="4" s="1"/>
  <c r="K3" i="4" s="1"/>
  <c r="I4" i="4" a="1"/>
  <c r="I4" i="4" s="1"/>
  <c r="I5" i="4" a="1"/>
  <c r="I5" i="4" s="1"/>
  <c r="K5" i="4" s="1"/>
  <c r="I6" i="4" a="1"/>
  <c r="I6" i="4" s="1"/>
  <c r="I7" i="4" a="1"/>
  <c r="I7" i="4" s="1"/>
  <c r="K7" i="4" s="1"/>
  <c r="I8" i="4" a="1"/>
  <c r="I8" i="4" s="1"/>
  <c r="K8" i="4" s="1"/>
  <c r="I9" i="4" a="1"/>
  <c r="I9" i="4" s="1"/>
  <c r="K9" i="4" s="1"/>
  <c r="I10" i="4" a="1"/>
  <c r="I10" i="4" s="1"/>
  <c r="K10" i="4" s="1"/>
  <c r="I11" i="4" a="1"/>
  <c r="I11" i="4" s="1"/>
  <c r="K11" i="4" s="1"/>
  <c r="I12" i="4" a="1"/>
  <c r="I12" i="4" s="1"/>
  <c r="K12" i="4" s="1"/>
  <c r="I13" i="4" a="1"/>
  <c r="I13" i="4" s="1"/>
  <c r="K13" i="4" s="1"/>
  <c r="I14" i="4" a="1"/>
  <c r="I14" i="4" s="1"/>
  <c r="K14" i="4" s="1"/>
  <c r="I15" i="4" a="1"/>
  <c r="I15" i="4" s="1"/>
  <c r="K15" i="4" s="1"/>
  <c r="I16" i="4" a="1"/>
  <c r="I16" i="4" s="1"/>
  <c r="K16" i="4" s="1"/>
  <c r="I17" i="4" a="1"/>
  <c r="I17" i="4" s="1"/>
  <c r="K17" i="4" s="1"/>
  <c r="I18" i="4" a="1"/>
  <c r="I18" i="4" s="1"/>
  <c r="K18" i="4" s="1"/>
  <c r="I19" i="4" a="1"/>
  <c r="I19" i="4" s="1"/>
  <c r="K19" i="4" s="1"/>
  <c r="I20" i="4" a="1"/>
  <c r="I20" i="4" s="1"/>
  <c r="K20" i="4" s="1"/>
  <c r="I21" i="4" a="1"/>
  <c r="I21" i="4" s="1"/>
  <c r="K21" i="4" s="1"/>
  <c r="I22" i="4" a="1"/>
  <c r="I22" i="4" s="1"/>
  <c r="I23" i="4" a="1"/>
  <c r="I23" i="4" s="1"/>
  <c r="K23" i="4" s="1"/>
  <c r="I24" i="4" a="1"/>
  <c r="I24" i="4" s="1"/>
  <c r="K24" i="4" s="1"/>
  <c r="I25" i="4" a="1"/>
  <c r="I25" i="4" s="1"/>
  <c r="C15" i="3" a="1"/>
  <c r="C15" i="3" s="1"/>
  <c r="K25" i="4" l="1"/>
  <c r="D29" i="3"/>
  <c r="K22" i="4"/>
  <c r="K2" i="4"/>
  <c r="K6" i="4"/>
  <c r="K4" i="4"/>
  <c r="C16" i="3"/>
  <c r="C19" i="3"/>
  <c r="C18" i="3"/>
  <c r="C17" i="3"/>
  <c r="L3" i="3" l="1"/>
  <c r="K3" i="3"/>
  <c r="L5" i="3"/>
  <c r="K5" i="3"/>
  <c r="L6" i="3"/>
  <c r="K6" i="3"/>
  <c r="J6" i="3"/>
  <c r="K7" i="3"/>
  <c r="L7" i="3"/>
  <c r="J7" i="3"/>
  <c r="K8" i="3"/>
  <c r="L8" i="3"/>
  <c r="J8" i="3"/>
  <c r="K9" i="3"/>
  <c r="L9" i="3"/>
  <c r="J9" i="3"/>
  <c r="K10" i="3"/>
  <c r="L10" i="3"/>
  <c r="J10" i="3"/>
  <c r="L4" i="3"/>
  <c r="K4" i="3"/>
  <c r="D19" i="3"/>
  <c r="D15" i="3"/>
  <c r="K12" i="3" l="1"/>
  <c r="J12" i="3"/>
  <c r="L12" i="3"/>
  <c r="D18" i="3"/>
  <c r="D17" i="3"/>
  <c r="E11" i="3"/>
  <c r="H11" i="3"/>
  <c r="F11" i="3"/>
  <c r="D11" i="3"/>
  <c r="D16" i="3"/>
  <c r="G11" i="3"/>
  <c r="K11" i="3" l="1"/>
  <c r="E22" i="3" s="1"/>
  <c r="L11" i="3"/>
  <c r="J11" i="3"/>
  <c r="D23" i="3"/>
  <c r="D22" i="3"/>
  <c r="E23" i="3"/>
  <c r="F23" i="3"/>
  <c r="F22" i="3"/>
  <c r="D26" i="3" l="1"/>
  <c r="D28" i="3" s="1"/>
  <c r="D3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<sst xmlns="http://schemas.openxmlformats.org/spreadsheetml/2006/main" count="111" uniqueCount="45">
  <si>
    <t>Net Kar</t>
  </si>
  <si>
    <t>Özsermaye</t>
  </si>
  <si>
    <t>FAVÖK</t>
  </si>
  <si>
    <t>PD</t>
  </si>
  <si>
    <t>FK</t>
  </si>
  <si>
    <t>PDDD</t>
  </si>
  <si>
    <t>Net Borç</t>
  </si>
  <si>
    <t>ASUZU</t>
  </si>
  <si>
    <t>DOAS</t>
  </si>
  <si>
    <t>FROTO</t>
  </si>
  <si>
    <t>KARSN</t>
  </si>
  <si>
    <t>OTKAR</t>
  </si>
  <si>
    <t>TMSN</t>
  </si>
  <si>
    <t>TOASO</t>
  </si>
  <si>
    <t>TTRAK</t>
  </si>
  <si>
    <t>Toplam</t>
  </si>
  <si>
    <t>Kalemler</t>
  </si>
  <si>
    <t>Çarpanlar</t>
  </si>
  <si>
    <t>FDFAVOK</t>
  </si>
  <si>
    <t>Şirket</t>
  </si>
  <si>
    <t>2023/03</t>
  </si>
  <si>
    <t>2023/06</t>
  </si>
  <si>
    <t>2023/09</t>
  </si>
  <si>
    <t>2023/12</t>
  </si>
  <si>
    <t>2024/03</t>
  </si>
  <si>
    <t>2024/06</t>
  </si>
  <si>
    <t>Çarpan</t>
  </si>
  <si>
    <t>Kod</t>
  </si>
  <si>
    <t>Alt Sınır</t>
  </si>
  <si>
    <t>Üst Sınır</t>
  </si>
  <si>
    <t>Uygun Ortalama</t>
  </si>
  <si>
    <t>Sektöre Göre</t>
  </si>
  <si>
    <t>Ortalamaya Göre</t>
  </si>
  <si>
    <t>Genel Ortalama</t>
  </si>
  <si>
    <t>Sermaye</t>
  </si>
  <si>
    <t>Kapanış</t>
  </si>
  <si>
    <t>Tahmini Fiyat</t>
  </si>
  <si>
    <t>Son Fiyat</t>
  </si>
  <si>
    <t>Potansiyel</t>
  </si>
  <si>
    <t>Fiyat Hesaplama</t>
  </si>
  <si>
    <t>Geçmiş Verileri</t>
  </si>
  <si>
    <t>SONUÇ</t>
  </si>
  <si>
    <t>KOD</t>
  </si>
  <si>
    <t>ÇARPANLAR</t>
  </si>
  <si>
    <t>Sektör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</si>
</sst>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>
    <font>
      <sz val="11"/>
      <color theme="1"/>
      <name val="Gill Sans MT"/>
      <family val="2"/>
      <charset val="162"/>
    </font>
    <font>
      <sz val="11"/>
      <color theme="1"/>
      <name val="Gill Sans MT"/>
      <family val="2"/>
      <charset val="162"/>
    </font>
    <font>
      <b/>
      <sz val="11"/>
      <color theme="0"/>
      <name val="Gill Sans MT"/>
      <family val="2"/>
    </font>
    <font>
      <b/>
      <sz val="11"/>
      <color theme="1"/>
      <name val="Gill Sans MT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  <xf numFmtId="3" fontId="0" fillId="2" borderId="0" xfId="0" applyNumberFormat="1" applyFill="1"/>
    <xf numFmtId="4" fontId="0" fillId="2" borderId="0" xfId="0" applyNumberFormat="1" applyFill="1"/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4" fontId="0" fillId="0" borderId="1" xfId="0" applyNumberFormat="1" applyBorder="1"/>
    <xf numFmtId="0" fontId="3" fillId="4" borderId="1" xfId="0" applyFont="1" applyFill="1" applyBorder="1" applyAlignment="1">
      <alignment horizontal="center" vertical="center"/>
    </xf>
    <xf numFmtId="164" fontId="0" fillId="0" borderId="1" xfId="1" applyNumberFormat="1" applyFont="1" applyBorder="1"/>
    <xf numFmtId="3" fontId="0" fillId="0" borderId="0" xfId="0" applyNumberFormat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4A50-6AD9-43B6-B13C-B465F7D2C5F1}">
  <dimension ref="C1:N30"/>
  <sheetViews>
    <sheetView showGridLines="0" tabSelected="1" zoomScaleNormal="100" workbookViewId="0">
      <selection activeCell="I19" sqref="I19"/>
    </sheetView>
  </sheetViews>
  <sheetFormatPr defaultRowHeight="17.25"/>
  <cols>
    <col min="3" max="3" width="17.375" bestFit="1" customWidth="1"/>
    <col min="4" max="6" width="15.625" bestFit="1" customWidth="1"/>
    <col min="7" max="7" width="14.5" bestFit="1" customWidth="1"/>
    <col min="8" max="8" width="15.625" bestFit="1" customWidth="1"/>
    <col min="9" max="9" width="15.625" customWidth="1"/>
    <col min="10" max="10" width="6.875" bestFit="1" customWidth="1"/>
    <col min="11" max="11" width="7.375" bestFit="1" customWidth="1"/>
    <col min="12" max="12" width="11.625" bestFit="1" customWidth="1"/>
  </cols>
  <sheetData>
    <row r="1" spans="3:14" ht="18" customHeight="1">
      <c r="C1" s="19" t="s">
        <v>42</v>
      </c>
      <c r="D1" s="16" t="s">
        <v>16</v>
      </c>
      <c r="E1" s="16"/>
      <c r="F1" s="16"/>
      <c r="G1" s="16"/>
      <c r="H1" s="16"/>
      <c r="I1" s="19" t="s">
        <v>42</v>
      </c>
      <c r="J1" s="16" t="s">
        <v>17</v>
      </c>
      <c r="K1" s="16"/>
      <c r="L1" s="16"/>
    </row>
    <row r="2" spans="3:14">
      <c r="C2" s="20"/>
      <c r="D2" s="13" t="s">
        <v>3</v>
      </c>
      <c r="E2" s="13" t="s">
        <v>0</v>
      </c>
      <c r="F2" s="13" t="s">
        <v>1</v>
      </c>
      <c r="G2" s="13" t="s">
        <v>2</v>
      </c>
      <c r="H2" s="13" t="s">
        <v>6</v>
      </c>
      <c r="I2" s="20"/>
      <c r="J2" s="13" t="s">
        <v>4</v>
      </c>
      <c r="K2" s="13" t="s">
        <v>5</v>
      </c>
      <c r="L2" s="13" t="s">
        <v>18</v>
      </c>
      <c r="N2" s="2"/>
    </row>
    <row r="3" spans="3:14">
      <c r="C3" s="10" t="s">
        <v>7</v>
      </c>
      <c r="D3" s="11">
        <v>16140600000</v>
      </c>
      <c r="E3" s="11">
        <v>526992839</v>
      </c>
      <c r="F3" s="11">
        <v>10993432891</v>
      </c>
      <c r="G3" s="11">
        <v>606027509</v>
      </c>
      <c r="H3" s="11">
        <v>3033284214</v>
      </c>
      <c r="I3" s="11" t="str">
        <f t="shared" ref="I3:I10" si="0">+C3</f>
        <v>ASUZU</v>
      </c>
      <c r="J3" s="12">
        <f>+D3/E3</f>
        <v>30.627740655124917</v>
      </c>
      <c r="K3" s="12">
        <f t="shared" ref="K3:K10" si="1">+D3/F3</f>
        <v>1.4682038049473913</v>
      </c>
      <c r="L3" s="12">
        <f t="shared" ref="L3:L10" si="2">+(D3+H3)/G3</f>
        <v>31.638636743798376</v>
      </c>
      <c r="M3" s="1"/>
    </row>
    <row r="4" spans="3:14">
      <c r="C4" s="10" t="s">
        <v>8</v>
      </c>
      <c r="D4" s="11">
        <v>45122000000</v>
      </c>
      <c r="E4" s="11">
        <v>12399129000</v>
      </c>
      <c r="F4" s="11">
        <v>48921391000</v>
      </c>
      <c r="G4" s="11">
        <v>17351305000</v>
      </c>
      <c r="H4" s="11">
        <v>6472442000</v>
      </c>
      <c r="I4" s="11" t="str">
        <f t="shared" si="0"/>
        <v>DOAS</v>
      </c>
      <c r="J4" s="12">
        <f>+D4/E4</f>
        <v>3.6391265870368796</v>
      </c>
      <c r="K4" s="12">
        <f t="shared" si="1"/>
        <v>0.92233681581130844</v>
      </c>
      <c r="L4" s="12">
        <f t="shared" si="2"/>
        <v>2.9735193981086727</v>
      </c>
      <c r="M4" s="1"/>
      <c r="N4" s="1"/>
    </row>
    <row r="5" spans="3:14">
      <c r="C5" s="10" t="s">
        <v>9</v>
      </c>
      <c r="D5" s="11">
        <v>342488160000</v>
      </c>
      <c r="E5" s="11">
        <v>45361362000</v>
      </c>
      <c r="F5" s="11">
        <v>87332846000</v>
      </c>
      <c r="G5" s="11">
        <v>34142917000</v>
      </c>
      <c r="H5" s="11">
        <v>95707283000</v>
      </c>
      <c r="I5" s="11" t="str">
        <f t="shared" si="0"/>
        <v>FROTO</v>
      </c>
      <c r="J5" s="12">
        <f>+D5/E5</f>
        <v>7.5502177381710895</v>
      </c>
      <c r="K5" s="12">
        <f t="shared" si="1"/>
        <v>3.9216420360330408</v>
      </c>
      <c r="L5" s="12">
        <f t="shared" si="2"/>
        <v>12.834153654768279</v>
      </c>
      <c r="M5" s="1"/>
      <c r="N5" s="1"/>
    </row>
    <row r="6" spans="3:14">
      <c r="C6" s="10" t="s">
        <v>10</v>
      </c>
      <c r="D6" s="11">
        <v>13689000000</v>
      </c>
      <c r="E6" s="11">
        <v>594361000</v>
      </c>
      <c r="F6" s="11">
        <v>4386791000</v>
      </c>
      <c r="G6" s="11">
        <v>741038000</v>
      </c>
      <c r="H6" s="11">
        <v>4365289000</v>
      </c>
      <c r="I6" s="11" t="str">
        <f t="shared" si="0"/>
        <v>KARSN</v>
      </c>
      <c r="J6" s="12">
        <f t="shared" ref="J3:J10" si="3">+D6/E6</f>
        <v>23.031457312979821</v>
      </c>
      <c r="K6" s="12">
        <f t="shared" si="1"/>
        <v>3.1205042592637762</v>
      </c>
      <c r="L6" s="12">
        <f t="shared" si="2"/>
        <v>24.363513072204125</v>
      </c>
      <c r="M6" s="1"/>
      <c r="N6" s="1"/>
    </row>
    <row r="7" spans="3:14">
      <c r="C7" s="10" t="s">
        <v>11</v>
      </c>
      <c r="D7" s="11">
        <v>49800000000</v>
      </c>
      <c r="E7" s="11">
        <v>408526001</v>
      </c>
      <c r="F7" s="11">
        <v>8295355000</v>
      </c>
      <c r="G7" s="11">
        <v>1019053998</v>
      </c>
      <c r="H7" s="11">
        <v>17758993000</v>
      </c>
      <c r="I7" s="11" t="str">
        <f t="shared" si="0"/>
        <v>OTKAR</v>
      </c>
      <c r="J7" s="12">
        <f t="shared" si="3"/>
        <v>121.90166569104129</v>
      </c>
      <c r="K7" s="12">
        <f t="shared" si="1"/>
        <v>6.0033597115494155</v>
      </c>
      <c r="L7" s="12">
        <f t="shared" si="2"/>
        <v>66.295793091035009</v>
      </c>
      <c r="M7" s="1"/>
    </row>
    <row r="8" spans="3:14">
      <c r="C8" s="10" t="s">
        <v>12</v>
      </c>
      <c r="D8" s="11">
        <v>13478000000</v>
      </c>
      <c r="E8" s="11">
        <v>567939775</v>
      </c>
      <c r="F8" s="11">
        <v>6308839362</v>
      </c>
      <c r="G8" s="11">
        <v>1175825967</v>
      </c>
      <c r="H8" s="11">
        <v>1455135277</v>
      </c>
      <c r="I8" s="11" t="str">
        <f t="shared" si="0"/>
        <v>TMSN</v>
      </c>
      <c r="J8" s="12">
        <f t="shared" si="3"/>
        <v>23.731389476991641</v>
      </c>
      <c r="K8" s="12">
        <f t="shared" si="1"/>
        <v>2.1363675989567859</v>
      </c>
      <c r="L8" s="12">
        <f t="shared" si="2"/>
        <v>12.700123739485335</v>
      </c>
      <c r="M8" s="1"/>
    </row>
    <row r="9" spans="3:14">
      <c r="C9" s="10" t="s">
        <v>13</v>
      </c>
      <c r="D9" s="11">
        <v>93250000000</v>
      </c>
      <c r="E9" s="11">
        <v>12025818000</v>
      </c>
      <c r="F9" s="11">
        <v>44116691000</v>
      </c>
      <c r="G9" s="11">
        <v>15270625499</v>
      </c>
      <c r="H9" s="11">
        <v>-1770891000</v>
      </c>
      <c r="I9" s="11" t="str">
        <f t="shared" si="0"/>
        <v>TOASO</v>
      </c>
      <c r="J9" s="12">
        <f t="shared" si="3"/>
        <v>7.7541502790080479</v>
      </c>
      <c r="K9" s="12">
        <f t="shared" si="1"/>
        <v>2.1137124722250813</v>
      </c>
      <c r="L9" s="12">
        <f t="shared" si="2"/>
        <v>5.9905279587918994</v>
      </c>
      <c r="M9" s="1"/>
    </row>
    <row r="10" spans="3:14">
      <c r="C10" s="10" t="s">
        <v>14</v>
      </c>
      <c r="D10" s="11">
        <v>73148885625</v>
      </c>
      <c r="E10" s="11">
        <v>9693483035</v>
      </c>
      <c r="F10" s="11">
        <v>18516588740</v>
      </c>
      <c r="G10" s="11">
        <v>13965305557</v>
      </c>
      <c r="H10" s="11">
        <v>1922206540</v>
      </c>
      <c r="I10" s="11" t="str">
        <f t="shared" si="0"/>
        <v>TTRAK</v>
      </c>
      <c r="J10" s="12">
        <f t="shared" si="3"/>
        <v>7.5461921541393613</v>
      </c>
      <c r="K10" s="12">
        <f t="shared" si="1"/>
        <v>3.9504514925571543</v>
      </c>
      <c r="L10" s="12">
        <f t="shared" si="2"/>
        <v>5.375542401030474</v>
      </c>
      <c r="M10" s="1"/>
    </row>
    <row r="11" spans="3:14">
      <c r="C11" s="3" t="s">
        <v>15</v>
      </c>
      <c r="D11" s="4">
        <f t="shared" ref="D11:H11" si="4">+SUM(D3:D10)</f>
        <v>647116645625</v>
      </c>
      <c r="E11" s="4">
        <f t="shared" si="4"/>
        <v>81577611650</v>
      </c>
      <c r="F11" s="4">
        <f t="shared" si="4"/>
        <v>228871934993</v>
      </c>
      <c r="G11" s="4">
        <f t="shared" si="4"/>
        <v>84272098530</v>
      </c>
      <c r="H11" s="4">
        <f t="shared" si="4"/>
        <v>128943742031</v>
      </c>
      <c r="I11" s="4" t="s">
        <v>44</v>
      </c>
      <c r="J11" s="5">
        <f>+IF(E11&gt;0,D11/E11,0)</f>
        <v>7.932527473363459</v>
      </c>
      <c r="K11" s="5">
        <f>+IF(F11&gt;0,D11/F11,0)</f>
        <v>2.8274180739757013</v>
      </c>
      <c r="L11" s="5">
        <f>+IF(G11&gt;0,(D11+H11)/G11,0)</f>
        <v>9.2089837703487412</v>
      </c>
    </row>
    <row r="12" spans="3:14">
      <c r="J12" s="1">
        <f t="shared" ref="J12:L12" si="5">+AVERAGE(J3:J10)</f>
        <v>28.222742486811633</v>
      </c>
      <c r="K12" s="1">
        <f t="shared" si="5"/>
        <v>2.9545722739179938</v>
      </c>
      <c r="L12" s="1">
        <f t="shared" si="5"/>
        <v>20.271476257402771</v>
      </c>
    </row>
    <row r="13" spans="3:14">
      <c r="C13" s="6" t="s">
        <v>19</v>
      </c>
      <c r="D13" s="6" t="s">
        <v>13</v>
      </c>
    </row>
    <row r="14" spans="3:14">
      <c r="C14" s="17" t="s">
        <v>40</v>
      </c>
      <c r="D14" s="17"/>
      <c r="M14" s="1"/>
    </row>
    <row r="15" spans="3:14">
      <c r="C15" s="10" t="str">
        <f t="array" ref="C15:C19">+TRANSPOSE(D2:H2)</f>
        <v>PD</v>
      </c>
      <c r="D15" s="11">
        <f>+VLOOKUP($D$13,$C$3:$H$11,MATCH($C15,$C$2:$H$2,0),FALSE)</f>
        <v>93250000000</v>
      </c>
      <c r="M15" s="1"/>
    </row>
    <row r="16" spans="3:14">
      <c r="C16" s="10" t="str">
        <v>Net Kar</v>
      </c>
      <c r="D16" s="11">
        <f>+VLOOKUP($D$13,$C$3:$H$11,MATCH($C16,$C$2:$H$2,0),FALSE)</f>
        <v>12025818000</v>
      </c>
      <c r="M16" s="1"/>
    </row>
    <row r="17" spans="3:9">
      <c r="C17" s="10" t="str">
        <v>Özsermaye</v>
      </c>
      <c r="D17" s="11">
        <f>+VLOOKUP($D$13,$C$3:$H$11,MATCH($C17,$C$2:$H$2,0),FALSE)</f>
        <v>44116691000</v>
      </c>
    </row>
    <row r="18" spans="3:9">
      <c r="C18" s="10" t="str">
        <v>FAVÖK</v>
      </c>
      <c r="D18" s="11">
        <f>+VLOOKUP($D$13,$C$3:$H$11,MATCH($C18,$C$2:$H$2,0),FALSE)</f>
        <v>15270625499</v>
      </c>
    </row>
    <row r="19" spans="3:9">
      <c r="C19" s="10" t="str">
        <v>Net Borç</v>
      </c>
      <c r="D19" s="11">
        <f>+VLOOKUP($D$13,$C$3:$H$11,MATCH($C19,$C$2:$H$2,0),FALSE)</f>
        <v>-1770891000</v>
      </c>
    </row>
    <row r="20" spans="3:9" ht="9" customHeight="1"/>
    <row r="21" spans="3:9">
      <c r="C21" s="9" t="s">
        <v>39</v>
      </c>
      <c r="D21" s="9" t="s">
        <v>4</v>
      </c>
      <c r="E21" s="9" t="s">
        <v>5</v>
      </c>
      <c r="F21" s="9" t="s">
        <v>18</v>
      </c>
    </row>
    <row r="22" spans="3:9">
      <c r="C22" s="10" t="s">
        <v>31</v>
      </c>
      <c r="D22" s="11">
        <f>+J11*D16</f>
        <v>95395131674.668808</v>
      </c>
      <c r="E22" s="11">
        <f>+K11*D17</f>
        <v>124736329497.40115</v>
      </c>
      <c r="F22" s="11">
        <f>+L11*D18-D19</f>
        <v>142397833383.36465</v>
      </c>
    </row>
    <row r="23" spans="3:9">
      <c r="C23" s="10" t="s">
        <v>32</v>
      </c>
      <c r="D23" s="11">
        <f>SUMIFS('Tarihsel Çarpanlar'!$K:$K,'Tarihsel Çarpanlar'!$A:$A,Hesaplama!$D$13,'Tarihsel Çarpanlar'!$B:$B,Hesaplama!D$21)*D16</f>
        <v>86648336786.026825</v>
      </c>
      <c r="E23" s="11">
        <f>SUMIFS('Tarihsel Çarpanlar'!$K:$K,'Tarihsel Çarpanlar'!$A:$A,Hesaplama!$D$13,'Tarihsel Çarpanlar'!$B:$B,Hesaplama!E$21)*D17</f>
        <v>247268505868.65228</v>
      </c>
      <c r="F23" s="11">
        <f>SUMIFS('Tarihsel Çarpanlar'!$K:$K,'Tarihsel Çarpanlar'!$A:$A,Hesaplama!$D$13,'Tarihsel Çarpanlar'!$B:$B,Hesaplama!F$21)*D18-D19</f>
        <v>68133522893.364815</v>
      </c>
    </row>
    <row r="24" spans="3:9">
      <c r="D24" s="15"/>
      <c r="E24" s="15"/>
      <c r="F24" s="15"/>
    </row>
    <row r="25" spans="3:9">
      <c r="C25" s="18" t="s">
        <v>41</v>
      </c>
      <c r="D25" s="18"/>
      <c r="F25" s="18" t="s">
        <v>43</v>
      </c>
      <c r="G25" s="18"/>
    </row>
    <row r="26" spans="3:9">
      <c r="C26" s="8" t="s">
        <v>33</v>
      </c>
      <c r="D26" s="11">
        <f>+MEDIAN(D22:F23)</f>
        <v>110065730586.03497</v>
      </c>
      <c r="F26" s="8" t="s">
        <v>4</v>
      </c>
      <c r="G26" s="12">
        <v>7.7208885083742302</v>
      </c>
      <c r="H26" s="1"/>
      <c r="I26" s="1"/>
    </row>
    <row r="27" spans="3:9">
      <c r="C27" s="8" t="s">
        <v>34</v>
      </c>
      <c r="D27" s="11">
        <f>+VLOOKUP(D13,'Sermaye&amp;Fiyat'!A2:B9,2,FALSE)</f>
        <v>500000000</v>
      </c>
      <c r="F27" s="8" t="s">
        <v>5</v>
      </c>
      <c r="G27" s="12">
        <v>2.10464560907345</v>
      </c>
      <c r="H27" s="1"/>
      <c r="I27" s="1"/>
    </row>
    <row r="28" spans="3:9">
      <c r="C28" s="8" t="s">
        <v>36</v>
      </c>
      <c r="D28" s="12">
        <f>D26/D27</f>
        <v>220.13146117206995</v>
      </c>
      <c r="F28" s="8" t="s">
        <v>18</v>
      </c>
      <c r="G28" s="12">
        <v>5.9643338778731998</v>
      </c>
      <c r="H28" s="1"/>
      <c r="I28" s="1"/>
    </row>
    <row r="29" spans="3:9">
      <c r="C29" s="8" t="s">
        <v>37</v>
      </c>
      <c r="D29" s="12">
        <f>VLOOKUP(D13,'Sermaye&amp;Fiyat'!A2:C9,3,FALSE)</f>
        <v>186.5</v>
      </c>
    </row>
    <row r="30" spans="3:9">
      <c r="C30" s="8" t="s">
        <v>38</v>
      </c>
      <c r="D30" s="14">
        <f>D28/D29-1</f>
        <v>0.18032955052048227</v>
      </c>
    </row>
  </sheetData>
  <mergeCells count="7">
    <mergeCell ref="D1:H1"/>
    <mergeCell ref="J1:L1"/>
    <mergeCell ref="C14:D14"/>
    <mergeCell ref="C25:D25"/>
    <mergeCell ref="C1:C2"/>
    <mergeCell ref="F25:G25"/>
    <mergeCell ref="I1:I2"/>
  </mergeCells>
  <dataValidations disablePrompts="1" count="1">
    <dataValidation type="list" allowBlank="1" showInputMessage="1" showErrorMessage="1" sqref="D13" xr:uid="{27BA0238-FDC5-4BE8-9230-E062A3AEFD77}">
      <formula1>$C$3:$C$10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28D5-5D38-456D-9191-45091F31B5F0}">
  <dimension ref="A1:K25"/>
  <sheetViews>
    <sheetView showGridLines="0" zoomScaleNormal="100" workbookViewId="0">
      <selection activeCell="O23" sqref="O23"/>
    </sheetView>
  </sheetViews>
  <sheetFormatPr defaultRowHeight="17.25"/>
  <cols>
    <col min="1" max="1" width="7.875" bestFit="1" customWidth="1"/>
    <col min="2" max="2" width="10.125" bestFit="1" customWidth="1"/>
    <col min="3" max="8" width="8.25" bestFit="1" customWidth="1"/>
    <col min="9" max="9" width="7.75" bestFit="1" customWidth="1"/>
    <col min="10" max="10" width="8.375" bestFit="1" customWidth="1"/>
    <col min="11" max="11" width="14.875" bestFit="1" customWidth="1"/>
  </cols>
  <sheetData>
    <row r="1" spans="1:11">
      <c r="A1" s="9" t="s">
        <v>27</v>
      </c>
      <c r="B1" s="9" t="s">
        <v>26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7" t="s">
        <v>28</v>
      </c>
      <c r="J1" s="7" t="s">
        <v>29</v>
      </c>
      <c r="K1" s="7" t="s">
        <v>30</v>
      </c>
    </row>
    <row r="2" spans="1:11">
      <c r="A2" s="10" t="s">
        <v>7</v>
      </c>
      <c r="B2" s="10" t="s">
        <v>4</v>
      </c>
      <c r="C2" s="12">
        <v>10.741690674839106</v>
      </c>
      <c r="D2" s="12">
        <v>8.2229505268035794</v>
      </c>
      <c r="E2" s="12">
        <v>9.5102560642392504</v>
      </c>
      <c r="F2" s="12">
        <v>7.5187365769164396</v>
      </c>
      <c r="G2" s="12">
        <v>10.854341124112519</v>
      </c>
      <c r="H2" s="12">
        <v>15.718456975928397</v>
      </c>
      <c r="I2" s="5">
        <f t="array" ref="I2">+QUARTILE(IF(C2:H2&lt;&gt;0,C2:H2),1)-(1.5*(QUARTILE(IF(C2:H2&lt;&gt;0,C2:H2),3)-QUARTILE(IF(C2:H2&lt;&gt;0,C2:H2),1)))</f>
        <v>5.1226745102149955</v>
      </c>
      <c r="J2" s="5" cm="1">
        <f t="array" ref="J2">+QUARTILE(IF(C2:H2&lt;&gt;0,C2:H2),3)+(3*(QUARTILE(IF(C2:H2&lt;&gt;0,C2:H2),3)-QUARTILE(IF(C2:H2&lt;&gt;0,C2:H2),1)))</f>
        <v>17.670383313689168</v>
      </c>
      <c r="K2" s="5">
        <f t="shared" ref="K2:K25" si="0">MIN(AVERAGEIFS(C2:H2,C2:H2,"&gt;0",C2:H2,"&gt;"&amp;I2,C2:H2,"&lt;="&amp;J2),40)</f>
        <v>10.427738657139882</v>
      </c>
    </row>
    <row r="3" spans="1:11">
      <c r="A3" s="10" t="s">
        <v>7</v>
      </c>
      <c r="B3" s="10" t="s">
        <v>5</v>
      </c>
      <c r="C3" s="12">
        <v>3.5501281322645495</v>
      </c>
      <c r="D3" s="12">
        <v>3.6732213059813952</v>
      </c>
      <c r="E3" s="12">
        <v>5.0868498578973131</v>
      </c>
      <c r="F3" s="12">
        <v>1.470400993594285</v>
      </c>
      <c r="G3" s="12">
        <v>2.3073708364395769</v>
      </c>
      <c r="H3" s="12">
        <v>2.3080006818689878</v>
      </c>
      <c r="I3" s="5">
        <f t="array" ref="I3">+QUARTILE(IF(C3:H3&lt;&gt;0,C3:H3),1)-(1.5*(QUARTILE(IF(C3:H3&lt;&gt;0,C3:H3),3)-QUARTILE(IF(C3:H3&lt;&gt;0,C3:H3),1)))</f>
        <v>0.30514872566404883</v>
      </c>
      <c r="J3" s="5">
        <f t="array" ref="J3">+QUARTILE(IF(C3:H3&lt;&gt;0,C3:H3),3)+(1.5*(QUARTILE(IF(C3:H3&lt;&gt;0,C3:H3),3)-QUARTILE(IF(C3:H3&lt;&gt;0,C3:H3),1)))</f>
        <v>5.6448275846850642</v>
      </c>
      <c r="K3" s="5">
        <f t="shared" si="0"/>
        <v>3.0659953013410175</v>
      </c>
    </row>
    <row r="4" spans="1:11">
      <c r="A4" s="10" t="s">
        <v>7</v>
      </c>
      <c r="B4" s="10" t="s">
        <v>18</v>
      </c>
      <c r="C4" s="12">
        <v>16.614030914390867</v>
      </c>
      <c r="D4" s="12">
        <v>10.365701293732513</v>
      </c>
      <c r="E4" s="12">
        <v>12.415795125620649</v>
      </c>
      <c r="F4" s="12">
        <v>9.5331659516887939</v>
      </c>
      <c r="G4" s="12">
        <v>12.713998508492891</v>
      </c>
      <c r="H4" s="12">
        <v>19.256862686897716</v>
      </c>
      <c r="I4" s="5">
        <f t="array" ref="I4">+QUARTILE(IF(C4:H4&lt;&gt;0,C4:H4),1)-(1.5*(QUARTILE(IF(C4:H4&lt;&gt;0,C4:H4),3)-QUARTILE(IF(C4:H4&lt;&gt;0,C4:H4),1)))</f>
        <v>3.7370276598868077</v>
      </c>
      <c r="J4" s="5">
        <f t="array" ref="J4">+QUARTILE(IF(C4:H4&lt;&gt;0,C4:H4),3)+(1.5*(QUARTILE(IF(C4:H4&lt;&gt;0,C4:H4),3)-QUARTILE(IF(C4:H4&lt;&gt;0,C4:H4),1)))</f>
        <v>22.780219904734111</v>
      </c>
      <c r="K4" s="5">
        <f t="shared" si="0"/>
        <v>13.483259080137238</v>
      </c>
    </row>
    <row r="5" spans="1:11">
      <c r="A5" s="10" t="s">
        <v>8</v>
      </c>
      <c r="B5" s="10" t="s">
        <v>4</v>
      </c>
      <c r="C5" s="12">
        <v>1.2939975892766238</v>
      </c>
      <c r="D5" s="12">
        <v>1.4828939622495758</v>
      </c>
      <c r="E5" s="12">
        <v>2.319098403896779</v>
      </c>
      <c r="F5" s="12">
        <v>2.8814478383535285</v>
      </c>
      <c r="G5" s="12">
        <v>4.1566479255627726</v>
      </c>
      <c r="H5" s="12">
        <v>3.6444495415766704</v>
      </c>
      <c r="I5" s="5">
        <f t="array" ref="I5">+QUARTILE(IF(C5:H5&lt;&gt;0,C5:H5),1)-(1.5*(QUARTILE(IF(C5:H5&lt;&gt;0,C5:H5),3)-QUARTILE(IF(C5:H5&lt;&gt;0,C5:H5),1)))</f>
        <v>-0.95068599200288562</v>
      </c>
      <c r="J5" s="5">
        <f t="array" ref="J5">+QUARTILE(IF(C5:H5&lt;&gt;0,C5:H5),3)+(1.5*(QUARTILE(IF(C5:H5&lt;&gt;0,C5:H5),3)-QUARTILE(IF(C5:H5&lt;&gt;0,C5:H5),1)))</f>
        <v>6.0963301804351469</v>
      </c>
      <c r="K5" s="5">
        <f t="shared" si="0"/>
        <v>2.6297558768193254</v>
      </c>
    </row>
    <row r="6" spans="1:11">
      <c r="A6" s="10" t="s">
        <v>8</v>
      </c>
      <c r="B6" s="10" t="s">
        <v>5</v>
      </c>
      <c r="C6" s="12">
        <v>1.9774735875057419</v>
      </c>
      <c r="D6" s="12">
        <v>1.9792227516799912</v>
      </c>
      <c r="E6" s="12">
        <v>2.3068139363861073</v>
      </c>
      <c r="F6" s="12">
        <v>1.0965002868083258</v>
      </c>
      <c r="G6" s="12">
        <v>1.3370736150864504</v>
      </c>
      <c r="H6" s="12">
        <v>0.92368591890610796</v>
      </c>
      <c r="I6" s="5">
        <f t="array" ref="I6">+QUARTILE(IF(C6:H6&lt;&gt;0,C6:H6),1)-(1.5*(QUARTILE(IF(C6:H6&lt;&gt;0,C6:H6),3)-QUARTILE(IF(C6:H6&lt;&gt;0,C6:H6),1)))</f>
        <v>-7.6569143760001124E-2</v>
      </c>
      <c r="J6" s="5">
        <f t="array" ref="J6">+QUARTILE(IF(C6:H6&lt;&gt;0,C6:H6),3)+(1.5*(QUARTILE(IF(C6:H6&lt;&gt;0,C6:H6),3)-QUARTILE(IF(C6:H6&lt;&gt;0,C6:H6),1)))</f>
        <v>3.2119982232742865</v>
      </c>
      <c r="K6" s="5">
        <f t="shared" si="0"/>
        <v>1.6034616827287875</v>
      </c>
    </row>
    <row r="7" spans="1:11">
      <c r="A7" s="10" t="s">
        <v>8</v>
      </c>
      <c r="B7" s="10" t="s">
        <v>18</v>
      </c>
      <c r="C7" s="12">
        <v>1.41211445123823</v>
      </c>
      <c r="D7" s="12">
        <v>1.4744013288282833</v>
      </c>
      <c r="E7" s="12">
        <v>2.2512159224278459</v>
      </c>
      <c r="F7" s="12">
        <v>2.3862276837129865</v>
      </c>
      <c r="G7" s="12">
        <v>3.0071139235902775</v>
      </c>
      <c r="H7" s="12">
        <v>2.9773231465875334</v>
      </c>
      <c r="I7" s="5">
        <f t="array" ref="I7">+QUARTILE(IF(C7:H7&lt;&gt;0,C7:H7),1)-(1.5*(QUARTILE(IF(C7:H7&lt;&gt;0,C7:H7),3)-QUARTILE(IF(C7:H7&lt;&gt;0,C7:H7),1)))</f>
        <v>-7.2811478232910121E-2</v>
      </c>
      <c r="J7" s="5">
        <f t="array" ref="J7">+QUARTILE(IF(C7:H7&lt;&gt;0,C7:H7),3)+(1.5*(QUARTILE(IF(C7:H7&lt;&gt;0,C7:H7),3)-QUARTILE(IF(C7:H7&lt;&gt;0,C7:H7),1)))</f>
        <v>4.5709657363299812</v>
      </c>
      <c r="K7" s="5">
        <f t="shared" si="0"/>
        <v>2.2513994093975263</v>
      </c>
    </row>
    <row r="8" spans="1:11">
      <c r="A8" s="10" t="s">
        <v>9</v>
      </c>
      <c r="B8" s="10" t="s">
        <v>4</v>
      </c>
      <c r="C8" s="12">
        <v>6.0778698796704873</v>
      </c>
      <c r="D8" s="12">
        <v>6.5740044535113515</v>
      </c>
      <c r="E8" s="12">
        <v>6.9766533276403715</v>
      </c>
      <c r="F8" s="12">
        <v>5.2898666003311465</v>
      </c>
      <c r="G8" s="12">
        <v>7.953920099239455</v>
      </c>
      <c r="H8" s="12">
        <v>7.5192742228507159</v>
      </c>
      <c r="I8" s="5">
        <f t="array" ref="I8">+QUARTILE(IF(C8:H8&lt;&gt;0,C8:H8),1)-(1.5*(QUARTILE(IF(C8:H8&lt;&gt;0,C8:H8),3)-QUARTILE(IF(C8:H8&lt;&gt;0,C8:H8),1)))</f>
        <v>4.4293303092545626</v>
      </c>
      <c r="J8" s="5">
        <f t="array" ref="J8">+QUARTILE(IF(C8:H8&lt;&gt;0,C8:H8),3)+(1.5*(QUARTILE(IF(C8:H8&lt;&gt;0,C8:H8),3)-QUARTILE(IF(C8:H8&lt;&gt;0,C8:H8),1)))</f>
        <v>9.156192212924271</v>
      </c>
      <c r="K8" s="5">
        <f t="shared" si="0"/>
        <v>6.7319314305405884</v>
      </c>
    </row>
    <row r="9" spans="1:11">
      <c r="A9" s="10" t="s">
        <v>9</v>
      </c>
      <c r="B9" s="10" t="s">
        <v>5</v>
      </c>
      <c r="C9" s="12">
        <v>9.302962814529895</v>
      </c>
      <c r="D9" s="12">
        <v>9.784837103999779</v>
      </c>
      <c r="E9" s="12">
        <v>7.3202698525868399</v>
      </c>
      <c r="F9" s="12">
        <v>2.849560213841916</v>
      </c>
      <c r="G9" s="12">
        <v>4.4178819721753708</v>
      </c>
      <c r="H9" s="12">
        <v>3.9055697326066761</v>
      </c>
      <c r="I9" s="5">
        <f t="array" ref="I9">+QUARTILE(IF(C9:H9&lt;&gt;0,C9:H9),1)-(1.5*(QUARTILE(IF(C9:H9&lt;&gt;0,C9:H9),3)-QUARTILE(IF(C9:H9&lt;&gt;0,C9:H9),1)))</f>
        <v>-3.1268148798190714</v>
      </c>
      <c r="J9" s="5">
        <f t="array" ref="J9">+QUARTILE(IF(C9:H9&lt;&gt;0,C9:H9),3)+(1.5*(QUARTILE(IF(C9:H9&lt;&gt;0,C9:H9),3)-QUARTILE(IF(C9:H9&lt;&gt;0,C9:H9),1)))</f>
        <v>15.967752246362052</v>
      </c>
      <c r="K9" s="5">
        <f t="shared" si="0"/>
        <v>6.2635136149567465</v>
      </c>
    </row>
    <row r="10" spans="1:11">
      <c r="A10" s="10" t="s">
        <v>9</v>
      </c>
      <c r="B10" s="10" t="s">
        <v>18</v>
      </c>
      <c r="C10" s="12">
        <v>5.4797933270979273</v>
      </c>
      <c r="D10" s="12">
        <v>5.86806503784487</v>
      </c>
      <c r="E10" s="12">
        <v>7.0905911862570816</v>
      </c>
      <c r="F10" s="12">
        <v>7.843551469300146</v>
      </c>
      <c r="G10" s="12">
        <v>11.295996233117538</v>
      </c>
      <c r="H10" s="12">
        <v>12.793042931861972</v>
      </c>
      <c r="I10" s="5">
        <f t="array" ref="I10">+QUARTILE(IF(C10:H10&lt;&gt;0,C10:H10),1)-(1.5*(QUARTILE(IF(C10:H10&lt;&gt;0,C10:H10),3)-QUARTILE(IF(C10:H10&lt;&gt;0,C10:H10),1)))</f>
        <v>-0.21508612587497655</v>
      </c>
      <c r="J10" s="5">
        <f t="array" ref="J10">+QUARTILE(IF(C10:H10&lt;&gt;0,C10:H10),3)+(1.5*(QUARTILE(IF(C10:H10&lt;&gt;0,C10:H10),3)-QUARTILE(IF(C10:H10&lt;&gt;0,C10:H10),1)))</f>
        <v>16.821667742986087</v>
      </c>
      <c r="K10" s="5">
        <f t="shared" si="0"/>
        <v>8.39517336424659</v>
      </c>
    </row>
    <row r="11" spans="1:11">
      <c r="A11" s="10" t="s">
        <v>10</v>
      </c>
      <c r="B11" s="10" t="s">
        <v>4</v>
      </c>
      <c r="C11" s="12">
        <v>0</v>
      </c>
      <c r="D11" s="12">
        <v>0</v>
      </c>
      <c r="E11" s="12">
        <v>0</v>
      </c>
      <c r="F11" s="12">
        <v>12.059851549306837</v>
      </c>
      <c r="G11" s="12">
        <v>14.874348436905059</v>
      </c>
      <c r="H11" s="12">
        <v>23.07688425048077</v>
      </c>
      <c r="I11" s="5">
        <f t="array" ref="I11">+QUARTILE(IF(C11:H11&lt;&gt;0,C11:H11),1)-(1.5*(QUARTILE(IF(C11:H11&lt;&gt;0,C11:H11),3)-QUARTILE(IF(C11:H11&lt;&gt;0,C11:H11),1)))</f>
        <v>5.2043254672254982</v>
      </c>
      <c r="J11" s="5">
        <f t="array" ref="J11">+QUARTILE(IF(C11:H11&lt;&gt;0,C11:H11),3)+(1.5*(QUARTILE(IF(C11:H11&lt;&gt;0,C11:H11),3)-QUARTILE(IF(C11:H11&lt;&gt;0,C11:H11),1)))</f>
        <v>27.238390869573362</v>
      </c>
      <c r="K11" s="5">
        <f t="shared" si="0"/>
        <v>16.670361412230889</v>
      </c>
    </row>
    <row r="12" spans="1:11">
      <c r="A12" s="10" t="s">
        <v>10</v>
      </c>
      <c r="B12" s="10" t="s">
        <v>5</v>
      </c>
      <c r="C12" s="12">
        <v>3.9803543894737361</v>
      </c>
      <c r="D12" s="12">
        <v>4.6671972354341715</v>
      </c>
      <c r="E12" s="12">
        <v>4.7680793447026941</v>
      </c>
      <c r="F12" s="12">
        <v>1.6250975862950736</v>
      </c>
      <c r="G12" s="12">
        <v>1.4899334552285106</v>
      </c>
      <c r="H12" s="12">
        <v>3.1266591000118309</v>
      </c>
      <c r="I12" s="5">
        <f t="array" ref="I12">+QUARTILE(IF(C12:H12&lt;&gt;0,C12:H12),1)-(1.5*(QUARTILE(IF(C12:H12&lt;&gt;0,C12:H12),3)-QUARTILE(IF(C12:H12&lt;&gt;0,C12:H12),1)))</f>
        <v>-1.7420098741054373</v>
      </c>
      <c r="J12" s="5">
        <f t="array" ref="J12">+QUARTILE(IF(C12:H12&lt;&gt;0,C12:H12),3)+(1.5*(QUARTILE(IF(C12:H12&lt;&gt;0,C12:H12),3)-QUARTILE(IF(C12:H12&lt;&gt;0,C12:H12),1)))</f>
        <v>8.2379843627737621</v>
      </c>
      <c r="K12" s="5">
        <f t="shared" si="0"/>
        <v>3.2762201851910029</v>
      </c>
    </row>
    <row r="13" spans="1:11">
      <c r="A13" s="10" t="s">
        <v>10</v>
      </c>
      <c r="B13" s="10" t="s">
        <v>18</v>
      </c>
      <c r="C13" s="12">
        <v>22.861996580373546</v>
      </c>
      <c r="D13" s="12">
        <v>23.574748430655241</v>
      </c>
      <c r="E13" s="12">
        <v>18.105182683513259</v>
      </c>
      <c r="F13" s="12">
        <v>15.298652115599731</v>
      </c>
      <c r="G13" s="12">
        <v>20.038414311607131</v>
      </c>
      <c r="H13" s="12">
        <v>24.39994845068674</v>
      </c>
      <c r="I13" s="5">
        <f t="array" ref="I13">+QUARTILE(IF(C13:H13&lt;&gt;0,C13:H13),1)-(1.5*(QUARTILE(IF(C13:H13&lt;&gt;0,C13:H13),3)-QUARTILE(IF(C13:H13&lt;&gt;0,C13:H13),1)))</f>
        <v>11.376385774214596</v>
      </c>
      <c r="J13" s="5">
        <f t="array" ref="J13">+QUARTILE(IF(C13:H13&lt;&gt;0,C13:H13),3)+(1.5*(QUARTILE(IF(C13:H13&lt;&gt;0,C13:H13),3)-QUARTILE(IF(C13:H13&lt;&gt;0,C13:H13),1)))</f>
        <v>30.608665284406953</v>
      </c>
      <c r="K13" s="5">
        <f t="shared" si="0"/>
        <v>20.713157095405943</v>
      </c>
    </row>
    <row r="14" spans="1:11">
      <c r="A14" s="10" t="s">
        <v>11</v>
      </c>
      <c r="B14" s="10" t="s">
        <v>4</v>
      </c>
      <c r="C14" s="12">
        <v>20.362452844145277</v>
      </c>
      <c r="D14" s="12">
        <v>18.459916439303964</v>
      </c>
      <c r="E14" s="12">
        <v>34.135317362253922</v>
      </c>
      <c r="F14" s="12">
        <v>19.09725987641864</v>
      </c>
      <c r="G14" s="12">
        <v>18.909044177265848</v>
      </c>
      <c r="H14" s="12">
        <v>57.389642100404558</v>
      </c>
      <c r="I14" s="5">
        <f t="array" ref="I14">+QUARTILE(IF(C14:H14&lt;&gt;0,C14:H14),1)-(1.5*(QUARTILE(IF(C14:H14&lt;&gt;0,C14:H14),3)-QUARTILE(IF(C14:H14&lt;&gt;0,C14:H14),1)))</f>
        <v>1.3520934060449754</v>
      </c>
      <c r="J14" s="5">
        <f t="array" ref="J14">+QUARTILE(IF(C14:H14&lt;&gt;0,C14:H14),3)+(1.5*(QUARTILE(IF(C14:H14&lt;&gt;0,C14:H14),3)-QUARTILE(IF(C14:H14&lt;&gt;0,C14:H14),1)))</f>
        <v>48.296105928735827</v>
      </c>
      <c r="K14" s="5">
        <f t="shared" si="0"/>
        <v>22.192798139877532</v>
      </c>
    </row>
    <row r="15" spans="1:11">
      <c r="A15" s="10" t="s">
        <v>11</v>
      </c>
      <c r="B15" s="10" t="s">
        <v>5</v>
      </c>
      <c r="C15" s="12">
        <v>14.370779206795946</v>
      </c>
      <c r="D15" s="12">
        <v>13.023590453130405</v>
      </c>
      <c r="E15" s="12">
        <v>17.648132795468587</v>
      </c>
      <c r="F15" s="12">
        <v>4.5263224799992132</v>
      </c>
      <c r="G15" s="12">
        <v>6.6021906238503432</v>
      </c>
      <c r="H15" s="12">
        <v>9.4452413684372711</v>
      </c>
      <c r="I15" s="5">
        <f t="array" ref="I15">+QUARTILE(IF(C15:H15&lt;&gt;0,C15:H15),1)-(1.5*(QUARTILE(IF(C15:H15&lt;&gt;0,C15:H15),3)-QUARTILE(IF(C15:H15&lt;&gt;0,C15:H15),1)))</f>
        <v>-2.7685897525766539</v>
      </c>
      <c r="J15" s="5">
        <f t="array" ref="J15">+QUARTILE(IF(C15:H15&lt;&gt;0,C15:H15),3)+(1.5*(QUARTILE(IF(C15:H15&lt;&gt;0,C15:H15),3)-QUARTILE(IF(C15:H15&lt;&gt;0,C15:H15),1)))</f>
        <v>24.11552508095329</v>
      </c>
      <c r="K15" s="5">
        <f t="shared" si="0"/>
        <v>10.936042821280294</v>
      </c>
    </row>
    <row r="16" spans="1:11">
      <c r="A16" s="10" t="s">
        <v>11</v>
      </c>
      <c r="B16" s="10" t="s">
        <v>18</v>
      </c>
      <c r="C16" s="12">
        <v>0</v>
      </c>
      <c r="D16" s="12">
        <v>0</v>
      </c>
      <c r="E16" s="12">
        <v>97.268997732056562</v>
      </c>
      <c r="F16" s="12">
        <v>28.350159023319268</v>
      </c>
      <c r="G16" s="12">
        <v>27.336800090342727</v>
      </c>
      <c r="H16" s="12">
        <v>45.342421313200219</v>
      </c>
      <c r="I16" s="5">
        <f t="array" ref="I16">+QUARTILE(IF(C16:H16&lt;&gt;0,C16:H16),1)-(1.5*(QUARTILE(IF(C16:H16&lt;&gt;0,C16:H16),3)-QUARTILE(IF(C16:H16&lt;&gt;0,C16:H16),1)))</f>
        <v>-17.244049901683624</v>
      </c>
      <c r="J16" s="5">
        <f t="array" ref="J16">+QUARTILE(IF(C16:H16&lt;&gt;0,C16:H16),3)+(1.5*(QUARTILE(IF(C16:H16&lt;&gt;0,C16:H16),3)-QUARTILE(IF(C16:H16&lt;&gt;0,C16:H16),1)))</f>
        <v>103.66493460967305</v>
      </c>
      <c r="K16" s="5">
        <f t="shared" si="0"/>
        <v>40</v>
      </c>
    </row>
    <row r="17" spans="1:11">
      <c r="A17" s="10" t="s">
        <v>12</v>
      </c>
      <c r="B17" s="10" t="s">
        <v>4</v>
      </c>
      <c r="C17" s="12">
        <v>12.121700833095773</v>
      </c>
      <c r="D17" s="12">
        <v>13.781674355944542</v>
      </c>
      <c r="E17" s="12">
        <v>14.24794351068387</v>
      </c>
      <c r="F17" s="12">
        <v>13.360823637001904</v>
      </c>
      <c r="G17" s="12">
        <v>26.385266762973782</v>
      </c>
      <c r="H17" s="12">
        <v>23.873129857826914</v>
      </c>
      <c r="I17" s="5">
        <f t="array" ref="I17">+QUARTILE(IF(C17:H17&lt;&gt;0,C17:H17),1)-(1.5*(QUARTILE(IF(C17:H17&lt;&gt;0,C17:H17),3)-QUARTILE(IF(C17:H17&lt;&gt;0,C17:H17),1)))</f>
        <v>1.464840885282177</v>
      </c>
      <c r="J17" s="5">
        <f t="array" ref="J17">+QUARTILE(IF(C17:H17&lt;&gt;0,C17:H17),3)+(1.5*(QUARTILE(IF(C17:H17&lt;&gt;0,C17:H17),3)-QUARTILE(IF(C17:H17&lt;&gt;0,C17:H17),1)))</f>
        <v>33.468028702496539</v>
      </c>
      <c r="K17" s="5">
        <f t="shared" si="0"/>
        <v>17.295089826254465</v>
      </c>
    </row>
    <row r="18" spans="1:11">
      <c r="A18" s="10" t="s">
        <v>12</v>
      </c>
      <c r="B18" s="10" t="s">
        <v>5</v>
      </c>
      <c r="C18" s="12">
        <v>3.1832106239057043</v>
      </c>
      <c r="D18" s="12">
        <v>3.5954771569104031</v>
      </c>
      <c r="E18" s="12">
        <v>5.1063343791691693</v>
      </c>
      <c r="F18" s="12">
        <v>1.5939877825416637</v>
      </c>
      <c r="G18" s="12">
        <v>3.1673869050209604</v>
      </c>
      <c r="H18" s="12">
        <v>2.1491274736945822</v>
      </c>
      <c r="I18" s="5">
        <f t="array" ref="I18">+QUARTILE(IF(C18:H18&lt;&gt;0,C18:H18),1)-(1.5*(QUARTILE(IF(C18:H18&lt;&gt;0,C18:H18),3)-QUARTILE(IF(C18:H18&lt;&gt;0,C18:H18),1)))</f>
        <v>0.77061504332659903</v>
      </c>
      <c r="J18" s="5">
        <f t="array" ref="J18">+QUARTILE(IF(C18:H18&lt;&gt;0,C18:H18),3)+(1.5*(QUARTILE(IF(C18:H18&lt;&gt;0,C18:H18),3)-QUARTILE(IF(C18:H18&lt;&gt;0,C18:H18),1)))</f>
        <v>5.1254878118588056</v>
      </c>
      <c r="K18" s="5">
        <f t="shared" si="0"/>
        <v>3.1325873868737468</v>
      </c>
    </row>
    <row r="19" spans="1:11">
      <c r="A19" s="10" t="s">
        <v>12</v>
      </c>
      <c r="B19" s="10" t="s">
        <v>18</v>
      </c>
      <c r="C19" s="12">
        <v>7.1355066987764983</v>
      </c>
      <c r="D19" s="12">
        <v>7.8150645859084875</v>
      </c>
      <c r="E19" s="12">
        <v>10.202905206922313</v>
      </c>
      <c r="F19" s="12">
        <v>7.3275284339935904</v>
      </c>
      <c r="G19" s="12">
        <v>13.881698574287164</v>
      </c>
      <c r="H19" s="12">
        <v>12.768586252016323</v>
      </c>
      <c r="I19" s="5">
        <f t="array" ref="I19">+QUARTILE(IF(C19:H19&lt;&gt;0,C19:H19),1)-(1.5*(QUARTILE(IF(C19:H19&lt;&gt;0,C19:H19),3)-QUARTILE(IF(C19:H19&lt;&gt;0,C19:H19),1)))</f>
        <v>0.43278219381655436</v>
      </c>
      <c r="J19" s="5">
        <f t="array" ref="J19">+QUARTILE(IF(C19:H19&lt;&gt;0,C19:H19),3)+(1.5*(QUARTILE(IF(C19:H19&lt;&gt;0,C19:H19),3)-QUARTILE(IF(C19:H19&lt;&gt;0,C19:H19),1)))</f>
        <v>19.14379626889858</v>
      </c>
      <c r="K19" s="5">
        <f t="shared" si="0"/>
        <v>9.8552149586507287</v>
      </c>
    </row>
    <row r="20" spans="1:11">
      <c r="A20" s="10" t="s">
        <v>13</v>
      </c>
      <c r="B20" s="10" t="s">
        <v>4</v>
      </c>
      <c r="C20" s="12">
        <v>8.4696092094184596</v>
      </c>
      <c r="D20" s="12">
        <v>7.4612637779253683</v>
      </c>
      <c r="E20" s="12">
        <v>8.2989337148015689</v>
      </c>
      <c r="F20" s="12">
        <v>5.1238477930269992</v>
      </c>
      <c r="G20" s="12">
        <v>6.6723093045570039</v>
      </c>
      <c r="H20" s="12">
        <v>11.599764456547623</v>
      </c>
      <c r="I20" s="5">
        <f t="array" ref="I20">+QUARTILE(IF(C20:H20&lt;&gt;0,C20:H20),1)-(1.5*(QUARTILE(IF(C20:H20&lt;&gt;0,C20:H20),3)-QUARTILE(IF(C20:H20&lt;&gt;0,C20:H20),1)))</f>
        <v>4.5334593036013828</v>
      </c>
      <c r="J20" s="5">
        <f t="array" ref="J20">+QUARTILE(IF(C20:H20&lt;&gt;0,C20:H20),3)+(1.5*(QUARTILE(IF(C20:H20&lt;&gt;0,C20:H20),3)-QUARTILE(IF(C20:H20&lt;&gt;0,C20:H20),1)))</f>
        <v>10.763028955061948</v>
      </c>
      <c r="K20" s="5">
        <f t="shared" si="0"/>
        <v>7.2051927599458789</v>
      </c>
    </row>
    <row r="21" spans="1:11">
      <c r="A21" s="10" t="s">
        <v>13</v>
      </c>
      <c r="B21" s="10" t="s">
        <v>5</v>
      </c>
      <c r="C21" s="12">
        <v>8.4846597624168023</v>
      </c>
      <c r="D21" s="12">
        <v>7.9613290658507543</v>
      </c>
      <c r="E21" s="12">
        <v>6.9593152542491037</v>
      </c>
      <c r="F21" s="12">
        <v>2.0956105759997223</v>
      </c>
      <c r="G21" s="12">
        <v>3.8751533588444333</v>
      </c>
      <c r="H21" s="12">
        <v>4.2531775489468178</v>
      </c>
      <c r="I21" s="5">
        <f t="array" ref="I21">+QUARTILE(IF(C21:H21&lt;&gt;0,C21:H21),1)-(1.5*(QUARTILE(IF(C21:H21&lt;&gt;0,C21:H21),3)-QUARTILE(IF(C21:H21&lt;&gt;0,C21:H21),1)))</f>
        <v>-1.6420899035004393</v>
      </c>
      <c r="J21" s="5">
        <f t="array" ref="J21">+QUARTILE(IF(C21:H21&lt;&gt;0,C21:H21),3)+(1.5*(QUARTILE(IF(C21:H21&lt;&gt;0,C21:H21),3)-QUARTILE(IF(C21:H21&lt;&gt;0,C21:H21),1)))</f>
        <v>13.322574922820809</v>
      </c>
      <c r="K21" s="5">
        <f t="shared" si="0"/>
        <v>5.6048742610512718</v>
      </c>
    </row>
    <row r="22" spans="1:11">
      <c r="A22" s="10" t="s">
        <v>13</v>
      </c>
      <c r="B22" s="10" t="s">
        <v>18</v>
      </c>
      <c r="C22" s="12">
        <v>4.0449485162479544</v>
      </c>
      <c r="D22" s="12">
        <v>4.2897881627082564</v>
      </c>
      <c r="E22" s="12">
        <v>4.3252994275402443</v>
      </c>
      <c r="F22" s="12">
        <v>3.2674385007171303</v>
      </c>
      <c r="G22" s="12">
        <v>4.7230453914318593</v>
      </c>
      <c r="H22" s="12">
        <v>7.8840957346500771</v>
      </c>
      <c r="I22" s="5">
        <f t="array" ref="I22">+QUARTILE(IF(C22:H22&lt;&gt;0,C22:H22),1)-(1.5*(QUARTILE(IF(C22:H22&lt;&gt;0,C22:H22),3)-QUARTILE(IF(C22:H22&lt;&gt;0,C22:H22),1)))</f>
        <v>3.3299827189691422</v>
      </c>
      <c r="J22" s="5">
        <f t="array" ref="J22">+QUARTILE(IF(C22:H22&lt;&gt;0,C22:H22),3)+(1.5*(QUARTILE(IF(C22:H22&lt;&gt;0,C22:H22),3)-QUARTILE(IF(C22:H22&lt;&gt;0,C22:H22),1)))</f>
        <v>5.3997846093528432</v>
      </c>
      <c r="K22" s="5">
        <f t="shared" si="0"/>
        <v>4.345770374482079</v>
      </c>
    </row>
    <row r="23" spans="1:11">
      <c r="A23" s="10" t="s">
        <v>14</v>
      </c>
      <c r="B23" s="10" t="s">
        <v>4</v>
      </c>
      <c r="C23" s="12">
        <v>4.5782232361288031</v>
      </c>
      <c r="D23" s="12">
        <v>4.5545804055545434</v>
      </c>
      <c r="E23" s="12">
        <v>8.1621085643088414</v>
      </c>
      <c r="F23" s="12">
        <v>5.6135769627606953</v>
      </c>
      <c r="G23" s="12">
        <v>7.8582269502735365</v>
      </c>
      <c r="H23" s="12">
        <v>8.2649339871993188</v>
      </c>
      <c r="I23" s="5">
        <f t="array" ref="I23">+QUARTILE(IF(C23:H23&lt;&gt;0,C23:H23),1)-(1.5*(QUARTILE(IF(C23:H23&lt;&gt;0,C23:H23),3)-QUARTILE(IF(C23:H23&lt;&gt;0,C23:H23),1)))</f>
        <v>-3.6553071733082199E-2</v>
      </c>
      <c r="J23" s="5">
        <f t="array" ref="J23">+QUARTILE(IF(C23:H23&lt;&gt;0,C23:H23),3)+(1.5*(QUARTILE(IF(C23:H23&lt;&gt;0,C23:H23),3)-QUARTILE(IF(C23:H23&lt;&gt;0,C23:H23),1)))</f>
        <v>12.959752900319874</v>
      </c>
      <c r="K23" s="5">
        <f t="shared" si="0"/>
        <v>6.5052750177042897</v>
      </c>
    </row>
    <row r="24" spans="1:11">
      <c r="A24" s="10" t="s">
        <v>14</v>
      </c>
      <c r="B24" s="10" t="s">
        <v>5</v>
      </c>
      <c r="C24" s="12">
        <v>9.0424794517144154</v>
      </c>
      <c r="D24" s="12">
        <v>8.0352527003646035</v>
      </c>
      <c r="E24" s="12">
        <v>11.364411042114748</v>
      </c>
      <c r="F24" s="12">
        <v>3.4057564672166789</v>
      </c>
      <c r="G24" s="12">
        <v>7.5142727804934308</v>
      </c>
      <c r="H24" s="12">
        <v>5.7742886546786201</v>
      </c>
      <c r="I24" s="5">
        <f t="array" ref="I24">+QUARTILE(IF(C24:H24&lt;&gt;0,C24:H24),1)-(1.5*(QUARTILE(IF(C24:H24&lt;&gt;0,C24:H24),3)-QUARTILE(IF(C24:H24&lt;&gt;0,C24:H24),1)))</f>
        <v>2.3372025695153633</v>
      </c>
      <c r="J24" s="5">
        <f t="array" ref="J24">+QUARTILE(IF(C24:H24&lt;&gt;0,C24:H24),3)+(1.5*(QUARTILE(IF(C24:H24&lt;&gt;0,C24:H24),3)-QUARTILE(IF(C24:H24&lt;&gt;0,C24:H24),1)))</f>
        <v>12.662754880493921</v>
      </c>
      <c r="K24" s="5">
        <f t="shared" si="0"/>
        <v>7.5227435160970835</v>
      </c>
    </row>
    <row r="25" spans="1:11">
      <c r="A25" s="10" t="s">
        <v>14</v>
      </c>
      <c r="B25" s="10" t="s">
        <v>18</v>
      </c>
      <c r="C25" s="12">
        <v>3.4681551277638927</v>
      </c>
      <c r="D25" s="12">
        <v>3.2149797199603887</v>
      </c>
      <c r="E25" s="12">
        <v>5.4476483459568943</v>
      </c>
      <c r="F25" s="12">
        <v>3.4782031364550088</v>
      </c>
      <c r="G25" s="12">
        <v>5.0965732203299412</v>
      </c>
      <c r="H25" s="12">
        <v>5.6949090046406861</v>
      </c>
      <c r="I25" s="5">
        <f t="array" ref="I25">+QUARTILE(IF(C25:H25&lt;&gt;0,C25:H25),1)-(1.5*(QUARTILE(IF(C25:H25&lt;&gt;0,C25:H25),3)-QUARTILE(IF(C25:H25&lt;&gt;0,C25:H25),1)))</f>
        <v>0.63684847801644517</v>
      </c>
      <c r="J25" s="5">
        <f t="array" ref="J25">+QUARTILE(IF(C25:H25&lt;&gt;0,C25:H25),3)+(1.5*(QUARTILE(IF(C25:H25&lt;&gt;0,C25:H25),3)-QUARTILE(IF(C25:H25&lt;&gt;0,C25:H25),1)))</f>
        <v>8.1936982164703824</v>
      </c>
      <c r="K25" s="5">
        <f t="shared" si="0"/>
        <v>4.4000780925178011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E94E-7C2E-4462-85DC-9B92EFCB30EF}">
  <dimension ref="A1:C9"/>
  <sheetViews>
    <sheetView showGridLines="0" zoomScale="145" zoomScaleNormal="145" workbookViewId="0">
      <selection activeCell="D12" sqref="D12"/>
    </sheetView>
  </sheetViews>
  <sheetFormatPr defaultRowHeight="17.25"/>
  <cols>
    <col min="2" max="2" width="14" bestFit="1" customWidth="1"/>
  </cols>
  <sheetData>
    <row r="1" spans="1:3">
      <c r="A1" s="9" t="s">
        <v>27</v>
      </c>
      <c r="B1" s="9" t="s">
        <v>34</v>
      </c>
      <c r="C1" s="9" t="s">
        <v>35</v>
      </c>
    </row>
    <row r="2" spans="1:3">
      <c r="A2" s="10" t="s">
        <v>7</v>
      </c>
      <c r="B2" s="11">
        <v>252000000</v>
      </c>
      <c r="C2" s="12">
        <v>64.05</v>
      </c>
    </row>
    <row r="3" spans="1:3">
      <c r="A3" s="10" t="s">
        <v>8</v>
      </c>
      <c r="B3" s="11">
        <v>220000000</v>
      </c>
      <c r="C3" s="12">
        <v>205.1</v>
      </c>
    </row>
    <row r="4" spans="1:3">
      <c r="A4" s="10" t="s">
        <v>9</v>
      </c>
      <c r="B4" s="11">
        <v>350910000</v>
      </c>
      <c r="C4" s="12">
        <v>976</v>
      </c>
    </row>
    <row r="5" spans="1:3">
      <c r="A5" s="10" t="s">
        <v>10</v>
      </c>
      <c r="B5" s="11">
        <v>900000000</v>
      </c>
      <c r="C5" s="12">
        <v>15.21</v>
      </c>
    </row>
    <row r="6" spans="1:3">
      <c r="A6" s="10" t="s">
        <v>11</v>
      </c>
      <c r="B6" s="11">
        <v>120000000</v>
      </c>
      <c r="C6" s="12">
        <v>415</v>
      </c>
    </row>
    <row r="7" spans="1:3">
      <c r="A7" s="10" t="s">
        <v>12</v>
      </c>
      <c r="B7" s="11">
        <v>115000000</v>
      </c>
      <c r="C7" s="12">
        <v>117.2</v>
      </c>
    </row>
    <row r="8" spans="1:3">
      <c r="A8" s="10" t="s">
        <v>13</v>
      </c>
      <c r="B8" s="11">
        <v>500000000</v>
      </c>
      <c r="C8" s="12">
        <v>186.5</v>
      </c>
    </row>
    <row r="9" spans="1:3">
      <c r="A9" s="10" t="s">
        <v>14</v>
      </c>
      <c r="B9" s="11">
        <v>100066875</v>
      </c>
      <c r="C9" s="12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Hesaplama</vt:lpstr>
      <vt:lpstr>Tarihsel Çarpanlar</vt:lpstr>
      <vt:lpstr>Sermaye&amp;Fiyat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İlker TOKAÇ</dc:creator>
  <cp:lastModifiedBy>İlker TOKAÇ</cp:lastModifiedBy>
  <dcterms:created xsi:type="dcterms:W3CDTF">2024-11-05T08:17:57Z</dcterms:created>
  <dcterms:modified xsi:type="dcterms:W3CDTF">2024-11-06T13:48:46Z</dcterms:modified>
</cp:coreProperties>
</file>