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031dea7aa373a1/Belgeler/Arduino/Baracuda/"/>
    </mc:Choice>
  </mc:AlternateContent>
  <xr:revisionPtr revIDLastSave="1847" documentId="8_{DF52341F-4B5D-4582-8DEC-F0DBC24E18AD}" xr6:coauthVersionLast="47" xr6:coauthVersionMax="47" xr10:uidLastSave="{B324F492-D852-4272-B8C6-5A64A4C52C7F}"/>
  <bookViews>
    <workbookView xWindow="-108" yWindow="-108" windowWidth="23256" windowHeight="12576" firstSheet="2" activeTab="10" xr2:uid="{00000000-000D-0000-FFFF-FFFF00000000}"/>
  </bookViews>
  <sheets>
    <sheet name="Menu1" sheetId="1" r:id="rId1"/>
    <sheet name="Menu2" sheetId="2" r:id="rId2"/>
    <sheet name="Menu3" sheetId="4" r:id="rId3"/>
    <sheet name="MenuF" sheetId="5" r:id="rId4"/>
    <sheet name="UI" sheetId="3" r:id="rId5"/>
    <sheet name="Key" sheetId="7" r:id="rId6"/>
    <sheet name="Key2" sheetId="8" r:id="rId7"/>
    <sheet name="Uart&amp;Tmr1" sheetId="9" r:id="rId8"/>
    <sheet name="Sheet2" sheetId="13" r:id="rId9"/>
    <sheet name="Velocity" sheetId="10" r:id="rId10"/>
    <sheet name="RpmSpeed" sheetId="11" r:id="rId11"/>
    <sheet name="Sheet1" sheetId="12" r:id="rId12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9" l="1"/>
  <c r="J6" i="9"/>
  <c r="J7" i="9"/>
  <c r="J8" i="9"/>
  <c r="J9" i="9"/>
  <c r="J10" i="9"/>
  <c r="J4" i="9"/>
  <c r="S17" i="9"/>
  <c r="H5" i="9"/>
  <c r="I5" i="9" s="1"/>
  <c r="K5" i="9" s="1"/>
  <c r="H6" i="9"/>
  <c r="I6" i="9" s="1"/>
  <c r="K6" i="9" s="1"/>
  <c r="H7" i="9"/>
  <c r="I7" i="9" s="1"/>
  <c r="K7" i="9" s="1"/>
  <c r="H8" i="9"/>
  <c r="I8" i="9" s="1"/>
  <c r="K8" i="9" s="1"/>
  <c r="H9" i="9"/>
  <c r="I9" i="9" s="1"/>
  <c r="K9" i="9" s="1"/>
  <c r="H10" i="9"/>
  <c r="I10" i="9" s="1"/>
  <c r="L10" i="9" s="1"/>
  <c r="H4" i="9"/>
  <c r="I4" i="9" s="1"/>
  <c r="L4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C7" i="9"/>
  <c r="D7" i="9" s="1"/>
  <c r="E7" i="9" s="1"/>
  <c r="C8" i="9"/>
  <c r="D8" i="9" s="1"/>
  <c r="E8" i="9" s="1"/>
  <c r="C9" i="9"/>
  <c r="D9" i="9" s="1"/>
  <c r="E9" i="9" s="1"/>
  <c r="C10" i="9"/>
  <c r="D10" i="9" s="1"/>
  <c r="E10" i="9" s="1"/>
  <c r="C11" i="9"/>
  <c r="D11" i="9" s="1"/>
  <c r="E11" i="9" s="1"/>
  <c r="C6" i="9"/>
  <c r="P21" i="13"/>
  <c r="Y21" i="13" s="1"/>
  <c r="P20" i="13"/>
  <c r="Q20" i="13" s="1"/>
  <c r="R20" i="13" s="1"/>
  <c r="P19" i="13"/>
  <c r="Q19" i="13" s="1"/>
  <c r="R19" i="13" s="1"/>
  <c r="P18" i="13"/>
  <c r="Y18" i="13" s="1"/>
  <c r="P17" i="13"/>
  <c r="Y17" i="13" s="1"/>
  <c r="P16" i="13"/>
  <c r="Y16" i="13" s="1"/>
  <c r="P15" i="13"/>
  <c r="Q15" i="13" s="1"/>
  <c r="R15" i="13" s="1"/>
  <c r="P14" i="13"/>
  <c r="Y14" i="13" s="1"/>
  <c r="P13" i="13"/>
  <c r="Y13" i="13" s="1"/>
  <c r="P12" i="13"/>
  <c r="Q12" i="13" s="1"/>
  <c r="R12" i="13" s="1"/>
  <c r="P11" i="13"/>
  <c r="Q11" i="13" s="1"/>
  <c r="R11" i="13" s="1"/>
  <c r="P10" i="13"/>
  <c r="Y10" i="13" s="1"/>
  <c r="P9" i="13"/>
  <c r="Y9" i="13" s="1"/>
  <c r="Y8" i="13"/>
  <c r="P8" i="13"/>
  <c r="Q8" i="13" s="1"/>
  <c r="R8" i="13" s="1"/>
  <c r="P7" i="13"/>
  <c r="Q7" i="13" s="1"/>
  <c r="R7" i="13" s="1"/>
  <c r="P6" i="13"/>
  <c r="Y6" i="13" s="1"/>
  <c r="P5" i="13"/>
  <c r="Y5" i="13" s="1"/>
  <c r="P4" i="13"/>
  <c r="Q4" i="13" s="1"/>
  <c r="R4" i="13" s="1"/>
  <c r="C17" i="13"/>
  <c r="L17" i="13" s="1"/>
  <c r="C18" i="13"/>
  <c r="L18" i="13" s="1"/>
  <c r="C19" i="13"/>
  <c r="L19" i="13" s="1"/>
  <c r="C20" i="13"/>
  <c r="L20" i="13" s="1"/>
  <c r="C21" i="13"/>
  <c r="L21" i="13" s="1"/>
  <c r="C6" i="13"/>
  <c r="L6" i="13" s="1"/>
  <c r="C7" i="13"/>
  <c r="D7" i="13" s="1"/>
  <c r="E7" i="13" s="1"/>
  <c r="G7" i="13" s="1"/>
  <c r="H7" i="13" s="1"/>
  <c r="I7" i="13" s="1"/>
  <c r="J7" i="13" s="1"/>
  <c r="K7" i="13" s="1"/>
  <c r="C8" i="13"/>
  <c r="D8" i="13" s="1"/>
  <c r="E8" i="13" s="1"/>
  <c r="G8" i="13" s="1"/>
  <c r="H8" i="13" s="1"/>
  <c r="I8" i="13" s="1"/>
  <c r="J8" i="13" s="1"/>
  <c r="K8" i="13" s="1"/>
  <c r="C9" i="13"/>
  <c r="D9" i="13" s="1"/>
  <c r="E9" i="13" s="1"/>
  <c r="G9" i="13" s="1"/>
  <c r="H9" i="13" s="1"/>
  <c r="I9" i="13" s="1"/>
  <c r="J9" i="13" s="1"/>
  <c r="K9" i="13" s="1"/>
  <c r="C10" i="13"/>
  <c r="D10" i="13" s="1"/>
  <c r="E10" i="13" s="1"/>
  <c r="G10" i="13" s="1"/>
  <c r="H10" i="13" s="1"/>
  <c r="I10" i="13" s="1"/>
  <c r="J10" i="13" s="1"/>
  <c r="K10" i="13" s="1"/>
  <c r="C11" i="13"/>
  <c r="D11" i="13" s="1"/>
  <c r="E11" i="13" s="1"/>
  <c r="G11" i="13" s="1"/>
  <c r="H11" i="13" s="1"/>
  <c r="I11" i="13" s="1"/>
  <c r="J11" i="13" s="1"/>
  <c r="K11" i="13" s="1"/>
  <c r="C12" i="13"/>
  <c r="D12" i="13" s="1"/>
  <c r="E12" i="13" s="1"/>
  <c r="G12" i="13" s="1"/>
  <c r="H12" i="13" s="1"/>
  <c r="I12" i="13" s="1"/>
  <c r="J12" i="13" s="1"/>
  <c r="K12" i="13" s="1"/>
  <c r="C13" i="13"/>
  <c r="D13" i="13" s="1"/>
  <c r="E13" i="13" s="1"/>
  <c r="G13" i="13" s="1"/>
  <c r="H13" i="13" s="1"/>
  <c r="I13" i="13" s="1"/>
  <c r="J13" i="13" s="1"/>
  <c r="K13" i="13" s="1"/>
  <c r="C14" i="13"/>
  <c r="L14" i="13" s="1"/>
  <c r="C15" i="13"/>
  <c r="D15" i="13" s="1"/>
  <c r="E15" i="13" s="1"/>
  <c r="G15" i="13" s="1"/>
  <c r="H15" i="13" s="1"/>
  <c r="I15" i="13" s="1"/>
  <c r="J15" i="13" s="1"/>
  <c r="K15" i="13" s="1"/>
  <c r="C16" i="13"/>
  <c r="D16" i="13" s="1"/>
  <c r="E16" i="13" s="1"/>
  <c r="G16" i="13" s="1"/>
  <c r="H16" i="13" s="1"/>
  <c r="I16" i="13" s="1"/>
  <c r="J16" i="13" s="1"/>
  <c r="K16" i="13" s="1"/>
  <c r="C5" i="13"/>
  <c r="L5" i="13" s="1"/>
  <c r="C4" i="13"/>
  <c r="L4" i="13" s="1"/>
  <c r="M13" i="12"/>
  <c r="N13" i="12"/>
  <c r="M14" i="12"/>
  <c r="N14" i="12" s="1"/>
  <c r="K11" i="12"/>
  <c r="K13" i="12"/>
  <c r="K14" i="12"/>
  <c r="K15" i="12"/>
  <c r="K5" i="12"/>
  <c r="J6" i="12"/>
  <c r="M6" i="12" s="1"/>
  <c r="N6" i="12" s="1"/>
  <c r="J7" i="12"/>
  <c r="M7" i="12" s="1"/>
  <c r="N7" i="12" s="1"/>
  <c r="J8" i="12"/>
  <c r="M8" i="12" s="1"/>
  <c r="N8" i="12" s="1"/>
  <c r="J9" i="12"/>
  <c r="M9" i="12" s="1"/>
  <c r="N9" i="12" s="1"/>
  <c r="J10" i="12"/>
  <c r="M10" i="12" s="1"/>
  <c r="N10" i="12" s="1"/>
  <c r="J11" i="12"/>
  <c r="M11" i="12" s="1"/>
  <c r="N11" i="12" s="1"/>
  <c r="J12" i="12"/>
  <c r="M12" i="12" s="1"/>
  <c r="N12" i="12" s="1"/>
  <c r="J13" i="12"/>
  <c r="J14" i="12"/>
  <c r="J15" i="12"/>
  <c r="M15" i="12" s="1"/>
  <c r="N15" i="12" s="1"/>
  <c r="J16" i="12"/>
  <c r="J17" i="12"/>
  <c r="J18" i="12"/>
  <c r="J19" i="12"/>
  <c r="J20" i="12"/>
  <c r="J5" i="12"/>
  <c r="M5" i="12" s="1"/>
  <c r="N5" i="12" s="1"/>
  <c r="T8" i="12"/>
  <c r="T10" i="12"/>
  <c r="T11" i="12"/>
  <c r="T12" i="12"/>
  <c r="S6" i="12"/>
  <c r="T6" i="12" s="1"/>
  <c r="S7" i="12"/>
  <c r="T7" i="12" s="1"/>
  <c r="S8" i="12"/>
  <c r="S9" i="12"/>
  <c r="T9" i="12" s="1"/>
  <c r="S10" i="12"/>
  <c r="S11" i="12"/>
  <c r="S12" i="12"/>
  <c r="S13" i="12"/>
  <c r="T13" i="12" s="1"/>
  <c r="S14" i="12"/>
  <c r="T14" i="12" s="1"/>
  <c r="S15" i="12"/>
  <c r="T15" i="12" s="1"/>
  <c r="S5" i="12"/>
  <c r="T5" i="12" s="1"/>
  <c r="Q6" i="12"/>
  <c r="Q7" i="12"/>
  <c r="Q8" i="12"/>
  <c r="Q9" i="12"/>
  <c r="Q10" i="12"/>
  <c r="Q11" i="12"/>
  <c r="Q12" i="12"/>
  <c r="Q13" i="12"/>
  <c r="Q14" i="12"/>
  <c r="Q15" i="12"/>
  <c r="Q5" i="12"/>
  <c r="D5" i="12"/>
  <c r="C9" i="12"/>
  <c r="C10" i="12" s="1"/>
  <c r="C21" i="12"/>
  <c r="C22" i="12" s="1"/>
  <c r="B21" i="12"/>
  <c r="B22" i="12" s="1"/>
  <c r="B9" i="12"/>
  <c r="B10" i="12" s="1"/>
  <c r="F21" i="12"/>
  <c r="F9" i="12"/>
  <c r="R16" i="9"/>
  <c r="V16" i="9" s="1"/>
  <c r="R15" i="9"/>
  <c r="V15" i="9" s="1"/>
  <c r="R14" i="9"/>
  <c r="V14" i="9" s="1"/>
  <c r="T6" i="11"/>
  <c r="U6" i="11"/>
  <c r="V3" i="11"/>
  <c r="V24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6" i="11"/>
  <c r="X13" i="11"/>
  <c r="X14" i="11"/>
  <c r="X15" i="11"/>
  <c r="X16" i="11"/>
  <c r="X17" i="11"/>
  <c r="X18" i="11"/>
  <c r="X19" i="11"/>
  <c r="X12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6" i="11"/>
  <c r="D7" i="11"/>
  <c r="E7" i="11"/>
  <c r="F7" i="11"/>
  <c r="D8" i="11"/>
  <c r="E8" i="11"/>
  <c r="F8" i="11"/>
  <c r="D9" i="11"/>
  <c r="E9" i="11"/>
  <c r="F9" i="11"/>
  <c r="D10" i="11"/>
  <c r="E10" i="11"/>
  <c r="F10" i="11"/>
  <c r="D11" i="11"/>
  <c r="E11" i="11"/>
  <c r="F11" i="11"/>
  <c r="D12" i="11"/>
  <c r="E12" i="11"/>
  <c r="F12" i="11"/>
  <c r="D13" i="11"/>
  <c r="E13" i="11"/>
  <c r="F13" i="11"/>
  <c r="D14" i="11"/>
  <c r="E14" i="11"/>
  <c r="F14" i="11"/>
  <c r="D15" i="11"/>
  <c r="E15" i="11"/>
  <c r="F15" i="11"/>
  <c r="D16" i="11"/>
  <c r="E16" i="11"/>
  <c r="F16" i="11"/>
  <c r="D17" i="11"/>
  <c r="E17" i="11"/>
  <c r="F17" i="11"/>
  <c r="D18" i="11"/>
  <c r="E18" i="11"/>
  <c r="F18" i="11"/>
  <c r="D19" i="11"/>
  <c r="E19" i="11"/>
  <c r="F19" i="11"/>
  <c r="D20" i="11"/>
  <c r="E20" i="11"/>
  <c r="F20" i="11"/>
  <c r="D21" i="11"/>
  <c r="E21" i="11"/>
  <c r="F21" i="11"/>
  <c r="D22" i="11"/>
  <c r="E22" i="11"/>
  <c r="F22" i="11"/>
  <c r="D23" i="11"/>
  <c r="E23" i="11"/>
  <c r="F23" i="11"/>
  <c r="E6" i="11"/>
  <c r="F6" i="11"/>
  <c r="D6" i="11"/>
  <c r="S6" i="11" s="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6" i="11"/>
  <c r="G7" i="11"/>
  <c r="J7" i="11" s="1"/>
  <c r="M7" i="11" s="1"/>
  <c r="G8" i="11"/>
  <c r="J8" i="11" s="1"/>
  <c r="M8" i="11" s="1"/>
  <c r="G9" i="11"/>
  <c r="J9" i="11" s="1"/>
  <c r="M9" i="11" s="1"/>
  <c r="G10" i="11"/>
  <c r="J10" i="11" s="1"/>
  <c r="M10" i="11" s="1"/>
  <c r="G11" i="11"/>
  <c r="J11" i="11" s="1"/>
  <c r="M11" i="11" s="1"/>
  <c r="G12" i="11"/>
  <c r="J12" i="11" s="1"/>
  <c r="M12" i="11" s="1"/>
  <c r="G13" i="11"/>
  <c r="J13" i="11" s="1"/>
  <c r="M13" i="11" s="1"/>
  <c r="G14" i="11"/>
  <c r="J14" i="11" s="1"/>
  <c r="M14" i="11" s="1"/>
  <c r="G15" i="11"/>
  <c r="J15" i="11" s="1"/>
  <c r="M15" i="11" s="1"/>
  <c r="G16" i="11"/>
  <c r="J16" i="11" s="1"/>
  <c r="M16" i="11" s="1"/>
  <c r="G17" i="11"/>
  <c r="J17" i="11" s="1"/>
  <c r="M17" i="11" s="1"/>
  <c r="G18" i="11"/>
  <c r="J18" i="11" s="1"/>
  <c r="M18" i="11" s="1"/>
  <c r="G19" i="11"/>
  <c r="J19" i="11" s="1"/>
  <c r="M19" i="11" s="1"/>
  <c r="G20" i="11"/>
  <c r="J20" i="11" s="1"/>
  <c r="M20" i="11" s="1"/>
  <c r="G21" i="11"/>
  <c r="J21" i="11" s="1"/>
  <c r="M21" i="11" s="1"/>
  <c r="G22" i="11"/>
  <c r="J22" i="11" s="1"/>
  <c r="M22" i="11" s="1"/>
  <c r="G23" i="11"/>
  <c r="J23" i="11" s="1"/>
  <c r="M23" i="11" s="1"/>
  <c r="G6" i="11"/>
  <c r="J6" i="11" s="1"/>
  <c r="M6" i="11" s="1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" i="10"/>
  <c r="G4" i="10"/>
  <c r="G5" i="10"/>
  <c r="G6" i="10"/>
  <c r="G7" i="10"/>
  <c r="G8" i="10"/>
  <c r="G9" i="10"/>
  <c r="C22" i="10"/>
  <c r="C23" i="10"/>
  <c r="C24" i="10"/>
  <c r="C25" i="10"/>
  <c r="C26" i="10"/>
  <c r="C27" i="10"/>
  <c r="C28" i="10"/>
  <c r="F28" i="10" s="1"/>
  <c r="C29" i="10"/>
  <c r="F29" i="10" s="1"/>
  <c r="C30" i="10"/>
  <c r="F30" i="10" s="1"/>
  <c r="C5" i="10"/>
  <c r="C6" i="10"/>
  <c r="C7" i="10"/>
  <c r="C8" i="10"/>
  <c r="F8" i="10" s="1"/>
  <c r="C9" i="10"/>
  <c r="C10" i="10"/>
  <c r="C11" i="10"/>
  <c r="C12" i="10"/>
  <c r="F12" i="10" s="1"/>
  <c r="C13" i="10"/>
  <c r="F13" i="10" s="1"/>
  <c r="C14" i="10"/>
  <c r="F14" i="10" s="1"/>
  <c r="C15" i="10"/>
  <c r="F15" i="10" s="1"/>
  <c r="C16" i="10"/>
  <c r="C17" i="10"/>
  <c r="C18" i="10"/>
  <c r="C19" i="10"/>
  <c r="C20" i="10"/>
  <c r="F20" i="10" s="1"/>
  <c r="C21" i="10"/>
  <c r="C4" i="10"/>
  <c r="C3" i="10"/>
  <c r="F3" i="10" s="1"/>
  <c r="Q17" i="10"/>
  <c r="Q16" i="10"/>
  <c r="F4" i="10"/>
  <c r="F5" i="10"/>
  <c r="F6" i="10"/>
  <c r="F7" i="10"/>
  <c r="F9" i="10"/>
  <c r="F10" i="10"/>
  <c r="F11" i="10"/>
  <c r="F16" i="10"/>
  <c r="F17" i="10"/>
  <c r="F18" i="10"/>
  <c r="F19" i="10"/>
  <c r="F21" i="10"/>
  <c r="F22" i="10"/>
  <c r="F23" i="10"/>
  <c r="F24" i="10"/>
  <c r="F25" i="10"/>
  <c r="F26" i="10"/>
  <c r="F27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" i="10"/>
  <c r="C2" i="10"/>
  <c r="A30" i="10"/>
  <c r="A29" i="10"/>
  <c r="A26" i="10"/>
  <c r="A27" i="10"/>
  <c r="A28" i="10"/>
  <c r="B7" i="10"/>
  <c r="A3" i="10"/>
  <c r="B3" i="10"/>
  <c r="B4" i="10"/>
  <c r="B5" i="10"/>
  <c r="B6" i="10"/>
  <c r="B8" i="10"/>
  <c r="A8" i="10" s="1"/>
  <c r="B9" i="10"/>
  <c r="A9" i="10" s="1"/>
  <c r="B2" i="10"/>
  <c r="A4" i="10"/>
  <c r="A5" i="10"/>
  <c r="A6" i="10"/>
  <c r="A7" i="10"/>
  <c r="A10" i="10"/>
  <c r="A11" i="10"/>
  <c r="A12" i="10"/>
  <c r="A13" i="10"/>
  <c r="B10" i="10"/>
  <c r="B11" i="10"/>
  <c r="B12" i="10"/>
  <c r="B13" i="10"/>
  <c r="A14" i="10"/>
  <c r="B14" i="10"/>
  <c r="A16" i="10"/>
  <c r="A17" i="10"/>
  <c r="A18" i="10"/>
  <c r="A19" i="10"/>
  <c r="A20" i="10"/>
  <c r="A21" i="10"/>
  <c r="A22" i="10"/>
  <c r="A23" i="10"/>
  <c r="A24" i="10"/>
  <c r="A25" i="10"/>
  <c r="A15" i="10"/>
  <c r="D6" i="9"/>
  <c r="E6" i="9" s="1"/>
  <c r="C5" i="9"/>
  <c r="D5" i="9" s="1"/>
  <c r="E5" i="9" s="1"/>
  <c r="F5" i="8"/>
  <c r="H5" i="8" s="1"/>
  <c r="L5" i="8" s="1"/>
  <c r="F4" i="8"/>
  <c r="H4" i="8" s="1"/>
  <c r="L4" i="8" s="1"/>
  <c r="F3" i="8"/>
  <c r="H3" i="8"/>
  <c r="F2" i="8"/>
  <c r="H2" i="8" s="1"/>
  <c r="H6" i="8"/>
  <c r="H7" i="8"/>
  <c r="F6" i="8"/>
  <c r="F7" i="8"/>
  <c r="E3" i="8"/>
  <c r="E2" i="8"/>
  <c r="D6" i="8"/>
  <c r="D5" i="8"/>
  <c r="D4" i="8"/>
  <c r="D3" i="8"/>
  <c r="D2" i="8"/>
  <c r="C6" i="8"/>
  <c r="C4" i="8"/>
  <c r="C5" i="8"/>
  <c r="C7" i="8"/>
  <c r="D7" i="8" s="1"/>
  <c r="C3" i="8"/>
  <c r="C2" i="8"/>
  <c r="G11" i="8"/>
  <c r="G12" i="8"/>
  <c r="G10" i="8"/>
  <c r="O8" i="8"/>
  <c r="F4" i="7"/>
  <c r="K4" i="7" s="1"/>
  <c r="F5" i="7"/>
  <c r="K5" i="7" s="1"/>
  <c r="F6" i="7"/>
  <c r="K6" i="7" s="1"/>
  <c r="F7" i="7"/>
  <c r="K7" i="7" s="1"/>
  <c r="F8" i="7"/>
  <c r="K8" i="7" s="1"/>
  <c r="F3" i="7"/>
  <c r="K3" i="7" s="1"/>
  <c r="G18" i="7"/>
  <c r="T6" i="7"/>
  <c r="U6" i="7" s="1"/>
  <c r="N9" i="7"/>
  <c r="U14" i="7"/>
  <c r="V6" i="7"/>
  <c r="S5" i="7"/>
  <c r="U5" i="7" s="1"/>
  <c r="T5" i="7"/>
  <c r="R17" i="3"/>
  <c r="Q17" i="3"/>
  <c r="P17" i="3"/>
  <c r="O17" i="3"/>
  <c r="N17" i="3"/>
  <c r="M17" i="3"/>
  <c r="L17" i="3"/>
  <c r="K17" i="3"/>
  <c r="J17" i="3"/>
  <c r="I17" i="3"/>
  <c r="H17" i="3"/>
  <c r="K10" i="9" l="1"/>
  <c r="L9" i="9"/>
  <c r="L8" i="9"/>
  <c r="L7" i="9"/>
  <c r="L6" i="9"/>
  <c r="K4" i="9"/>
  <c r="L5" i="9"/>
  <c r="Q17" i="13"/>
  <c r="R17" i="13" s="1"/>
  <c r="Q16" i="13"/>
  <c r="R16" i="13" s="1"/>
  <c r="T16" i="13" s="1"/>
  <c r="U16" i="13" s="1"/>
  <c r="V16" i="13" s="1"/>
  <c r="W16" i="13" s="1"/>
  <c r="X16" i="13" s="1"/>
  <c r="Q5" i="13"/>
  <c r="R5" i="13" s="1"/>
  <c r="Q6" i="13"/>
  <c r="R6" i="13" s="1"/>
  <c r="T6" i="13" s="1"/>
  <c r="U6" i="13" s="1"/>
  <c r="V6" i="13" s="1"/>
  <c r="W6" i="13" s="1"/>
  <c r="X6" i="13" s="1"/>
  <c r="Y20" i="13"/>
  <c r="Q14" i="13"/>
  <c r="R14" i="13" s="1"/>
  <c r="T14" i="13" s="1"/>
  <c r="U14" i="13" s="1"/>
  <c r="V14" i="13" s="1"/>
  <c r="W14" i="13" s="1"/>
  <c r="X14" i="13" s="1"/>
  <c r="Y12" i="13"/>
  <c r="Q13" i="13"/>
  <c r="R13" i="13" s="1"/>
  <c r="Q10" i="13"/>
  <c r="R10" i="13" s="1"/>
  <c r="T10" i="13" s="1"/>
  <c r="U10" i="13" s="1"/>
  <c r="V10" i="13" s="1"/>
  <c r="W10" i="13" s="1"/>
  <c r="X10" i="13" s="1"/>
  <c r="T15" i="13"/>
  <c r="U15" i="13" s="1"/>
  <c r="V15" i="13" s="1"/>
  <c r="W15" i="13" s="1"/>
  <c r="X15" i="13" s="1"/>
  <c r="Q21" i="13"/>
  <c r="R21" i="13" s="1"/>
  <c r="T21" i="13" s="1"/>
  <c r="U21" i="13" s="1"/>
  <c r="V21" i="13" s="1"/>
  <c r="W21" i="13" s="1"/>
  <c r="X21" i="13" s="1"/>
  <c r="Q9" i="13"/>
  <c r="R9" i="13" s="1"/>
  <c r="T9" i="13" s="1"/>
  <c r="U9" i="13" s="1"/>
  <c r="V9" i="13" s="1"/>
  <c r="W9" i="13" s="1"/>
  <c r="X9" i="13" s="1"/>
  <c r="Q18" i="13"/>
  <c r="R18" i="13" s="1"/>
  <c r="T18" i="13" s="1"/>
  <c r="U18" i="13" s="1"/>
  <c r="V18" i="13" s="1"/>
  <c r="W18" i="13" s="1"/>
  <c r="X18" i="13" s="1"/>
  <c r="T7" i="13"/>
  <c r="U7" i="13" s="1"/>
  <c r="V7" i="13" s="1"/>
  <c r="W7" i="13" s="1"/>
  <c r="X7" i="13" s="1"/>
  <c r="T8" i="13"/>
  <c r="U8" i="13" s="1"/>
  <c r="V8" i="13" s="1"/>
  <c r="W8" i="13" s="1"/>
  <c r="X8" i="13" s="1"/>
  <c r="T11" i="13"/>
  <c r="U11" i="13" s="1"/>
  <c r="V11" i="13" s="1"/>
  <c r="W11" i="13" s="1"/>
  <c r="X11" i="13" s="1"/>
  <c r="T19" i="13"/>
  <c r="U19" i="13" s="1"/>
  <c r="V19" i="13" s="1"/>
  <c r="W19" i="13" s="1"/>
  <c r="X19" i="13" s="1"/>
  <c r="T12" i="13"/>
  <c r="U12" i="13" s="1"/>
  <c r="V12" i="13" s="1"/>
  <c r="W12" i="13" s="1"/>
  <c r="X12" i="13" s="1"/>
  <c r="T20" i="13"/>
  <c r="U20" i="13" s="1"/>
  <c r="V20" i="13" s="1"/>
  <c r="W20" i="13" s="1"/>
  <c r="X20" i="13" s="1"/>
  <c r="T4" i="13"/>
  <c r="U4" i="13" s="1"/>
  <c r="V4" i="13" s="1"/>
  <c r="W4" i="13" s="1"/>
  <c r="X4" i="13" s="1"/>
  <c r="Y4" i="13"/>
  <c r="T5" i="13"/>
  <c r="U5" i="13" s="1"/>
  <c r="V5" i="13" s="1"/>
  <c r="W5" i="13" s="1"/>
  <c r="X5" i="13" s="1"/>
  <c r="T13" i="13"/>
  <c r="U13" i="13" s="1"/>
  <c r="V13" i="13" s="1"/>
  <c r="W13" i="13" s="1"/>
  <c r="X13" i="13" s="1"/>
  <c r="T17" i="13"/>
  <c r="U17" i="13" s="1"/>
  <c r="V17" i="13" s="1"/>
  <c r="W17" i="13" s="1"/>
  <c r="X17" i="13" s="1"/>
  <c r="Y7" i="13"/>
  <c r="Y11" i="13"/>
  <c r="Y15" i="13"/>
  <c r="Y19" i="13"/>
  <c r="L16" i="13"/>
  <c r="L15" i="13"/>
  <c r="D14" i="13"/>
  <c r="E14" i="13" s="1"/>
  <c r="G14" i="13" s="1"/>
  <c r="H14" i="13" s="1"/>
  <c r="I14" i="13" s="1"/>
  <c r="J14" i="13" s="1"/>
  <c r="K14" i="13" s="1"/>
  <c r="L13" i="13"/>
  <c r="D4" i="13"/>
  <c r="E4" i="13" s="1"/>
  <c r="G4" i="13" s="1"/>
  <c r="H4" i="13" s="1"/>
  <c r="I4" i="13" s="1"/>
  <c r="J4" i="13" s="1"/>
  <c r="K4" i="13" s="1"/>
  <c r="L12" i="13"/>
  <c r="D6" i="13"/>
  <c r="E6" i="13" s="1"/>
  <c r="G6" i="13" s="1"/>
  <c r="H6" i="13" s="1"/>
  <c r="I6" i="13" s="1"/>
  <c r="J6" i="13" s="1"/>
  <c r="K6" i="13" s="1"/>
  <c r="L11" i="13"/>
  <c r="D5" i="13"/>
  <c r="E5" i="13" s="1"/>
  <c r="G5" i="13" s="1"/>
  <c r="H5" i="13" s="1"/>
  <c r="I5" i="13" s="1"/>
  <c r="J5" i="13" s="1"/>
  <c r="K5" i="13" s="1"/>
  <c r="L10" i="13"/>
  <c r="D21" i="13"/>
  <c r="E21" i="13" s="1"/>
  <c r="G21" i="13" s="1"/>
  <c r="H21" i="13" s="1"/>
  <c r="I21" i="13" s="1"/>
  <c r="J21" i="13" s="1"/>
  <c r="K21" i="13" s="1"/>
  <c r="L9" i="13"/>
  <c r="D20" i="13"/>
  <c r="E20" i="13" s="1"/>
  <c r="G20" i="13" s="1"/>
  <c r="H20" i="13" s="1"/>
  <c r="I20" i="13" s="1"/>
  <c r="J20" i="13" s="1"/>
  <c r="K20" i="13" s="1"/>
  <c r="L8" i="13"/>
  <c r="D19" i="13"/>
  <c r="E19" i="13" s="1"/>
  <c r="G19" i="13" s="1"/>
  <c r="H19" i="13" s="1"/>
  <c r="I19" i="13" s="1"/>
  <c r="J19" i="13" s="1"/>
  <c r="K19" i="13" s="1"/>
  <c r="L7" i="13"/>
  <c r="D18" i="13"/>
  <c r="E18" i="13" s="1"/>
  <c r="G18" i="13" s="1"/>
  <c r="H18" i="13" s="1"/>
  <c r="I18" i="13" s="1"/>
  <c r="J18" i="13" s="1"/>
  <c r="K18" i="13" s="1"/>
  <c r="D17" i="13"/>
  <c r="E17" i="13" s="1"/>
  <c r="G17" i="13" s="1"/>
  <c r="H17" i="13" s="1"/>
  <c r="I17" i="13" s="1"/>
  <c r="J17" i="13" s="1"/>
  <c r="K17" i="13" s="1"/>
  <c r="K12" i="12"/>
  <c r="K10" i="12"/>
  <c r="K9" i="12"/>
  <c r="K8" i="12"/>
  <c r="K7" i="12"/>
  <c r="K6" i="12"/>
  <c r="F13" i="12"/>
  <c r="W14" i="9"/>
  <c r="K17" i="11"/>
  <c r="K16" i="11"/>
  <c r="K15" i="11"/>
  <c r="N15" i="11" s="1"/>
  <c r="K13" i="11"/>
  <c r="K14" i="11"/>
  <c r="K22" i="11"/>
  <c r="N22" i="11" s="1"/>
  <c r="K10" i="11"/>
  <c r="N10" i="11" s="1"/>
  <c r="K21" i="11"/>
  <c r="N21" i="11" s="1"/>
  <c r="K9" i="11"/>
  <c r="N9" i="11" s="1"/>
  <c r="K18" i="11"/>
  <c r="N18" i="11" s="1"/>
  <c r="O9" i="11"/>
  <c r="K20" i="11"/>
  <c r="N20" i="11" s="1"/>
  <c r="K8" i="11"/>
  <c r="N8" i="11" s="1"/>
  <c r="K19" i="11"/>
  <c r="N19" i="11" s="1"/>
  <c r="K7" i="11"/>
  <c r="N7" i="11" s="1"/>
  <c r="O15" i="11"/>
  <c r="K6" i="11"/>
  <c r="N6" i="11" s="1"/>
  <c r="K12" i="11"/>
  <c r="N12" i="11" s="1"/>
  <c r="K23" i="11"/>
  <c r="N23" i="11" s="1"/>
  <c r="K11" i="11"/>
  <c r="N11" i="11" s="1"/>
  <c r="L3" i="8"/>
  <c r="C11" i="8" s="1"/>
  <c r="L2" i="8"/>
  <c r="C10" i="8" s="1"/>
  <c r="D19" i="7"/>
  <c r="H19" i="7" s="1"/>
  <c r="D20" i="7"/>
  <c r="H20" i="7" s="1"/>
  <c r="D17" i="7"/>
  <c r="H17" i="7" s="1"/>
  <c r="D14" i="7"/>
  <c r="H14" i="7" s="1"/>
  <c r="D13" i="7"/>
  <c r="H13" i="7" s="1"/>
  <c r="D12" i="7"/>
  <c r="H12" i="7" s="1"/>
  <c r="D24" i="7"/>
  <c r="H24" i="7" s="1"/>
  <c r="D11" i="7"/>
  <c r="I11" i="7" s="1"/>
  <c r="D18" i="7"/>
  <c r="H18" i="7" s="1"/>
  <c r="D15" i="7"/>
  <c r="H15" i="7" s="1"/>
  <c r="D23" i="7"/>
  <c r="H23" i="7" s="1"/>
  <c r="D21" i="7"/>
  <c r="H21" i="7" s="1"/>
  <c r="K9" i="7"/>
  <c r="D16" i="7"/>
  <c r="H16" i="7" s="1"/>
  <c r="D25" i="7"/>
  <c r="H25" i="7" s="1"/>
  <c r="D22" i="7"/>
  <c r="H22" i="7" s="1"/>
  <c r="W6" i="7"/>
  <c r="O13" i="11" l="1"/>
  <c r="N13" i="11"/>
  <c r="O16" i="11"/>
  <c r="N16" i="11"/>
  <c r="O14" i="11"/>
  <c r="N14" i="11"/>
  <c r="O17" i="11"/>
  <c r="N17" i="11"/>
  <c r="O22" i="11"/>
  <c r="O21" i="11"/>
  <c r="O10" i="11"/>
  <c r="O6" i="11"/>
  <c r="O18" i="11"/>
  <c r="O11" i="11"/>
  <c r="O23" i="11"/>
  <c r="O7" i="11"/>
  <c r="O8" i="11"/>
  <c r="O12" i="11"/>
  <c r="O19" i="11"/>
  <c r="O20" i="11"/>
  <c r="C22" i="8"/>
  <c r="D22" i="8" s="1"/>
  <c r="E22" i="8" s="1"/>
  <c r="C13" i="8"/>
  <c r="D13" i="8" s="1"/>
  <c r="E13" i="8" s="1"/>
  <c r="C12" i="8"/>
  <c r="C15" i="8"/>
  <c r="D15" i="8" s="1"/>
  <c r="E15" i="8" s="1"/>
  <c r="C24" i="8"/>
  <c r="C18" i="8"/>
  <c r="C14" i="8"/>
  <c r="D14" i="8" s="1"/>
  <c r="E14" i="8" s="1"/>
  <c r="C16" i="8"/>
  <c r="D16" i="8" s="1"/>
  <c r="E16" i="8" s="1"/>
  <c r="C23" i="8"/>
  <c r="D23" i="8" s="1"/>
  <c r="E23" i="8" s="1"/>
  <c r="C19" i="8"/>
  <c r="D19" i="8" s="1"/>
  <c r="E19" i="8" s="1"/>
  <c r="C21" i="8"/>
  <c r="D18" i="8" s="1"/>
  <c r="E18" i="8" s="1"/>
  <c r="L8" i="8"/>
  <c r="C20" i="8"/>
  <c r="D20" i="8" s="1"/>
  <c r="E20" i="8" s="1"/>
  <c r="C17" i="8"/>
  <c r="D17" i="8" s="1"/>
  <c r="E17" i="8" s="1"/>
  <c r="I19" i="7"/>
  <c r="H11" i="7"/>
  <c r="I12" i="7"/>
  <c r="I13" i="7"/>
  <c r="I20" i="7"/>
  <c r="I21" i="7"/>
  <c r="I15" i="7"/>
  <c r="I16" i="7"/>
  <c r="I25" i="7"/>
  <c r="I23" i="7"/>
  <c r="I18" i="7"/>
  <c r="I22" i="7"/>
  <c r="I17" i="7"/>
  <c r="I14" i="7"/>
  <c r="I24" i="7"/>
  <c r="G17" i="8" l="1"/>
  <c r="I17" i="8"/>
  <c r="G20" i="8"/>
  <c r="I20" i="8"/>
  <c r="G22" i="8"/>
  <c r="J22" i="8" s="1"/>
  <c r="I22" i="8"/>
  <c r="G19" i="8"/>
  <c r="I19" i="8"/>
  <c r="G14" i="8"/>
  <c r="I14" i="8"/>
  <c r="G13" i="8"/>
  <c r="J13" i="8" s="1"/>
  <c r="I13" i="8"/>
  <c r="G16" i="8"/>
  <c r="I16" i="8"/>
  <c r="G18" i="8"/>
  <c r="I18" i="8"/>
  <c r="G23" i="8"/>
  <c r="J23" i="8" s="1"/>
  <c r="I23" i="8"/>
  <c r="G15" i="8"/>
  <c r="I15" i="8"/>
  <c r="D24" i="8"/>
  <c r="E24" i="8" s="1"/>
  <c r="D21" i="8"/>
  <c r="E21" i="8" s="1"/>
  <c r="J15" i="8" l="1"/>
  <c r="J19" i="8"/>
  <c r="J14" i="8"/>
  <c r="G21" i="8"/>
  <c r="I21" i="8"/>
  <c r="G24" i="8"/>
  <c r="I24" i="8"/>
  <c r="J18" i="8"/>
  <c r="J20" i="8"/>
  <c r="J16" i="8"/>
  <c r="J17" i="8"/>
  <c r="J24" i="8" l="1"/>
  <c r="J21" i="8"/>
  <c r="K27" i="11" l="1"/>
  <c r="K27" i="1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<sst xmlns="http://schemas.openxmlformats.org/spreadsheetml/2006/main" count="993" uniqueCount="311">
  <si>
    <t xml:space="preserve">Enter </t>
  </si>
  <si>
    <t>Up</t>
  </si>
  <si>
    <t>Down</t>
  </si>
  <si>
    <t>Esc</t>
  </si>
  <si>
    <t>x</t>
  </si>
  <si>
    <t>Menu1</t>
  </si>
  <si>
    <t>mSec</t>
  </si>
  <si>
    <t>Sec</t>
  </si>
  <si>
    <t>Default</t>
  </si>
  <si>
    <t>SD Card Log Rate</t>
  </si>
  <si>
    <t>ON</t>
  </si>
  <si>
    <t>OFF</t>
  </si>
  <si>
    <t>Display Sleep</t>
  </si>
  <si>
    <t>Menu3</t>
  </si>
  <si>
    <t>+</t>
  </si>
  <si>
    <t>-</t>
  </si>
  <si>
    <t>=</t>
  </si>
  <si>
    <t>Variable</t>
  </si>
  <si>
    <t>Joblog(250)</t>
  </si>
  <si>
    <t>Joblog(500)</t>
  </si>
  <si>
    <t>Joblog(1000)</t>
  </si>
  <si>
    <t>Joblog(2000)</t>
  </si>
  <si>
    <t>Joblog(5000)</t>
  </si>
  <si>
    <t>Joblog(10000)</t>
  </si>
  <si>
    <t>Joblog(20000)</t>
  </si>
  <si>
    <t>DispSleep(ON)</t>
  </si>
  <si>
    <t>DispSleep(OFF)</t>
  </si>
  <si>
    <t>Display</t>
  </si>
  <si>
    <t>Job1</t>
  </si>
  <si>
    <t>Job2</t>
  </si>
  <si>
    <t>Job3</t>
  </si>
  <si>
    <t>Job4</t>
  </si>
  <si>
    <t>Job5</t>
  </si>
  <si>
    <t>MENU1</t>
  </si>
  <si>
    <t>MENU2</t>
  </si>
  <si>
    <t>MENU3</t>
  </si>
  <si>
    <t>MENU1MAX</t>
  </si>
  <si>
    <t>MENU1MIN</t>
  </si>
  <si>
    <t>MENU2MAX</t>
  </si>
  <si>
    <t>MENU2MIN</t>
  </si>
  <si>
    <t>#define</t>
  </si>
  <si>
    <t>UP</t>
  </si>
  <si>
    <t>+=4</t>
  </si>
  <si>
    <t>DOWN</t>
  </si>
  <si>
    <t>-=4</t>
  </si>
  <si>
    <t>ESC</t>
  </si>
  <si>
    <t>ENTER</t>
  </si>
  <si>
    <t>=MENU1</t>
  </si>
  <si>
    <t>M1_SUB1</t>
  </si>
  <si>
    <t>M1_SUB2</t>
  </si>
  <si>
    <t>M1_SUB3</t>
  </si>
  <si>
    <t>M1_SUB4</t>
  </si>
  <si>
    <t>M1_SUB5</t>
  </si>
  <si>
    <t>M1_SUB6</t>
  </si>
  <si>
    <t>M1_SUB7</t>
  </si>
  <si>
    <t>MENU_NULL</t>
  </si>
  <si>
    <t>switch(MENU_NULL)</t>
  </si>
  <si>
    <t>=MENU2</t>
  </si>
  <si>
    <t>+4</t>
  </si>
  <si>
    <t>=MENU_NULL)</t>
  </si>
  <si>
    <t>+=32</t>
  </si>
  <si>
    <t>-=32</t>
  </si>
  <si>
    <t>M2_SUB1</t>
  </si>
  <si>
    <t>M2_SUB2</t>
  </si>
  <si>
    <t>MENU3MAX</t>
  </si>
  <si>
    <t>MENU3MIN</t>
  </si>
  <si>
    <t>MENU_MAINMAX</t>
  </si>
  <si>
    <t>MENU_MAINMIN</t>
  </si>
  <si>
    <t>if(Var&lt;= MENU2MIN) Var=MENU2MAX</t>
  </si>
  <si>
    <t>if(Var&gt;= MENU2MAX) Var=MENU2MIN</t>
  </si>
  <si>
    <t>if(Var &lt;= MENU1MIN) Var=MENU1MAX</t>
  </si>
  <si>
    <t>if(Var &gt;= MENU1MAX) Var=MENU1MIN</t>
  </si>
  <si>
    <t>if(Var&lt;= MENU_MAINMIN) Var=MENU_MAINMAX</t>
  </si>
  <si>
    <t>if(Var&gt;= MENU_MAINMAX Var=MENU_MAINMIN</t>
  </si>
  <si>
    <t>case(MENU1)</t>
  </si>
  <si>
    <t>case(MENU2)</t>
  </si>
  <si>
    <t>case(MENU3)</t>
  </si>
  <si>
    <t>case(MENU_NULL)</t>
  </si>
  <si>
    <t>case(M1_SUB1):</t>
  </si>
  <si>
    <t>case(M1_SUB2):</t>
  </si>
  <si>
    <t>case(M1_SUB3):</t>
  </si>
  <si>
    <t>case(M1_SUB4):</t>
  </si>
  <si>
    <t>case(M1_SUB5):</t>
  </si>
  <si>
    <t>case(M1_SUB6):</t>
  </si>
  <si>
    <t>case(M1_SUB7):</t>
  </si>
  <si>
    <t>case(M2_SUB1):</t>
  </si>
  <si>
    <t>case(M2_SUB2):</t>
  </si>
  <si>
    <t>Menu2</t>
  </si>
  <si>
    <t>SD Card Log On/Off</t>
  </si>
  <si>
    <t>Total_Show_Items</t>
  </si>
  <si>
    <t>byte DispRollIndex[4] = {1,0,0,0};</t>
  </si>
  <si>
    <t>Line4</t>
  </si>
  <si>
    <t>[0]</t>
  </si>
  <si>
    <t>Index1</t>
  </si>
  <si>
    <t>++</t>
  </si>
  <si>
    <t>max7</t>
  </si>
  <si>
    <t>min1</t>
  </si>
  <si>
    <t>Line5</t>
  </si>
  <si>
    <t>[1]</t>
  </si>
  <si>
    <t>Line6</t>
  </si>
  <si>
    <t>[2]</t>
  </si>
  <si>
    <t>Index2</t>
  </si>
  <si>
    <t>Line7</t>
  </si>
  <si>
    <t>[3]</t>
  </si>
  <si>
    <t>v</t>
  </si>
  <si>
    <t>Index[4]</t>
  </si>
  <si>
    <t>case(MENU4)</t>
  </si>
  <si>
    <t>case(MENU5)</t>
  </si>
  <si>
    <t>MENU4</t>
  </si>
  <si>
    <t>MENU5</t>
  </si>
  <si>
    <t>M5_SUB1</t>
  </si>
  <si>
    <t>M5_SUB2</t>
  </si>
  <si>
    <t>M5_SUB3</t>
  </si>
  <si>
    <t>M5_SUB4</t>
  </si>
  <si>
    <t>M5_SUB5</t>
  </si>
  <si>
    <t>M5_SUB6</t>
  </si>
  <si>
    <t>M5_SUB7</t>
  </si>
  <si>
    <t>M4_SUB1</t>
  </si>
  <si>
    <t>M4_SUB2</t>
  </si>
  <si>
    <t>SUB1</t>
  </si>
  <si>
    <t>SUB2</t>
  </si>
  <si>
    <t>SUB33</t>
  </si>
  <si>
    <t>SUB4</t>
  </si>
  <si>
    <t>MENU6</t>
  </si>
  <si>
    <t>MENU7</t>
  </si>
  <si>
    <t>MENU8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</si>
  <si>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</si>
  <si>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</si>
  <si>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</si>
  <si>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</si>
  <si>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</si>
  <si>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</si>
  <si>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</si>
  <si>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</si>
  <si>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</si>
  <si>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</si>
  <si>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</si>
  <si>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MENU9</t>
  </si>
  <si>
    <t>MENU10</t>
  </si>
  <si>
    <t>MENU11</t>
  </si>
  <si>
    <t>MENU12</t>
  </si>
  <si>
    <t>MENU13</t>
  </si>
  <si>
    <t>MENU14</t>
  </si>
  <si>
    <t>MENU15</t>
  </si>
  <si>
    <t>NULL</t>
  </si>
  <si>
    <t>MAIN MENU</t>
  </si>
  <si>
    <t>DATE &amp; TIME ADJ. MENU</t>
  </si>
  <si>
    <t>INFORMATION MENU</t>
  </si>
  <si>
    <t>LOG START STOP MENU</t>
  </si>
  <si>
    <t>LOG SAMPLE TIME MENU</t>
  </si>
  <si>
    <t>DISPLAY STANDBYE MENU</t>
  </si>
  <si>
    <t>Date &amp; Time Updated !</t>
  </si>
  <si>
    <t>Sample Time Updated !</t>
  </si>
  <si>
    <r>
      <t xml:space="preserve">ENTER           </t>
    </r>
    <r>
      <rPr>
        <sz val="11"/>
        <color theme="1"/>
        <rFont val="Calibri"/>
        <family val="2"/>
      </rPr>
      <t>^v</t>
    </r>
    <r>
      <rPr>
        <sz val="11"/>
        <color theme="1"/>
        <rFont val="Calibri"/>
        <family val="2"/>
        <scheme val="minor"/>
      </rPr>
      <t xml:space="preserve">               ESC</t>
    </r>
  </si>
  <si>
    <t>FW</t>
  </si>
  <si>
    <t>Dev ID</t>
  </si>
  <si>
    <t>Year</t>
  </si>
  <si>
    <t>Month</t>
  </si>
  <si>
    <t>Day</t>
  </si>
  <si>
    <t>Hour</t>
  </si>
  <si>
    <t>Minute</t>
  </si>
  <si>
    <t>Seconds</t>
  </si>
  <si>
    <t>STANDBYE  Enable</t>
  </si>
  <si>
    <t>STANDBYE  Disable</t>
  </si>
  <si>
    <t>STANDBYE Updated ! On</t>
  </si>
  <si>
    <t>STANDBYE Updated ! Off</t>
  </si>
  <si>
    <t>Time Out,Tied Out2 No key</t>
  </si>
  <si>
    <t>LOG START</t>
  </si>
  <si>
    <t>LOG STOP</t>
  </si>
  <si>
    <t>POWER IC CALIB MENU</t>
  </si>
  <si>
    <t>Calibration Started !</t>
  </si>
  <si>
    <t>Calib Start?  ..60sec</t>
  </si>
  <si>
    <t xml:space="preserve">Sue To  Start Calib? </t>
  </si>
  <si>
    <t>Ser: 115200 baud NL&amp;CR</t>
  </si>
  <si>
    <t>R2</t>
  </si>
  <si>
    <t>R3</t>
  </si>
  <si>
    <t>R4</t>
  </si>
  <si>
    <t>R5</t>
  </si>
  <si>
    <t>S1</t>
  </si>
  <si>
    <t>S2</t>
  </si>
  <si>
    <t>S3</t>
  </si>
  <si>
    <t>S4</t>
  </si>
  <si>
    <t>def</t>
  </si>
  <si>
    <t>Kohm</t>
  </si>
  <si>
    <t>adc</t>
  </si>
  <si>
    <t>S1 S2</t>
  </si>
  <si>
    <t>S1 S3</t>
  </si>
  <si>
    <t>S1 S4</t>
  </si>
  <si>
    <t>S2 S3</t>
  </si>
  <si>
    <t>S2 S4</t>
  </si>
  <si>
    <t>S3 S4</t>
  </si>
  <si>
    <t>S1 S2 S3</t>
  </si>
  <si>
    <t>S1 S2 S4</t>
  </si>
  <si>
    <t>S2 S3 S4</t>
  </si>
  <si>
    <t>S1 S3 S4</t>
  </si>
  <si>
    <t>Fix R1</t>
  </si>
  <si>
    <t>Fix R6</t>
  </si>
  <si>
    <t>Diff</t>
  </si>
  <si>
    <t>mVolt</t>
  </si>
  <si>
    <t>Measured</t>
  </si>
  <si>
    <t xml:space="preserve">Mains EU/US Select  </t>
  </si>
  <si>
    <t xml:space="preserve">  220V / 50 Hz  ?   </t>
  </si>
  <si>
    <t xml:space="preserve">  110V / 60 Hz  ?   </t>
  </si>
  <si>
    <t xml:space="preserve">  Mains Updated !   </t>
  </si>
  <si>
    <t>Enter -&gt; 1 Mbytes</t>
  </si>
  <si>
    <t>Enter -&gt; 2 Mbytes</t>
  </si>
  <si>
    <t>Enter -&gt; 4 Mbytes</t>
  </si>
  <si>
    <t>Enter -&gt; 500 Kbytes</t>
  </si>
  <si>
    <t>File Size Updated !</t>
  </si>
  <si>
    <t>Enter -&gt; 8 Mbytes</t>
  </si>
  <si>
    <t>Enter -&gt; 16 Mbytes</t>
  </si>
  <si>
    <t>Enter -&gt; 32 Mbytes</t>
  </si>
  <si>
    <t>Sure?  If Yes Enter</t>
  </si>
  <si>
    <t>Log Stoped</t>
  </si>
  <si>
    <t>Log Started</t>
  </si>
  <si>
    <t>Enter -&gt;  1 mSec</t>
  </si>
  <si>
    <t>Enter -&gt;  5 mSec</t>
  </si>
  <si>
    <t>Enter -&gt;  10 mSec</t>
  </si>
  <si>
    <t>Enter-&gt;  5Sec</t>
  </si>
  <si>
    <t>Enter-&gt; 10Sec</t>
  </si>
  <si>
    <t>Enter -&gt; 2Sec</t>
  </si>
  <si>
    <t>Enter-&gt; 1Sec</t>
  </si>
  <si>
    <t>Enter-&gt;500mS</t>
  </si>
  <si>
    <t>Enter-&gt;250mS</t>
  </si>
  <si>
    <t>Enter-&gt;100mS</t>
  </si>
  <si>
    <t>Enter-&gt;50mS</t>
  </si>
  <si>
    <t>Enter-&gt;20mS</t>
  </si>
  <si>
    <t>DATA LOG MODE</t>
  </si>
  <si>
    <t>PC -&gt; 115200bps</t>
  </si>
  <si>
    <t>Log Mode Updated !</t>
  </si>
  <si>
    <t xml:space="preserve">Portable-&gt;SD Card </t>
  </si>
  <si>
    <t>Pullup</t>
  </si>
  <si>
    <t>Adc</t>
  </si>
  <si>
    <t>Equivalent</t>
  </si>
  <si>
    <t>R Kohm</t>
  </si>
  <si>
    <t>Volt</t>
  </si>
  <si>
    <r>
      <t xml:space="preserve">LEFT </t>
    </r>
    <r>
      <rPr>
        <sz val="14"/>
        <color theme="1"/>
        <rFont val="Calibri"/>
        <family val="2"/>
        <scheme val="minor"/>
      </rPr>
      <t xml:space="preserve">  S1</t>
    </r>
  </si>
  <si>
    <r>
      <rPr>
        <sz val="14"/>
        <color theme="1"/>
        <rFont val="Calibri"/>
        <family val="2"/>
        <scheme val="minor"/>
      </rPr>
      <t>S4</t>
    </r>
    <r>
      <rPr>
        <sz val="11"/>
        <color theme="1"/>
        <rFont val="Calibri"/>
        <family val="2"/>
        <scheme val="minor"/>
      </rPr>
      <t xml:space="preserve"> RIGHT</t>
    </r>
  </si>
  <si>
    <t>1K</t>
  </si>
  <si>
    <t>2K2</t>
  </si>
  <si>
    <t>4K7</t>
  </si>
  <si>
    <t>Drift</t>
  </si>
  <si>
    <t>tol +</t>
  </si>
  <si>
    <t>tol -</t>
  </si>
  <si>
    <t>Avearge</t>
  </si>
  <si>
    <t>fp</t>
  </si>
  <si>
    <t>ubrg</t>
  </si>
  <si>
    <t>des.baud</t>
  </si>
  <si>
    <t>error</t>
  </si>
  <si>
    <t>Calculated</t>
  </si>
  <si>
    <t>dspic33</t>
  </si>
  <si>
    <t>BRGH = 0</t>
  </si>
  <si>
    <t>Speed</t>
  </si>
  <si>
    <t>Count</t>
  </si>
  <si>
    <t>7fff</t>
  </si>
  <si>
    <t>=IF(A2&gt;B2,"Over Budget","OK") </t>
  </si>
  <si>
    <t>max</t>
  </si>
  <si>
    <t>min</t>
  </si>
  <si>
    <t>Magnitude</t>
  </si>
  <si>
    <t>Hsytresis</t>
  </si>
  <si>
    <t>Con2signed</t>
  </si>
  <si>
    <t>Wheel</t>
  </si>
  <si>
    <t>Drum</t>
  </si>
  <si>
    <t>Encoder</t>
  </si>
  <si>
    <t>rpm</t>
  </si>
  <si>
    <t>Ratio</t>
  </si>
  <si>
    <t>Ref</t>
  </si>
  <si>
    <t>Speed (km/h)</t>
  </si>
  <si>
    <t>Encoder/Wheel Ratio</t>
  </si>
  <si>
    <t>4 rpm</t>
  </si>
  <si>
    <t>4 wheel</t>
  </si>
  <si>
    <t>wheel (cm)</t>
  </si>
  <si>
    <t>Speed(km/h)</t>
  </si>
  <si>
    <t>Drum2</t>
  </si>
  <si>
    <t>2Drum</t>
  </si>
  <si>
    <t>Diameter (cm)</t>
  </si>
  <si>
    <t>Circumference (cm)</t>
  </si>
  <si>
    <t xml:space="preserve">16 km </t>
  </si>
  <si>
    <t>277m</t>
  </si>
  <si>
    <t>PR1</t>
  </si>
  <si>
    <t>Prescale</t>
  </si>
  <si>
    <t>Fosc (Mhz)</t>
  </si>
  <si>
    <t>Fcy Divided by 8</t>
  </si>
  <si>
    <t>111 = Fast RC Oscillator with Divide by N (FRCDIVN)</t>
  </si>
  <si>
    <t>000 = FRC divided by 1 (default)</t>
  </si>
  <si>
    <t>00001 = Input divided by 3</t>
  </si>
  <si>
    <t>tcy(us)</t>
  </si>
  <si>
    <t>011 = FCY divided by 8 (default)</t>
  </si>
  <si>
    <t>Doze mode</t>
  </si>
  <si>
    <t>frc 1</t>
  </si>
  <si>
    <t>fcy 8</t>
  </si>
  <si>
    <t>PLLPRE:</t>
  </si>
  <si>
    <t>div</t>
  </si>
  <si>
    <t>mult</t>
  </si>
  <si>
    <t>1/2.6</t>
  </si>
  <si>
    <t>DAQ.Enc_Ang_Speed_Abs</t>
  </si>
  <si>
    <t>DAQ.Enc_Ang_Speed_Raw</t>
  </si>
  <si>
    <t>DAQ.Direction</t>
  </si>
  <si>
    <t>Diameter</t>
  </si>
  <si>
    <t>DAQ.Vehicle_Ang_Speed_Abs</t>
  </si>
  <si>
    <t>pi</t>
  </si>
  <si>
    <t>Encoder frequency(Hz)</t>
  </si>
  <si>
    <t>DAQ.Vehicle_Speed (km/h)</t>
  </si>
  <si>
    <t>bps</t>
  </si>
  <si>
    <t>byte ps</t>
  </si>
  <si>
    <t>msec</t>
  </si>
  <si>
    <t>1 byte</t>
  </si>
  <si>
    <t>50 bytes</t>
  </si>
  <si>
    <t>100 bytes</t>
  </si>
  <si>
    <t>20 bytes</t>
  </si>
  <si>
    <t>FRAME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</si>
</sst>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00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Dashed">
        <color rgb="FF0070C0"/>
      </left>
      <right style="mediumDashed">
        <color rgb="FF0070C0"/>
      </right>
      <top style="mediumDashed">
        <color rgb="FF0070C0"/>
      </top>
      <bottom style="mediumDashed">
        <color rgb="FF0070C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/>
    <xf numFmtId="49" fontId="0" fillId="0" borderId="9" xfId="0" applyNumberFormat="1" applyBorder="1"/>
    <xf numFmtId="49" fontId="0" fillId="0" borderId="2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10" xfId="0" applyNumberFormat="1" applyBorder="1"/>
    <xf numFmtId="49" fontId="0" fillId="0" borderId="11" xfId="0" applyNumberForma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6" xfId="0" applyBorder="1"/>
    <xf numFmtId="0" fontId="0" fillId="0" borderId="0" xfId="0" quotePrefix="1"/>
    <xf numFmtId="0" fontId="0" fillId="0" borderId="13" xfId="0" applyBorder="1" applyAlignment="1">
      <alignment horizontal="center"/>
    </xf>
    <xf numFmtId="1" fontId="0" fillId="0" borderId="0" xfId="0" applyNumberFormat="1"/>
    <xf numFmtId="1" fontId="3" fillId="0" borderId="0" xfId="0" applyNumberFormat="1" applyFont="1"/>
    <xf numFmtId="0" fontId="3" fillId="0" borderId="0" xfId="0" applyFont="1"/>
    <xf numFmtId="1" fontId="4" fillId="0" borderId="0" xfId="0" applyNumberFormat="1" applyFont="1" applyAlignment="1">
      <alignment horizontal="right"/>
    </xf>
    <xf numFmtId="1" fontId="4" fillId="0" borderId="0" xfId="0" applyNumberFormat="1" applyFont="1"/>
    <xf numFmtId="0" fontId="0" fillId="0" borderId="13" xfId="0" applyBorder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left"/>
    </xf>
    <xf numFmtId="10" fontId="0" fillId="0" borderId="0" xfId="0" applyNumberFormat="1"/>
    <xf numFmtId="0" fontId="6" fillId="0" borderId="0" xfId="0" applyFont="1"/>
    <xf numFmtId="0" fontId="0" fillId="0" borderId="10" xfId="0" applyBorder="1"/>
    <xf numFmtId="0" fontId="0" fillId="0" borderId="11" xfId="0" applyBorder="1"/>
    <xf numFmtId="0" fontId="0" fillId="0" borderId="0" xfId="0" applyAlignment="1">
      <alignment textRotation="90"/>
    </xf>
    <xf numFmtId="166" fontId="0" fillId="0" borderId="0" xfId="0" applyNumberFormat="1" applyAlignment="1">
      <alignment textRotation="90"/>
    </xf>
    <xf numFmtId="166" fontId="0" fillId="0" borderId="0" xfId="0" applyNumberFormat="1"/>
    <xf numFmtId="1" fontId="0" fillId="0" borderId="0" xfId="0" applyNumberFormat="1" applyAlignment="1">
      <alignment textRotation="90"/>
    </xf>
    <xf numFmtId="2" fontId="0" fillId="0" borderId="0" xfId="0" applyNumberFormat="1" applyAlignment="1">
      <alignment textRotation="90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</xdr:colOff>
      <xdr:row>9</xdr:row>
      <xdr:rowOff>0</xdr:rowOff>
    </xdr:from>
    <xdr:to>
      <xdr:col>16</xdr:col>
      <xdr:colOff>459105</xdr:colOff>
      <xdr:row>38</xdr:row>
      <xdr:rowOff>154305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FE3028-44F3-4774-9F33-4D89D4C0C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1365" y="1297305"/>
          <a:ext cx="2286000" cy="545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436245</xdr:colOff>
      <xdr:row>9</xdr:row>
      <xdr:rowOff>175260</xdr:rowOff>
    </xdr:from>
    <xdr:to>
      <xdr:col>18</xdr:col>
      <xdr:colOff>283845</xdr:colOff>
      <xdr:row>39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C50C03-7B2D-40EA-A49A-C49EF095F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8465" y="2004060"/>
          <a:ext cx="2286000" cy="545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44"/>
  <sheetViews>
    <sheetView zoomScaleNormal="100" workbookViewId="0">
      <selection activeCell="J21" sqref="J21"/>
    </sheetView>
  </sheetViews>
  <sheetFormatPr defaultRowHeight="14.4" x14ac:dyDescent="0.3"/>
  <cols>
    <col min="1" max="1" width="7.33203125" customWidth="1"/>
    <col min="2" max="2" width="8.109375" customWidth="1"/>
    <col min="3" max="3" width="15" customWidth="1"/>
    <col min="4" max="4" width="4.44140625" style="4" customWidth="1"/>
    <col min="5" max="5" width="8.88671875" style="1" customWidth="1"/>
    <col min="6" max="6" width="3.6640625" style="3" customWidth="1"/>
    <col min="7" max="7" width="6.109375" customWidth="1"/>
    <col min="8" max="8" width="3.109375" customWidth="1"/>
    <col min="9" max="9" width="9.109375" style="1"/>
    <col min="11" max="11" width="10.5546875" customWidth="1"/>
    <col min="12" max="12" width="6.33203125" customWidth="1"/>
    <col min="15" max="15" width="18.33203125" customWidth="1"/>
    <col min="16" max="16" width="4.88671875" style="5" customWidth="1"/>
    <col min="17" max="17" width="4.44140625" customWidth="1"/>
    <col min="18" max="18" width="18.5546875" customWidth="1"/>
    <col min="19" max="19" width="14" style="2" customWidth="1"/>
    <col min="20" max="20" width="16.33203125" customWidth="1"/>
    <col min="21" max="21" width="8.88671875" style="2" customWidth="1"/>
    <col min="22" max="22" width="13.33203125" style="2" customWidth="1"/>
    <col min="23" max="23" width="8.109375" style="2" customWidth="1"/>
    <col min="24" max="24" width="14.5546875" style="2" customWidth="1"/>
    <col min="25" max="25" width="16.88671875" style="2" customWidth="1"/>
    <col min="26" max="29" width="9.109375" style="2"/>
  </cols>
  <sheetData>
    <row r="2" spans="1:26" x14ac:dyDescent="0.3">
      <c r="R2" s="6" t="s">
        <v>46</v>
      </c>
      <c r="S2" s="8"/>
      <c r="T2" s="21" t="s">
        <v>41</v>
      </c>
      <c r="U2" s="7"/>
      <c r="V2" s="7" t="s">
        <v>43</v>
      </c>
      <c r="W2" s="8"/>
      <c r="X2" s="15" t="s">
        <v>45</v>
      </c>
      <c r="Y2" s="8"/>
    </row>
    <row r="3" spans="1:26" x14ac:dyDescent="0.3">
      <c r="R3" s="9"/>
      <c r="S3" s="10"/>
    </row>
    <row r="4" spans="1:26" x14ac:dyDescent="0.3">
      <c r="B4" s="1" t="s">
        <v>17</v>
      </c>
      <c r="C4" s="20" t="s">
        <v>0</v>
      </c>
      <c r="D4" s="49" t="s">
        <v>1</v>
      </c>
      <c r="E4" s="50"/>
      <c r="F4" s="49" t="s">
        <v>2</v>
      </c>
      <c r="G4" s="50"/>
      <c r="H4" s="18"/>
      <c r="I4" s="19" t="s">
        <v>3</v>
      </c>
      <c r="J4" t="s">
        <v>27</v>
      </c>
      <c r="R4" s="9" t="s">
        <v>77</v>
      </c>
      <c r="S4" s="10" t="s">
        <v>47</v>
      </c>
      <c r="T4" s="51" t="s">
        <v>56</v>
      </c>
      <c r="U4" s="51"/>
      <c r="V4" s="51"/>
      <c r="W4" s="51"/>
      <c r="X4" s="51"/>
      <c r="Y4" s="51"/>
      <c r="Z4" s="52"/>
    </row>
    <row r="5" spans="1:26" x14ac:dyDescent="0.3">
      <c r="B5">
        <v>0</v>
      </c>
      <c r="C5">
        <v>32</v>
      </c>
      <c r="E5" s="1" t="s">
        <v>4</v>
      </c>
      <c r="G5" t="s">
        <v>4</v>
      </c>
      <c r="I5" s="1" t="s">
        <v>4</v>
      </c>
      <c r="R5" s="9" t="s">
        <v>74</v>
      </c>
      <c r="S5" s="10" t="s">
        <v>42</v>
      </c>
      <c r="T5" t="s">
        <v>74</v>
      </c>
      <c r="V5" t="s">
        <v>74</v>
      </c>
      <c r="X5" t="s">
        <v>74</v>
      </c>
      <c r="Y5" s="2" t="s">
        <v>59</v>
      </c>
    </row>
    <row r="6" spans="1:26" x14ac:dyDescent="0.3">
      <c r="N6">
        <v>1</v>
      </c>
      <c r="O6">
        <v>1</v>
      </c>
      <c r="R6" s="9" t="s">
        <v>75</v>
      </c>
      <c r="S6" s="10" t="s">
        <v>42</v>
      </c>
      <c r="T6" t="s">
        <v>75</v>
      </c>
      <c r="V6" t="s">
        <v>75</v>
      </c>
      <c r="X6" t="s">
        <v>75</v>
      </c>
      <c r="Y6" s="2" t="s">
        <v>59</v>
      </c>
    </row>
    <row r="7" spans="1:26" x14ac:dyDescent="0.3">
      <c r="A7" t="s">
        <v>5</v>
      </c>
      <c r="B7">
        <v>32</v>
      </c>
      <c r="C7" s="4" t="s">
        <v>58</v>
      </c>
      <c r="D7" s="1"/>
      <c r="E7" s="1">
        <v>96</v>
      </c>
      <c r="F7" s="3" t="s">
        <v>16</v>
      </c>
      <c r="G7" s="1">
        <v>64</v>
      </c>
      <c r="H7" s="1" t="s">
        <v>16</v>
      </c>
      <c r="I7" s="1">
        <v>0</v>
      </c>
      <c r="J7" t="s">
        <v>9</v>
      </c>
      <c r="R7" s="9" t="s">
        <v>76</v>
      </c>
      <c r="S7" s="10" t="s">
        <v>42</v>
      </c>
      <c r="T7" t="s">
        <v>76</v>
      </c>
      <c r="V7" t="s">
        <v>76</v>
      </c>
      <c r="X7" t="s">
        <v>76</v>
      </c>
      <c r="Y7" s="2" t="s">
        <v>59</v>
      </c>
    </row>
    <row r="8" spans="1:26" ht="15" customHeight="1" x14ac:dyDescent="0.3">
      <c r="D8" s="3"/>
      <c r="G8" s="1"/>
      <c r="H8" s="1"/>
      <c r="N8" t="s">
        <v>40</v>
      </c>
      <c r="O8" t="s">
        <v>55</v>
      </c>
      <c r="P8" s="5">
        <v>0</v>
      </c>
      <c r="R8" s="9"/>
      <c r="S8" s="10"/>
      <c r="U8" s="2" t="s">
        <v>60</v>
      </c>
      <c r="W8" s="2" t="s">
        <v>61</v>
      </c>
    </row>
    <row r="9" spans="1:26" x14ac:dyDescent="0.3">
      <c r="B9">
        <v>36</v>
      </c>
      <c r="C9" t="s">
        <v>18</v>
      </c>
      <c r="D9" s="4" t="s">
        <v>14</v>
      </c>
      <c r="E9" s="1">
        <v>4</v>
      </c>
      <c r="F9" s="3" t="s">
        <v>16</v>
      </c>
      <c r="G9" s="1">
        <v>60</v>
      </c>
      <c r="H9" s="1" t="s">
        <v>16</v>
      </c>
      <c r="I9" s="1">
        <v>32</v>
      </c>
      <c r="J9">
        <v>250</v>
      </c>
      <c r="K9" t="s">
        <v>6</v>
      </c>
      <c r="N9" t="s">
        <v>40</v>
      </c>
      <c r="O9" t="s">
        <v>33</v>
      </c>
      <c r="P9" s="5">
        <v>32</v>
      </c>
      <c r="R9" s="9"/>
      <c r="S9" s="10"/>
      <c r="T9" t="s">
        <v>72</v>
      </c>
      <c r="U9" s="5"/>
    </row>
    <row r="10" spans="1:26" x14ac:dyDescent="0.3">
      <c r="B10">
        <v>40</v>
      </c>
      <c r="C10" t="s">
        <v>19</v>
      </c>
      <c r="D10" s="4" t="s">
        <v>14</v>
      </c>
      <c r="E10" s="1">
        <v>4</v>
      </c>
      <c r="F10" s="3" t="s">
        <v>15</v>
      </c>
      <c r="G10" s="1">
        <v>4</v>
      </c>
      <c r="H10" s="1" t="s">
        <v>16</v>
      </c>
      <c r="I10" s="1">
        <v>32</v>
      </c>
      <c r="J10">
        <v>500</v>
      </c>
      <c r="K10" t="s">
        <v>6</v>
      </c>
      <c r="N10" t="s">
        <v>40</v>
      </c>
      <c r="O10" t="s">
        <v>34</v>
      </c>
      <c r="P10" s="5">
        <v>64</v>
      </c>
      <c r="R10" s="9"/>
      <c r="S10" s="10"/>
      <c r="T10" s="22" t="s">
        <v>73</v>
      </c>
      <c r="U10" s="12"/>
      <c r="V10" s="13"/>
    </row>
    <row r="11" spans="1:26" x14ac:dyDescent="0.3">
      <c r="B11">
        <v>44</v>
      </c>
      <c r="C11" t="s">
        <v>20</v>
      </c>
      <c r="D11" s="4" t="s">
        <v>14</v>
      </c>
      <c r="E11" s="1">
        <v>4</v>
      </c>
      <c r="F11" s="3" t="s">
        <v>15</v>
      </c>
      <c r="G11" s="1">
        <v>4</v>
      </c>
      <c r="H11" s="1" t="s">
        <v>16</v>
      </c>
      <c r="I11" s="1">
        <v>32</v>
      </c>
      <c r="J11">
        <v>1</v>
      </c>
      <c r="K11" t="s">
        <v>7</v>
      </c>
      <c r="N11" t="s">
        <v>40</v>
      </c>
      <c r="O11" t="s">
        <v>35</v>
      </c>
      <c r="P11" s="5">
        <v>96</v>
      </c>
      <c r="R11" s="9"/>
      <c r="S11" s="10"/>
    </row>
    <row r="12" spans="1:26" x14ac:dyDescent="0.3">
      <c r="B12">
        <v>48</v>
      </c>
      <c r="C12" t="s">
        <v>21</v>
      </c>
      <c r="D12" s="4" t="s">
        <v>14</v>
      </c>
      <c r="E12" s="1">
        <v>4</v>
      </c>
      <c r="F12" s="3" t="s">
        <v>15</v>
      </c>
      <c r="G12" s="1">
        <v>4</v>
      </c>
      <c r="H12" s="1" t="s">
        <v>16</v>
      </c>
      <c r="I12" s="1">
        <v>32</v>
      </c>
      <c r="J12">
        <v>2</v>
      </c>
      <c r="K12" t="s">
        <v>7</v>
      </c>
      <c r="L12" t="s">
        <v>8</v>
      </c>
      <c r="R12" s="6" t="s">
        <v>46</v>
      </c>
      <c r="S12" s="8"/>
      <c r="T12" s="21" t="s">
        <v>41</v>
      </c>
      <c r="U12" s="7"/>
      <c r="V12" s="7" t="s">
        <v>43</v>
      </c>
      <c r="W12" s="8"/>
      <c r="X12" s="15" t="s">
        <v>45</v>
      </c>
      <c r="Y12" s="8"/>
    </row>
    <row r="13" spans="1:26" x14ac:dyDescent="0.3">
      <c r="B13">
        <v>52</v>
      </c>
      <c r="C13" t="s">
        <v>22</v>
      </c>
      <c r="D13" s="4" t="s">
        <v>14</v>
      </c>
      <c r="E13" s="1">
        <v>4</v>
      </c>
      <c r="F13" s="3" t="s">
        <v>15</v>
      </c>
      <c r="G13" s="1">
        <v>4</v>
      </c>
      <c r="H13" s="1" t="s">
        <v>16</v>
      </c>
      <c r="I13" s="1">
        <v>32</v>
      </c>
      <c r="J13">
        <v>5</v>
      </c>
      <c r="K13" t="s">
        <v>7</v>
      </c>
      <c r="N13" t="s">
        <v>40</v>
      </c>
      <c r="O13" t="s">
        <v>66</v>
      </c>
      <c r="P13" s="5">
        <v>96</v>
      </c>
      <c r="R13" s="9" t="s">
        <v>78</v>
      </c>
      <c r="S13" s="10" t="s">
        <v>18</v>
      </c>
      <c r="T13" t="s">
        <v>78</v>
      </c>
      <c r="V13" s="9" t="s">
        <v>78</v>
      </c>
      <c r="W13" s="10"/>
      <c r="X13" s="9" t="s">
        <v>78</v>
      </c>
      <c r="Y13" s="10"/>
    </row>
    <row r="14" spans="1:26" x14ac:dyDescent="0.3">
      <c r="B14">
        <v>56</v>
      </c>
      <c r="C14" t="s">
        <v>23</v>
      </c>
      <c r="D14" s="4" t="s">
        <v>14</v>
      </c>
      <c r="E14" s="1">
        <v>4</v>
      </c>
      <c r="F14" s="3" t="s">
        <v>15</v>
      </c>
      <c r="G14" s="1">
        <v>4</v>
      </c>
      <c r="H14" s="1" t="s">
        <v>16</v>
      </c>
      <c r="I14" s="1">
        <v>32</v>
      </c>
      <c r="J14">
        <v>10</v>
      </c>
      <c r="K14" t="s">
        <v>7</v>
      </c>
      <c r="N14" t="s">
        <v>40</v>
      </c>
      <c r="O14" t="s">
        <v>67</v>
      </c>
      <c r="P14" s="5">
        <v>32</v>
      </c>
      <c r="R14" s="9" t="s">
        <v>79</v>
      </c>
      <c r="S14" s="10" t="s">
        <v>19</v>
      </c>
      <c r="T14" t="s">
        <v>79</v>
      </c>
      <c r="V14" s="9" t="s">
        <v>79</v>
      </c>
      <c r="W14" s="10"/>
      <c r="X14" s="9" t="s">
        <v>79</v>
      </c>
      <c r="Y14" s="10"/>
    </row>
    <row r="15" spans="1:26" x14ac:dyDescent="0.3">
      <c r="B15">
        <v>60</v>
      </c>
      <c r="C15" t="s">
        <v>24</v>
      </c>
      <c r="D15" s="4" t="s">
        <v>16</v>
      </c>
      <c r="E15" s="1">
        <v>36</v>
      </c>
      <c r="F15" s="3" t="s">
        <v>15</v>
      </c>
      <c r="G15" s="1">
        <v>4</v>
      </c>
      <c r="H15" s="1" t="s">
        <v>16</v>
      </c>
      <c r="I15" s="1">
        <v>32</v>
      </c>
      <c r="J15">
        <v>20</v>
      </c>
      <c r="K15" t="s">
        <v>7</v>
      </c>
      <c r="R15" s="9" t="s">
        <v>80</v>
      </c>
      <c r="S15" s="10" t="s">
        <v>20</v>
      </c>
      <c r="T15" t="s">
        <v>80</v>
      </c>
      <c r="V15" s="9" t="s">
        <v>80</v>
      </c>
      <c r="W15" s="10"/>
      <c r="X15" s="9" t="s">
        <v>80</v>
      </c>
      <c r="Y15" s="10"/>
    </row>
    <row r="16" spans="1:26" x14ac:dyDescent="0.3">
      <c r="R16" s="9" t="s">
        <v>81</v>
      </c>
      <c r="S16" s="10" t="s">
        <v>21</v>
      </c>
      <c r="T16" t="s">
        <v>81</v>
      </c>
      <c r="V16" s="9" t="s">
        <v>81</v>
      </c>
      <c r="W16" s="10"/>
      <c r="X16" s="9" t="s">
        <v>81</v>
      </c>
      <c r="Y16" s="10"/>
    </row>
    <row r="17" spans="1:25" x14ac:dyDescent="0.3">
      <c r="A17" t="s">
        <v>5</v>
      </c>
      <c r="B17">
        <v>64</v>
      </c>
      <c r="C17" s="4" t="s">
        <v>58</v>
      </c>
      <c r="D17" s="3" t="s">
        <v>16</v>
      </c>
      <c r="E17" s="1">
        <v>32</v>
      </c>
      <c r="F17" s="3" t="s">
        <v>16</v>
      </c>
      <c r="G17" s="1">
        <v>96</v>
      </c>
      <c r="H17" s="1" t="s">
        <v>16</v>
      </c>
      <c r="I17" s="1">
        <v>0</v>
      </c>
      <c r="J17" t="s">
        <v>12</v>
      </c>
      <c r="R17" s="9" t="s">
        <v>82</v>
      </c>
      <c r="S17" s="10" t="s">
        <v>22</v>
      </c>
      <c r="T17" t="s">
        <v>82</v>
      </c>
      <c r="V17" s="9" t="s">
        <v>82</v>
      </c>
      <c r="W17" s="10"/>
      <c r="X17" s="9" t="s">
        <v>82</v>
      </c>
      <c r="Y17" s="10"/>
    </row>
    <row r="18" spans="1:25" ht="13.5" customHeight="1" x14ac:dyDescent="0.3">
      <c r="D18" s="3"/>
      <c r="G18" s="1"/>
      <c r="H18" s="1"/>
      <c r="N18" t="s">
        <v>40</v>
      </c>
      <c r="O18" t="s">
        <v>36</v>
      </c>
      <c r="P18" s="5">
        <v>60</v>
      </c>
      <c r="R18" s="9" t="s">
        <v>83</v>
      </c>
      <c r="S18" s="10" t="s">
        <v>23</v>
      </c>
      <c r="T18" t="s">
        <v>83</v>
      </c>
      <c r="V18" s="9" t="s">
        <v>83</v>
      </c>
      <c r="W18" s="10"/>
      <c r="X18" s="9" t="s">
        <v>83</v>
      </c>
      <c r="Y18" s="10"/>
    </row>
    <row r="19" spans="1:25" x14ac:dyDescent="0.3">
      <c r="B19">
        <v>68</v>
      </c>
      <c r="C19" t="s">
        <v>25</v>
      </c>
      <c r="D19" s="4" t="s">
        <v>14</v>
      </c>
      <c r="E19" s="1">
        <v>4</v>
      </c>
      <c r="F19" s="3" t="s">
        <v>16</v>
      </c>
      <c r="G19" s="1">
        <v>72</v>
      </c>
      <c r="H19" s="1" t="s">
        <v>16</v>
      </c>
      <c r="I19" s="1">
        <v>64</v>
      </c>
      <c r="J19" t="s">
        <v>10</v>
      </c>
      <c r="L19" t="s">
        <v>8</v>
      </c>
      <c r="N19" t="s">
        <v>40</v>
      </c>
      <c r="O19" t="s">
        <v>37</v>
      </c>
      <c r="P19" s="5">
        <v>36</v>
      </c>
      <c r="R19" s="9" t="s">
        <v>84</v>
      </c>
      <c r="S19" s="10" t="s">
        <v>24</v>
      </c>
      <c r="T19" t="s">
        <v>84</v>
      </c>
      <c r="V19" s="9" t="s">
        <v>84</v>
      </c>
      <c r="W19" s="10"/>
      <c r="X19" s="9" t="s">
        <v>84</v>
      </c>
      <c r="Y19" s="10"/>
    </row>
    <row r="20" spans="1:25" x14ac:dyDescent="0.3">
      <c r="B20">
        <v>72</v>
      </c>
      <c r="C20" t="s">
        <v>26</v>
      </c>
      <c r="D20" s="4" t="s">
        <v>16</v>
      </c>
      <c r="E20" s="1">
        <v>68</v>
      </c>
      <c r="F20" s="3" t="s">
        <v>15</v>
      </c>
      <c r="G20" s="1">
        <v>4</v>
      </c>
      <c r="H20" s="1" t="s">
        <v>16</v>
      </c>
      <c r="I20" s="1">
        <v>64</v>
      </c>
      <c r="J20" t="s">
        <v>11</v>
      </c>
      <c r="R20" s="9"/>
      <c r="S20" s="10" t="s">
        <v>47</v>
      </c>
      <c r="U20" s="2" t="s">
        <v>42</v>
      </c>
      <c r="W20" s="10" t="s">
        <v>44</v>
      </c>
      <c r="X20" s="16"/>
      <c r="Y20" s="10" t="s">
        <v>47</v>
      </c>
    </row>
    <row r="21" spans="1:25" x14ac:dyDescent="0.3">
      <c r="N21" t="s">
        <v>40</v>
      </c>
      <c r="O21" t="s">
        <v>38</v>
      </c>
      <c r="P21" s="5">
        <v>72</v>
      </c>
      <c r="R21" s="9"/>
      <c r="S21" s="10"/>
      <c r="T21" t="s">
        <v>70</v>
      </c>
      <c r="U21" s="5"/>
      <c r="W21" s="10"/>
      <c r="X21" s="16"/>
      <c r="Y21" s="10"/>
    </row>
    <row r="22" spans="1:25" x14ac:dyDescent="0.3">
      <c r="N22" t="s">
        <v>40</v>
      </c>
      <c r="O22" t="s">
        <v>39</v>
      </c>
      <c r="P22" s="5">
        <v>68</v>
      </c>
      <c r="R22" s="11"/>
      <c r="S22" s="14"/>
      <c r="T22" s="22" t="s">
        <v>71</v>
      </c>
      <c r="U22" s="12"/>
      <c r="V22" s="13"/>
      <c r="W22" s="14"/>
      <c r="X22" s="17"/>
      <c r="Y22" s="14"/>
    </row>
    <row r="23" spans="1:25" x14ac:dyDescent="0.3">
      <c r="A23" t="s">
        <v>13</v>
      </c>
      <c r="B23">
        <v>96</v>
      </c>
      <c r="C23" s="4" t="s">
        <v>58</v>
      </c>
      <c r="D23" s="3" t="s">
        <v>16</v>
      </c>
      <c r="E23" s="1">
        <v>64</v>
      </c>
      <c r="F23" s="3" t="s">
        <v>16</v>
      </c>
      <c r="G23" s="1">
        <v>32</v>
      </c>
      <c r="H23" s="1" t="s">
        <v>16</v>
      </c>
      <c r="I23" s="1">
        <v>0</v>
      </c>
      <c r="R23" s="6" t="s">
        <v>46</v>
      </c>
      <c r="S23" s="8"/>
      <c r="T23" s="21" t="s">
        <v>41</v>
      </c>
      <c r="U23" s="7"/>
      <c r="V23" s="7" t="s">
        <v>43</v>
      </c>
      <c r="W23" s="8"/>
      <c r="X23" s="15" t="s">
        <v>45</v>
      </c>
      <c r="Y23" s="8"/>
    </row>
    <row r="24" spans="1:25" ht="12" customHeight="1" x14ac:dyDescent="0.3">
      <c r="D24" s="3"/>
      <c r="G24" s="1"/>
      <c r="H24" s="1"/>
      <c r="N24" t="s">
        <v>40</v>
      </c>
      <c r="O24" t="s">
        <v>64</v>
      </c>
      <c r="P24" s="5">
        <v>116</v>
      </c>
      <c r="R24" s="9" t="s">
        <v>85</v>
      </c>
      <c r="S24" s="23" t="s">
        <v>25</v>
      </c>
      <c r="T24" t="s">
        <v>85</v>
      </c>
      <c r="V24" s="9" t="s">
        <v>85</v>
      </c>
      <c r="W24" s="10"/>
      <c r="X24" s="9" t="s">
        <v>85</v>
      </c>
      <c r="Y24" s="10"/>
    </row>
    <row r="25" spans="1:25" x14ac:dyDescent="0.3">
      <c r="B25">
        <v>100</v>
      </c>
      <c r="C25" t="s">
        <v>28</v>
      </c>
      <c r="D25" s="4" t="s">
        <v>14</v>
      </c>
      <c r="E25" s="1">
        <v>4</v>
      </c>
      <c r="F25" s="4" t="s">
        <v>16</v>
      </c>
      <c r="G25" s="1">
        <v>116</v>
      </c>
      <c r="H25" s="1" t="s">
        <v>16</v>
      </c>
      <c r="I25" s="1">
        <v>96</v>
      </c>
      <c r="N25" t="s">
        <v>40</v>
      </c>
      <c r="O25" t="s">
        <v>65</v>
      </c>
      <c r="P25" s="5">
        <v>100</v>
      </c>
      <c r="R25" s="9" t="s">
        <v>86</v>
      </c>
      <c r="S25" s="23" t="s">
        <v>26</v>
      </c>
      <c r="T25" t="s">
        <v>86</v>
      </c>
      <c r="V25" s="9" t="s">
        <v>86</v>
      </c>
      <c r="W25" s="10"/>
      <c r="X25" s="9" t="s">
        <v>86</v>
      </c>
      <c r="Y25" s="10"/>
    </row>
    <row r="26" spans="1:25" x14ac:dyDescent="0.3">
      <c r="B26">
        <v>104</v>
      </c>
      <c r="C26" t="s">
        <v>29</v>
      </c>
      <c r="D26" s="4" t="s">
        <v>14</v>
      </c>
      <c r="E26" s="1">
        <v>4</v>
      </c>
      <c r="F26" s="3" t="s">
        <v>15</v>
      </c>
      <c r="G26" s="1">
        <v>4</v>
      </c>
      <c r="H26" s="1" t="s">
        <v>16</v>
      </c>
      <c r="I26" s="1">
        <v>96</v>
      </c>
      <c r="R26" s="9"/>
      <c r="S26" s="10"/>
      <c r="V26"/>
      <c r="W26" s="10"/>
      <c r="X26" s="9"/>
      <c r="Y26" s="10"/>
    </row>
    <row r="27" spans="1:25" x14ac:dyDescent="0.3">
      <c r="B27">
        <v>108</v>
      </c>
      <c r="C27" t="s">
        <v>30</v>
      </c>
      <c r="D27" s="4" t="s">
        <v>14</v>
      </c>
      <c r="E27" s="1">
        <v>4</v>
      </c>
      <c r="F27" s="3" t="s">
        <v>15</v>
      </c>
      <c r="G27" s="1">
        <v>4</v>
      </c>
      <c r="H27" s="1" t="s">
        <v>16</v>
      </c>
      <c r="I27" s="1">
        <v>96</v>
      </c>
      <c r="K27" t="s">
        <v>48</v>
      </c>
      <c r="L27">
        <v>36</v>
      </c>
      <c r="N27" t="s">
        <v>62</v>
      </c>
      <c r="O27">
        <v>68</v>
      </c>
      <c r="R27" s="9"/>
      <c r="S27" s="10" t="s">
        <v>57</v>
      </c>
      <c r="U27" s="2" t="s">
        <v>42</v>
      </c>
      <c r="W27" s="10" t="s">
        <v>44</v>
      </c>
      <c r="X27" s="16"/>
      <c r="Y27" s="10" t="s">
        <v>57</v>
      </c>
    </row>
    <row r="28" spans="1:25" x14ac:dyDescent="0.3">
      <c r="B28">
        <v>112</v>
      </c>
      <c r="C28" t="s">
        <v>31</v>
      </c>
      <c r="D28" s="4" t="s">
        <v>14</v>
      </c>
      <c r="E28" s="1">
        <v>4</v>
      </c>
      <c r="F28" s="3" t="s">
        <v>15</v>
      </c>
      <c r="G28" s="1">
        <v>4</v>
      </c>
      <c r="H28" s="1" t="s">
        <v>16</v>
      </c>
      <c r="I28" s="1">
        <v>96</v>
      </c>
      <c r="K28" t="s">
        <v>49</v>
      </c>
      <c r="L28">
        <v>40</v>
      </c>
      <c r="N28" t="s">
        <v>63</v>
      </c>
      <c r="O28">
        <v>72</v>
      </c>
      <c r="R28" s="9"/>
      <c r="S28" s="10"/>
      <c r="T28" t="s">
        <v>68</v>
      </c>
      <c r="U28" s="5"/>
      <c r="W28" s="10"/>
      <c r="X28" s="16"/>
      <c r="Y28" s="10"/>
    </row>
    <row r="29" spans="1:25" x14ac:dyDescent="0.3">
      <c r="B29">
        <v>116</v>
      </c>
      <c r="C29" t="s">
        <v>32</v>
      </c>
      <c r="D29" s="4" t="s">
        <v>16</v>
      </c>
      <c r="E29" s="1">
        <v>100</v>
      </c>
      <c r="F29" s="3" t="s">
        <v>15</v>
      </c>
      <c r="G29" s="1">
        <v>4</v>
      </c>
      <c r="H29" s="1" t="s">
        <v>16</v>
      </c>
      <c r="I29" s="1">
        <v>96</v>
      </c>
      <c r="K29" t="s">
        <v>50</v>
      </c>
      <c r="L29">
        <v>44</v>
      </c>
      <c r="R29" s="11"/>
      <c r="S29" s="14"/>
      <c r="T29" s="22" t="s">
        <v>69</v>
      </c>
      <c r="U29" s="12"/>
      <c r="V29" s="13"/>
      <c r="W29" s="14"/>
      <c r="X29" s="17"/>
      <c r="Y29" s="14"/>
    </row>
    <row r="30" spans="1:25" x14ac:dyDescent="0.3">
      <c r="G30" s="1"/>
      <c r="H30" s="1"/>
      <c r="K30" t="s">
        <v>51</v>
      </c>
      <c r="L30">
        <v>48</v>
      </c>
      <c r="R30" s="9"/>
      <c r="S30" s="10"/>
      <c r="T30" s="9"/>
      <c r="V30"/>
      <c r="W30" s="10"/>
      <c r="X30" s="9"/>
      <c r="Y30" s="10"/>
    </row>
    <row r="31" spans="1:25" x14ac:dyDescent="0.3">
      <c r="K31" t="s">
        <v>52</v>
      </c>
      <c r="L31">
        <v>52</v>
      </c>
    </row>
    <row r="32" spans="1:25" x14ac:dyDescent="0.3">
      <c r="K32" t="s">
        <v>53</v>
      </c>
      <c r="L32">
        <v>56</v>
      </c>
    </row>
    <row r="33" spans="11:21" x14ac:dyDescent="0.3">
      <c r="K33" t="s">
        <v>54</v>
      </c>
      <c r="L33">
        <v>60</v>
      </c>
    </row>
    <row r="38" spans="11:21" x14ac:dyDescent="0.3">
      <c r="U38" s="9" t="s">
        <v>78</v>
      </c>
    </row>
    <row r="39" spans="11:21" x14ac:dyDescent="0.3">
      <c r="U39" s="9" t="s">
        <v>79</v>
      </c>
    </row>
    <row r="40" spans="11:21" x14ac:dyDescent="0.3">
      <c r="U40" s="9" t="s">
        <v>80</v>
      </c>
    </row>
    <row r="41" spans="11:21" x14ac:dyDescent="0.3">
      <c r="U41" s="9" t="s">
        <v>81</v>
      </c>
    </row>
    <row r="42" spans="11:21" x14ac:dyDescent="0.3">
      <c r="U42" s="9" t="s">
        <v>82</v>
      </c>
    </row>
    <row r="43" spans="11:21" x14ac:dyDescent="0.3">
      <c r="U43" s="9" t="s">
        <v>83</v>
      </c>
    </row>
    <row r="44" spans="11:21" x14ac:dyDescent="0.3">
      <c r="U44" s="9" t="s">
        <v>84</v>
      </c>
    </row>
  </sheetData>
  <mergeCells count="3">
    <mergeCell ref="D4:E4"/>
    <mergeCell ref="F4:G4"/>
    <mergeCell ref="T4:Z4"/>
  </mergeCells>
  <phoneticPr fontId="1" type="noConversion"/>
  <pageMargins left="0.7" right="0.7" top="0.75" bottom="0.75" header="0.3" footer="0.3"/>
  <pageSetup paperSize="9" orientation="portrait" r:id="rId1"/>
  <headerFooter>
    <oddFooter>&amp;L&amp;1#&amp;"Calibri"&amp;8&amp;K000000Classified as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44"/>
  <sheetViews>
    <sheetView workbookViewId="0">
      <selection activeCell="D36" sqref="D36"/>
    </sheetView>
  </sheetViews>
  <sheetFormatPr defaultRowHeight="14.4" x14ac:dyDescent="0.3"/>
  <cols>
    <col min="1" max="1" width="7.33203125" customWidth="1"/>
    <col min="2" max="2" width="8.109375" customWidth="1"/>
    <col min="3" max="3" width="15" customWidth="1"/>
    <col min="4" max="4" width="4.44140625" style="4" customWidth="1"/>
    <col min="5" max="5" width="8.88671875" style="1" customWidth="1"/>
    <col min="6" max="6" width="3.6640625" style="3" customWidth="1"/>
    <col min="7" max="7" width="6.109375" customWidth="1"/>
    <col min="8" max="8" width="3.109375" customWidth="1"/>
    <col min="9" max="9" width="9.109375" style="1"/>
    <col min="11" max="11" width="10.5546875" customWidth="1"/>
    <col min="12" max="12" width="6.33203125" customWidth="1"/>
    <col min="15" max="15" width="18.33203125" customWidth="1"/>
    <col min="16" max="16" width="4.88671875" style="5" customWidth="1"/>
    <col min="17" max="17" width="4.44140625" customWidth="1"/>
    <col min="18" max="18" width="18.5546875" customWidth="1"/>
    <col min="19" max="19" width="14" style="2" customWidth="1"/>
    <col min="20" max="20" width="16.33203125" customWidth="1"/>
    <col min="21" max="21" width="8.88671875" style="2" customWidth="1"/>
    <col min="22" max="22" width="13.33203125" style="2" customWidth="1"/>
    <col min="23" max="23" width="8.109375" style="2" customWidth="1"/>
    <col min="24" max="24" width="14.5546875" style="2" customWidth="1"/>
    <col min="25" max="25" width="16.88671875" style="2" customWidth="1"/>
    <col min="26" max="29" width="9.109375" style="2"/>
  </cols>
  <sheetData>
    <row r="2" spans="1:26" x14ac:dyDescent="0.3">
      <c r="R2" s="6" t="s">
        <v>46</v>
      </c>
      <c r="S2" s="8"/>
      <c r="T2" s="21" t="s">
        <v>41</v>
      </c>
      <c r="U2" s="7"/>
      <c r="V2" s="7" t="s">
        <v>43</v>
      </c>
      <c r="W2" s="8"/>
      <c r="X2" s="15" t="s">
        <v>45</v>
      </c>
      <c r="Y2" s="8"/>
    </row>
    <row r="3" spans="1:26" x14ac:dyDescent="0.3">
      <c r="N3" t="s">
        <v>40</v>
      </c>
      <c r="O3" t="s">
        <v>55</v>
      </c>
      <c r="P3" s="5">
        <v>0</v>
      </c>
      <c r="R3" s="9"/>
      <c r="S3" s="10"/>
    </row>
    <row r="4" spans="1:26" x14ac:dyDescent="0.3">
      <c r="B4" s="1" t="s">
        <v>17</v>
      </c>
      <c r="C4" s="20" t="s">
        <v>0</v>
      </c>
      <c r="D4" s="49" t="s">
        <v>1</v>
      </c>
      <c r="E4" s="50"/>
      <c r="F4" s="49" t="s">
        <v>2</v>
      </c>
      <c r="G4" s="50"/>
      <c r="H4" s="18"/>
      <c r="I4" s="19" t="s">
        <v>3</v>
      </c>
      <c r="J4" t="s">
        <v>27</v>
      </c>
      <c r="N4" t="s">
        <v>40</v>
      </c>
      <c r="O4" t="s">
        <v>33</v>
      </c>
      <c r="P4" s="5">
        <v>32</v>
      </c>
      <c r="R4" s="9" t="s">
        <v>77</v>
      </c>
      <c r="S4" s="10" t="s">
        <v>47</v>
      </c>
      <c r="T4" s="51" t="s">
        <v>56</v>
      </c>
      <c r="U4" s="51"/>
      <c r="V4" s="51"/>
      <c r="W4" s="51"/>
      <c r="X4" s="51"/>
      <c r="Y4" s="51"/>
      <c r="Z4" s="52"/>
    </row>
    <row r="5" spans="1:26" x14ac:dyDescent="0.3">
      <c r="B5">
        <v>0</v>
      </c>
      <c r="C5">
        <v>32</v>
      </c>
      <c r="E5" s="1" t="s">
        <v>4</v>
      </c>
      <c r="G5" t="s">
        <v>4</v>
      </c>
      <c r="I5" s="1" t="s">
        <v>4</v>
      </c>
      <c r="N5" t="s">
        <v>40</v>
      </c>
      <c r="O5" t="s">
        <v>34</v>
      </c>
      <c r="P5" s="5">
        <v>64</v>
      </c>
      <c r="R5" s="9" t="s">
        <v>74</v>
      </c>
      <c r="S5" s="10" t="s">
        <v>42</v>
      </c>
      <c r="T5" t="s">
        <v>74</v>
      </c>
      <c r="V5" t="s">
        <v>74</v>
      </c>
      <c r="X5" t="s">
        <v>74</v>
      </c>
      <c r="Y5" s="2" t="s">
        <v>59</v>
      </c>
    </row>
    <row r="6" spans="1:26" x14ac:dyDescent="0.3">
      <c r="N6" t="s">
        <v>40</v>
      </c>
      <c r="O6" t="s">
        <v>35</v>
      </c>
      <c r="P6" s="5">
        <v>96</v>
      </c>
      <c r="R6" s="9" t="s">
        <v>75</v>
      </c>
      <c r="S6" s="10" t="s">
        <v>42</v>
      </c>
      <c r="T6" t="s">
        <v>75</v>
      </c>
      <c r="V6" t="s">
        <v>75</v>
      </c>
      <c r="X6" t="s">
        <v>75</v>
      </c>
      <c r="Y6" s="2" t="s">
        <v>59</v>
      </c>
    </row>
    <row r="7" spans="1:26" x14ac:dyDescent="0.3">
      <c r="A7" t="s">
        <v>5</v>
      </c>
      <c r="B7">
        <v>32</v>
      </c>
      <c r="C7" s="4" t="s">
        <v>58</v>
      </c>
      <c r="D7" s="3" t="s">
        <v>16</v>
      </c>
      <c r="E7" s="1">
        <v>64</v>
      </c>
      <c r="F7" s="3" t="s">
        <v>16</v>
      </c>
      <c r="G7" s="1">
        <v>96</v>
      </c>
      <c r="H7" s="1" t="s">
        <v>16</v>
      </c>
      <c r="I7" s="1">
        <v>0</v>
      </c>
      <c r="J7" t="s">
        <v>88</v>
      </c>
      <c r="R7" s="9" t="s">
        <v>76</v>
      </c>
      <c r="S7" s="10" t="s">
        <v>42</v>
      </c>
      <c r="T7" t="s">
        <v>76</v>
      </c>
      <c r="V7" t="s">
        <v>76</v>
      </c>
      <c r="X7" t="s">
        <v>76</v>
      </c>
      <c r="Y7" s="2" t="s">
        <v>59</v>
      </c>
    </row>
    <row r="8" spans="1:26" ht="15" customHeight="1" x14ac:dyDescent="0.3">
      <c r="D8" s="3"/>
      <c r="G8" s="1"/>
      <c r="H8" s="1"/>
      <c r="N8" t="s">
        <v>40</v>
      </c>
      <c r="O8" t="s">
        <v>66</v>
      </c>
      <c r="P8" s="5">
        <v>96</v>
      </c>
      <c r="R8" s="9"/>
      <c r="S8" s="10"/>
      <c r="U8" s="2" t="s">
        <v>60</v>
      </c>
      <c r="W8" s="2" t="s">
        <v>61</v>
      </c>
    </row>
    <row r="9" spans="1:26" x14ac:dyDescent="0.3">
      <c r="B9">
        <v>36</v>
      </c>
      <c r="C9" t="s">
        <v>25</v>
      </c>
      <c r="D9" s="4" t="s">
        <v>14</v>
      </c>
      <c r="E9" s="1">
        <v>4</v>
      </c>
      <c r="F9" s="3" t="s">
        <v>16</v>
      </c>
      <c r="G9" s="1">
        <v>60</v>
      </c>
      <c r="H9" s="1" t="s">
        <v>16</v>
      </c>
      <c r="I9" s="1">
        <v>32</v>
      </c>
      <c r="J9" t="s">
        <v>10</v>
      </c>
      <c r="N9" t="s">
        <v>40</v>
      </c>
      <c r="O9" t="s">
        <v>67</v>
      </c>
      <c r="P9" s="5">
        <v>32</v>
      </c>
      <c r="R9" s="9"/>
      <c r="S9" s="10"/>
      <c r="T9" t="s">
        <v>72</v>
      </c>
      <c r="U9" s="5"/>
    </row>
    <row r="10" spans="1:26" x14ac:dyDescent="0.3">
      <c r="B10">
        <v>40</v>
      </c>
      <c r="C10" t="s">
        <v>26</v>
      </c>
      <c r="D10" s="4" t="s">
        <v>16</v>
      </c>
      <c r="E10" s="1">
        <v>36</v>
      </c>
      <c r="F10" s="3" t="s">
        <v>15</v>
      </c>
      <c r="G10" s="1">
        <v>4</v>
      </c>
      <c r="H10" s="1" t="s">
        <v>16</v>
      </c>
      <c r="I10" s="1">
        <v>32</v>
      </c>
      <c r="J10" t="s">
        <v>11</v>
      </c>
      <c r="K10" t="s">
        <v>8</v>
      </c>
      <c r="R10" s="9"/>
      <c r="S10" s="10"/>
      <c r="T10" s="22" t="s">
        <v>73</v>
      </c>
      <c r="U10" s="12"/>
      <c r="V10" s="13"/>
    </row>
    <row r="11" spans="1:26" x14ac:dyDescent="0.3">
      <c r="R11" s="9"/>
      <c r="S11" s="10"/>
    </row>
    <row r="12" spans="1:26" x14ac:dyDescent="0.3">
      <c r="R12" s="6" t="s">
        <v>46</v>
      </c>
      <c r="S12" s="8"/>
      <c r="T12" s="21" t="s">
        <v>41</v>
      </c>
      <c r="U12" s="7"/>
      <c r="V12" s="7" t="s">
        <v>43</v>
      </c>
      <c r="W12" s="8"/>
      <c r="X12" s="15" t="s">
        <v>45</v>
      </c>
      <c r="Y12" s="8"/>
    </row>
    <row r="13" spans="1:26" x14ac:dyDescent="0.3">
      <c r="N13" t="s">
        <v>40</v>
      </c>
      <c r="O13" t="s">
        <v>37</v>
      </c>
      <c r="P13" s="5">
        <v>36</v>
      </c>
      <c r="R13" s="9" t="s">
        <v>78</v>
      </c>
      <c r="S13" s="10" t="s">
        <v>18</v>
      </c>
      <c r="T13" t="s">
        <v>78</v>
      </c>
      <c r="V13" s="9" t="s">
        <v>78</v>
      </c>
      <c r="W13" s="10"/>
      <c r="X13" s="9" t="s">
        <v>78</v>
      </c>
      <c r="Y13" s="10"/>
    </row>
    <row r="14" spans="1:26" x14ac:dyDescent="0.3">
      <c r="N14" t="s">
        <v>40</v>
      </c>
      <c r="O14" t="s">
        <v>36</v>
      </c>
      <c r="P14" s="5">
        <v>40</v>
      </c>
      <c r="R14" s="9" t="s">
        <v>79</v>
      </c>
      <c r="S14" s="10" t="s">
        <v>19</v>
      </c>
      <c r="T14" t="s">
        <v>79</v>
      </c>
      <c r="V14" s="9" t="s">
        <v>79</v>
      </c>
      <c r="W14" s="10"/>
      <c r="X14" s="9" t="s">
        <v>79</v>
      </c>
      <c r="Y14" s="10"/>
    </row>
    <row r="15" spans="1:26" x14ac:dyDescent="0.3">
      <c r="R15" s="9" t="s">
        <v>80</v>
      </c>
      <c r="S15" s="10" t="s">
        <v>20</v>
      </c>
      <c r="T15" t="s">
        <v>80</v>
      </c>
      <c r="V15" s="9" t="s">
        <v>80</v>
      </c>
      <c r="W15" s="10"/>
      <c r="X15" s="9" t="s">
        <v>80</v>
      </c>
      <c r="Y15" s="10"/>
    </row>
    <row r="16" spans="1:26" x14ac:dyDescent="0.3">
      <c r="A16" t="s">
        <v>87</v>
      </c>
      <c r="B16">
        <v>64</v>
      </c>
      <c r="C16" s="4" t="s">
        <v>58</v>
      </c>
      <c r="D16" s="3" t="s">
        <v>16</v>
      </c>
      <c r="E16" s="1">
        <v>96</v>
      </c>
      <c r="F16" s="3" t="s">
        <v>16</v>
      </c>
      <c r="G16" s="1">
        <v>32</v>
      </c>
      <c r="H16" s="1" t="s">
        <v>16</v>
      </c>
      <c r="I16" s="1">
        <v>0</v>
      </c>
      <c r="J16" t="s">
        <v>9</v>
      </c>
      <c r="N16" t="s">
        <v>40</v>
      </c>
      <c r="O16" t="s">
        <v>39</v>
      </c>
      <c r="P16" s="5">
        <v>68</v>
      </c>
      <c r="R16" s="9" t="s">
        <v>81</v>
      </c>
      <c r="S16" s="10" t="s">
        <v>21</v>
      </c>
      <c r="T16" t="s">
        <v>81</v>
      </c>
      <c r="V16" s="9" t="s">
        <v>81</v>
      </c>
      <c r="W16" s="10"/>
      <c r="X16" s="9" t="s">
        <v>81</v>
      </c>
      <c r="Y16" s="10"/>
    </row>
    <row r="17" spans="1:25" x14ac:dyDescent="0.3">
      <c r="D17" s="3"/>
      <c r="G17" s="1"/>
      <c r="H17" s="1"/>
      <c r="N17" t="s">
        <v>40</v>
      </c>
      <c r="O17" t="s">
        <v>38</v>
      </c>
      <c r="P17" s="5">
        <v>92</v>
      </c>
      <c r="R17" s="9" t="s">
        <v>82</v>
      </c>
      <c r="S17" s="10" t="s">
        <v>22</v>
      </c>
      <c r="T17" t="s">
        <v>82</v>
      </c>
      <c r="V17" s="9" t="s">
        <v>82</v>
      </c>
      <c r="W17" s="10"/>
      <c r="X17" s="9" t="s">
        <v>82</v>
      </c>
      <c r="Y17" s="10"/>
    </row>
    <row r="18" spans="1:25" ht="13.5" customHeight="1" x14ac:dyDescent="0.3">
      <c r="B18">
        <v>68</v>
      </c>
      <c r="C18" t="s">
        <v>18</v>
      </c>
      <c r="D18" s="4" t="s">
        <v>14</v>
      </c>
      <c r="E18" s="1">
        <v>4</v>
      </c>
      <c r="F18" s="3" t="s">
        <v>16</v>
      </c>
      <c r="G18" s="1">
        <v>92</v>
      </c>
      <c r="H18" s="1" t="s">
        <v>16</v>
      </c>
      <c r="I18" s="1">
        <v>64</v>
      </c>
      <c r="J18">
        <v>250</v>
      </c>
      <c r="K18" t="s">
        <v>6</v>
      </c>
      <c r="R18" s="9" t="s">
        <v>83</v>
      </c>
      <c r="S18" s="10" t="s">
        <v>23</v>
      </c>
      <c r="T18" t="s">
        <v>83</v>
      </c>
      <c r="V18" s="9" t="s">
        <v>83</v>
      </c>
      <c r="W18" s="10"/>
      <c r="X18" s="9" t="s">
        <v>83</v>
      </c>
      <c r="Y18" s="10"/>
    </row>
    <row r="19" spans="1:25" x14ac:dyDescent="0.3">
      <c r="B19">
        <v>72</v>
      </c>
      <c r="C19" t="s">
        <v>19</v>
      </c>
      <c r="D19" s="4" t="s">
        <v>14</v>
      </c>
      <c r="E19" s="1">
        <v>4</v>
      </c>
      <c r="F19" s="3" t="s">
        <v>15</v>
      </c>
      <c r="G19" s="1">
        <v>4</v>
      </c>
      <c r="H19" s="1" t="s">
        <v>16</v>
      </c>
      <c r="I19" s="1">
        <v>64</v>
      </c>
      <c r="J19">
        <v>500</v>
      </c>
      <c r="K19" t="s">
        <v>6</v>
      </c>
      <c r="N19" t="s">
        <v>40</v>
      </c>
      <c r="O19" t="s">
        <v>65</v>
      </c>
      <c r="P19" s="5">
        <v>100</v>
      </c>
      <c r="R19" s="9" t="s">
        <v>84</v>
      </c>
      <c r="S19" s="10" t="s">
        <v>24</v>
      </c>
      <c r="T19" t="s">
        <v>84</v>
      </c>
      <c r="V19" s="9" t="s">
        <v>84</v>
      </c>
      <c r="W19" s="10"/>
      <c r="X19" s="9" t="s">
        <v>84</v>
      </c>
      <c r="Y19" s="10"/>
    </row>
    <row r="20" spans="1:25" x14ac:dyDescent="0.3">
      <c r="B20">
        <v>76</v>
      </c>
      <c r="C20" t="s">
        <v>20</v>
      </c>
      <c r="D20" s="4" t="s">
        <v>14</v>
      </c>
      <c r="E20" s="1">
        <v>4</v>
      </c>
      <c r="F20" s="3" t="s">
        <v>15</v>
      </c>
      <c r="G20" s="1">
        <v>4</v>
      </c>
      <c r="H20" s="1" t="s">
        <v>16</v>
      </c>
      <c r="I20" s="1">
        <v>64</v>
      </c>
      <c r="J20">
        <v>1</v>
      </c>
      <c r="K20" t="s">
        <v>7</v>
      </c>
      <c r="N20" t="s">
        <v>40</v>
      </c>
      <c r="O20" t="s">
        <v>64</v>
      </c>
      <c r="P20" s="5">
        <v>104</v>
      </c>
      <c r="R20" s="9"/>
      <c r="S20" s="10" t="s">
        <v>47</v>
      </c>
      <c r="U20" s="2" t="s">
        <v>42</v>
      </c>
      <c r="W20" s="10" t="s">
        <v>44</v>
      </c>
      <c r="X20" s="16"/>
      <c r="Y20" s="10" t="s">
        <v>47</v>
      </c>
    </row>
    <row r="21" spans="1:25" x14ac:dyDescent="0.3">
      <c r="B21">
        <v>80</v>
      </c>
      <c r="C21" t="s">
        <v>21</v>
      </c>
      <c r="D21" s="4" t="s">
        <v>14</v>
      </c>
      <c r="E21" s="1">
        <v>4</v>
      </c>
      <c r="F21" s="3" t="s">
        <v>15</v>
      </c>
      <c r="G21" s="1">
        <v>4</v>
      </c>
      <c r="H21" s="1" t="s">
        <v>16</v>
      </c>
      <c r="I21" s="1">
        <v>64</v>
      </c>
      <c r="J21">
        <v>2</v>
      </c>
      <c r="K21" t="s">
        <v>7</v>
      </c>
      <c r="L21" t="s">
        <v>8</v>
      </c>
      <c r="R21" s="9"/>
      <c r="S21" s="10"/>
      <c r="T21" t="s">
        <v>70</v>
      </c>
      <c r="U21" s="5"/>
      <c r="W21" s="10"/>
      <c r="X21" s="16"/>
      <c r="Y21" s="10"/>
    </row>
    <row r="22" spans="1:25" x14ac:dyDescent="0.3">
      <c r="B22">
        <v>84</v>
      </c>
      <c r="C22" t="s">
        <v>22</v>
      </c>
      <c r="D22" s="4" t="s">
        <v>14</v>
      </c>
      <c r="E22" s="1">
        <v>4</v>
      </c>
      <c r="F22" s="3" t="s">
        <v>15</v>
      </c>
      <c r="G22" s="1">
        <v>4</v>
      </c>
      <c r="H22" s="1" t="s">
        <v>16</v>
      </c>
      <c r="I22" s="1">
        <v>64</v>
      </c>
      <c r="J22">
        <v>5</v>
      </c>
      <c r="K22" t="s">
        <v>7</v>
      </c>
      <c r="R22" s="11"/>
      <c r="S22" s="14"/>
      <c r="T22" s="22" t="s">
        <v>71</v>
      </c>
      <c r="U22" s="12"/>
      <c r="V22" s="13"/>
      <c r="W22" s="14"/>
      <c r="X22" s="17"/>
      <c r="Y22" s="14"/>
    </row>
    <row r="23" spans="1:25" x14ac:dyDescent="0.3">
      <c r="B23">
        <v>88</v>
      </c>
      <c r="C23" t="s">
        <v>23</v>
      </c>
      <c r="D23" s="4" t="s">
        <v>14</v>
      </c>
      <c r="E23" s="1">
        <v>4</v>
      </c>
      <c r="F23" s="3" t="s">
        <v>15</v>
      </c>
      <c r="G23" s="1">
        <v>4</v>
      </c>
      <c r="H23" s="1" t="s">
        <v>16</v>
      </c>
      <c r="I23" s="1">
        <v>64</v>
      </c>
      <c r="J23">
        <v>10</v>
      </c>
      <c r="K23" t="s">
        <v>7</v>
      </c>
      <c r="R23" s="6" t="s">
        <v>46</v>
      </c>
      <c r="S23" s="8"/>
      <c r="T23" s="21" t="s">
        <v>41</v>
      </c>
      <c r="U23" s="7"/>
      <c r="V23" s="7" t="s">
        <v>43</v>
      </c>
      <c r="W23" s="8"/>
      <c r="X23" s="15" t="s">
        <v>45</v>
      </c>
      <c r="Y23" s="8"/>
    </row>
    <row r="24" spans="1:25" ht="12" customHeight="1" x14ac:dyDescent="0.3">
      <c r="B24">
        <v>92</v>
      </c>
      <c r="C24" t="s">
        <v>24</v>
      </c>
      <c r="D24" s="4" t="s">
        <v>16</v>
      </c>
      <c r="E24" s="1">
        <v>68</v>
      </c>
      <c r="F24" s="3" t="s">
        <v>15</v>
      </c>
      <c r="G24" s="1">
        <v>4</v>
      </c>
      <c r="H24" s="1" t="s">
        <v>16</v>
      </c>
      <c r="I24" s="1">
        <v>64</v>
      </c>
      <c r="J24">
        <v>20</v>
      </c>
      <c r="K24" t="s">
        <v>7</v>
      </c>
      <c r="R24" s="9" t="s">
        <v>85</v>
      </c>
      <c r="S24" s="23" t="s">
        <v>25</v>
      </c>
      <c r="T24" t="s">
        <v>85</v>
      </c>
      <c r="V24" s="9" t="s">
        <v>85</v>
      </c>
      <c r="W24" s="10"/>
      <c r="X24" s="9" t="s">
        <v>85</v>
      </c>
      <c r="Y24" s="10"/>
    </row>
    <row r="25" spans="1:25" x14ac:dyDescent="0.3">
      <c r="R25" s="9" t="s">
        <v>86</v>
      </c>
      <c r="S25" s="23" t="s">
        <v>26</v>
      </c>
      <c r="T25" t="s">
        <v>86</v>
      </c>
      <c r="V25" s="9" t="s">
        <v>86</v>
      </c>
      <c r="W25" s="10"/>
      <c r="X25" s="9" t="s">
        <v>86</v>
      </c>
      <c r="Y25" s="10"/>
    </row>
    <row r="26" spans="1:25" x14ac:dyDescent="0.3">
      <c r="R26" s="9"/>
      <c r="S26" s="10"/>
      <c r="V26"/>
      <c r="W26" s="10"/>
      <c r="X26" s="9"/>
      <c r="Y26" s="10"/>
    </row>
    <row r="27" spans="1:25" x14ac:dyDescent="0.3">
      <c r="N27" t="s">
        <v>62</v>
      </c>
      <c r="O27">
        <v>68</v>
      </c>
      <c r="R27" s="9"/>
      <c r="S27" s="10" t="s">
        <v>57</v>
      </c>
      <c r="U27" s="2" t="s">
        <v>42</v>
      </c>
      <c r="W27" s="10" t="s">
        <v>44</v>
      </c>
      <c r="X27" s="16"/>
      <c r="Y27" s="10" t="s">
        <v>57</v>
      </c>
    </row>
    <row r="28" spans="1:25" x14ac:dyDescent="0.3">
      <c r="A28" t="s">
        <v>13</v>
      </c>
      <c r="B28">
        <v>96</v>
      </c>
      <c r="C28" s="4" t="s">
        <v>58</v>
      </c>
      <c r="D28" s="3" t="s">
        <v>16</v>
      </c>
      <c r="E28" s="1">
        <v>32</v>
      </c>
      <c r="F28" s="3" t="s">
        <v>16</v>
      </c>
      <c r="G28" s="1">
        <v>64</v>
      </c>
      <c r="H28" s="1" t="s">
        <v>16</v>
      </c>
      <c r="I28" s="1">
        <v>0</v>
      </c>
      <c r="J28" t="s">
        <v>12</v>
      </c>
      <c r="N28" t="s">
        <v>63</v>
      </c>
      <c r="O28">
        <v>72</v>
      </c>
      <c r="R28" s="9"/>
      <c r="S28" s="10"/>
      <c r="T28" t="s">
        <v>68</v>
      </c>
      <c r="U28" s="5"/>
      <c r="W28" s="10"/>
      <c r="X28" s="16"/>
      <c r="Y28" s="10"/>
    </row>
    <row r="29" spans="1:25" x14ac:dyDescent="0.3">
      <c r="D29" s="3"/>
      <c r="G29" s="1"/>
      <c r="H29" s="1"/>
      <c r="R29" s="11"/>
      <c r="S29" s="14"/>
      <c r="T29" s="22" t="s">
        <v>69</v>
      </c>
      <c r="U29" s="12"/>
      <c r="V29" s="13"/>
      <c r="W29" s="14"/>
      <c r="X29" s="17"/>
      <c r="Y29" s="14"/>
    </row>
    <row r="30" spans="1:25" x14ac:dyDescent="0.3">
      <c r="B30">
        <v>100</v>
      </c>
      <c r="C30" t="s">
        <v>25</v>
      </c>
      <c r="D30" s="4" t="s">
        <v>14</v>
      </c>
      <c r="E30" s="1">
        <v>4</v>
      </c>
      <c r="F30" s="3" t="s">
        <v>16</v>
      </c>
      <c r="G30" s="1">
        <v>104</v>
      </c>
      <c r="H30" s="1" t="s">
        <v>16</v>
      </c>
      <c r="I30" s="1">
        <v>68</v>
      </c>
      <c r="J30" t="s">
        <v>10</v>
      </c>
      <c r="L30" t="s">
        <v>8</v>
      </c>
      <c r="R30" s="9"/>
      <c r="S30" s="10"/>
      <c r="T30" s="9"/>
      <c r="V30"/>
      <c r="W30" s="10"/>
      <c r="X30" s="9"/>
      <c r="Y30" s="10"/>
    </row>
    <row r="31" spans="1:25" x14ac:dyDescent="0.3">
      <c r="B31">
        <v>104</v>
      </c>
      <c r="C31" t="s">
        <v>26</v>
      </c>
      <c r="D31" s="4" t="s">
        <v>16</v>
      </c>
      <c r="E31" s="1">
        <v>100</v>
      </c>
      <c r="F31" s="3" t="s">
        <v>15</v>
      </c>
      <c r="G31" s="1">
        <v>4</v>
      </c>
      <c r="H31" s="1" t="s">
        <v>16</v>
      </c>
      <c r="I31" s="1">
        <v>68</v>
      </c>
      <c r="J31" t="s">
        <v>11</v>
      </c>
    </row>
    <row r="34" spans="3:21" x14ac:dyDescent="0.3">
      <c r="C34" s="4"/>
      <c r="D34" s="3"/>
      <c r="G34" s="1"/>
      <c r="H34" s="1"/>
    </row>
    <row r="35" spans="3:21" x14ac:dyDescent="0.3">
      <c r="D35" s="3"/>
      <c r="G35" s="1"/>
      <c r="H35" s="1"/>
      <c r="K35" t="s">
        <v>48</v>
      </c>
      <c r="L35">
        <v>36</v>
      </c>
    </row>
    <row r="36" spans="3:21" x14ac:dyDescent="0.3">
      <c r="F36" s="4"/>
      <c r="G36" s="1"/>
      <c r="H36" s="1"/>
      <c r="K36" t="s">
        <v>49</v>
      </c>
      <c r="L36">
        <v>40</v>
      </c>
    </row>
    <row r="37" spans="3:21" x14ac:dyDescent="0.3">
      <c r="G37" s="1"/>
      <c r="H37" s="1"/>
      <c r="K37" t="s">
        <v>50</v>
      </c>
      <c r="L37">
        <v>44</v>
      </c>
    </row>
    <row r="38" spans="3:21" x14ac:dyDescent="0.3">
      <c r="G38" s="1"/>
      <c r="H38" s="1"/>
      <c r="K38" t="s">
        <v>51</v>
      </c>
      <c r="L38">
        <v>48</v>
      </c>
      <c r="U38" s="9" t="s">
        <v>78</v>
      </c>
    </row>
    <row r="39" spans="3:21" x14ac:dyDescent="0.3">
      <c r="G39" s="1"/>
      <c r="H39" s="1"/>
      <c r="K39" t="s">
        <v>52</v>
      </c>
      <c r="L39">
        <v>52</v>
      </c>
      <c r="U39" s="9" t="s">
        <v>79</v>
      </c>
    </row>
    <row r="40" spans="3:21" x14ac:dyDescent="0.3">
      <c r="G40" s="1"/>
      <c r="H40" s="1"/>
      <c r="K40" t="s">
        <v>53</v>
      </c>
      <c r="L40">
        <v>56</v>
      </c>
      <c r="U40" s="9" t="s">
        <v>80</v>
      </c>
    </row>
    <row r="41" spans="3:21" x14ac:dyDescent="0.3">
      <c r="K41" t="s">
        <v>54</v>
      </c>
      <c r="L41">
        <v>60</v>
      </c>
      <c r="U41" s="9" t="s">
        <v>81</v>
      </c>
    </row>
    <row r="42" spans="3:21" x14ac:dyDescent="0.3">
      <c r="U42" s="9" t="s">
        <v>82</v>
      </c>
    </row>
    <row r="43" spans="3:21" x14ac:dyDescent="0.3">
      <c r="U43" s="9" t="s">
        <v>83</v>
      </c>
    </row>
    <row r="44" spans="3:21" x14ac:dyDescent="0.3">
      <c r="U44" s="9" t="s">
        <v>84</v>
      </c>
    </row>
  </sheetData>
  <mergeCells count="3">
    <mergeCell ref="D4:E4"/>
    <mergeCell ref="F4:G4"/>
    <mergeCell ref="T4:Z4"/>
  </mergeCells>
  <pageMargins left="0.7" right="0.7" top="0.75" bottom="0.75" header="0.3" footer="0.3"/>
  <pageSetup paperSize="9" orientation="portrait" r:id="rId1"/>
  <headerFooter>
    <oddFooter>&amp;L&amp;1#&amp;"Calibri"&amp;8&amp;K000000Classified as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8633-5BB0-4FFA-AB25-4F6B5B222844}">
  <dimension ref="A2:AC44"/>
  <sheetViews>
    <sheetView workbookViewId="0">
      <selection activeCell="E35" sqref="E35"/>
    </sheetView>
  </sheetViews>
  <sheetFormatPr defaultRowHeight="14.4" x14ac:dyDescent="0.3"/>
  <cols>
    <col min="1" max="1" width="7.33203125" customWidth="1"/>
    <col min="2" max="2" width="8.109375" customWidth="1"/>
    <col min="3" max="3" width="15" customWidth="1"/>
    <col min="4" max="4" width="4.44140625" style="4" customWidth="1"/>
    <col min="5" max="5" width="8.88671875" style="1" customWidth="1"/>
    <col min="6" max="6" width="3.6640625" style="3" customWidth="1"/>
    <col min="7" max="7" width="6.109375" customWidth="1"/>
    <col min="8" max="8" width="3.109375" customWidth="1"/>
    <col min="9" max="9" width="9.109375" style="1"/>
    <col min="11" max="11" width="10.5546875" customWidth="1"/>
    <col min="12" max="12" width="6.33203125" customWidth="1"/>
    <col min="15" max="15" width="18.33203125" customWidth="1"/>
    <col min="16" max="16" width="4.88671875" style="5" customWidth="1"/>
    <col min="17" max="17" width="4.44140625" customWidth="1"/>
    <col min="18" max="18" width="18.5546875" customWidth="1"/>
    <col min="19" max="19" width="14" style="2" customWidth="1"/>
    <col min="20" max="20" width="16.33203125" customWidth="1"/>
    <col min="21" max="21" width="8.88671875" style="2" customWidth="1"/>
    <col min="22" max="22" width="13.33203125" style="2" customWidth="1"/>
    <col min="23" max="23" width="8.109375" style="2" customWidth="1"/>
    <col min="24" max="24" width="14.5546875" style="2" customWidth="1"/>
    <col min="25" max="25" width="16.88671875" style="2" customWidth="1"/>
    <col min="26" max="29" width="9.109375" style="2"/>
  </cols>
  <sheetData>
    <row r="2" spans="1:26" x14ac:dyDescent="0.3">
      <c r="R2" s="6" t="s">
        <v>46</v>
      </c>
      <c r="S2" s="8"/>
      <c r="T2" s="21" t="s">
        <v>41</v>
      </c>
      <c r="U2" s="7"/>
      <c r="V2" s="7" t="s">
        <v>43</v>
      </c>
      <c r="W2" s="8"/>
      <c r="X2" s="15" t="s">
        <v>45</v>
      </c>
      <c r="Y2" s="8"/>
    </row>
    <row r="3" spans="1:26" x14ac:dyDescent="0.3">
      <c r="N3" t="s">
        <v>40</v>
      </c>
      <c r="O3" t="s">
        <v>55</v>
      </c>
      <c r="P3" s="5">
        <v>0</v>
      </c>
      <c r="R3" s="9"/>
      <c r="S3" s="10"/>
    </row>
    <row r="4" spans="1:26" x14ac:dyDescent="0.3">
      <c r="B4" s="1" t="s">
        <v>17</v>
      </c>
      <c r="C4" s="20" t="s">
        <v>0</v>
      </c>
      <c r="D4" s="49" t="s">
        <v>1</v>
      </c>
      <c r="E4" s="50"/>
      <c r="F4" s="49" t="s">
        <v>2</v>
      </c>
      <c r="G4" s="50"/>
      <c r="H4" s="18"/>
      <c r="I4" s="19" t="s">
        <v>3</v>
      </c>
      <c r="J4" t="s">
        <v>27</v>
      </c>
      <c r="N4" t="s">
        <v>40</v>
      </c>
      <c r="O4" t="s">
        <v>33</v>
      </c>
      <c r="P4" s="5">
        <v>32</v>
      </c>
      <c r="R4" s="9" t="s">
        <v>77</v>
      </c>
      <c r="S4" s="10" t="s">
        <v>47</v>
      </c>
      <c r="T4" s="51" t="s">
        <v>56</v>
      </c>
      <c r="U4" s="51"/>
      <c r="V4" s="51"/>
      <c r="W4" s="51"/>
      <c r="X4" s="51"/>
      <c r="Y4" s="51"/>
      <c r="Z4" s="52"/>
    </row>
    <row r="5" spans="1:26" x14ac:dyDescent="0.3">
      <c r="B5">
        <v>0</v>
      </c>
      <c r="C5">
        <v>32</v>
      </c>
      <c r="E5" s="1" t="s">
        <v>4</v>
      </c>
      <c r="G5" t="s">
        <v>4</v>
      </c>
      <c r="I5" s="1" t="s">
        <v>4</v>
      </c>
      <c r="N5" t="s">
        <v>40</v>
      </c>
      <c r="O5" t="s">
        <v>34</v>
      </c>
      <c r="P5" s="5">
        <v>64</v>
      </c>
      <c r="R5" s="9" t="s">
        <v>74</v>
      </c>
      <c r="S5" s="10" t="s">
        <v>42</v>
      </c>
      <c r="T5" t="s">
        <v>74</v>
      </c>
      <c r="V5" t="s">
        <v>74</v>
      </c>
      <c r="X5" t="s">
        <v>74</v>
      </c>
      <c r="Y5" s="2" t="s">
        <v>59</v>
      </c>
    </row>
    <row r="6" spans="1:26" x14ac:dyDescent="0.3">
      <c r="N6" t="s">
        <v>40</v>
      </c>
      <c r="O6" t="s">
        <v>35</v>
      </c>
      <c r="P6" s="5">
        <v>96</v>
      </c>
      <c r="R6" s="9" t="s">
        <v>75</v>
      </c>
      <c r="S6" s="10" t="s">
        <v>42</v>
      </c>
      <c r="T6" t="s">
        <v>75</v>
      </c>
      <c r="V6" t="s">
        <v>75</v>
      </c>
      <c r="X6" t="s">
        <v>75</v>
      </c>
      <c r="Y6" s="2" t="s">
        <v>59</v>
      </c>
    </row>
    <row r="7" spans="1:26" x14ac:dyDescent="0.3">
      <c r="A7" t="s">
        <v>5</v>
      </c>
      <c r="B7">
        <v>32</v>
      </c>
      <c r="C7" s="4" t="s">
        <v>58</v>
      </c>
      <c r="D7" s="3" t="s">
        <v>16</v>
      </c>
      <c r="E7" s="1">
        <v>64</v>
      </c>
      <c r="F7" s="3" t="s">
        <v>16</v>
      </c>
      <c r="G7" s="1">
        <v>96</v>
      </c>
      <c r="H7" s="1" t="s">
        <v>16</v>
      </c>
      <c r="I7" s="1">
        <v>0</v>
      </c>
      <c r="J7" t="s">
        <v>88</v>
      </c>
      <c r="N7" t="s">
        <v>40</v>
      </c>
      <c r="O7" t="s">
        <v>108</v>
      </c>
      <c r="P7" s="5">
        <v>128</v>
      </c>
      <c r="R7" s="9" t="s">
        <v>76</v>
      </c>
      <c r="S7" s="10" t="s">
        <v>42</v>
      </c>
      <c r="T7" t="s">
        <v>76</v>
      </c>
      <c r="V7" t="s">
        <v>76</v>
      </c>
      <c r="X7" t="s">
        <v>76</v>
      </c>
      <c r="Y7" s="2" t="s">
        <v>59</v>
      </c>
    </row>
    <row r="8" spans="1:26" ht="15" customHeight="1" x14ac:dyDescent="0.3">
      <c r="D8" s="3"/>
      <c r="G8" s="1"/>
      <c r="H8" s="1"/>
      <c r="N8" t="s">
        <v>40</v>
      </c>
      <c r="O8" t="s">
        <v>109</v>
      </c>
      <c r="P8" s="5">
        <v>160</v>
      </c>
      <c r="R8" s="9" t="s">
        <v>106</v>
      </c>
      <c r="S8" s="10" t="s">
        <v>42</v>
      </c>
      <c r="T8" t="s">
        <v>106</v>
      </c>
      <c r="V8" t="s">
        <v>106</v>
      </c>
      <c r="X8" t="s">
        <v>106</v>
      </c>
      <c r="Y8" s="2" t="s">
        <v>59</v>
      </c>
    </row>
    <row r="9" spans="1:26" x14ac:dyDescent="0.3">
      <c r="B9">
        <v>36</v>
      </c>
      <c r="C9" t="s">
        <v>25</v>
      </c>
      <c r="D9" s="4" t="s">
        <v>14</v>
      </c>
      <c r="E9" s="1">
        <v>4</v>
      </c>
      <c r="F9" s="3" t="s">
        <v>16</v>
      </c>
      <c r="G9" s="1">
        <v>60</v>
      </c>
      <c r="H9" s="1" t="s">
        <v>16</v>
      </c>
      <c r="I9" s="1">
        <v>32</v>
      </c>
      <c r="J9" t="s">
        <v>10</v>
      </c>
      <c r="R9" s="9" t="s">
        <v>107</v>
      </c>
      <c r="S9" s="10" t="s">
        <v>42</v>
      </c>
      <c r="T9" t="s">
        <v>107</v>
      </c>
      <c r="V9" t="s">
        <v>107</v>
      </c>
      <c r="X9" t="s">
        <v>107</v>
      </c>
      <c r="Y9" s="2" t="s">
        <v>59</v>
      </c>
    </row>
    <row r="10" spans="1:26" x14ac:dyDescent="0.3">
      <c r="B10">
        <v>40</v>
      </c>
      <c r="C10" t="s">
        <v>26</v>
      </c>
      <c r="D10" s="4" t="s">
        <v>16</v>
      </c>
      <c r="E10" s="1">
        <v>36</v>
      </c>
      <c r="F10" s="3" t="s">
        <v>15</v>
      </c>
      <c r="G10" s="1">
        <v>4</v>
      </c>
      <c r="H10" s="1" t="s">
        <v>16</v>
      </c>
      <c r="I10" s="1">
        <v>32</v>
      </c>
      <c r="J10" t="s">
        <v>11</v>
      </c>
      <c r="K10" t="s">
        <v>8</v>
      </c>
      <c r="N10" t="s">
        <v>40</v>
      </c>
      <c r="O10" t="s">
        <v>66</v>
      </c>
      <c r="P10" s="5">
        <v>160</v>
      </c>
      <c r="R10" s="9"/>
      <c r="S10" s="10"/>
    </row>
    <row r="11" spans="1:26" x14ac:dyDescent="0.3">
      <c r="N11" t="s">
        <v>40</v>
      </c>
      <c r="O11" t="s">
        <v>67</v>
      </c>
      <c r="P11" s="5">
        <v>32</v>
      </c>
      <c r="R11" s="9"/>
      <c r="S11" s="10"/>
      <c r="U11" s="2" t="s">
        <v>60</v>
      </c>
      <c r="W11" s="2" t="s">
        <v>61</v>
      </c>
    </row>
    <row r="12" spans="1:26" x14ac:dyDescent="0.3">
      <c r="T12" t="s">
        <v>72</v>
      </c>
      <c r="U12" s="5"/>
    </row>
    <row r="13" spans="1:26" x14ac:dyDescent="0.3">
      <c r="N13" t="s">
        <v>40</v>
      </c>
      <c r="O13" t="s">
        <v>37</v>
      </c>
      <c r="P13" s="5">
        <v>36</v>
      </c>
      <c r="T13" s="22" t="s">
        <v>73</v>
      </c>
      <c r="U13" s="12"/>
      <c r="V13" s="13"/>
    </row>
    <row r="14" spans="1:26" x14ac:dyDescent="0.3">
      <c r="N14" t="s">
        <v>40</v>
      </c>
      <c r="O14" t="s">
        <v>36</v>
      </c>
      <c r="P14" s="5">
        <v>40</v>
      </c>
    </row>
    <row r="16" spans="1:26" x14ac:dyDescent="0.3">
      <c r="A16" t="s">
        <v>87</v>
      </c>
      <c r="B16">
        <v>64</v>
      </c>
      <c r="C16" s="4" t="s">
        <v>58</v>
      </c>
      <c r="D16" s="3" t="s">
        <v>16</v>
      </c>
      <c r="E16" s="1">
        <v>96</v>
      </c>
      <c r="F16" s="3" t="s">
        <v>16</v>
      </c>
      <c r="G16" s="1">
        <v>32</v>
      </c>
      <c r="H16" s="1" t="s">
        <v>16</v>
      </c>
      <c r="I16" s="1">
        <v>0</v>
      </c>
      <c r="J16" t="s">
        <v>9</v>
      </c>
      <c r="N16" t="s">
        <v>40</v>
      </c>
      <c r="O16" t="s">
        <v>39</v>
      </c>
      <c r="P16" s="5">
        <v>68</v>
      </c>
      <c r="R16" s="6" t="s">
        <v>46</v>
      </c>
      <c r="S16" s="8"/>
      <c r="T16" s="21" t="s">
        <v>41</v>
      </c>
      <c r="U16" s="7"/>
      <c r="V16" s="7" t="s">
        <v>43</v>
      </c>
      <c r="W16" s="8"/>
      <c r="X16" s="15" t="s">
        <v>45</v>
      </c>
      <c r="Y16" s="8"/>
    </row>
    <row r="17" spans="1:25" x14ac:dyDescent="0.3">
      <c r="D17" s="3"/>
      <c r="G17" s="1"/>
      <c r="H17" s="1"/>
      <c r="N17" t="s">
        <v>40</v>
      </c>
      <c r="O17" t="s">
        <v>38</v>
      </c>
      <c r="P17" s="5">
        <v>92</v>
      </c>
      <c r="R17" s="9" t="s">
        <v>78</v>
      </c>
      <c r="S17" s="10" t="s">
        <v>18</v>
      </c>
      <c r="T17" t="s">
        <v>78</v>
      </c>
      <c r="V17" s="9" t="s">
        <v>78</v>
      </c>
      <c r="W17" s="10"/>
      <c r="X17" s="9" t="s">
        <v>78</v>
      </c>
      <c r="Y17" s="10"/>
    </row>
    <row r="18" spans="1:25" ht="13.5" customHeight="1" x14ac:dyDescent="0.3">
      <c r="B18">
        <v>68</v>
      </c>
      <c r="C18" t="s">
        <v>18</v>
      </c>
      <c r="D18" s="4" t="s">
        <v>14</v>
      </c>
      <c r="E18" s="1">
        <v>4</v>
      </c>
      <c r="F18" s="3" t="s">
        <v>16</v>
      </c>
      <c r="G18" s="1">
        <v>92</v>
      </c>
      <c r="H18" s="1" t="s">
        <v>16</v>
      </c>
      <c r="I18" s="1">
        <v>64</v>
      </c>
      <c r="J18">
        <v>250</v>
      </c>
      <c r="K18" t="s">
        <v>6</v>
      </c>
      <c r="R18" s="9" t="s">
        <v>79</v>
      </c>
      <c r="S18" s="10" t="s">
        <v>19</v>
      </c>
      <c r="T18" t="s">
        <v>79</v>
      </c>
      <c r="V18" s="9" t="s">
        <v>79</v>
      </c>
      <c r="W18" s="10"/>
      <c r="X18" s="9" t="s">
        <v>79</v>
      </c>
      <c r="Y18" s="10"/>
    </row>
    <row r="19" spans="1:25" x14ac:dyDescent="0.3">
      <c r="B19">
        <v>72</v>
      </c>
      <c r="C19" t="s">
        <v>19</v>
      </c>
      <c r="D19" s="4" t="s">
        <v>14</v>
      </c>
      <c r="E19" s="1">
        <v>4</v>
      </c>
      <c r="F19" s="3" t="s">
        <v>15</v>
      </c>
      <c r="G19" s="1">
        <v>4</v>
      </c>
      <c r="H19" s="1" t="s">
        <v>16</v>
      </c>
      <c r="I19" s="1">
        <v>64</v>
      </c>
      <c r="J19">
        <v>500</v>
      </c>
      <c r="K19" t="s">
        <v>6</v>
      </c>
      <c r="N19" t="s">
        <v>40</v>
      </c>
      <c r="O19" t="s">
        <v>65</v>
      </c>
      <c r="P19" s="5">
        <v>100</v>
      </c>
      <c r="R19" s="9" t="s">
        <v>80</v>
      </c>
      <c r="S19" s="10" t="s">
        <v>20</v>
      </c>
      <c r="T19" t="s">
        <v>80</v>
      </c>
      <c r="V19" s="9" t="s">
        <v>80</v>
      </c>
      <c r="W19" s="10"/>
      <c r="X19" s="9" t="s">
        <v>80</v>
      </c>
      <c r="Y19" s="10"/>
    </row>
    <row r="20" spans="1:25" x14ac:dyDescent="0.3">
      <c r="B20">
        <v>76</v>
      </c>
      <c r="C20" t="s">
        <v>20</v>
      </c>
      <c r="D20" s="4" t="s">
        <v>14</v>
      </c>
      <c r="E20" s="1">
        <v>4</v>
      </c>
      <c r="F20" s="3" t="s">
        <v>15</v>
      </c>
      <c r="G20" s="1">
        <v>4</v>
      </c>
      <c r="H20" s="1" t="s">
        <v>16</v>
      </c>
      <c r="I20" s="1">
        <v>64</v>
      </c>
      <c r="J20">
        <v>1</v>
      </c>
      <c r="K20" t="s">
        <v>7</v>
      </c>
      <c r="N20" t="s">
        <v>40</v>
      </c>
      <c r="O20" t="s">
        <v>64</v>
      </c>
      <c r="P20" s="5">
        <v>104</v>
      </c>
      <c r="R20" s="9" t="s">
        <v>81</v>
      </c>
      <c r="S20" s="10" t="s">
        <v>21</v>
      </c>
      <c r="T20" t="s">
        <v>81</v>
      </c>
      <c r="V20" s="9" t="s">
        <v>81</v>
      </c>
      <c r="W20" s="10"/>
      <c r="X20" s="9" t="s">
        <v>81</v>
      </c>
      <c r="Y20" s="10"/>
    </row>
    <row r="21" spans="1:25" x14ac:dyDescent="0.3">
      <c r="B21">
        <v>80</v>
      </c>
      <c r="C21" t="s">
        <v>21</v>
      </c>
      <c r="D21" s="4" t="s">
        <v>14</v>
      </c>
      <c r="E21" s="1">
        <v>4</v>
      </c>
      <c r="F21" s="3" t="s">
        <v>15</v>
      </c>
      <c r="G21" s="1">
        <v>4</v>
      </c>
      <c r="H21" s="1" t="s">
        <v>16</v>
      </c>
      <c r="I21" s="1">
        <v>64</v>
      </c>
      <c r="J21">
        <v>2</v>
      </c>
      <c r="K21" t="s">
        <v>7</v>
      </c>
      <c r="L21" t="s">
        <v>8</v>
      </c>
      <c r="R21" s="9" t="s">
        <v>82</v>
      </c>
      <c r="S21" s="10" t="s">
        <v>22</v>
      </c>
      <c r="T21" t="s">
        <v>82</v>
      </c>
      <c r="V21" s="9" t="s">
        <v>82</v>
      </c>
      <c r="W21" s="10"/>
      <c r="X21" s="9" t="s">
        <v>82</v>
      </c>
      <c r="Y21" s="10"/>
    </row>
    <row r="22" spans="1:25" x14ac:dyDescent="0.3">
      <c r="B22">
        <v>84</v>
      </c>
      <c r="C22" t="s">
        <v>22</v>
      </c>
      <c r="D22" s="4" t="s">
        <v>14</v>
      </c>
      <c r="E22" s="1">
        <v>4</v>
      </c>
      <c r="F22" s="3" t="s">
        <v>15</v>
      </c>
      <c r="G22" s="1">
        <v>4</v>
      </c>
      <c r="H22" s="1" t="s">
        <v>16</v>
      </c>
      <c r="I22" s="1">
        <v>64</v>
      </c>
      <c r="J22">
        <v>5</v>
      </c>
      <c r="K22" t="s">
        <v>7</v>
      </c>
      <c r="R22" s="9" t="s">
        <v>83</v>
      </c>
      <c r="S22" s="10" t="s">
        <v>23</v>
      </c>
      <c r="T22" t="s">
        <v>83</v>
      </c>
      <c r="V22" s="9" t="s">
        <v>83</v>
      </c>
      <c r="W22" s="10"/>
      <c r="X22" s="9" t="s">
        <v>83</v>
      </c>
      <c r="Y22" s="10"/>
    </row>
    <row r="23" spans="1:25" x14ac:dyDescent="0.3">
      <c r="B23">
        <v>88</v>
      </c>
      <c r="C23" t="s">
        <v>23</v>
      </c>
      <c r="D23" s="4" t="s">
        <v>14</v>
      </c>
      <c r="E23" s="1">
        <v>4</v>
      </c>
      <c r="F23" s="3" t="s">
        <v>15</v>
      </c>
      <c r="G23" s="1">
        <v>4</v>
      </c>
      <c r="H23" s="1" t="s">
        <v>16</v>
      </c>
      <c r="I23" s="1">
        <v>64</v>
      </c>
      <c r="J23">
        <v>10</v>
      </c>
      <c r="K23" t="s">
        <v>7</v>
      </c>
      <c r="R23" s="9" t="s">
        <v>84</v>
      </c>
      <c r="S23" s="10" t="s">
        <v>24</v>
      </c>
      <c r="T23" t="s">
        <v>84</v>
      </c>
      <c r="V23" s="9" t="s">
        <v>84</v>
      </c>
      <c r="W23" s="10"/>
      <c r="X23" s="9" t="s">
        <v>84</v>
      </c>
      <c r="Y23" s="10"/>
    </row>
    <row r="24" spans="1:25" ht="12" customHeight="1" x14ac:dyDescent="0.3">
      <c r="B24">
        <v>92</v>
      </c>
      <c r="C24" t="s">
        <v>24</v>
      </c>
      <c r="D24" s="4" t="s">
        <v>16</v>
      </c>
      <c r="E24" s="1">
        <v>68</v>
      </c>
      <c r="F24" s="3" t="s">
        <v>15</v>
      </c>
      <c r="G24" s="1">
        <v>4</v>
      </c>
      <c r="H24" s="1" t="s">
        <v>16</v>
      </c>
      <c r="I24" s="1">
        <v>64</v>
      </c>
      <c r="J24">
        <v>20</v>
      </c>
      <c r="K24" t="s">
        <v>7</v>
      </c>
      <c r="R24" s="9"/>
      <c r="S24" s="10" t="s">
        <v>47</v>
      </c>
      <c r="U24" s="2" t="s">
        <v>42</v>
      </c>
      <c r="W24" s="10" t="s">
        <v>44</v>
      </c>
      <c r="X24" s="16"/>
      <c r="Y24" s="10" t="s">
        <v>47</v>
      </c>
    </row>
    <row r="25" spans="1:25" x14ac:dyDescent="0.3">
      <c r="R25" s="9"/>
      <c r="S25" s="10"/>
      <c r="T25" t="s">
        <v>70</v>
      </c>
      <c r="U25" s="5"/>
      <c r="W25" s="10"/>
      <c r="X25" s="16"/>
      <c r="Y25" s="10"/>
    </row>
    <row r="26" spans="1:25" x14ac:dyDescent="0.3">
      <c r="R26" s="11"/>
      <c r="S26" s="14"/>
      <c r="T26" s="22" t="s">
        <v>71</v>
      </c>
      <c r="U26" s="12"/>
      <c r="V26" s="13"/>
      <c r="W26" s="14"/>
      <c r="X26" s="17"/>
      <c r="Y26" s="14"/>
    </row>
    <row r="27" spans="1:25" x14ac:dyDescent="0.3">
      <c r="N27" t="s">
        <v>62</v>
      </c>
      <c r="O27">
        <v>68</v>
      </c>
    </row>
    <row r="28" spans="1:25" x14ac:dyDescent="0.3">
      <c r="A28" t="s">
        <v>13</v>
      </c>
      <c r="B28">
        <v>96</v>
      </c>
      <c r="C28" s="4" t="s">
        <v>58</v>
      </c>
      <c r="D28" s="3" t="s">
        <v>16</v>
      </c>
      <c r="E28" s="1">
        <v>32</v>
      </c>
      <c r="F28" s="3" t="s">
        <v>16</v>
      </c>
      <c r="G28" s="1">
        <v>64</v>
      </c>
      <c r="H28" s="1" t="s">
        <v>16</v>
      </c>
      <c r="I28" s="1">
        <v>0</v>
      </c>
      <c r="J28" t="s">
        <v>12</v>
      </c>
      <c r="N28" t="s">
        <v>63</v>
      </c>
      <c r="O28">
        <v>72</v>
      </c>
    </row>
    <row r="29" spans="1:25" x14ac:dyDescent="0.3">
      <c r="D29" s="3"/>
      <c r="G29" s="1"/>
      <c r="H29" s="1"/>
    </row>
    <row r="30" spans="1:25" x14ac:dyDescent="0.3">
      <c r="B30">
        <v>100</v>
      </c>
      <c r="C30" t="s">
        <v>25</v>
      </c>
      <c r="D30" s="4" t="s">
        <v>14</v>
      </c>
      <c r="E30" s="1">
        <v>4</v>
      </c>
      <c r="F30" s="3" t="s">
        <v>16</v>
      </c>
      <c r="G30" s="1">
        <v>104</v>
      </c>
      <c r="H30" s="1" t="s">
        <v>16</v>
      </c>
      <c r="I30" s="1">
        <v>68</v>
      </c>
      <c r="J30" t="s">
        <v>10</v>
      </c>
      <c r="L30" t="s">
        <v>8</v>
      </c>
      <c r="R30" s="9"/>
      <c r="S30" s="10"/>
      <c r="T30" s="9"/>
      <c r="V30"/>
      <c r="W30" s="10"/>
      <c r="X30" s="9"/>
      <c r="Y30" s="10"/>
    </row>
    <row r="31" spans="1:25" x14ac:dyDescent="0.3">
      <c r="B31">
        <v>104</v>
      </c>
      <c r="C31" t="s">
        <v>26</v>
      </c>
      <c r="D31" s="4" t="s">
        <v>16</v>
      </c>
      <c r="E31" s="1">
        <v>100</v>
      </c>
      <c r="F31" s="3" t="s">
        <v>15</v>
      </c>
      <c r="G31" s="1">
        <v>4</v>
      </c>
      <c r="H31" s="1" t="s">
        <v>16</v>
      </c>
      <c r="I31" s="1">
        <v>68</v>
      </c>
      <c r="J31" t="s">
        <v>11</v>
      </c>
      <c r="R31" s="6" t="s">
        <v>46</v>
      </c>
      <c r="S31" s="8"/>
      <c r="T31" s="21" t="s">
        <v>41</v>
      </c>
      <c r="U31" s="7"/>
      <c r="V31" s="7" t="s">
        <v>43</v>
      </c>
      <c r="W31" s="8"/>
      <c r="X31" s="15" t="s">
        <v>45</v>
      </c>
      <c r="Y31" s="8"/>
    </row>
    <row r="32" spans="1:25" x14ac:dyDescent="0.3">
      <c r="R32" s="9" t="s">
        <v>85</v>
      </c>
      <c r="S32" s="23" t="s">
        <v>25</v>
      </c>
      <c r="T32" t="s">
        <v>85</v>
      </c>
      <c r="V32" s="9" t="s">
        <v>85</v>
      </c>
      <c r="W32" s="10"/>
      <c r="X32" s="9" t="s">
        <v>85</v>
      </c>
      <c r="Y32" s="10"/>
    </row>
    <row r="33" spans="3:25" x14ac:dyDescent="0.3">
      <c r="R33" s="9" t="s">
        <v>86</v>
      </c>
      <c r="S33" s="23" t="s">
        <v>26</v>
      </c>
      <c r="T33" t="s">
        <v>86</v>
      </c>
      <c r="V33" s="9" t="s">
        <v>86</v>
      </c>
      <c r="W33" s="10"/>
      <c r="X33" s="9" t="s">
        <v>86</v>
      </c>
      <c r="Y33" s="10"/>
    </row>
    <row r="34" spans="3:25" x14ac:dyDescent="0.3">
      <c r="C34" s="4"/>
      <c r="D34" s="3"/>
      <c r="G34" s="1"/>
      <c r="H34" s="1"/>
      <c r="R34" s="9"/>
      <c r="S34" s="10"/>
      <c r="V34"/>
      <c r="W34" s="10"/>
      <c r="X34" s="9"/>
      <c r="Y34" s="10"/>
    </row>
    <row r="35" spans="3:25" x14ac:dyDescent="0.3">
      <c r="D35" s="3"/>
      <c r="G35" s="1"/>
      <c r="H35" s="1"/>
      <c r="K35" t="s">
        <v>48</v>
      </c>
      <c r="L35">
        <v>36</v>
      </c>
      <c r="N35" t="s">
        <v>110</v>
      </c>
      <c r="O35">
        <v>164</v>
      </c>
      <c r="R35" s="9"/>
      <c r="S35" s="10" t="s">
        <v>57</v>
      </c>
      <c r="U35" s="2" t="s">
        <v>42</v>
      </c>
      <c r="W35" s="10" t="s">
        <v>44</v>
      </c>
      <c r="X35" s="16"/>
      <c r="Y35" s="10" t="s">
        <v>57</v>
      </c>
    </row>
    <row r="36" spans="3:25" x14ac:dyDescent="0.3">
      <c r="F36" s="4"/>
      <c r="G36" s="1"/>
      <c r="H36" s="1"/>
      <c r="K36" t="s">
        <v>49</v>
      </c>
      <c r="L36">
        <v>40</v>
      </c>
      <c r="N36" t="s">
        <v>111</v>
      </c>
      <c r="O36">
        <v>168</v>
      </c>
      <c r="R36" s="9"/>
      <c r="S36" s="10"/>
      <c r="T36" t="s">
        <v>68</v>
      </c>
      <c r="U36" s="5"/>
      <c r="W36" s="10"/>
      <c r="X36" s="16"/>
      <c r="Y36" s="10"/>
    </row>
    <row r="37" spans="3:25" x14ac:dyDescent="0.3">
      <c r="G37" s="1"/>
      <c r="H37" s="1"/>
      <c r="K37" t="s">
        <v>50</v>
      </c>
      <c r="L37">
        <v>44</v>
      </c>
      <c r="N37" t="s">
        <v>112</v>
      </c>
      <c r="O37">
        <v>172</v>
      </c>
      <c r="R37" s="11"/>
      <c r="S37" s="14"/>
      <c r="T37" s="22" t="s">
        <v>69</v>
      </c>
      <c r="U37" s="12"/>
      <c r="V37" s="13"/>
      <c r="W37" s="14"/>
      <c r="X37" s="17"/>
      <c r="Y37" s="14"/>
    </row>
    <row r="38" spans="3:25" x14ac:dyDescent="0.3">
      <c r="G38" s="1"/>
      <c r="H38" s="1"/>
      <c r="K38" t="s">
        <v>51</v>
      </c>
      <c r="L38">
        <v>48</v>
      </c>
      <c r="N38" t="s">
        <v>113</v>
      </c>
      <c r="O38">
        <v>176</v>
      </c>
      <c r="U38" s="9" t="s">
        <v>78</v>
      </c>
    </row>
    <row r="39" spans="3:25" x14ac:dyDescent="0.3">
      <c r="G39" s="1"/>
      <c r="H39" s="1"/>
      <c r="K39" t="s">
        <v>52</v>
      </c>
      <c r="L39">
        <v>52</v>
      </c>
      <c r="N39" t="s">
        <v>114</v>
      </c>
      <c r="O39">
        <v>180</v>
      </c>
      <c r="U39" s="9" t="s">
        <v>79</v>
      </c>
    </row>
    <row r="40" spans="3:25" x14ac:dyDescent="0.3">
      <c r="G40" s="1"/>
      <c r="H40" s="1"/>
      <c r="K40" t="s">
        <v>53</v>
      </c>
      <c r="L40">
        <v>56</v>
      </c>
      <c r="N40" t="s">
        <v>115</v>
      </c>
      <c r="O40">
        <v>184</v>
      </c>
      <c r="U40" s="9" t="s">
        <v>80</v>
      </c>
    </row>
    <row r="41" spans="3:25" x14ac:dyDescent="0.3">
      <c r="K41" t="s">
        <v>54</v>
      </c>
      <c r="L41">
        <v>60</v>
      </c>
      <c r="N41" t="s">
        <v>116</v>
      </c>
      <c r="O41">
        <v>188</v>
      </c>
      <c r="U41" s="9" t="s">
        <v>81</v>
      </c>
    </row>
    <row r="42" spans="3:25" x14ac:dyDescent="0.3">
      <c r="U42" s="9" t="s">
        <v>82</v>
      </c>
    </row>
    <row r="43" spans="3:25" x14ac:dyDescent="0.3">
      <c r="N43" t="s">
        <v>117</v>
      </c>
      <c r="O43">
        <v>132</v>
      </c>
      <c r="U43" s="9" t="s">
        <v>83</v>
      </c>
    </row>
    <row r="44" spans="3:25" x14ac:dyDescent="0.3">
      <c r="N44" t="s">
        <v>118</v>
      </c>
      <c r="O44">
        <v>136</v>
      </c>
      <c r="U44" s="9" t="s">
        <v>84</v>
      </c>
    </row>
  </sheetData>
  <mergeCells count="3">
    <mergeCell ref="D4:E4"/>
    <mergeCell ref="F4:G4"/>
    <mergeCell ref="T4:Z4"/>
  </mergeCells>
  <phoneticPr fontId="1" type="noConversion"/>
  <pageMargins left="0.7" right="0.7" top="0.75" bottom="0.75" header="0.3" footer="0.3"/>
  <pageSetup paperSize="9" orientation="portrait" r:id="rId1"/>
  <headerFooter>
    <oddFooter>&amp;L&amp;1#&amp;"Calibri"&amp;8&amp;K000000Classified as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F362-1500-415B-8742-4DD6E6C5F9F7}">
  <dimension ref="B2:R33"/>
  <sheetViews>
    <sheetView topLeftCell="A10" workbookViewId="0">
      <selection activeCell="J34" sqref="J34"/>
    </sheetView>
  </sheetViews>
  <sheetFormatPr defaultColWidth="9.109375" defaultRowHeight="14.4" x14ac:dyDescent="0.3"/>
  <cols>
    <col min="1" max="1" width="3.33203125" style="5" customWidth="1"/>
    <col min="2" max="2" width="9.109375" style="5"/>
    <col min="3" max="3" width="25.109375" style="5" customWidth="1"/>
    <col min="4" max="4" width="15.44140625" style="5" customWidth="1"/>
    <col min="5" max="5" width="15.77734375" style="5" customWidth="1"/>
    <col min="6" max="6" width="21.33203125" style="5" customWidth="1"/>
    <col min="7" max="7" width="21.44140625" style="5" customWidth="1"/>
    <col min="8" max="8" width="14" style="5" customWidth="1"/>
    <col min="9" max="9" width="13.109375" style="5" customWidth="1"/>
    <col min="10" max="10" width="19.109375" style="5" customWidth="1"/>
    <col min="11" max="11" width="14.109375" style="5" customWidth="1"/>
    <col min="12" max="13" width="12.33203125" style="5" customWidth="1"/>
    <col min="14" max="16384" width="9.109375" style="5"/>
  </cols>
  <sheetData>
    <row r="2" spans="2:18" x14ac:dyDescent="0.3">
      <c r="C2" s="5" t="s">
        <v>145</v>
      </c>
      <c r="D2" s="5" t="s">
        <v>119</v>
      </c>
      <c r="E2" s="5" t="s">
        <v>120</v>
      </c>
      <c r="F2" s="5" t="s">
        <v>121</v>
      </c>
      <c r="G2" s="5" t="s">
        <v>122</v>
      </c>
      <c r="H2" s="5" t="s">
        <v>126</v>
      </c>
      <c r="I2" s="5" t="s">
        <v>127</v>
      </c>
      <c r="J2" s="5" t="s">
        <v>128</v>
      </c>
      <c r="K2" s="5" t="s">
        <v>129</v>
      </c>
      <c r="L2" s="5" t="s">
        <v>130</v>
      </c>
      <c r="M2" s="5" t="s">
        <v>131</v>
      </c>
      <c r="N2" s="5" t="s">
        <v>132</v>
      </c>
      <c r="O2" s="5" t="s">
        <v>133</v>
      </c>
      <c r="P2" s="5" t="s">
        <v>134</v>
      </c>
      <c r="Q2" s="5" t="s">
        <v>135</v>
      </c>
      <c r="R2" s="5" t="s">
        <v>136</v>
      </c>
    </row>
    <row r="3" spans="2:18" x14ac:dyDescent="0.3">
      <c r="B3" s="5" t="s">
        <v>144</v>
      </c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</row>
    <row r="4" spans="2:18" x14ac:dyDescent="0.3">
      <c r="B4" s="5" t="s">
        <v>33</v>
      </c>
      <c r="C4" s="5">
        <v>16</v>
      </c>
      <c r="D4" s="5">
        <v>17</v>
      </c>
      <c r="E4" s="5">
        <v>18</v>
      </c>
      <c r="F4" s="5">
        <v>19</v>
      </c>
      <c r="G4" s="5">
        <v>20</v>
      </c>
      <c r="H4" s="5">
        <v>21</v>
      </c>
      <c r="I4" s="5">
        <v>22</v>
      </c>
      <c r="J4" s="5">
        <v>23</v>
      </c>
      <c r="K4" s="5">
        <v>24</v>
      </c>
      <c r="L4" s="5">
        <v>25</v>
      </c>
      <c r="M4" s="5">
        <v>26</v>
      </c>
      <c r="N4" s="5">
        <v>27</v>
      </c>
      <c r="O4" s="5">
        <v>28</v>
      </c>
      <c r="P4" s="5">
        <v>29</v>
      </c>
      <c r="Q4" s="5">
        <v>30</v>
      </c>
      <c r="R4" s="5">
        <v>31</v>
      </c>
    </row>
    <row r="5" spans="2:18" x14ac:dyDescent="0.3">
      <c r="B5" s="5" t="s">
        <v>34</v>
      </c>
      <c r="C5" s="5">
        <v>32</v>
      </c>
      <c r="D5" s="5">
        <v>33</v>
      </c>
      <c r="E5" s="5">
        <v>34</v>
      </c>
      <c r="F5" s="5">
        <v>35</v>
      </c>
      <c r="G5" s="5">
        <v>36</v>
      </c>
      <c r="H5" s="5">
        <v>37</v>
      </c>
      <c r="I5" s="5">
        <v>38</v>
      </c>
      <c r="J5" s="5">
        <v>39</v>
      </c>
      <c r="K5" s="5">
        <v>40</v>
      </c>
      <c r="L5" s="5">
        <v>41</v>
      </c>
      <c r="M5" s="5">
        <v>42</v>
      </c>
      <c r="N5" s="5">
        <v>43</v>
      </c>
      <c r="O5" s="5">
        <v>44</v>
      </c>
      <c r="P5" s="5">
        <v>45</v>
      </c>
      <c r="Q5" s="5">
        <v>46</v>
      </c>
      <c r="R5" s="5">
        <v>47</v>
      </c>
    </row>
    <row r="6" spans="2:18" x14ac:dyDescent="0.3">
      <c r="B6" s="5" t="s">
        <v>35</v>
      </c>
      <c r="C6" s="5">
        <v>48</v>
      </c>
      <c r="D6" s="5">
        <v>49</v>
      </c>
      <c r="E6" s="5">
        <v>50</v>
      </c>
      <c r="F6" s="5">
        <v>51</v>
      </c>
      <c r="G6" s="5">
        <v>52</v>
      </c>
      <c r="H6" s="5">
        <v>53</v>
      </c>
      <c r="I6" s="5">
        <v>54</v>
      </c>
      <c r="J6" s="5">
        <v>55</v>
      </c>
      <c r="K6" s="5">
        <v>56</v>
      </c>
      <c r="L6" s="5">
        <v>57</v>
      </c>
      <c r="M6" s="5">
        <v>58</v>
      </c>
      <c r="N6" s="5">
        <v>59</v>
      </c>
      <c r="O6" s="5">
        <v>60</v>
      </c>
      <c r="P6" s="5">
        <v>61</v>
      </c>
      <c r="Q6" s="5">
        <v>62</v>
      </c>
      <c r="R6" s="5">
        <v>63</v>
      </c>
    </row>
    <row r="7" spans="2:18" x14ac:dyDescent="0.3">
      <c r="B7" s="5" t="s">
        <v>108</v>
      </c>
      <c r="C7" s="5">
        <v>64</v>
      </c>
      <c r="D7" s="5">
        <v>65</v>
      </c>
      <c r="E7" s="5">
        <v>66</v>
      </c>
      <c r="F7" s="5">
        <v>67</v>
      </c>
      <c r="G7" s="5">
        <v>68</v>
      </c>
      <c r="H7" s="5">
        <v>69</v>
      </c>
      <c r="I7" s="5">
        <v>70</v>
      </c>
      <c r="J7" s="5">
        <v>71</v>
      </c>
      <c r="K7" s="5">
        <v>72</v>
      </c>
      <c r="L7" s="5">
        <v>73</v>
      </c>
      <c r="M7" s="5">
        <v>74</v>
      </c>
      <c r="N7" s="5">
        <v>75</v>
      </c>
      <c r="O7" s="5">
        <v>76</v>
      </c>
      <c r="P7" s="5">
        <v>77</v>
      </c>
      <c r="Q7" s="5">
        <v>78</v>
      </c>
      <c r="R7" s="5">
        <v>79</v>
      </c>
    </row>
    <row r="8" spans="2:18" x14ac:dyDescent="0.3">
      <c r="B8" s="5" t="s">
        <v>109</v>
      </c>
      <c r="C8" s="5">
        <v>80</v>
      </c>
      <c r="D8" s="5">
        <v>81</v>
      </c>
      <c r="E8" s="5">
        <v>82</v>
      </c>
      <c r="F8" s="5">
        <v>83</v>
      </c>
      <c r="G8" s="5">
        <v>84</v>
      </c>
      <c r="H8" s="5">
        <v>85</v>
      </c>
      <c r="I8" s="5">
        <v>86</v>
      </c>
      <c r="J8" s="5">
        <v>87</v>
      </c>
      <c r="K8" s="5">
        <v>88</v>
      </c>
      <c r="L8" s="5">
        <v>89</v>
      </c>
      <c r="M8" s="5">
        <v>90</v>
      </c>
      <c r="N8" s="5">
        <v>91</v>
      </c>
      <c r="O8" s="5">
        <v>92</v>
      </c>
      <c r="P8" s="5">
        <v>93</v>
      </c>
      <c r="Q8" s="5">
        <v>94</v>
      </c>
      <c r="R8" s="5">
        <v>95</v>
      </c>
    </row>
    <row r="9" spans="2:18" x14ac:dyDescent="0.3">
      <c r="B9" s="5" t="s">
        <v>123</v>
      </c>
      <c r="C9" s="5">
        <v>96</v>
      </c>
      <c r="D9" s="5">
        <v>97</v>
      </c>
      <c r="E9" s="5">
        <v>98</v>
      </c>
      <c r="F9" s="5">
        <v>99</v>
      </c>
      <c r="G9" s="5">
        <v>100</v>
      </c>
      <c r="H9" s="5">
        <v>101</v>
      </c>
      <c r="I9" s="5">
        <v>102</v>
      </c>
      <c r="J9" s="5">
        <v>103</v>
      </c>
      <c r="K9" s="5">
        <v>104</v>
      </c>
      <c r="L9" s="5">
        <v>105</v>
      </c>
      <c r="M9" s="5">
        <v>106</v>
      </c>
      <c r="N9" s="5">
        <v>107</v>
      </c>
      <c r="O9" s="5">
        <v>108</v>
      </c>
      <c r="P9" s="5">
        <v>109</v>
      </c>
      <c r="Q9" s="5">
        <v>110</v>
      </c>
      <c r="R9" s="5">
        <v>111</v>
      </c>
    </row>
    <row r="10" spans="2:18" x14ac:dyDescent="0.3">
      <c r="B10" s="5" t="s">
        <v>124</v>
      </c>
      <c r="C10" s="5">
        <v>112</v>
      </c>
      <c r="D10" s="5">
        <v>113</v>
      </c>
      <c r="E10" s="5">
        <v>114</v>
      </c>
      <c r="F10" s="5">
        <v>115</v>
      </c>
      <c r="G10" s="5">
        <v>116</v>
      </c>
      <c r="H10" s="5">
        <v>117</v>
      </c>
      <c r="I10" s="5">
        <v>118</v>
      </c>
      <c r="J10" s="5">
        <v>119</v>
      </c>
      <c r="K10" s="5">
        <v>120</v>
      </c>
      <c r="L10" s="5">
        <v>121</v>
      </c>
      <c r="M10" s="5">
        <v>122</v>
      </c>
      <c r="N10" s="5">
        <v>123</v>
      </c>
      <c r="O10" s="5">
        <v>124</v>
      </c>
      <c r="P10" s="5">
        <v>125</v>
      </c>
      <c r="Q10" s="5">
        <v>126</v>
      </c>
      <c r="R10" s="5">
        <v>127</v>
      </c>
    </row>
    <row r="11" spans="2:18" x14ac:dyDescent="0.3">
      <c r="B11" s="5" t="s">
        <v>125</v>
      </c>
      <c r="C11" s="5">
        <v>128</v>
      </c>
      <c r="D11" s="5">
        <v>129</v>
      </c>
      <c r="E11" s="5">
        <v>130</v>
      </c>
      <c r="F11" s="5">
        <v>131</v>
      </c>
      <c r="G11" s="5">
        <v>132</v>
      </c>
      <c r="H11" s="5">
        <v>133</v>
      </c>
      <c r="I11" s="5">
        <v>134</v>
      </c>
      <c r="J11" s="5">
        <v>135</v>
      </c>
      <c r="K11" s="5">
        <v>136</v>
      </c>
      <c r="L11" s="5">
        <v>137</v>
      </c>
      <c r="M11" s="5">
        <v>138</v>
      </c>
      <c r="N11" s="5">
        <v>139</v>
      </c>
      <c r="O11" s="5">
        <v>140</v>
      </c>
      <c r="P11" s="5">
        <v>141</v>
      </c>
      <c r="Q11" s="5">
        <v>142</v>
      </c>
      <c r="R11" s="5">
        <v>143</v>
      </c>
    </row>
    <row r="12" spans="2:18" x14ac:dyDescent="0.3">
      <c r="B12" s="5" t="s">
        <v>137</v>
      </c>
      <c r="C12" s="5">
        <v>144</v>
      </c>
      <c r="D12" s="5">
        <v>145</v>
      </c>
      <c r="E12" s="5">
        <v>146</v>
      </c>
      <c r="F12" s="5">
        <v>147</v>
      </c>
      <c r="G12" s="5">
        <v>148</v>
      </c>
      <c r="H12" s="5">
        <v>149</v>
      </c>
      <c r="I12" s="5">
        <v>150</v>
      </c>
      <c r="J12" s="5">
        <v>151</v>
      </c>
      <c r="K12" s="5">
        <v>152</v>
      </c>
      <c r="L12" s="5">
        <v>153</v>
      </c>
      <c r="M12" s="5">
        <v>154</v>
      </c>
      <c r="N12" s="5">
        <v>155</v>
      </c>
      <c r="O12" s="5">
        <v>156</v>
      </c>
      <c r="P12" s="5">
        <v>157</v>
      </c>
      <c r="Q12" s="5">
        <v>158</v>
      </c>
      <c r="R12" s="5">
        <v>159</v>
      </c>
    </row>
    <row r="13" spans="2:18" x14ac:dyDescent="0.3">
      <c r="B13" s="5" t="s">
        <v>138</v>
      </c>
      <c r="C13" s="5">
        <v>160</v>
      </c>
      <c r="D13" s="5">
        <v>161</v>
      </c>
      <c r="E13" s="5">
        <v>162</v>
      </c>
      <c r="F13" s="5">
        <v>163</v>
      </c>
      <c r="G13" s="5">
        <v>164</v>
      </c>
      <c r="H13" s="5">
        <v>165</v>
      </c>
      <c r="I13" s="5">
        <v>166</v>
      </c>
      <c r="J13" s="5">
        <v>167</v>
      </c>
      <c r="K13" s="5">
        <v>168</v>
      </c>
      <c r="L13" s="5">
        <v>169</v>
      </c>
      <c r="M13" s="5">
        <v>170</v>
      </c>
      <c r="N13" s="5">
        <v>171</v>
      </c>
      <c r="O13" s="5">
        <v>172</v>
      </c>
      <c r="P13" s="5">
        <v>173</v>
      </c>
      <c r="Q13" s="5">
        <v>174</v>
      </c>
      <c r="R13" s="5">
        <v>175</v>
      </c>
    </row>
    <row r="14" spans="2:18" x14ac:dyDescent="0.3">
      <c r="B14" s="5" t="s">
        <v>139</v>
      </c>
      <c r="C14" s="5">
        <v>176</v>
      </c>
      <c r="D14" s="5">
        <v>177</v>
      </c>
      <c r="E14" s="5">
        <v>178</v>
      </c>
      <c r="F14" s="5">
        <v>179</v>
      </c>
      <c r="G14" s="5">
        <v>180</v>
      </c>
      <c r="H14" s="5">
        <v>181</v>
      </c>
      <c r="I14" s="5">
        <v>182</v>
      </c>
      <c r="J14" s="5">
        <v>183</v>
      </c>
      <c r="K14" s="5">
        <v>184</v>
      </c>
      <c r="L14" s="5">
        <v>185</v>
      </c>
      <c r="M14" s="5">
        <v>186</v>
      </c>
      <c r="N14" s="5">
        <v>187</v>
      </c>
      <c r="O14" s="5">
        <v>188</v>
      </c>
      <c r="P14" s="5">
        <v>189</v>
      </c>
      <c r="Q14" s="5">
        <v>190</v>
      </c>
      <c r="R14" s="5">
        <v>191</v>
      </c>
    </row>
    <row r="15" spans="2:18" x14ac:dyDescent="0.3">
      <c r="B15" s="5" t="s">
        <v>140</v>
      </c>
      <c r="C15" s="5">
        <v>192</v>
      </c>
      <c r="D15" s="5">
        <v>193</v>
      </c>
      <c r="E15" s="5">
        <v>194</v>
      </c>
      <c r="F15" s="5">
        <v>195</v>
      </c>
      <c r="G15" s="5">
        <v>196</v>
      </c>
      <c r="H15" s="5">
        <v>197</v>
      </c>
      <c r="I15" s="5">
        <v>198</v>
      </c>
      <c r="J15" s="5">
        <v>199</v>
      </c>
      <c r="K15" s="5">
        <v>200</v>
      </c>
      <c r="L15" s="5">
        <v>201</v>
      </c>
      <c r="M15" s="5">
        <v>202</v>
      </c>
      <c r="N15" s="5">
        <v>203</v>
      </c>
      <c r="O15" s="5">
        <v>204</v>
      </c>
      <c r="P15" s="5">
        <v>205</v>
      </c>
      <c r="Q15" s="5">
        <v>206</v>
      </c>
      <c r="R15" s="5">
        <v>207</v>
      </c>
    </row>
    <row r="16" spans="2:18" x14ac:dyDescent="0.3">
      <c r="B16" s="5" t="s">
        <v>141</v>
      </c>
      <c r="C16" s="5">
        <v>208</v>
      </c>
      <c r="D16" s="5">
        <v>209</v>
      </c>
      <c r="E16" s="5">
        <v>210</v>
      </c>
      <c r="F16" s="5">
        <v>211</v>
      </c>
      <c r="G16" s="5">
        <v>212</v>
      </c>
      <c r="H16" s="5">
        <v>213</v>
      </c>
      <c r="I16" s="5">
        <v>214</v>
      </c>
      <c r="J16" s="5">
        <v>215</v>
      </c>
      <c r="K16" s="5">
        <v>216</v>
      </c>
      <c r="L16" s="5">
        <v>217</v>
      </c>
      <c r="M16" s="5">
        <v>218</v>
      </c>
      <c r="N16" s="5">
        <v>219</v>
      </c>
      <c r="O16" s="5">
        <v>220</v>
      </c>
      <c r="P16" s="5">
        <v>221</v>
      </c>
      <c r="Q16" s="5">
        <v>222</v>
      </c>
      <c r="R16" s="5">
        <v>223</v>
      </c>
    </row>
    <row r="17" spans="2:18" x14ac:dyDescent="0.3">
      <c r="B17" s="5" t="s">
        <v>142</v>
      </c>
      <c r="C17" s="5">
        <v>224</v>
      </c>
      <c r="D17" s="5">
        <v>225</v>
      </c>
      <c r="E17" s="5">
        <v>226</v>
      </c>
      <c r="F17" s="5">
        <v>227</v>
      </c>
      <c r="G17" s="5">
        <v>228</v>
      </c>
      <c r="H17" s="5">
        <v>229</v>
      </c>
      <c r="I17" s="5">
        <v>230</v>
      </c>
      <c r="J17" s="5">
        <v>231</v>
      </c>
      <c r="K17" s="5">
        <v>232</v>
      </c>
      <c r="L17" s="5">
        <v>233</v>
      </c>
      <c r="M17" s="5">
        <v>234</v>
      </c>
      <c r="N17" s="5">
        <v>235</v>
      </c>
      <c r="O17" s="5">
        <v>236</v>
      </c>
      <c r="P17" s="5">
        <v>237</v>
      </c>
      <c r="Q17" s="5">
        <v>238</v>
      </c>
      <c r="R17" s="5">
        <v>239</v>
      </c>
    </row>
    <row r="18" spans="2:18" x14ac:dyDescent="0.3">
      <c r="B18" s="5" t="s">
        <v>143</v>
      </c>
      <c r="C18" s="5">
        <v>240</v>
      </c>
      <c r="D18" s="5">
        <v>241</v>
      </c>
      <c r="E18" s="5">
        <v>242</v>
      </c>
      <c r="F18" s="5">
        <v>243</v>
      </c>
      <c r="G18" s="5">
        <v>244</v>
      </c>
      <c r="H18" s="5">
        <v>245</v>
      </c>
      <c r="I18" s="5">
        <v>246</v>
      </c>
      <c r="J18" s="5">
        <v>247</v>
      </c>
      <c r="K18" s="5">
        <v>248</v>
      </c>
      <c r="L18" s="5">
        <v>249</v>
      </c>
      <c r="M18" s="5">
        <v>250</v>
      </c>
      <c r="N18" s="5">
        <v>251</v>
      </c>
      <c r="O18" s="5">
        <v>252</v>
      </c>
      <c r="P18" s="5">
        <v>253</v>
      </c>
      <c r="Q18" s="5">
        <v>254</v>
      </c>
      <c r="R18" s="5">
        <v>255</v>
      </c>
    </row>
    <row r="20" spans="2:18" ht="15" thickBot="1" x14ac:dyDescent="0.35">
      <c r="B20" s="5" t="s">
        <v>144</v>
      </c>
      <c r="C20" s="5" t="s">
        <v>153</v>
      </c>
    </row>
    <row r="21" spans="2:18" ht="15" thickBot="1" x14ac:dyDescent="0.35">
      <c r="B21" s="5" t="s">
        <v>33</v>
      </c>
      <c r="C21" s="5" t="s">
        <v>148</v>
      </c>
      <c r="D21" s="5" t="s">
        <v>167</v>
      </c>
      <c r="E21" s="5" t="s">
        <v>168</v>
      </c>
      <c r="F21" s="25" t="s">
        <v>214</v>
      </c>
      <c r="G21" s="25" t="s">
        <v>213</v>
      </c>
    </row>
    <row r="22" spans="2:18" ht="15" thickBot="1" x14ac:dyDescent="0.35">
      <c r="B22" s="5" t="s">
        <v>34</v>
      </c>
      <c r="C22" s="5" t="s">
        <v>149</v>
      </c>
      <c r="D22" s="5" t="s">
        <v>215</v>
      </c>
      <c r="E22" s="5" t="s">
        <v>216</v>
      </c>
      <c r="F22" s="5" t="s">
        <v>217</v>
      </c>
      <c r="G22" s="5" t="s">
        <v>226</v>
      </c>
      <c r="H22" s="5" t="s">
        <v>225</v>
      </c>
      <c r="I22" s="5" t="s">
        <v>224</v>
      </c>
      <c r="J22" s="5" t="s">
        <v>223</v>
      </c>
      <c r="K22" s="5" t="s">
        <v>222</v>
      </c>
      <c r="L22" s="5" t="s">
        <v>221</v>
      </c>
      <c r="M22" s="5" t="s">
        <v>220</v>
      </c>
      <c r="N22" s="5" t="s">
        <v>218</v>
      </c>
      <c r="O22" s="5" t="s">
        <v>219</v>
      </c>
      <c r="P22" s="5" t="s">
        <v>212</v>
      </c>
      <c r="Q22" s="31" t="s">
        <v>152</v>
      </c>
      <c r="R22" s="31"/>
    </row>
    <row r="23" spans="2:18" ht="15" thickBot="1" x14ac:dyDescent="0.35">
      <c r="B23" s="5" t="s">
        <v>35</v>
      </c>
      <c r="C23" s="5" t="s">
        <v>150</v>
      </c>
      <c r="D23" s="5" t="s">
        <v>162</v>
      </c>
      <c r="E23" s="5" t="s">
        <v>163</v>
      </c>
      <c r="F23" s="25" t="s">
        <v>164</v>
      </c>
      <c r="G23" s="25" t="s">
        <v>165</v>
      </c>
    </row>
    <row r="24" spans="2:18" ht="15" thickBot="1" x14ac:dyDescent="0.35">
      <c r="B24" s="5" t="s">
        <v>108</v>
      </c>
      <c r="C24" s="5" t="s">
        <v>147</v>
      </c>
      <c r="D24" s="5" t="s">
        <v>154</v>
      </c>
      <c r="E24" s="5" t="s">
        <v>155</v>
      </c>
      <c r="F24" s="5" t="s">
        <v>173</v>
      </c>
    </row>
    <row r="25" spans="2:18" ht="15" thickBot="1" x14ac:dyDescent="0.35">
      <c r="B25" s="5" t="s">
        <v>109</v>
      </c>
      <c r="C25" s="5" t="s">
        <v>146</v>
      </c>
      <c r="D25" s="5" t="s">
        <v>156</v>
      </c>
      <c r="E25" s="5" t="s">
        <v>157</v>
      </c>
      <c r="F25" s="5" t="s">
        <v>158</v>
      </c>
      <c r="G25" s="5" t="s">
        <v>159</v>
      </c>
      <c r="H25" s="5" t="s">
        <v>160</v>
      </c>
      <c r="I25" s="5" t="s">
        <v>161</v>
      </c>
      <c r="J25" s="25" t="s">
        <v>151</v>
      </c>
    </row>
    <row r="26" spans="2:18" ht="15" thickBot="1" x14ac:dyDescent="0.35">
      <c r="B26" s="5" t="s">
        <v>123</v>
      </c>
      <c r="C26" s="5" t="s">
        <v>169</v>
      </c>
      <c r="D26" s="5" t="s">
        <v>171</v>
      </c>
      <c r="E26" s="5" t="s">
        <v>172</v>
      </c>
      <c r="F26" s="25" t="s">
        <v>170</v>
      </c>
      <c r="G26" s="5" t="s">
        <v>200</v>
      </c>
      <c r="H26" s="5" t="s">
        <v>201</v>
      </c>
      <c r="I26" s="5" t="s">
        <v>202</v>
      </c>
      <c r="J26" s="25" t="s">
        <v>203</v>
      </c>
    </row>
    <row r="27" spans="2:18" ht="15" thickBot="1" x14ac:dyDescent="0.35">
      <c r="B27" s="5" t="s">
        <v>124</v>
      </c>
      <c r="D27" s="5" t="s">
        <v>207</v>
      </c>
      <c r="E27" s="5" t="s">
        <v>204</v>
      </c>
      <c r="F27" s="5" t="s">
        <v>205</v>
      </c>
      <c r="G27" s="5" t="s">
        <v>206</v>
      </c>
      <c r="H27" s="5" t="s">
        <v>209</v>
      </c>
      <c r="I27" s="5" t="s">
        <v>210</v>
      </c>
      <c r="J27" s="5" t="s">
        <v>211</v>
      </c>
      <c r="K27" s="5" t="s">
        <v>212</v>
      </c>
      <c r="L27" s="31" t="s">
        <v>208</v>
      </c>
    </row>
    <row r="28" spans="2:18" ht="15" thickBot="1" x14ac:dyDescent="0.35">
      <c r="B28" s="5" t="s">
        <v>125</v>
      </c>
      <c r="C28" s="5" t="s">
        <v>227</v>
      </c>
      <c r="D28" s="5" t="s">
        <v>230</v>
      </c>
      <c r="E28" s="5" t="s">
        <v>228</v>
      </c>
      <c r="F28" s="25" t="s">
        <v>229</v>
      </c>
    </row>
    <row r="32" spans="2:18" ht="15" thickBot="1" x14ac:dyDescent="0.35"/>
    <row r="33" spans="6:6" ht="15" thickBot="1" x14ac:dyDescent="0.35">
      <c r="F33" s="25" t="s">
        <v>166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&amp;L&amp;1#&amp;"Calibri"&amp;8&amp;K000000Classified as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8A86-94AC-4BD0-BF91-0EBCDE3F4854}">
  <dimension ref="A5:X23"/>
  <sheetViews>
    <sheetView workbookViewId="0">
      <selection activeCell="G23" sqref="G23"/>
    </sheetView>
  </sheetViews>
  <sheetFormatPr defaultRowHeight="14.4" x14ac:dyDescent="0.3"/>
  <cols>
    <col min="2" max="2" width="17.88671875" customWidth="1"/>
    <col min="4" max="4" width="9.109375" style="3"/>
  </cols>
  <sheetData>
    <row r="5" spans="1:24" x14ac:dyDescent="0.3">
      <c r="B5" t="s">
        <v>89</v>
      </c>
      <c r="D5" t="s">
        <v>90</v>
      </c>
    </row>
    <row r="6" spans="1:24" x14ac:dyDescent="0.3"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T6">
        <v>16</v>
      </c>
      <c r="U6">
        <v>17</v>
      </c>
    </row>
    <row r="8" spans="1:24" x14ac:dyDescent="0.3">
      <c r="B8">
        <v>1</v>
      </c>
    </row>
    <row r="9" spans="1:24" x14ac:dyDescent="0.3">
      <c r="B9">
        <v>2</v>
      </c>
    </row>
    <row r="10" spans="1:24" x14ac:dyDescent="0.3">
      <c r="A10" t="s">
        <v>91</v>
      </c>
      <c r="B10">
        <v>3</v>
      </c>
      <c r="D10" s="3" t="s">
        <v>92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1</v>
      </c>
      <c r="L10">
        <v>2</v>
      </c>
      <c r="M10">
        <v>3</v>
      </c>
      <c r="N10">
        <v>4</v>
      </c>
      <c r="O10">
        <v>5</v>
      </c>
      <c r="P10">
        <v>6</v>
      </c>
      <c r="Q10">
        <v>1</v>
      </c>
      <c r="R10">
        <v>2</v>
      </c>
      <c r="U10" t="s">
        <v>93</v>
      </c>
      <c r="V10" s="24" t="s">
        <v>94</v>
      </c>
      <c r="W10" t="s">
        <v>95</v>
      </c>
      <c r="X10" t="s">
        <v>96</v>
      </c>
    </row>
    <row r="11" spans="1:24" x14ac:dyDescent="0.3">
      <c r="A11" t="s">
        <v>97</v>
      </c>
      <c r="B11">
        <v>4</v>
      </c>
      <c r="D11" s="3" t="s">
        <v>98</v>
      </c>
      <c r="E11">
        <v>0</v>
      </c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1</v>
      </c>
      <c r="M11">
        <v>2</v>
      </c>
      <c r="N11">
        <v>3</v>
      </c>
      <c r="O11">
        <v>4</v>
      </c>
      <c r="P11">
        <v>5</v>
      </c>
      <c r="Q11">
        <v>6</v>
      </c>
      <c r="R11">
        <v>1</v>
      </c>
    </row>
    <row r="12" spans="1:24" x14ac:dyDescent="0.3">
      <c r="A12" t="s">
        <v>99</v>
      </c>
      <c r="B12">
        <v>5</v>
      </c>
      <c r="D12" s="3" t="s">
        <v>100</v>
      </c>
      <c r="E12">
        <v>0</v>
      </c>
      <c r="F12">
        <v>0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1</v>
      </c>
      <c r="N12">
        <v>2</v>
      </c>
      <c r="O12">
        <v>3</v>
      </c>
      <c r="P12">
        <v>4</v>
      </c>
      <c r="Q12">
        <v>5</v>
      </c>
      <c r="R12">
        <v>6</v>
      </c>
      <c r="U12" t="s">
        <v>101</v>
      </c>
      <c r="V12" s="24" t="s">
        <v>94</v>
      </c>
    </row>
    <row r="13" spans="1:24" x14ac:dyDescent="0.3">
      <c r="A13" t="s">
        <v>102</v>
      </c>
      <c r="B13">
        <v>6</v>
      </c>
      <c r="D13" s="3" t="s">
        <v>103</v>
      </c>
      <c r="E13">
        <v>0</v>
      </c>
      <c r="F13">
        <v>0</v>
      </c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1</v>
      </c>
      <c r="O13">
        <v>2</v>
      </c>
      <c r="P13">
        <v>3</v>
      </c>
      <c r="Q13">
        <v>4</v>
      </c>
      <c r="R13">
        <v>5</v>
      </c>
    </row>
    <row r="14" spans="1:24" x14ac:dyDescent="0.3">
      <c r="B14">
        <v>7</v>
      </c>
      <c r="H14" t="s">
        <v>104</v>
      </c>
      <c r="O14" t="s">
        <v>104</v>
      </c>
    </row>
    <row r="17" spans="8:18" x14ac:dyDescent="0.3">
      <c r="H17">
        <f>H10-H13</f>
        <v>3</v>
      </c>
      <c r="I17">
        <f t="shared" ref="I17:R17" si="0">I10-I13</f>
        <v>3</v>
      </c>
      <c r="J17">
        <f t="shared" si="0"/>
        <v>3</v>
      </c>
      <c r="K17">
        <f t="shared" si="0"/>
        <v>-3</v>
      </c>
      <c r="L17">
        <f t="shared" si="0"/>
        <v>-3</v>
      </c>
      <c r="M17">
        <f t="shared" si="0"/>
        <v>-3</v>
      </c>
      <c r="N17">
        <f t="shared" si="0"/>
        <v>3</v>
      </c>
      <c r="O17">
        <f t="shared" si="0"/>
        <v>3</v>
      </c>
      <c r="P17">
        <f t="shared" si="0"/>
        <v>3</v>
      </c>
      <c r="Q17">
        <f t="shared" si="0"/>
        <v>-3</v>
      </c>
      <c r="R17">
        <f t="shared" si="0"/>
        <v>-3</v>
      </c>
    </row>
    <row r="23" spans="8:18" x14ac:dyDescent="0.3">
      <c r="Q23" t="s">
        <v>105</v>
      </c>
      <c r="R23" t="s">
        <v>16</v>
      </c>
    </row>
  </sheetData>
  <pageMargins left="0.7" right="0.7" top="0.75" bottom="0.75" header="0.3" footer="0.3"/>
  <pageSetup paperSize="9" orientation="portrait" r:id="rId1"/>
  <headerFooter>
    <oddFooter>&amp;L&amp;1#&amp;"Calibri"&amp;8&amp;K000000Classified as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1F82-8C98-40FD-BFA6-89650728085B}">
  <dimension ref="B2:W31"/>
  <sheetViews>
    <sheetView workbookViewId="0">
      <selection activeCell="L4" sqref="L4"/>
    </sheetView>
  </sheetViews>
  <sheetFormatPr defaultRowHeight="14.4" x14ac:dyDescent="0.3"/>
  <cols>
    <col min="1" max="1" width="2.6640625" customWidth="1"/>
    <col min="2" max="2" width="4.44140625" style="28" customWidth="1"/>
    <col min="4" max="5" width="5.6640625" style="26" customWidth="1"/>
    <col min="6" max="6" width="7.44140625" style="32" customWidth="1"/>
    <col min="7" max="7" width="6.44140625" style="5" customWidth="1"/>
    <col min="8" max="8" width="6.6640625" style="30" customWidth="1"/>
    <col min="10" max="10" width="9.109375" style="3"/>
    <col min="11" max="11" width="9.109375" style="33"/>
  </cols>
  <sheetData>
    <row r="2" spans="3:23" x14ac:dyDescent="0.3">
      <c r="J2" s="3" t="s">
        <v>231</v>
      </c>
      <c r="K2" s="33">
        <v>47</v>
      </c>
      <c r="L2" t="s">
        <v>183</v>
      </c>
    </row>
    <row r="3" spans="3:23" x14ac:dyDescent="0.3">
      <c r="D3" s="26">
        <v>22</v>
      </c>
      <c r="E3" s="26">
        <v>10</v>
      </c>
      <c r="F3" s="32">
        <f>D3/E3</f>
        <v>2.2000000000000002</v>
      </c>
      <c r="H3" s="29" t="s">
        <v>198</v>
      </c>
      <c r="I3" s="29" t="s">
        <v>198</v>
      </c>
      <c r="J3" s="3" t="s">
        <v>195</v>
      </c>
      <c r="K3" s="33">
        <f>F3</f>
        <v>2.2000000000000002</v>
      </c>
      <c r="L3" t="s">
        <v>183</v>
      </c>
      <c r="N3">
        <v>10</v>
      </c>
    </row>
    <row r="4" spans="3:23" x14ac:dyDescent="0.3">
      <c r="D4" s="26">
        <v>22</v>
      </c>
      <c r="E4" s="26">
        <v>10</v>
      </c>
      <c r="F4" s="32">
        <f t="shared" ref="F4:F8" si="0">D4/E4</f>
        <v>2.2000000000000002</v>
      </c>
      <c r="H4" s="30">
        <v>5000</v>
      </c>
      <c r="I4" s="1">
        <v>3300</v>
      </c>
      <c r="J4" s="3" t="s">
        <v>174</v>
      </c>
      <c r="K4" s="33">
        <f t="shared" ref="K4:K8" si="1">F4</f>
        <v>2.2000000000000002</v>
      </c>
      <c r="L4" t="s">
        <v>183</v>
      </c>
      <c r="N4">
        <v>22</v>
      </c>
    </row>
    <row r="5" spans="3:23" x14ac:dyDescent="0.3">
      <c r="D5" s="26">
        <v>47</v>
      </c>
      <c r="E5" s="26">
        <v>10</v>
      </c>
      <c r="F5" s="32">
        <f t="shared" si="0"/>
        <v>4.7</v>
      </c>
      <c r="I5" s="1"/>
      <c r="J5" s="3" t="s">
        <v>175</v>
      </c>
      <c r="K5" s="33">
        <f t="shared" si="1"/>
        <v>4.7</v>
      </c>
      <c r="L5" t="s">
        <v>183</v>
      </c>
      <c r="N5">
        <v>39</v>
      </c>
      <c r="S5" t="e">
        <f>#REF!/#REF!</f>
        <v>#REF!</v>
      </c>
      <c r="T5">
        <f>57/148</f>
        <v>0.38513513513513514</v>
      </c>
      <c r="U5" t="e">
        <f>S5*T5</f>
        <v>#REF!</v>
      </c>
    </row>
    <row r="6" spans="3:23" x14ac:dyDescent="0.3">
      <c r="D6" s="26">
        <v>10</v>
      </c>
      <c r="E6" s="26">
        <v>10</v>
      </c>
      <c r="F6" s="32">
        <f t="shared" si="0"/>
        <v>1</v>
      </c>
      <c r="I6" s="1"/>
      <c r="J6" s="3" t="s">
        <v>176</v>
      </c>
      <c r="K6" s="33">
        <f t="shared" si="1"/>
        <v>1</v>
      </c>
      <c r="L6" t="s">
        <v>183</v>
      </c>
      <c r="N6">
        <v>10</v>
      </c>
      <c r="S6">
        <v>5000</v>
      </c>
      <c r="T6">
        <f>57/148</f>
        <v>0.38513513513513514</v>
      </c>
      <c r="U6">
        <f>S6*T6</f>
        <v>1925.6756756756756</v>
      </c>
      <c r="V6">
        <f>4096/3300</f>
        <v>1.2412121212121212</v>
      </c>
      <c r="W6">
        <f>U6*V6</f>
        <v>2390.1719901719903</v>
      </c>
    </row>
    <row r="7" spans="3:23" x14ac:dyDescent="0.3">
      <c r="D7" s="26">
        <v>47</v>
      </c>
      <c r="E7" s="26">
        <v>10</v>
      </c>
      <c r="F7" s="32">
        <f t="shared" si="0"/>
        <v>4.7</v>
      </c>
      <c r="I7" s="1"/>
      <c r="J7" s="3" t="s">
        <v>177</v>
      </c>
      <c r="K7" s="33">
        <f t="shared" si="1"/>
        <v>4.7</v>
      </c>
      <c r="L7" t="s">
        <v>183</v>
      </c>
      <c r="N7">
        <v>47</v>
      </c>
    </row>
    <row r="8" spans="3:23" x14ac:dyDescent="0.3">
      <c r="D8" s="26">
        <v>0</v>
      </c>
      <c r="E8" s="26">
        <v>10</v>
      </c>
      <c r="F8" s="32">
        <f t="shared" si="0"/>
        <v>0</v>
      </c>
      <c r="I8" s="1"/>
      <c r="J8" s="3" t="s">
        <v>196</v>
      </c>
      <c r="K8" s="33">
        <f t="shared" si="1"/>
        <v>0</v>
      </c>
      <c r="L8" t="s">
        <v>183</v>
      </c>
      <c r="N8">
        <v>0</v>
      </c>
    </row>
    <row r="9" spans="3:23" x14ac:dyDescent="0.3">
      <c r="K9" s="33">
        <f>SUM(K3:K8)</f>
        <v>14.8</v>
      </c>
      <c r="L9" s="5"/>
      <c r="M9" s="5"/>
      <c r="N9" s="5">
        <f t="shared" ref="N9" si="2">SUM(N3:N8)</f>
        <v>128</v>
      </c>
    </row>
    <row r="10" spans="3:23" x14ac:dyDescent="0.3">
      <c r="G10" s="30" t="s">
        <v>198</v>
      </c>
      <c r="H10" s="30" t="s">
        <v>198</v>
      </c>
      <c r="I10" t="s">
        <v>197</v>
      </c>
      <c r="J10" s="3" t="s">
        <v>199</v>
      </c>
    </row>
    <row r="11" spans="3:23" x14ac:dyDescent="0.3">
      <c r="C11" t="s">
        <v>194</v>
      </c>
      <c r="D11" s="26">
        <f>I4*(0+K8)/(K3+K4+K5+K6+K7+K8)</f>
        <v>0</v>
      </c>
      <c r="E11" s="26">
        <v>4096</v>
      </c>
      <c r="F11" s="32">
        <v>3300</v>
      </c>
      <c r="H11" s="30">
        <f>(H4/I4)*D11</f>
        <v>0</v>
      </c>
      <c r="I11" s="26">
        <f t="shared" ref="I11:I13" si="3">D11-D10</f>
        <v>0</v>
      </c>
    </row>
    <row r="12" spans="3:23" x14ac:dyDescent="0.3">
      <c r="C12" t="s">
        <v>193</v>
      </c>
      <c r="D12" s="26">
        <f>I4*(0+K8)/(K3+K4+K5+K6+K7+K8)</f>
        <v>0</v>
      </c>
      <c r="E12" s="26">
        <v>4096</v>
      </c>
      <c r="F12" s="32">
        <v>3300</v>
      </c>
      <c r="H12" s="30">
        <f>(H4/I4)*D12</f>
        <v>0</v>
      </c>
      <c r="I12" s="26">
        <f t="shared" si="3"/>
        <v>0</v>
      </c>
      <c r="S12" t="s">
        <v>184</v>
      </c>
    </row>
    <row r="13" spans="3:23" x14ac:dyDescent="0.3">
      <c r="C13" t="s">
        <v>190</v>
      </c>
      <c r="D13" s="26">
        <f>I4*(0+K8)/(K3+K4+K5+K6+K7+K8)</f>
        <v>0</v>
      </c>
      <c r="E13" s="26">
        <v>4096</v>
      </c>
      <c r="F13" s="32">
        <v>3300</v>
      </c>
      <c r="H13" s="30">
        <f>(H4/I4)*D13</f>
        <v>0</v>
      </c>
      <c r="I13" s="26">
        <f t="shared" si="3"/>
        <v>0</v>
      </c>
      <c r="S13">
        <v>4096</v>
      </c>
      <c r="T13">
        <v>3300</v>
      </c>
    </row>
    <row r="14" spans="3:23" x14ac:dyDescent="0.3">
      <c r="C14" s="28" t="s">
        <v>181</v>
      </c>
      <c r="D14" s="27">
        <f>I4*(K6+K8)/(K3+K4+K5+K6+K8)</f>
        <v>326.73267326732667</v>
      </c>
      <c r="E14" s="26">
        <v>4096</v>
      </c>
      <c r="F14" s="32">
        <v>3300</v>
      </c>
      <c r="H14" s="27">
        <f>(H4/I4)*D14</f>
        <v>495.04950495049496</v>
      </c>
      <c r="I14" s="27">
        <f>D14-D13</f>
        <v>326.73267326732667</v>
      </c>
      <c r="J14" s="3">
        <v>98</v>
      </c>
      <c r="T14">
        <v>1925</v>
      </c>
      <c r="U14">
        <f>1925*4096/3300</f>
        <v>2389.3333333333335</v>
      </c>
    </row>
    <row r="15" spans="3:23" x14ac:dyDescent="0.3">
      <c r="C15" t="s">
        <v>187</v>
      </c>
      <c r="D15" s="26">
        <f>I4*(K6+K8)/(K3+K5+K6+K8)</f>
        <v>417.72151898734177</v>
      </c>
      <c r="E15" s="26">
        <v>4096</v>
      </c>
      <c r="F15" s="32">
        <v>3300</v>
      </c>
      <c r="H15" s="30">
        <f>(H4/I4)*D15</f>
        <v>632.91139240506322</v>
      </c>
      <c r="I15" s="27">
        <f t="shared" ref="I15:I25" si="4">D15-D14</f>
        <v>90.988845720015092</v>
      </c>
      <c r="J15" s="3">
        <v>126</v>
      </c>
    </row>
    <row r="16" spans="3:23" x14ac:dyDescent="0.3">
      <c r="C16" t="s">
        <v>189</v>
      </c>
      <c r="D16" s="26">
        <f>I4*(K6+K8)/(K3+K4+K6+K8)</f>
        <v>611.11111111111109</v>
      </c>
      <c r="E16" s="26">
        <v>4096</v>
      </c>
      <c r="F16" s="32">
        <v>3300</v>
      </c>
      <c r="H16" s="30">
        <f>(H4/I4)*D16</f>
        <v>925.92592592592587</v>
      </c>
      <c r="I16" s="26">
        <f t="shared" si="4"/>
        <v>193.38959212376932</v>
      </c>
      <c r="J16" s="3">
        <v>186</v>
      </c>
    </row>
    <row r="17" spans="3:20" x14ac:dyDescent="0.3">
      <c r="C17" s="28" t="s">
        <v>180</v>
      </c>
      <c r="D17" s="27">
        <f>I4*(K7+K8)/(K3+K4+K5+K7+K8)</f>
        <v>1123.9130434782608</v>
      </c>
      <c r="E17" s="26">
        <v>4096</v>
      </c>
      <c r="F17" s="32">
        <v>3300</v>
      </c>
      <c r="H17" s="27">
        <f>(H4/I4)*D17</f>
        <v>1702.8985507246375</v>
      </c>
      <c r="I17" s="27">
        <f t="shared" si="4"/>
        <v>512.80193236714967</v>
      </c>
      <c r="J17" s="3">
        <v>346</v>
      </c>
      <c r="S17">
        <v>4096</v>
      </c>
      <c r="T17">
        <v>3300</v>
      </c>
    </row>
    <row r="18" spans="3:20" x14ac:dyDescent="0.3">
      <c r="C18" s="28" t="s">
        <v>182</v>
      </c>
      <c r="D18" s="27">
        <f>I4*(K6+K7+K8)/(K3+K4+K5+K6+K7+K8)</f>
        <v>1270.9459459459458</v>
      </c>
      <c r="E18" s="26">
        <v>4096</v>
      </c>
      <c r="F18" s="32">
        <v>3300</v>
      </c>
      <c r="G18" s="5">
        <f>E18/F18</f>
        <v>1.2412121212121212</v>
      </c>
      <c r="H18" s="27">
        <f>D18*G18</f>
        <v>1577.5135135135133</v>
      </c>
      <c r="I18" s="27">
        <f t="shared" si="4"/>
        <v>147.03290246768506</v>
      </c>
      <c r="J18" s="3">
        <v>392</v>
      </c>
      <c r="T18">
        <v>1</v>
      </c>
    </row>
    <row r="19" spans="3:20" x14ac:dyDescent="0.3">
      <c r="C19" t="s">
        <v>192</v>
      </c>
      <c r="D19" s="26">
        <f>I4*(K6+K8)/(K3+K6+K8)</f>
        <v>1031.25</v>
      </c>
      <c r="E19" s="26">
        <v>4096</v>
      </c>
      <c r="F19" s="32">
        <v>3300</v>
      </c>
      <c r="H19" s="30">
        <f>(H4/I4)*D19</f>
        <v>1562.5</v>
      </c>
      <c r="I19" s="27">
        <f t="shared" si="4"/>
        <v>-239.69594594594582</v>
      </c>
      <c r="J19" s="3">
        <v>312</v>
      </c>
    </row>
    <row r="20" spans="3:20" x14ac:dyDescent="0.3">
      <c r="C20" t="s">
        <v>186</v>
      </c>
      <c r="D20" s="26">
        <f>I4*(K7+K8)/(K3+K5+K7+K8)</f>
        <v>1337.0689655172412</v>
      </c>
      <c r="E20" s="26">
        <v>4096</v>
      </c>
      <c r="F20" s="32">
        <v>3300</v>
      </c>
      <c r="H20" s="30">
        <f>(H4/I4)*D20</f>
        <v>2025.862068965517</v>
      </c>
      <c r="I20" s="26">
        <f t="shared" si="4"/>
        <v>305.81896551724117</v>
      </c>
      <c r="J20" s="3">
        <v>412</v>
      </c>
    </row>
    <row r="21" spans="3:20" x14ac:dyDescent="0.3">
      <c r="C21" s="28" t="s">
        <v>178</v>
      </c>
      <c r="D21" s="27">
        <f>I4*(K6+K7+K8)/(K3+K5+K6+K7+K8)</f>
        <v>1492.8571428571427</v>
      </c>
      <c r="E21" s="26">
        <v>4096</v>
      </c>
      <c r="F21" s="32">
        <v>3300</v>
      </c>
      <c r="H21" s="27">
        <f>(H4/I4)*D21</f>
        <v>2261.9047619047615</v>
      </c>
      <c r="I21" s="27">
        <f t="shared" si="4"/>
        <v>155.78817733990149</v>
      </c>
      <c r="J21" s="3">
        <v>460</v>
      </c>
    </row>
    <row r="22" spans="3:20" x14ac:dyDescent="0.3">
      <c r="C22" t="s">
        <v>185</v>
      </c>
      <c r="D22" s="26">
        <f>I4*(K6+K7+K8)/(K3+K6+K7+K8)</f>
        <v>2381.0126582278481</v>
      </c>
      <c r="E22" s="26">
        <v>4096</v>
      </c>
      <c r="F22" s="32">
        <v>3300</v>
      </c>
      <c r="H22" s="30">
        <f>(H4/I4)*D22</f>
        <v>3607.5949367088606</v>
      </c>
      <c r="I22" s="27">
        <f t="shared" si="4"/>
        <v>888.15551537070542</v>
      </c>
      <c r="J22" s="3">
        <v>735</v>
      </c>
    </row>
    <row r="23" spans="3:20" x14ac:dyDescent="0.3">
      <c r="C23" t="s">
        <v>188</v>
      </c>
      <c r="D23" s="26">
        <f>I4*(K7+K8)/(K3+K4+K7+K8)</f>
        <v>1704.3956043956041</v>
      </c>
      <c r="E23" s="26">
        <v>4096</v>
      </c>
      <c r="F23" s="32">
        <v>3300</v>
      </c>
      <c r="H23" s="30">
        <f>(H4/I4)*D23</f>
        <v>2582.4175824175818</v>
      </c>
      <c r="I23" s="26">
        <f t="shared" si="4"/>
        <v>-676.61705383224398</v>
      </c>
      <c r="J23" s="3">
        <v>527</v>
      </c>
    </row>
    <row r="24" spans="3:20" x14ac:dyDescent="0.3">
      <c r="C24" s="28" t="s">
        <v>179</v>
      </c>
      <c r="D24" s="27">
        <f>I4*(K6+K7+K8)/(K3+K4+K6+K7+K8)</f>
        <v>1862.3762376237621</v>
      </c>
      <c r="E24" s="26">
        <v>4096</v>
      </c>
      <c r="F24" s="32">
        <v>3300</v>
      </c>
      <c r="H24" s="27">
        <f>(H4/I4)*D24</f>
        <v>2821.7821782178212</v>
      </c>
      <c r="I24" s="27">
        <f t="shared" si="4"/>
        <v>157.98063322815801</v>
      </c>
      <c r="J24" s="3">
        <v>576</v>
      </c>
    </row>
    <row r="25" spans="3:20" x14ac:dyDescent="0.3">
      <c r="C25" t="s">
        <v>191</v>
      </c>
      <c r="D25" s="26">
        <f>I4*(K7+K8)/(K3+K7+K8)</f>
        <v>2247.8260869565215</v>
      </c>
      <c r="E25" s="26">
        <v>4096</v>
      </c>
      <c r="F25" s="32">
        <v>3300</v>
      </c>
      <c r="H25" s="30">
        <f>(H4/I4)*D25</f>
        <v>3405.797101449275</v>
      </c>
      <c r="I25" s="27">
        <f t="shared" si="4"/>
        <v>385.44984933275941</v>
      </c>
      <c r="J25" s="3">
        <v>693</v>
      </c>
    </row>
    <row r="29" spans="3:20" x14ac:dyDescent="0.3">
      <c r="I29" s="26"/>
    </row>
    <row r="31" spans="3:20" x14ac:dyDescent="0.3">
      <c r="I31" s="26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7A39-5C94-4BAB-8DCD-53AC34133747}">
  <dimension ref="B1:O30"/>
  <sheetViews>
    <sheetView workbookViewId="0">
      <selection activeCell="I3" sqref="I3"/>
    </sheetView>
  </sheetViews>
  <sheetFormatPr defaultRowHeight="14.4" x14ac:dyDescent="0.3"/>
  <cols>
    <col min="1" max="1" width="2.6640625" customWidth="1"/>
    <col min="2" max="2" width="11.109375" style="28" customWidth="1"/>
    <col min="3" max="3" width="7.5546875" style="26" customWidth="1"/>
    <col min="4" max="4" width="8.109375" style="26" customWidth="1"/>
    <col min="5" max="5" width="9.6640625" style="26" customWidth="1"/>
    <col min="6" max="6" width="8.88671875" style="26" customWidth="1"/>
    <col min="7" max="7" width="7.44140625" style="32" customWidth="1"/>
    <col min="8" max="8" width="10" style="5" customWidth="1"/>
    <col min="9" max="9" width="6.6640625" style="30" customWidth="1"/>
    <col min="11" max="11" width="8.88671875" style="3"/>
    <col min="12" max="12" width="8.88671875" style="33"/>
  </cols>
  <sheetData>
    <row r="1" spans="2:15" x14ac:dyDescent="0.3">
      <c r="C1" s="26" t="s">
        <v>242</v>
      </c>
      <c r="D1" s="26" t="s">
        <v>243</v>
      </c>
      <c r="F1" s="38" t="s">
        <v>244</v>
      </c>
      <c r="K1" s="3" t="s">
        <v>231</v>
      </c>
      <c r="L1" s="33">
        <v>100000</v>
      </c>
      <c r="M1" t="s">
        <v>183</v>
      </c>
    </row>
    <row r="2" spans="2:15" x14ac:dyDescent="0.3">
      <c r="B2" s="37">
        <v>22.1</v>
      </c>
      <c r="C2" s="38">
        <f>B2*1.05</f>
        <v>23.205000000000002</v>
      </c>
      <c r="D2" s="38">
        <f>B2*0.95</f>
        <v>20.995000000000001</v>
      </c>
      <c r="E2" s="37">
        <f>C2</f>
        <v>23.205000000000002</v>
      </c>
      <c r="F2" s="38">
        <f>B2*0.98</f>
        <v>21.658000000000001</v>
      </c>
      <c r="G2" s="26">
        <v>10</v>
      </c>
      <c r="H2" s="37">
        <f>F2/G2</f>
        <v>2.1657999999999999</v>
      </c>
      <c r="I2" s="29" t="s">
        <v>198</v>
      </c>
      <c r="J2" s="29" t="s">
        <v>232</v>
      </c>
      <c r="K2" s="3" t="s">
        <v>195</v>
      </c>
      <c r="L2" s="33">
        <f>H2</f>
        <v>2.1657999999999999</v>
      </c>
      <c r="M2" t="s">
        <v>183</v>
      </c>
      <c r="O2">
        <v>10</v>
      </c>
    </row>
    <row r="3" spans="2:15" x14ac:dyDescent="0.3">
      <c r="B3" s="37">
        <v>22.1</v>
      </c>
      <c r="C3" s="38">
        <f>B3*1.05</f>
        <v>23.205000000000002</v>
      </c>
      <c r="D3" s="38">
        <f>B3*0.95</f>
        <v>20.995000000000001</v>
      </c>
      <c r="E3" s="37">
        <f>D3</f>
        <v>20.995000000000001</v>
      </c>
      <c r="F3" s="38">
        <f>B3*1.005</f>
        <v>22.2105</v>
      </c>
      <c r="G3" s="26">
        <v>10</v>
      </c>
      <c r="H3" s="37">
        <f t="shared" ref="H3:H7" si="0">F3/G3</f>
        <v>2.22105</v>
      </c>
      <c r="I3" s="30">
        <v>3300</v>
      </c>
      <c r="J3" s="1">
        <v>4096</v>
      </c>
      <c r="K3" s="3" t="s">
        <v>174</v>
      </c>
      <c r="L3" s="33">
        <f>H3</f>
        <v>2.22105</v>
      </c>
      <c r="M3" t="s">
        <v>183</v>
      </c>
      <c r="O3">
        <v>22</v>
      </c>
    </row>
    <row r="4" spans="2:15" x14ac:dyDescent="0.3">
      <c r="B4" s="37">
        <v>47</v>
      </c>
      <c r="C4" s="38">
        <f>B4*1.01</f>
        <v>47.47</v>
      </c>
      <c r="D4" s="38">
        <f>B4*0.99</f>
        <v>46.53</v>
      </c>
      <c r="E4" s="37">
        <v>47</v>
      </c>
      <c r="F4" s="38">
        <f>B4*1.001</f>
        <v>47.046999999999997</v>
      </c>
      <c r="G4" s="26">
        <v>10</v>
      </c>
      <c r="H4" s="37">
        <f t="shared" si="0"/>
        <v>4.7046999999999999</v>
      </c>
      <c r="J4" s="1"/>
      <c r="K4" s="3" t="s">
        <v>175</v>
      </c>
      <c r="L4" s="33">
        <f>H4</f>
        <v>4.7046999999999999</v>
      </c>
      <c r="M4" t="s">
        <v>183</v>
      </c>
      <c r="O4">
        <v>39</v>
      </c>
    </row>
    <row r="5" spans="2:15" x14ac:dyDescent="0.3">
      <c r="B5" s="37">
        <v>10</v>
      </c>
      <c r="C5" s="38">
        <f t="shared" ref="C5:C7" si="1">B5*1.05</f>
        <v>10.5</v>
      </c>
      <c r="D5" s="38">
        <f>B5*0.95</f>
        <v>9.5</v>
      </c>
      <c r="E5" s="37">
        <v>10</v>
      </c>
      <c r="F5" s="38">
        <f>B5*1.01</f>
        <v>10.1</v>
      </c>
      <c r="G5" s="26">
        <v>10</v>
      </c>
      <c r="H5" s="37">
        <f t="shared" si="0"/>
        <v>1.01</v>
      </c>
      <c r="J5" s="1"/>
      <c r="K5" s="3" t="s">
        <v>176</v>
      </c>
      <c r="L5" s="33">
        <f>H5</f>
        <v>1.01</v>
      </c>
      <c r="M5" t="s">
        <v>183</v>
      </c>
      <c r="O5">
        <v>10</v>
      </c>
    </row>
    <row r="6" spans="2:15" x14ac:dyDescent="0.3">
      <c r="B6" s="37">
        <v>47</v>
      </c>
      <c r="C6" s="38">
        <f>B6*1.01</f>
        <v>47.47</v>
      </c>
      <c r="D6" s="38">
        <f>B6*0.99</f>
        <v>46.53</v>
      </c>
      <c r="E6" s="37">
        <v>47</v>
      </c>
      <c r="F6" s="38">
        <f>B6*1.001</f>
        <v>47.046999999999997</v>
      </c>
      <c r="G6" s="26">
        <v>10</v>
      </c>
      <c r="H6" s="37">
        <f t="shared" si="0"/>
        <v>4.7046999999999999</v>
      </c>
      <c r="J6" s="1"/>
      <c r="K6" s="3" t="s">
        <v>177</v>
      </c>
      <c r="L6" s="33">
        <v>4.7</v>
      </c>
      <c r="M6" t="s">
        <v>183</v>
      </c>
      <c r="O6">
        <v>47</v>
      </c>
    </row>
    <row r="7" spans="2:15" x14ac:dyDescent="0.3">
      <c r="B7" s="37">
        <v>0</v>
      </c>
      <c r="C7" s="38">
        <f t="shared" si="1"/>
        <v>0</v>
      </c>
      <c r="D7" s="38">
        <f t="shared" ref="D7" si="2">C7*0.95</f>
        <v>0</v>
      </c>
      <c r="E7" s="37">
        <v>0</v>
      </c>
      <c r="F7" s="38">
        <f>B7*1.001</f>
        <v>0</v>
      </c>
      <c r="G7" s="26">
        <v>10</v>
      </c>
      <c r="H7" s="37">
        <f t="shared" si="0"/>
        <v>0</v>
      </c>
      <c r="J7" s="1"/>
      <c r="O7">
        <v>0</v>
      </c>
    </row>
    <row r="8" spans="2:15" x14ac:dyDescent="0.3">
      <c r="B8" s="26" t="s">
        <v>233</v>
      </c>
      <c r="C8" s="26" t="s">
        <v>1</v>
      </c>
      <c r="L8" s="33">
        <f>SUM(L2:L7)</f>
        <v>14.801549999999999</v>
      </c>
      <c r="M8" s="5"/>
      <c r="N8" s="5"/>
      <c r="O8" s="5">
        <f t="shared" ref="O8" si="3">SUM(O2:O7)</f>
        <v>128</v>
      </c>
    </row>
    <row r="9" spans="2:15" x14ac:dyDescent="0.3">
      <c r="C9" s="26" t="s">
        <v>234</v>
      </c>
      <c r="D9" s="26" t="s">
        <v>235</v>
      </c>
      <c r="E9" s="26" t="s">
        <v>232</v>
      </c>
      <c r="F9" s="30" t="s">
        <v>199</v>
      </c>
      <c r="G9" s="30" t="s">
        <v>241</v>
      </c>
    </row>
    <row r="10" spans="2:15" x14ac:dyDescent="0.3">
      <c r="B10" t="s">
        <v>194</v>
      </c>
      <c r="C10" s="26">
        <f>((L2+L4)*L1)/(L1+L2+L4)</f>
        <v>6.8700279947266223</v>
      </c>
      <c r="D10" s="26">
        <v>0</v>
      </c>
      <c r="E10" s="26">
        <v>0</v>
      </c>
      <c r="F10" s="26">
        <v>0</v>
      </c>
      <c r="G10" s="26">
        <f>F10-E10</f>
        <v>0</v>
      </c>
      <c r="H10" s="34"/>
      <c r="J10" s="26"/>
    </row>
    <row r="11" spans="2:15" x14ac:dyDescent="0.3">
      <c r="B11" t="s">
        <v>193</v>
      </c>
      <c r="C11" s="26">
        <f>((L2+L3)*L1)/(L1+L2+L3)</f>
        <v>4.3866575639126575</v>
      </c>
      <c r="D11" s="26">
        <v>0</v>
      </c>
      <c r="E11" s="26">
        <v>0</v>
      </c>
      <c r="F11" s="26">
        <v>0</v>
      </c>
      <c r="G11" s="26">
        <f t="shared" ref="G11:G24" si="4">F11-E11</f>
        <v>0</v>
      </c>
      <c r="H11" s="34"/>
      <c r="J11" s="26"/>
      <c r="L11" s="33" t="s">
        <v>238</v>
      </c>
    </row>
    <row r="12" spans="2:15" x14ac:dyDescent="0.3">
      <c r="B12" t="s">
        <v>190</v>
      </c>
      <c r="C12" s="26">
        <f>((L2+L3+L4)*L1)/(L1+L2+L3+L4)</f>
        <v>9.090723512326516</v>
      </c>
      <c r="D12" s="26">
        <v>0</v>
      </c>
      <c r="E12" s="26">
        <v>0</v>
      </c>
      <c r="F12" s="26">
        <v>0</v>
      </c>
      <c r="G12" s="26">
        <f t="shared" si="4"/>
        <v>0</v>
      </c>
      <c r="H12" s="34"/>
      <c r="J12" s="26"/>
      <c r="L12" s="33" t="s">
        <v>41</v>
      </c>
    </row>
    <row r="13" spans="2:15" ht="18" x14ac:dyDescent="0.35">
      <c r="B13" s="28" t="s">
        <v>181</v>
      </c>
      <c r="C13" s="27">
        <f>((L2+L3+L4)*L1)/(L1+L2+L3+L4)</f>
        <v>9.090723512326516</v>
      </c>
      <c r="D13" s="27">
        <f>I3*(L5)/(C13+L5)</f>
        <v>329.97636218163393</v>
      </c>
      <c r="E13" s="27">
        <f>D13*J3/I3</f>
        <v>409.57066045332505</v>
      </c>
      <c r="F13" s="27">
        <v>406</v>
      </c>
      <c r="G13" s="26">
        <f t="shared" si="4"/>
        <v>-3.570660453325047</v>
      </c>
      <c r="H13" s="36">
        <v>413</v>
      </c>
      <c r="I13" s="30">
        <f>H13-E13</f>
        <v>3.429339546674953</v>
      </c>
      <c r="J13" s="27">
        <f t="shared" ref="J13:J16" si="5">G13-I13</f>
        <v>-7</v>
      </c>
      <c r="K13" s="39" t="s">
        <v>239</v>
      </c>
      <c r="L13" s="35" t="s">
        <v>180</v>
      </c>
    </row>
    <row r="14" spans="2:15" ht="18" x14ac:dyDescent="0.35">
      <c r="B14" t="s">
        <v>187</v>
      </c>
      <c r="C14" s="26">
        <f>((L2+L4)*L1)/(L1+L2+L4)</f>
        <v>6.8700279947266223</v>
      </c>
      <c r="D14" s="26">
        <f>I3*(L5)/(C14+L5)</f>
        <v>422.96804049813915</v>
      </c>
      <c r="E14" s="26">
        <f>D14*J3/I3</f>
        <v>524.99305875162963</v>
      </c>
      <c r="F14" s="26">
        <v>514</v>
      </c>
      <c r="G14" s="26">
        <f t="shared" si="4"/>
        <v>-10.993058751629633</v>
      </c>
      <c r="H14" s="34">
        <v>523</v>
      </c>
      <c r="I14" s="30">
        <f t="shared" ref="I14:I24" si="6">H14-E14</f>
        <v>-1.9930587516296328</v>
      </c>
      <c r="J14" s="27">
        <f t="shared" si="5"/>
        <v>-9</v>
      </c>
      <c r="K14" s="3" t="s">
        <v>236</v>
      </c>
      <c r="L14" s="35"/>
      <c r="M14" t="s">
        <v>237</v>
      </c>
      <c r="N14" t="s">
        <v>240</v>
      </c>
    </row>
    <row r="15" spans="2:15" ht="18" x14ac:dyDescent="0.35">
      <c r="B15" t="s">
        <v>189</v>
      </c>
      <c r="C15" s="26">
        <f>((L2+L3)*L1)/(L1+L2+L3)</f>
        <v>4.3866575639126575</v>
      </c>
      <c r="D15" s="26">
        <f>I3*(L5)/(C15+L5)</f>
        <v>617.60450066124361</v>
      </c>
      <c r="E15" s="26">
        <f>D15*J3/I3</f>
        <v>766.5781923358951</v>
      </c>
      <c r="F15" s="26">
        <v>768</v>
      </c>
      <c r="G15" s="26">
        <f t="shared" si="4"/>
        <v>1.4218076641049038</v>
      </c>
      <c r="H15" s="34">
        <v>768</v>
      </c>
      <c r="I15" s="30">
        <f t="shared" si="6"/>
        <v>1.4218076641049038</v>
      </c>
      <c r="J15" s="27">
        <f t="shared" si="5"/>
        <v>0</v>
      </c>
      <c r="L15" s="35" t="s">
        <v>179</v>
      </c>
    </row>
    <row r="16" spans="2:15" x14ac:dyDescent="0.3">
      <c r="B16" s="28" t="s">
        <v>180</v>
      </c>
      <c r="C16" s="27">
        <f>((L2+L3+L4)*L1)/(L1+L2+L3+L4)</f>
        <v>9.090723512326516</v>
      </c>
      <c r="D16" s="27">
        <f>I3*(L6)/(C16+L6)</f>
        <v>1124.6690564230912</v>
      </c>
      <c r="E16" s="27">
        <f>D16*J3/I3</f>
        <v>1395.9528651845399</v>
      </c>
      <c r="F16" s="27">
        <v>1381</v>
      </c>
      <c r="G16" s="26">
        <f t="shared" si="4"/>
        <v>-14.95286518453986</v>
      </c>
      <c r="H16" s="36">
        <v>1400</v>
      </c>
      <c r="I16" s="30">
        <f t="shared" si="6"/>
        <v>4.0471348154601401</v>
      </c>
      <c r="J16" s="27">
        <f t="shared" si="5"/>
        <v>-19</v>
      </c>
      <c r="L16" s="33" t="s">
        <v>43</v>
      </c>
    </row>
    <row r="17" spans="2:12" x14ac:dyDescent="0.3">
      <c r="B17" s="28" t="s">
        <v>182</v>
      </c>
      <c r="C17" s="27">
        <f>((L2+L3+L4)*L1)/(L1+L2+L3+L4)</f>
        <v>9.090723512326516</v>
      </c>
      <c r="D17" s="27">
        <f>I3*(L5+L6)/(C17+L5+L6)</f>
        <v>1273.1134382928608</v>
      </c>
      <c r="E17" s="27">
        <f>D17*J3/I3</f>
        <v>1580.2038312871387</v>
      </c>
      <c r="F17" s="27">
        <v>1554</v>
      </c>
      <c r="G17" s="26">
        <f t="shared" si="4"/>
        <v>-26.203831287138655</v>
      </c>
      <c r="H17" s="36">
        <v>1574</v>
      </c>
      <c r="I17" s="30">
        <f t="shared" si="6"/>
        <v>-6.2038312871386552</v>
      </c>
      <c r="J17" s="27">
        <f>G17-I17</f>
        <v>-20</v>
      </c>
      <c r="L17" s="33" t="s">
        <v>240</v>
      </c>
    </row>
    <row r="18" spans="2:12" x14ac:dyDescent="0.3">
      <c r="B18" t="s">
        <v>192</v>
      </c>
      <c r="C18" s="26">
        <f>((L2)*L1)/(L1+L2)</f>
        <v>2.1657530941194874</v>
      </c>
      <c r="D18" s="26">
        <f>I3*(L5)/(C21+L5)</f>
        <v>1049.5148398569413</v>
      </c>
      <c r="E18" s="26">
        <f>D18*J3/I3</f>
        <v>1302.6705406224339</v>
      </c>
      <c r="F18" s="26">
        <v>1294</v>
      </c>
      <c r="G18" s="26">
        <f t="shared" si="4"/>
        <v>-8.6705406224339185</v>
      </c>
      <c r="H18" s="34">
        <v>1295</v>
      </c>
      <c r="I18" s="30">
        <f t="shared" si="6"/>
        <v>-7.6705406224339185</v>
      </c>
      <c r="J18" s="27">
        <f t="shared" ref="J18:J24" si="7">G18-I18</f>
        <v>-1</v>
      </c>
    </row>
    <row r="19" spans="2:12" x14ac:dyDescent="0.3">
      <c r="B19" t="s">
        <v>186</v>
      </c>
      <c r="C19" s="26">
        <f>((L2+L4)*L1)/(L1+L2+L4)</f>
        <v>6.8700279947266223</v>
      </c>
      <c r="D19" s="26">
        <f>I3*(L6)/(C19+L6)</f>
        <v>1340.5326250782741</v>
      </c>
      <c r="E19" s="26">
        <f>D19*J3/I3</f>
        <v>1663.8853431274579</v>
      </c>
      <c r="F19" s="26">
        <v>1642</v>
      </c>
      <c r="G19" s="26">
        <f t="shared" si="4"/>
        <v>-21.885343127457872</v>
      </c>
      <c r="H19" s="34">
        <v>1662</v>
      </c>
      <c r="I19" s="30">
        <f t="shared" si="6"/>
        <v>-1.8853431274578725</v>
      </c>
      <c r="J19" s="27">
        <f t="shared" si="7"/>
        <v>-20</v>
      </c>
    </row>
    <row r="20" spans="2:12" x14ac:dyDescent="0.3">
      <c r="B20" s="28" t="s">
        <v>178</v>
      </c>
      <c r="C20" s="27">
        <f>((L2+L4)*L1)/(L1+L2+L4)</f>
        <v>6.8700279947266223</v>
      </c>
      <c r="D20" s="27">
        <f>I3*(L5+L6)/(C20+L5+L6)</f>
        <v>1497.8504028686368</v>
      </c>
      <c r="E20" s="27">
        <f>D20*J3/I3</f>
        <v>1859.1500758030111</v>
      </c>
      <c r="F20" s="27">
        <v>1824</v>
      </c>
      <c r="G20" s="26">
        <f t="shared" si="4"/>
        <v>-35.150075803011077</v>
      </c>
      <c r="H20" s="36">
        <v>1850</v>
      </c>
      <c r="I20" s="30">
        <f t="shared" si="6"/>
        <v>-9.1500758030110774</v>
      </c>
      <c r="J20" s="27">
        <f t="shared" si="7"/>
        <v>-26</v>
      </c>
    </row>
    <row r="21" spans="2:12" x14ac:dyDescent="0.3">
      <c r="B21" t="s">
        <v>185</v>
      </c>
      <c r="C21" s="26">
        <f>((L2)*L1)/(L1+L2)</f>
        <v>2.1657530941194874</v>
      </c>
      <c r="D21" s="26">
        <f>I3*(L5+L6)/(C21+L5+L6)</f>
        <v>2392.5331044302698</v>
      </c>
      <c r="E21" s="26">
        <f>D21*J3/I3</f>
        <v>2969.6410896201169</v>
      </c>
      <c r="F21" s="26">
        <v>2950</v>
      </c>
      <c r="G21" s="26">
        <f t="shared" si="4"/>
        <v>-19.641089620116873</v>
      </c>
      <c r="H21" s="34">
        <v>2974</v>
      </c>
      <c r="I21" s="30">
        <f t="shared" si="6"/>
        <v>4.3589103798831275</v>
      </c>
      <c r="J21" s="27">
        <f t="shared" si="7"/>
        <v>-24</v>
      </c>
    </row>
    <row r="22" spans="2:12" x14ac:dyDescent="0.3">
      <c r="B22" t="s">
        <v>188</v>
      </c>
      <c r="C22" s="26">
        <f>((L2+L3)*L1)/(L1+L2+L3)</f>
        <v>4.3866575639126575</v>
      </c>
      <c r="D22" s="26">
        <f>I3*(L6)/(C22+L6)</f>
        <v>1706.89826164435</v>
      </c>
      <c r="E22" s="26">
        <f>D22*J3/I3</f>
        <v>2118.6228120288661</v>
      </c>
      <c r="F22" s="26">
        <v>2112</v>
      </c>
      <c r="G22" s="26">
        <f t="shared" si="4"/>
        <v>-6.6228120288660648</v>
      </c>
      <c r="H22" s="34">
        <v>2121</v>
      </c>
      <c r="I22" s="30">
        <f t="shared" si="6"/>
        <v>2.3771879711339352</v>
      </c>
      <c r="J22" s="27">
        <f t="shared" si="7"/>
        <v>-9</v>
      </c>
    </row>
    <row r="23" spans="2:12" x14ac:dyDescent="0.3">
      <c r="B23" s="28" t="s">
        <v>179</v>
      </c>
      <c r="C23" s="27">
        <f>((L2+L3)*L1)/(L1+L2+L3)</f>
        <v>4.3866575639126575</v>
      </c>
      <c r="D23" s="27">
        <f>I3*(L5+L6)/(C23+L5+L6)</f>
        <v>1866.2611741283974</v>
      </c>
      <c r="E23" s="27">
        <f>D23*J3/I3</f>
        <v>2316.425990675732</v>
      </c>
      <c r="F23" s="27">
        <v>2303</v>
      </c>
      <c r="G23" s="26">
        <f t="shared" si="4"/>
        <v>-13.42599067573201</v>
      </c>
      <c r="H23" s="36">
        <v>2311</v>
      </c>
      <c r="I23" s="30">
        <f t="shared" si="6"/>
        <v>-5.4259906757320095</v>
      </c>
      <c r="J23" s="27">
        <f t="shared" si="7"/>
        <v>-8</v>
      </c>
    </row>
    <row r="24" spans="2:12" x14ac:dyDescent="0.3">
      <c r="B24" t="s">
        <v>191</v>
      </c>
      <c r="C24" s="26">
        <f>((L2)*L1)/(L1+L2)</f>
        <v>2.1657530941194874</v>
      </c>
      <c r="D24" s="26">
        <f>I3*(L6)/(C21+L6)</f>
        <v>2259.0384168175674</v>
      </c>
      <c r="E24" s="26">
        <f>D24*J3/I3</f>
        <v>2803.9458652378048</v>
      </c>
      <c r="F24" s="26">
        <v>2796</v>
      </c>
      <c r="G24" s="26">
        <f t="shared" si="4"/>
        <v>-7.94586523780481</v>
      </c>
      <c r="H24" s="34">
        <v>2810</v>
      </c>
      <c r="I24" s="30">
        <f t="shared" si="6"/>
        <v>6.05413476219519</v>
      </c>
      <c r="J24" s="27">
        <f t="shared" si="7"/>
        <v>-14</v>
      </c>
    </row>
    <row r="25" spans="2:12" x14ac:dyDescent="0.3">
      <c r="H25" s="34"/>
    </row>
    <row r="28" spans="2:12" x14ac:dyDescent="0.3">
      <c r="J28" s="26"/>
    </row>
    <row r="30" spans="2:12" x14ac:dyDescent="0.3">
      <c r="J30" s="26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D3D5-6770-4C10-B234-97D924D25BFF}">
  <dimension ref="A1:W26"/>
  <sheetViews>
    <sheetView topLeftCell="B1" workbookViewId="0">
      <selection activeCell="T17" sqref="T17"/>
    </sheetView>
  </sheetViews>
  <sheetFormatPr defaultRowHeight="14.4" x14ac:dyDescent="0.3"/>
  <cols>
    <col min="3" max="3" width="10.21875" customWidth="1"/>
    <col min="4" max="4" width="10.44140625" customWidth="1"/>
    <col min="9" max="12" width="10.21875" customWidth="1"/>
    <col min="13" max="13" width="7.6640625" customWidth="1"/>
    <col min="15" max="18" width="9.33203125" customWidth="1"/>
    <col min="22" max="22" width="12" bestFit="1" customWidth="1"/>
  </cols>
  <sheetData>
    <row r="1" spans="1:23" x14ac:dyDescent="0.3">
      <c r="I1" t="s">
        <v>310</v>
      </c>
    </row>
    <row r="2" spans="1:23" x14ac:dyDescent="0.3">
      <c r="B2" t="s">
        <v>250</v>
      </c>
      <c r="C2" t="s">
        <v>251</v>
      </c>
      <c r="I2" t="s">
        <v>306</v>
      </c>
      <c r="J2" t="s">
        <v>309</v>
      </c>
      <c r="K2" t="s">
        <v>307</v>
      </c>
      <c r="L2" t="s">
        <v>308</v>
      </c>
    </row>
    <row r="3" spans="1:23" x14ac:dyDescent="0.3">
      <c r="G3" s="5" t="s">
        <v>303</v>
      </c>
      <c r="H3" s="5" t="s">
        <v>304</v>
      </c>
      <c r="I3" s="5" t="s">
        <v>305</v>
      </c>
      <c r="J3" s="5" t="s">
        <v>305</v>
      </c>
      <c r="K3" s="5" t="s">
        <v>305</v>
      </c>
      <c r="L3" s="5" t="s">
        <v>305</v>
      </c>
    </row>
    <row r="4" spans="1:23" x14ac:dyDescent="0.3">
      <c r="A4" t="s">
        <v>245</v>
      </c>
      <c r="B4" t="s">
        <v>247</v>
      </c>
      <c r="C4" t="s">
        <v>246</v>
      </c>
      <c r="D4" t="s">
        <v>249</v>
      </c>
      <c r="E4" t="s">
        <v>248</v>
      </c>
      <c r="G4">
        <v>9600</v>
      </c>
      <c r="H4">
        <f>G4/10</f>
        <v>960</v>
      </c>
      <c r="I4">
        <f>1000/H4</f>
        <v>1.0416666666666667</v>
      </c>
      <c r="J4">
        <f>I4*20</f>
        <v>20.833333333333336</v>
      </c>
      <c r="K4">
        <f>I4*50</f>
        <v>52.083333333333336</v>
      </c>
      <c r="L4">
        <f>I4*100</f>
        <v>104.16666666666667</v>
      </c>
    </row>
    <row r="5" spans="1:23" x14ac:dyDescent="0.3">
      <c r="A5">
        <v>16000000</v>
      </c>
      <c r="B5">
        <v>9600</v>
      </c>
      <c r="C5">
        <f>(A5/B5)/16-1</f>
        <v>103.16666666666667</v>
      </c>
      <c r="D5">
        <f>A5/(16*(INT(C5)+1))</f>
        <v>9615.3846153846152</v>
      </c>
      <c r="E5" s="40">
        <f>(D5-B5)/B5</f>
        <v>1.602564102564088E-3</v>
      </c>
      <c r="G5">
        <v>14400</v>
      </c>
      <c r="H5">
        <f t="shared" ref="H5:H10" si="0">G5/10</f>
        <v>1440</v>
      </c>
      <c r="I5">
        <f t="shared" ref="I5:I10" si="1">1000/H5</f>
        <v>0.69444444444444442</v>
      </c>
      <c r="J5">
        <f t="shared" ref="J5:J10" si="2">I5*20</f>
        <v>13.888888888888889</v>
      </c>
      <c r="K5">
        <f t="shared" ref="K5:K10" si="3">I5*50</f>
        <v>34.722222222222221</v>
      </c>
      <c r="L5">
        <f t="shared" ref="L5:L10" si="4">I5*100</f>
        <v>69.444444444444443</v>
      </c>
    </row>
    <row r="6" spans="1:23" x14ac:dyDescent="0.3">
      <c r="A6">
        <v>16000000</v>
      </c>
      <c r="B6">
        <v>14400</v>
      </c>
      <c r="C6">
        <f>(A6/B6)/16-1</f>
        <v>68.444444444444443</v>
      </c>
      <c r="D6">
        <f>A6/(16*(INT(C6)+1))</f>
        <v>14492.753623188406</v>
      </c>
      <c r="E6" s="40">
        <f>(D6-B6)/B6</f>
        <v>6.4412238325281933E-3</v>
      </c>
      <c r="G6">
        <v>19200</v>
      </c>
      <c r="H6">
        <f t="shared" si="0"/>
        <v>1920</v>
      </c>
      <c r="I6">
        <f t="shared" si="1"/>
        <v>0.52083333333333337</v>
      </c>
      <c r="J6">
        <f t="shared" si="2"/>
        <v>10.416666666666668</v>
      </c>
      <c r="K6">
        <f t="shared" si="3"/>
        <v>26.041666666666668</v>
      </c>
      <c r="L6">
        <f t="shared" si="4"/>
        <v>52.083333333333336</v>
      </c>
    </row>
    <row r="7" spans="1:23" x14ac:dyDescent="0.3">
      <c r="A7">
        <v>16000000</v>
      </c>
      <c r="B7">
        <v>19200</v>
      </c>
      <c r="C7">
        <f t="shared" ref="C7:C11" si="5">(A7/B7)/16-1</f>
        <v>51.083333333333336</v>
      </c>
      <c r="D7">
        <f>A7/(16*(INT(C7)+1))</f>
        <v>19230.76923076923</v>
      </c>
      <c r="E7" s="40">
        <f t="shared" ref="E7:E11" si="6">(D7-B7)/B7</f>
        <v>1.602564102564088E-3</v>
      </c>
      <c r="G7">
        <v>38400</v>
      </c>
      <c r="H7">
        <f t="shared" si="0"/>
        <v>3840</v>
      </c>
      <c r="I7">
        <f t="shared" si="1"/>
        <v>0.26041666666666669</v>
      </c>
      <c r="J7">
        <f t="shared" si="2"/>
        <v>5.2083333333333339</v>
      </c>
      <c r="K7">
        <f t="shared" si="3"/>
        <v>13.020833333333334</v>
      </c>
      <c r="L7">
        <f t="shared" si="4"/>
        <v>26.041666666666668</v>
      </c>
    </row>
    <row r="8" spans="1:23" x14ac:dyDescent="0.3">
      <c r="A8">
        <v>16000000</v>
      </c>
      <c r="B8">
        <v>38400</v>
      </c>
      <c r="C8">
        <f t="shared" si="5"/>
        <v>25.041666666666668</v>
      </c>
      <c r="D8">
        <f>A8/(16*(INT(C8)+1))</f>
        <v>38461.538461538461</v>
      </c>
      <c r="E8" s="40">
        <f t="shared" si="6"/>
        <v>1.602564102564088E-3</v>
      </c>
      <c r="G8">
        <v>57600</v>
      </c>
      <c r="H8">
        <f t="shared" si="0"/>
        <v>5760</v>
      </c>
      <c r="I8">
        <f t="shared" si="1"/>
        <v>0.1736111111111111</v>
      </c>
      <c r="J8">
        <f t="shared" si="2"/>
        <v>3.4722222222222223</v>
      </c>
      <c r="K8">
        <f t="shared" si="3"/>
        <v>8.6805555555555554</v>
      </c>
      <c r="L8">
        <f t="shared" si="4"/>
        <v>17.361111111111111</v>
      </c>
    </row>
    <row r="9" spans="1:23" x14ac:dyDescent="0.3">
      <c r="A9">
        <v>16000000</v>
      </c>
      <c r="B9">
        <v>57600</v>
      </c>
      <c r="C9">
        <f t="shared" si="5"/>
        <v>16.361111111111111</v>
      </c>
      <c r="D9">
        <f t="shared" ref="D9:D11" si="7">A9/(16*(INT(C9)+1))</f>
        <v>58823.529411764706</v>
      </c>
      <c r="E9" s="40">
        <f t="shared" si="6"/>
        <v>2.1241830065359485E-2</v>
      </c>
      <c r="G9">
        <v>115200</v>
      </c>
      <c r="H9">
        <f t="shared" si="0"/>
        <v>11520</v>
      </c>
      <c r="I9">
        <f t="shared" si="1"/>
        <v>8.6805555555555552E-2</v>
      </c>
      <c r="J9">
        <f t="shared" si="2"/>
        <v>1.7361111111111112</v>
      </c>
      <c r="K9">
        <f t="shared" si="3"/>
        <v>4.3402777777777777</v>
      </c>
      <c r="L9">
        <f t="shared" si="4"/>
        <v>8.6805555555555554</v>
      </c>
    </row>
    <row r="10" spans="1:23" x14ac:dyDescent="0.3">
      <c r="A10">
        <v>16000000</v>
      </c>
      <c r="B10">
        <v>115200</v>
      </c>
      <c r="C10">
        <f t="shared" si="5"/>
        <v>7.6805555555555554</v>
      </c>
      <c r="D10">
        <f t="shared" si="7"/>
        <v>125000</v>
      </c>
      <c r="E10" s="40">
        <f t="shared" si="6"/>
        <v>8.5069444444444448E-2</v>
      </c>
      <c r="G10">
        <v>128000</v>
      </c>
      <c r="H10">
        <f t="shared" si="0"/>
        <v>12800</v>
      </c>
      <c r="I10">
        <f t="shared" si="1"/>
        <v>7.8125E-2</v>
      </c>
      <c r="J10">
        <f t="shared" si="2"/>
        <v>1.5625</v>
      </c>
      <c r="K10">
        <f t="shared" si="3"/>
        <v>3.90625</v>
      </c>
      <c r="L10">
        <f t="shared" si="4"/>
        <v>7.8125</v>
      </c>
    </row>
    <row r="11" spans="1:23" x14ac:dyDescent="0.3">
      <c r="A11">
        <v>16000000</v>
      </c>
      <c r="B11">
        <v>128000</v>
      </c>
      <c r="C11">
        <f t="shared" si="5"/>
        <v>6.8125</v>
      </c>
      <c r="D11">
        <f t="shared" si="7"/>
        <v>142857.14285714287</v>
      </c>
      <c r="E11" s="40">
        <f t="shared" si="6"/>
        <v>0.11607142857142867</v>
      </c>
    </row>
    <row r="13" spans="1:23" x14ac:dyDescent="0.3">
      <c r="O13" t="s">
        <v>281</v>
      </c>
      <c r="R13" t="s">
        <v>286</v>
      </c>
      <c r="S13" t="s">
        <v>280</v>
      </c>
      <c r="T13" t="s">
        <v>279</v>
      </c>
      <c r="V13" t="s">
        <v>6</v>
      </c>
    </row>
    <row r="14" spans="1:23" x14ac:dyDescent="0.3">
      <c r="O14">
        <v>8</v>
      </c>
      <c r="P14">
        <v>1</v>
      </c>
      <c r="Q14">
        <v>3</v>
      </c>
      <c r="R14">
        <f>O14/2/P14/Q14/10</f>
        <v>0.13333333333333333</v>
      </c>
      <c r="S14">
        <v>64</v>
      </c>
      <c r="T14">
        <v>11719</v>
      </c>
      <c r="V14">
        <f>(R14*S14*T14)/1000</f>
        <v>100.00213333333333</v>
      </c>
      <c r="W14">
        <f>R14*(65535-T14)/S14</f>
        <v>112.11666666666666</v>
      </c>
    </row>
    <row r="15" spans="1:23" x14ac:dyDescent="0.3">
      <c r="A15">
        <v>16000000</v>
      </c>
      <c r="B15">
        <v>9600</v>
      </c>
      <c r="C15">
        <v>103</v>
      </c>
      <c r="D15">
        <f>A15/(16*(INT(C15)+1))</f>
        <v>9615.3846153846152</v>
      </c>
      <c r="E15" s="40">
        <f>(D15-B15)/B15</f>
        <v>1.602564102564088E-3</v>
      </c>
      <c r="O15">
        <v>8</v>
      </c>
      <c r="P15">
        <v>1</v>
      </c>
      <c r="Q15">
        <v>3</v>
      </c>
      <c r="R15">
        <f>O15/2/P15/Q15/10</f>
        <v>0.13333333333333333</v>
      </c>
      <c r="S15">
        <v>64</v>
      </c>
      <c r="T15">
        <v>1172</v>
      </c>
      <c r="V15">
        <f>(R15*S15*T15)/1000</f>
        <v>10.001066666666667</v>
      </c>
    </row>
    <row r="16" spans="1:23" x14ac:dyDescent="0.3">
      <c r="A16">
        <v>16000000</v>
      </c>
      <c r="B16">
        <v>14400</v>
      </c>
      <c r="C16">
        <v>68</v>
      </c>
      <c r="D16">
        <f>A16/(16*(INT(C16)+1))</f>
        <v>14492.753623188406</v>
      </c>
      <c r="E16" s="40">
        <f>(D16-B16)/B16</f>
        <v>6.4412238325281933E-3</v>
      </c>
      <c r="O16">
        <v>16</v>
      </c>
      <c r="P16">
        <v>1</v>
      </c>
      <c r="Q16">
        <v>3</v>
      </c>
      <c r="R16">
        <f>O16/2/P16/Q16/10</f>
        <v>0.26666666666666666</v>
      </c>
      <c r="S16">
        <v>64</v>
      </c>
      <c r="T16">
        <v>586</v>
      </c>
      <c r="V16">
        <f>(R16*S16*T16)/1000</f>
        <v>10.001066666666667</v>
      </c>
    </row>
    <row r="17" spans="1:21" x14ac:dyDescent="0.3">
      <c r="A17">
        <v>16000000</v>
      </c>
      <c r="B17">
        <v>19200</v>
      </c>
      <c r="C17">
        <v>51</v>
      </c>
      <c r="D17">
        <f>A17/(16*(INT(C17)+1))</f>
        <v>19230.76923076923</v>
      </c>
      <c r="E17" s="40">
        <f t="shared" ref="E17:E21" si="8">(D17-B17)/B17</f>
        <v>1.602564102564088E-3</v>
      </c>
      <c r="O17">
        <v>16</v>
      </c>
      <c r="R17">
        <v>0.13333300000000001</v>
      </c>
      <c r="S17">
        <f>O17/R17</f>
        <v>120.00030000075</v>
      </c>
    </row>
    <row r="18" spans="1:21" x14ac:dyDescent="0.3">
      <c r="A18">
        <v>16000000</v>
      </c>
      <c r="B18">
        <v>38400</v>
      </c>
      <c r="C18">
        <v>25</v>
      </c>
      <c r="D18">
        <f>A18/(16*(INT(C18)+1))</f>
        <v>38461.538461538461</v>
      </c>
      <c r="E18" s="40">
        <f t="shared" si="8"/>
        <v>1.602564102564088E-3</v>
      </c>
    </row>
    <row r="19" spans="1:21" x14ac:dyDescent="0.3">
      <c r="A19">
        <v>16000000</v>
      </c>
      <c r="B19">
        <v>57600</v>
      </c>
      <c r="C19">
        <v>16</v>
      </c>
      <c r="D19">
        <f t="shared" ref="D19:D21" si="9">A19/(16*(INT(C19)+1))</f>
        <v>58823.529411764706</v>
      </c>
      <c r="E19" s="40">
        <f t="shared" si="8"/>
        <v>2.1241830065359485E-2</v>
      </c>
    </row>
    <row r="20" spans="1:21" x14ac:dyDescent="0.3">
      <c r="A20">
        <v>16000000</v>
      </c>
      <c r="B20">
        <v>115200</v>
      </c>
      <c r="C20">
        <v>8</v>
      </c>
      <c r="D20">
        <f t="shared" si="9"/>
        <v>111111.11111111111</v>
      </c>
      <c r="E20" s="40">
        <f t="shared" si="8"/>
        <v>-3.5493827160493839E-2</v>
      </c>
      <c r="R20" t="s">
        <v>282</v>
      </c>
    </row>
    <row r="21" spans="1:21" x14ac:dyDescent="0.3">
      <c r="A21">
        <v>16000000</v>
      </c>
      <c r="B21">
        <v>128000</v>
      </c>
      <c r="C21">
        <v>7</v>
      </c>
      <c r="D21">
        <f t="shared" si="9"/>
        <v>125000</v>
      </c>
      <c r="E21" s="40">
        <f t="shared" si="8"/>
        <v>-2.34375E-2</v>
      </c>
      <c r="T21" t="s">
        <v>279</v>
      </c>
      <c r="U21" t="s">
        <v>280</v>
      </c>
    </row>
    <row r="22" spans="1:21" x14ac:dyDescent="0.3">
      <c r="O22" t="s">
        <v>283</v>
      </c>
      <c r="T22">
        <v>11719</v>
      </c>
      <c r="U22">
        <v>64</v>
      </c>
    </row>
    <row r="23" spans="1:21" x14ac:dyDescent="0.3">
      <c r="O23" t="s">
        <v>284</v>
      </c>
      <c r="R23" t="s">
        <v>289</v>
      </c>
    </row>
    <row r="24" spans="1:21" x14ac:dyDescent="0.3">
      <c r="M24" t="s">
        <v>291</v>
      </c>
      <c r="O24" t="s">
        <v>285</v>
      </c>
    </row>
    <row r="26" spans="1:21" x14ac:dyDescent="0.3">
      <c r="M26" t="s">
        <v>288</v>
      </c>
      <c r="O26" t="s">
        <v>287</v>
      </c>
      <c r="R26" t="s">
        <v>290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802C-A524-46C3-A381-156D0A032DFF}">
  <dimension ref="A3:Y21"/>
  <sheetViews>
    <sheetView topLeftCell="A3" workbookViewId="0">
      <selection activeCell="O9" sqref="O9"/>
    </sheetView>
  </sheetViews>
  <sheetFormatPr defaultRowHeight="14.4" x14ac:dyDescent="0.3"/>
  <cols>
    <col min="1" max="1" width="6.5546875" customWidth="1"/>
    <col min="2" max="2" width="5.109375" customWidth="1"/>
    <col min="5" max="5" width="6.88671875" customWidth="1"/>
    <col min="6" max="6" width="6.109375" customWidth="1"/>
    <col min="8" max="8" width="15.5546875" style="46" customWidth="1"/>
    <col min="11" max="11" width="8.109375" style="37" customWidth="1"/>
    <col min="12" max="12" width="5.33203125" style="26" customWidth="1"/>
    <col min="14" max="14" width="6.5546875" customWidth="1"/>
    <col min="15" max="15" width="5.109375" customWidth="1"/>
    <col min="18" max="18" width="6.88671875" customWidth="1"/>
    <col min="19" max="19" width="6.109375" customWidth="1"/>
    <col min="21" max="21" width="15.5546875" style="46" customWidth="1"/>
    <col min="24" max="24" width="7.109375" style="37" customWidth="1"/>
    <col min="25" max="25" width="5.33203125" style="26" customWidth="1"/>
  </cols>
  <sheetData>
    <row r="3" spans="1:25" s="44" customFormat="1" ht="140.4" customHeight="1" x14ac:dyDescent="0.3">
      <c r="A3" s="44" t="s">
        <v>296</v>
      </c>
      <c r="B3" s="44" t="s">
        <v>297</v>
      </c>
      <c r="C3" s="44">
        <v>1351</v>
      </c>
      <c r="D3" s="44">
        <v>1024</v>
      </c>
      <c r="E3" s="44" t="s">
        <v>295</v>
      </c>
      <c r="F3" s="44" t="s">
        <v>298</v>
      </c>
      <c r="G3" s="44" t="s">
        <v>299</v>
      </c>
      <c r="H3" s="45">
        <v>10000</v>
      </c>
      <c r="I3" s="44">
        <v>6</v>
      </c>
      <c r="J3" s="44" t="s">
        <v>300</v>
      </c>
      <c r="K3" s="48" t="s">
        <v>302</v>
      </c>
      <c r="L3" s="47" t="s">
        <v>301</v>
      </c>
      <c r="N3" s="44" t="s">
        <v>296</v>
      </c>
      <c r="O3" s="44" t="s">
        <v>297</v>
      </c>
      <c r="P3" s="44">
        <v>132</v>
      </c>
      <c r="Q3" s="44">
        <v>100</v>
      </c>
      <c r="R3" s="44" t="s">
        <v>295</v>
      </c>
      <c r="S3" s="44" t="s">
        <v>298</v>
      </c>
      <c r="T3" s="44" t="s">
        <v>299</v>
      </c>
      <c r="U3" s="45">
        <v>10000</v>
      </c>
      <c r="V3" s="44">
        <v>6</v>
      </c>
      <c r="W3" s="44" t="s">
        <v>300</v>
      </c>
      <c r="X3" s="48" t="s">
        <v>302</v>
      </c>
      <c r="Y3" s="47" t="s">
        <v>301</v>
      </c>
    </row>
    <row r="4" spans="1:25" x14ac:dyDescent="0.3">
      <c r="A4">
        <v>200</v>
      </c>
      <c r="B4">
        <v>0</v>
      </c>
      <c r="C4">
        <f>IF(B4&gt;0,-1*A4,A4)</f>
        <v>200</v>
      </c>
      <c r="D4">
        <f>C4*1351</f>
        <v>270200</v>
      </c>
      <c r="E4">
        <f>INT(D4/1024)</f>
        <v>263</v>
      </c>
      <c r="F4">
        <v>26</v>
      </c>
      <c r="G4">
        <f t="shared" ref="G4:G21" si="0">INT((E4*10)/F4)</f>
        <v>101</v>
      </c>
      <c r="H4" s="46">
        <f>G4/10000</f>
        <v>1.01E-2</v>
      </c>
      <c r="I4">
        <f>H4*6*F4</f>
        <v>1.5756000000000001</v>
      </c>
      <c r="J4">
        <f>I4*PI()</f>
        <v>4.949893384996078</v>
      </c>
      <c r="K4" s="37">
        <f>J4</f>
        <v>4.949893384996078</v>
      </c>
      <c r="L4" s="26">
        <f t="shared" ref="L4:L21" si="1">C4/60</f>
        <v>3.3333333333333335</v>
      </c>
      <c r="N4">
        <v>200</v>
      </c>
      <c r="O4">
        <v>0</v>
      </c>
      <c r="P4">
        <f>IF(O4&gt;0,-1*N4,N4)</f>
        <v>200</v>
      </c>
      <c r="Q4">
        <f>P4*132</f>
        <v>26400</v>
      </c>
      <c r="R4">
        <f>INT(Q4/100)</f>
        <v>264</v>
      </c>
      <c r="S4">
        <v>26</v>
      </c>
      <c r="T4">
        <f>INT((R4*10)/S4)</f>
        <v>101</v>
      </c>
      <c r="U4" s="46">
        <f>T4/10000</f>
        <v>1.01E-2</v>
      </c>
      <c r="V4">
        <f>U4*6*S4</f>
        <v>1.5756000000000001</v>
      </c>
      <c r="W4">
        <f>V4*PI()</f>
        <v>4.949893384996078</v>
      </c>
      <c r="X4" s="37">
        <f>W4</f>
        <v>4.949893384996078</v>
      </c>
      <c r="Y4" s="26">
        <f t="shared" ref="Y4:Y21" si="2">P4/60</f>
        <v>3.3333333333333335</v>
      </c>
    </row>
    <row r="5" spans="1:25" x14ac:dyDescent="0.3">
      <c r="A5">
        <v>500</v>
      </c>
      <c r="B5">
        <v>0</v>
      </c>
      <c r="C5">
        <f t="shared" ref="C5:C21" si="3">IF(B5&gt;0,-1*A5,A5)</f>
        <v>500</v>
      </c>
      <c r="D5">
        <f t="shared" ref="D5:D21" si="4">C5*1351</f>
        <v>675500</v>
      </c>
      <c r="E5">
        <f t="shared" ref="E5:E21" si="5">INT(D5/1024)</f>
        <v>659</v>
      </c>
      <c r="F5">
        <v>26</v>
      </c>
      <c r="G5">
        <f t="shared" si="0"/>
        <v>253</v>
      </c>
      <c r="H5" s="46">
        <f t="shared" ref="H5:H21" si="6">G5/10000</f>
        <v>2.53E-2</v>
      </c>
      <c r="I5">
        <f t="shared" ref="I5:I21" si="7">H5*6*F5</f>
        <v>3.9467999999999996</v>
      </c>
      <c r="J5">
        <f t="shared" ref="J5:J21" si="8">I5*PI()</f>
        <v>12.399237885188194</v>
      </c>
      <c r="K5" s="37">
        <f t="shared" ref="K5:K21" si="9">J5</f>
        <v>12.399237885188194</v>
      </c>
      <c r="L5" s="26">
        <f t="shared" si="1"/>
        <v>8.3333333333333339</v>
      </c>
      <c r="N5">
        <v>500</v>
      </c>
      <c r="O5">
        <v>0</v>
      </c>
      <c r="P5">
        <f t="shared" ref="P5:P21" si="10">IF(O5&gt;0,-1*N5,N5)</f>
        <v>500</v>
      </c>
      <c r="Q5">
        <f t="shared" ref="Q5:Q21" si="11">P5*132</f>
        <v>66000</v>
      </c>
      <c r="R5">
        <f t="shared" ref="R5:R21" si="12">INT(Q5/100)</f>
        <v>660</v>
      </c>
      <c r="S5">
        <v>26</v>
      </c>
      <c r="T5">
        <f t="shared" ref="T5:T21" si="13">INT((R5*10)/S5)</f>
        <v>253</v>
      </c>
      <c r="U5" s="46">
        <f t="shared" ref="U5:U21" si="14">T5/10000</f>
        <v>2.53E-2</v>
      </c>
      <c r="V5">
        <f t="shared" ref="V5:V21" si="15">U5*6*S5</f>
        <v>3.9467999999999996</v>
      </c>
      <c r="W5">
        <f t="shared" ref="W5:W21" si="16">V5*PI()</f>
        <v>12.399237885188194</v>
      </c>
      <c r="X5" s="37">
        <f t="shared" ref="X5:X21" si="17">W5</f>
        <v>12.399237885188194</v>
      </c>
      <c r="Y5" s="26">
        <f t="shared" si="2"/>
        <v>8.3333333333333339</v>
      </c>
    </row>
    <row r="6" spans="1:25" x14ac:dyDescent="0.3">
      <c r="A6">
        <v>758</v>
      </c>
      <c r="B6">
        <v>0</v>
      </c>
      <c r="C6">
        <f t="shared" si="3"/>
        <v>758</v>
      </c>
      <c r="D6">
        <f t="shared" si="4"/>
        <v>1024058</v>
      </c>
      <c r="E6">
        <f t="shared" si="5"/>
        <v>1000</v>
      </c>
      <c r="F6">
        <v>26</v>
      </c>
      <c r="G6">
        <f t="shared" si="0"/>
        <v>384</v>
      </c>
      <c r="H6" s="46">
        <f t="shared" si="6"/>
        <v>3.8399999999999997E-2</v>
      </c>
      <c r="I6">
        <f t="shared" si="7"/>
        <v>5.9904000000000002</v>
      </c>
      <c r="J6">
        <f t="shared" si="8"/>
        <v>18.819396632064297</v>
      </c>
      <c r="K6" s="37">
        <f t="shared" si="9"/>
        <v>18.819396632064297</v>
      </c>
      <c r="L6" s="26">
        <f t="shared" si="1"/>
        <v>12.633333333333333</v>
      </c>
      <c r="N6">
        <v>758</v>
      </c>
      <c r="O6">
        <v>0</v>
      </c>
      <c r="P6">
        <f t="shared" si="10"/>
        <v>758</v>
      </c>
      <c r="Q6">
        <f t="shared" si="11"/>
        <v>100056</v>
      </c>
      <c r="R6">
        <f t="shared" si="12"/>
        <v>1000</v>
      </c>
      <c r="S6">
        <v>26</v>
      </c>
      <c r="T6">
        <f t="shared" si="13"/>
        <v>384</v>
      </c>
      <c r="U6" s="46">
        <f t="shared" si="14"/>
        <v>3.8399999999999997E-2</v>
      </c>
      <c r="V6">
        <f t="shared" si="15"/>
        <v>5.9904000000000002</v>
      </c>
      <c r="W6">
        <f t="shared" si="16"/>
        <v>18.819396632064297</v>
      </c>
      <c r="X6" s="37">
        <f t="shared" si="17"/>
        <v>18.819396632064297</v>
      </c>
      <c r="Y6" s="26">
        <f t="shared" si="2"/>
        <v>12.633333333333333</v>
      </c>
    </row>
    <row r="7" spans="1:25" x14ac:dyDescent="0.3">
      <c r="A7">
        <v>1200</v>
      </c>
      <c r="B7">
        <v>0</v>
      </c>
      <c r="C7">
        <f t="shared" si="3"/>
        <v>1200</v>
      </c>
      <c r="D7">
        <f t="shared" si="4"/>
        <v>1621200</v>
      </c>
      <c r="E7">
        <f t="shared" si="5"/>
        <v>1583</v>
      </c>
      <c r="F7">
        <v>26</v>
      </c>
      <c r="G7">
        <f t="shared" si="0"/>
        <v>608</v>
      </c>
      <c r="H7" s="46">
        <f t="shared" si="6"/>
        <v>6.08E-2</v>
      </c>
      <c r="I7">
        <f t="shared" si="7"/>
        <v>9.4847999999999999</v>
      </c>
      <c r="J7">
        <f t="shared" si="8"/>
        <v>29.797378000768468</v>
      </c>
      <c r="K7" s="37">
        <f t="shared" si="9"/>
        <v>29.797378000768468</v>
      </c>
      <c r="L7" s="26">
        <f t="shared" si="1"/>
        <v>20</v>
      </c>
      <c r="N7">
        <v>1200</v>
      </c>
      <c r="O7">
        <v>0</v>
      </c>
      <c r="P7">
        <f t="shared" si="10"/>
        <v>1200</v>
      </c>
      <c r="Q7">
        <f t="shared" si="11"/>
        <v>158400</v>
      </c>
      <c r="R7">
        <f t="shared" si="12"/>
        <v>1584</v>
      </c>
      <c r="S7">
        <v>26</v>
      </c>
      <c r="T7">
        <f t="shared" si="13"/>
        <v>609</v>
      </c>
      <c r="U7" s="46">
        <f t="shared" si="14"/>
        <v>6.0900000000000003E-2</v>
      </c>
      <c r="V7">
        <f t="shared" si="15"/>
        <v>9.5004000000000008</v>
      </c>
      <c r="W7">
        <f t="shared" si="16"/>
        <v>29.846386846164474</v>
      </c>
      <c r="X7" s="37">
        <f t="shared" si="17"/>
        <v>29.846386846164474</v>
      </c>
      <c r="Y7" s="26">
        <f t="shared" si="2"/>
        <v>20</v>
      </c>
    </row>
    <row r="8" spans="1:25" x14ac:dyDescent="0.3">
      <c r="A8">
        <v>1400</v>
      </c>
      <c r="B8">
        <v>0</v>
      </c>
      <c r="C8">
        <f t="shared" si="3"/>
        <v>1400</v>
      </c>
      <c r="D8">
        <f t="shared" si="4"/>
        <v>1891400</v>
      </c>
      <c r="E8">
        <f t="shared" si="5"/>
        <v>1847</v>
      </c>
      <c r="F8">
        <v>26</v>
      </c>
      <c r="G8">
        <f t="shared" si="0"/>
        <v>710</v>
      </c>
      <c r="H8" s="46">
        <f t="shared" si="6"/>
        <v>7.0999999999999994E-2</v>
      </c>
      <c r="I8">
        <f t="shared" si="7"/>
        <v>11.075999999999999</v>
      </c>
      <c r="J8">
        <f t="shared" si="8"/>
        <v>34.796280231160544</v>
      </c>
      <c r="K8" s="37">
        <f t="shared" si="9"/>
        <v>34.796280231160544</v>
      </c>
      <c r="L8" s="26">
        <f t="shared" si="1"/>
        <v>23.333333333333332</v>
      </c>
      <c r="N8">
        <v>1400</v>
      </c>
      <c r="O8">
        <v>0</v>
      </c>
      <c r="P8">
        <f t="shared" si="10"/>
        <v>1400</v>
      </c>
      <c r="Q8">
        <f t="shared" si="11"/>
        <v>184800</v>
      </c>
      <c r="R8">
        <f t="shared" si="12"/>
        <v>1848</v>
      </c>
      <c r="S8">
        <v>26</v>
      </c>
      <c r="T8">
        <f t="shared" si="13"/>
        <v>710</v>
      </c>
      <c r="U8" s="46">
        <f t="shared" si="14"/>
        <v>7.0999999999999994E-2</v>
      </c>
      <c r="V8">
        <f t="shared" si="15"/>
        <v>11.075999999999999</v>
      </c>
      <c r="W8">
        <f t="shared" si="16"/>
        <v>34.796280231160544</v>
      </c>
      <c r="X8" s="37">
        <f t="shared" si="17"/>
        <v>34.796280231160544</v>
      </c>
      <c r="Y8" s="26">
        <f t="shared" si="2"/>
        <v>23.333333333333332</v>
      </c>
    </row>
    <row r="9" spans="1:25" x14ac:dyDescent="0.3">
      <c r="A9">
        <v>1800</v>
      </c>
      <c r="B9">
        <v>0</v>
      </c>
      <c r="C9">
        <f t="shared" si="3"/>
        <v>1800</v>
      </c>
      <c r="D9">
        <f t="shared" si="4"/>
        <v>2431800</v>
      </c>
      <c r="E9">
        <f t="shared" si="5"/>
        <v>2374</v>
      </c>
      <c r="F9">
        <v>26</v>
      </c>
      <c r="G9">
        <f t="shared" si="0"/>
        <v>913</v>
      </c>
      <c r="H9" s="46">
        <f t="shared" si="6"/>
        <v>9.1300000000000006E-2</v>
      </c>
      <c r="I9">
        <f t="shared" si="7"/>
        <v>14.242800000000003</v>
      </c>
      <c r="J9">
        <f t="shared" si="8"/>
        <v>44.745075846548716</v>
      </c>
      <c r="K9" s="37">
        <f t="shared" si="9"/>
        <v>44.745075846548716</v>
      </c>
      <c r="L9" s="26">
        <f t="shared" si="1"/>
        <v>30</v>
      </c>
      <c r="N9">
        <v>1800</v>
      </c>
      <c r="O9">
        <v>0</v>
      </c>
      <c r="P9">
        <f t="shared" si="10"/>
        <v>1800</v>
      </c>
      <c r="Q9">
        <f t="shared" si="11"/>
        <v>237600</v>
      </c>
      <c r="R9">
        <f t="shared" si="12"/>
        <v>2376</v>
      </c>
      <c r="S9">
        <v>26</v>
      </c>
      <c r="T9">
        <f t="shared" si="13"/>
        <v>913</v>
      </c>
      <c r="U9" s="46">
        <f t="shared" si="14"/>
        <v>9.1300000000000006E-2</v>
      </c>
      <c r="V9">
        <f t="shared" si="15"/>
        <v>14.242800000000003</v>
      </c>
      <c r="W9">
        <f t="shared" si="16"/>
        <v>44.745075846548716</v>
      </c>
      <c r="X9" s="37">
        <f t="shared" si="17"/>
        <v>44.745075846548716</v>
      </c>
      <c r="Y9" s="26">
        <f t="shared" si="2"/>
        <v>30</v>
      </c>
    </row>
    <row r="10" spans="1:25" x14ac:dyDescent="0.3">
      <c r="A10">
        <v>2186</v>
      </c>
      <c r="B10">
        <v>0</v>
      </c>
      <c r="C10">
        <f t="shared" si="3"/>
        <v>2186</v>
      </c>
      <c r="D10">
        <f t="shared" si="4"/>
        <v>2953286</v>
      </c>
      <c r="E10">
        <f t="shared" si="5"/>
        <v>2884</v>
      </c>
      <c r="F10">
        <v>26</v>
      </c>
      <c r="G10">
        <f t="shared" si="0"/>
        <v>1109</v>
      </c>
      <c r="H10" s="46">
        <f t="shared" si="6"/>
        <v>0.1109</v>
      </c>
      <c r="I10">
        <f t="shared" si="7"/>
        <v>17.3004</v>
      </c>
      <c r="J10">
        <f t="shared" si="8"/>
        <v>54.350809544164854</v>
      </c>
      <c r="K10" s="37">
        <f t="shared" si="9"/>
        <v>54.350809544164854</v>
      </c>
      <c r="L10" s="26">
        <f t="shared" si="1"/>
        <v>36.43333333333333</v>
      </c>
      <c r="N10">
        <v>2186</v>
      </c>
      <c r="O10">
        <v>0</v>
      </c>
      <c r="P10">
        <f t="shared" si="10"/>
        <v>2186</v>
      </c>
      <c r="Q10">
        <f t="shared" si="11"/>
        <v>288552</v>
      </c>
      <c r="R10">
        <f t="shared" si="12"/>
        <v>2885</v>
      </c>
      <c r="S10">
        <v>26</v>
      </c>
      <c r="T10">
        <f t="shared" si="13"/>
        <v>1109</v>
      </c>
      <c r="U10" s="46">
        <f t="shared" si="14"/>
        <v>0.1109</v>
      </c>
      <c r="V10">
        <f t="shared" si="15"/>
        <v>17.3004</v>
      </c>
      <c r="W10">
        <f t="shared" si="16"/>
        <v>54.350809544164854</v>
      </c>
      <c r="X10" s="37">
        <f t="shared" si="17"/>
        <v>54.350809544164854</v>
      </c>
      <c r="Y10" s="26">
        <f t="shared" si="2"/>
        <v>36.43333333333333</v>
      </c>
    </row>
    <row r="11" spans="1:25" x14ac:dyDescent="0.3">
      <c r="A11">
        <v>2884</v>
      </c>
      <c r="B11">
        <v>0</v>
      </c>
      <c r="C11">
        <f t="shared" si="3"/>
        <v>2884</v>
      </c>
      <c r="D11">
        <f t="shared" si="4"/>
        <v>3896284</v>
      </c>
      <c r="E11">
        <f t="shared" si="5"/>
        <v>3804</v>
      </c>
      <c r="F11">
        <v>26</v>
      </c>
      <c r="G11">
        <f t="shared" si="0"/>
        <v>1463</v>
      </c>
      <c r="H11" s="46">
        <f t="shared" si="6"/>
        <v>0.14630000000000001</v>
      </c>
      <c r="I11">
        <f t="shared" si="7"/>
        <v>22.822800000000004</v>
      </c>
      <c r="J11">
        <f t="shared" si="8"/>
        <v>71.699940814349148</v>
      </c>
      <c r="K11" s="37">
        <f t="shared" si="9"/>
        <v>71.699940814349148</v>
      </c>
      <c r="L11" s="26">
        <f t="shared" si="1"/>
        <v>48.06666666666667</v>
      </c>
      <c r="N11">
        <v>2884</v>
      </c>
      <c r="O11">
        <v>0</v>
      </c>
      <c r="P11">
        <f t="shared" si="10"/>
        <v>2884</v>
      </c>
      <c r="Q11">
        <f t="shared" si="11"/>
        <v>380688</v>
      </c>
      <c r="R11">
        <f t="shared" si="12"/>
        <v>3806</v>
      </c>
      <c r="S11">
        <v>26</v>
      </c>
      <c r="T11">
        <f t="shared" si="13"/>
        <v>1463</v>
      </c>
      <c r="U11" s="46">
        <f t="shared" si="14"/>
        <v>0.14630000000000001</v>
      </c>
      <c r="V11">
        <f t="shared" si="15"/>
        <v>22.822800000000004</v>
      </c>
      <c r="W11">
        <f t="shared" si="16"/>
        <v>71.699940814349148</v>
      </c>
      <c r="X11" s="37">
        <f t="shared" si="17"/>
        <v>71.699940814349148</v>
      </c>
      <c r="Y11" s="26">
        <f t="shared" si="2"/>
        <v>48.06666666666667</v>
      </c>
    </row>
    <row r="12" spans="1:25" x14ac:dyDescent="0.3">
      <c r="A12">
        <v>3000</v>
      </c>
      <c r="B12">
        <v>0</v>
      </c>
      <c r="C12">
        <f t="shared" si="3"/>
        <v>3000</v>
      </c>
      <c r="D12">
        <f t="shared" si="4"/>
        <v>4053000</v>
      </c>
      <c r="E12">
        <f t="shared" si="5"/>
        <v>3958</v>
      </c>
      <c r="F12">
        <v>26</v>
      </c>
      <c r="G12">
        <f t="shared" si="0"/>
        <v>1522</v>
      </c>
      <c r="H12" s="46">
        <f t="shared" si="6"/>
        <v>0.1522</v>
      </c>
      <c r="I12">
        <f t="shared" si="7"/>
        <v>23.743200000000002</v>
      </c>
      <c r="J12">
        <f t="shared" si="8"/>
        <v>74.591462692713179</v>
      </c>
      <c r="K12" s="37">
        <f t="shared" si="9"/>
        <v>74.591462692713179</v>
      </c>
      <c r="L12" s="26">
        <f t="shared" si="1"/>
        <v>50</v>
      </c>
      <c r="N12">
        <v>3000</v>
      </c>
      <c r="O12">
        <v>0</v>
      </c>
      <c r="P12">
        <f t="shared" si="10"/>
        <v>3000</v>
      </c>
      <c r="Q12">
        <f t="shared" si="11"/>
        <v>396000</v>
      </c>
      <c r="R12">
        <f t="shared" si="12"/>
        <v>3960</v>
      </c>
      <c r="S12">
        <v>26</v>
      </c>
      <c r="T12">
        <f t="shared" si="13"/>
        <v>1523</v>
      </c>
      <c r="U12" s="46">
        <f t="shared" si="14"/>
        <v>0.15229999999999999</v>
      </c>
      <c r="V12">
        <f t="shared" si="15"/>
        <v>23.758799999999997</v>
      </c>
      <c r="W12">
        <f t="shared" si="16"/>
        <v>74.640471538109168</v>
      </c>
      <c r="X12" s="37">
        <f t="shared" si="17"/>
        <v>74.640471538109168</v>
      </c>
      <c r="Y12" s="26">
        <f t="shared" si="2"/>
        <v>50</v>
      </c>
    </row>
    <row r="13" spans="1:25" x14ac:dyDescent="0.3">
      <c r="A13">
        <v>4000</v>
      </c>
      <c r="B13">
        <v>0</v>
      </c>
      <c r="C13">
        <f t="shared" si="3"/>
        <v>4000</v>
      </c>
      <c r="D13">
        <f t="shared" si="4"/>
        <v>5404000</v>
      </c>
      <c r="E13">
        <f t="shared" si="5"/>
        <v>5277</v>
      </c>
      <c r="F13">
        <v>26</v>
      </c>
      <c r="G13">
        <f t="shared" si="0"/>
        <v>2029</v>
      </c>
      <c r="H13" s="46">
        <f t="shared" si="6"/>
        <v>0.2029</v>
      </c>
      <c r="I13">
        <f t="shared" si="7"/>
        <v>31.6524</v>
      </c>
      <c r="J13">
        <f t="shared" si="8"/>
        <v>99.438947308485567</v>
      </c>
      <c r="K13" s="37">
        <f t="shared" si="9"/>
        <v>99.438947308485567</v>
      </c>
      <c r="L13" s="26">
        <f t="shared" si="1"/>
        <v>66.666666666666671</v>
      </c>
      <c r="N13">
        <v>4000</v>
      </c>
      <c r="O13">
        <v>0</v>
      </c>
      <c r="P13">
        <f t="shared" si="10"/>
        <v>4000</v>
      </c>
      <c r="Q13">
        <f t="shared" si="11"/>
        <v>528000</v>
      </c>
      <c r="R13">
        <f t="shared" si="12"/>
        <v>5280</v>
      </c>
      <c r="S13">
        <v>26</v>
      </c>
      <c r="T13">
        <f t="shared" si="13"/>
        <v>2030</v>
      </c>
      <c r="U13" s="46">
        <f t="shared" si="14"/>
        <v>0.20300000000000001</v>
      </c>
      <c r="V13">
        <f t="shared" si="15"/>
        <v>31.667999999999999</v>
      </c>
      <c r="W13">
        <f t="shared" si="16"/>
        <v>99.487956153881569</v>
      </c>
      <c r="X13" s="37">
        <f t="shared" si="17"/>
        <v>99.487956153881569</v>
      </c>
      <c r="Y13" s="26">
        <f t="shared" si="2"/>
        <v>66.666666666666671</v>
      </c>
    </row>
    <row r="14" spans="1:25" x14ac:dyDescent="0.3">
      <c r="A14">
        <v>5000</v>
      </c>
      <c r="B14">
        <v>0</v>
      </c>
      <c r="C14">
        <f t="shared" si="3"/>
        <v>5000</v>
      </c>
      <c r="D14">
        <f t="shared" si="4"/>
        <v>6755000</v>
      </c>
      <c r="E14">
        <f t="shared" si="5"/>
        <v>6596</v>
      </c>
      <c r="F14">
        <v>26</v>
      </c>
      <c r="G14">
        <f t="shared" si="0"/>
        <v>2536</v>
      </c>
      <c r="H14" s="46">
        <f t="shared" si="6"/>
        <v>0.25359999999999999</v>
      </c>
      <c r="I14">
        <f t="shared" si="7"/>
        <v>39.561599999999999</v>
      </c>
      <c r="J14">
        <f t="shared" si="8"/>
        <v>124.28643192425795</v>
      </c>
      <c r="K14" s="37">
        <f t="shared" si="9"/>
        <v>124.28643192425795</v>
      </c>
      <c r="L14" s="26">
        <f t="shared" si="1"/>
        <v>83.333333333333329</v>
      </c>
      <c r="N14">
        <v>5000</v>
      </c>
      <c r="O14">
        <v>0</v>
      </c>
      <c r="P14">
        <f t="shared" si="10"/>
        <v>5000</v>
      </c>
      <c r="Q14">
        <f t="shared" si="11"/>
        <v>660000</v>
      </c>
      <c r="R14">
        <f t="shared" si="12"/>
        <v>6600</v>
      </c>
      <c r="S14">
        <v>26</v>
      </c>
      <c r="T14">
        <f t="shared" si="13"/>
        <v>2538</v>
      </c>
      <c r="U14" s="46">
        <f t="shared" si="14"/>
        <v>0.25380000000000003</v>
      </c>
      <c r="V14">
        <f t="shared" si="15"/>
        <v>39.592800000000004</v>
      </c>
      <c r="W14">
        <f t="shared" si="16"/>
        <v>124.38444961504997</v>
      </c>
      <c r="X14" s="37">
        <f t="shared" si="17"/>
        <v>124.38444961504997</v>
      </c>
      <c r="Y14" s="26">
        <f t="shared" si="2"/>
        <v>83.333333333333329</v>
      </c>
    </row>
    <row r="15" spans="1:25" x14ac:dyDescent="0.3">
      <c r="A15">
        <v>200</v>
      </c>
      <c r="B15">
        <v>1</v>
      </c>
      <c r="C15">
        <f t="shared" si="3"/>
        <v>-200</v>
      </c>
      <c r="D15">
        <f t="shared" si="4"/>
        <v>-270200</v>
      </c>
      <c r="E15">
        <f t="shared" si="5"/>
        <v>-264</v>
      </c>
      <c r="F15">
        <v>26</v>
      </c>
      <c r="G15">
        <f t="shared" si="0"/>
        <v>-102</v>
      </c>
      <c r="H15" s="46">
        <f t="shared" si="6"/>
        <v>-1.0200000000000001E-2</v>
      </c>
      <c r="I15">
        <f t="shared" si="7"/>
        <v>-1.5912000000000002</v>
      </c>
      <c r="J15">
        <f t="shared" si="8"/>
        <v>-4.9989022303920789</v>
      </c>
      <c r="K15" s="37">
        <f t="shared" si="9"/>
        <v>-4.9989022303920789</v>
      </c>
      <c r="L15" s="26">
        <f t="shared" si="1"/>
        <v>-3.3333333333333335</v>
      </c>
      <c r="N15">
        <v>200</v>
      </c>
      <c r="O15">
        <v>1</v>
      </c>
      <c r="P15">
        <f t="shared" si="10"/>
        <v>-200</v>
      </c>
      <c r="Q15">
        <f t="shared" si="11"/>
        <v>-26400</v>
      </c>
      <c r="R15">
        <f t="shared" si="12"/>
        <v>-264</v>
      </c>
      <c r="S15">
        <v>26</v>
      </c>
      <c r="T15">
        <f t="shared" si="13"/>
        <v>-102</v>
      </c>
      <c r="U15" s="46">
        <f t="shared" si="14"/>
        <v>-1.0200000000000001E-2</v>
      </c>
      <c r="V15">
        <f t="shared" si="15"/>
        <v>-1.5912000000000002</v>
      </c>
      <c r="W15">
        <f t="shared" si="16"/>
        <v>-4.9989022303920789</v>
      </c>
      <c r="X15" s="37">
        <f t="shared" si="17"/>
        <v>-4.9989022303920789</v>
      </c>
      <c r="Y15" s="26">
        <f t="shared" si="2"/>
        <v>-3.3333333333333335</v>
      </c>
    </row>
    <row r="16" spans="1:25" x14ac:dyDescent="0.3">
      <c r="A16">
        <v>1000</v>
      </c>
      <c r="B16">
        <v>1</v>
      </c>
      <c r="C16">
        <f t="shared" si="3"/>
        <v>-1000</v>
      </c>
      <c r="D16">
        <f t="shared" si="4"/>
        <v>-1351000</v>
      </c>
      <c r="E16">
        <f t="shared" si="5"/>
        <v>-1320</v>
      </c>
      <c r="F16">
        <v>26</v>
      </c>
      <c r="G16">
        <f t="shared" si="0"/>
        <v>-508</v>
      </c>
      <c r="H16" s="46">
        <f t="shared" si="6"/>
        <v>-5.0799999999999998E-2</v>
      </c>
      <c r="I16">
        <f t="shared" si="7"/>
        <v>-7.9247999999999994</v>
      </c>
      <c r="J16">
        <f t="shared" si="8"/>
        <v>-24.89649346116839</v>
      </c>
      <c r="K16" s="37">
        <f t="shared" si="9"/>
        <v>-24.89649346116839</v>
      </c>
      <c r="L16" s="26">
        <f t="shared" si="1"/>
        <v>-16.666666666666668</v>
      </c>
      <c r="N16">
        <v>1000</v>
      </c>
      <c r="O16">
        <v>1</v>
      </c>
      <c r="P16">
        <f t="shared" si="10"/>
        <v>-1000</v>
      </c>
      <c r="Q16">
        <f t="shared" si="11"/>
        <v>-132000</v>
      </c>
      <c r="R16">
        <f t="shared" si="12"/>
        <v>-1320</v>
      </c>
      <c r="S16">
        <v>26</v>
      </c>
      <c r="T16">
        <f t="shared" si="13"/>
        <v>-508</v>
      </c>
      <c r="U16" s="46">
        <f t="shared" si="14"/>
        <v>-5.0799999999999998E-2</v>
      </c>
      <c r="V16">
        <f t="shared" si="15"/>
        <v>-7.9247999999999994</v>
      </c>
      <c r="W16">
        <f t="shared" si="16"/>
        <v>-24.89649346116839</v>
      </c>
      <c r="X16" s="37">
        <f t="shared" si="17"/>
        <v>-24.89649346116839</v>
      </c>
      <c r="Y16" s="26">
        <f t="shared" si="2"/>
        <v>-16.666666666666668</v>
      </c>
    </row>
    <row r="17" spans="1:25" x14ac:dyDescent="0.3">
      <c r="A17">
        <v>1400</v>
      </c>
      <c r="B17">
        <v>1</v>
      </c>
      <c r="C17">
        <f t="shared" si="3"/>
        <v>-1400</v>
      </c>
      <c r="D17">
        <f t="shared" si="4"/>
        <v>-1891400</v>
      </c>
      <c r="E17">
        <f t="shared" si="5"/>
        <v>-1848</v>
      </c>
      <c r="F17">
        <v>26</v>
      </c>
      <c r="G17">
        <f t="shared" si="0"/>
        <v>-711</v>
      </c>
      <c r="H17" s="46">
        <f t="shared" si="6"/>
        <v>-7.1099999999999997E-2</v>
      </c>
      <c r="I17">
        <f t="shared" si="7"/>
        <v>-11.0916</v>
      </c>
      <c r="J17">
        <f t="shared" si="8"/>
        <v>-34.845289076556547</v>
      </c>
      <c r="K17" s="37">
        <f t="shared" si="9"/>
        <v>-34.845289076556547</v>
      </c>
      <c r="L17" s="26">
        <f t="shared" si="1"/>
        <v>-23.333333333333332</v>
      </c>
      <c r="N17">
        <v>1400</v>
      </c>
      <c r="O17">
        <v>1</v>
      </c>
      <c r="P17">
        <f t="shared" si="10"/>
        <v>-1400</v>
      </c>
      <c r="Q17">
        <f t="shared" si="11"/>
        <v>-184800</v>
      </c>
      <c r="R17">
        <f t="shared" si="12"/>
        <v>-1848</v>
      </c>
      <c r="S17">
        <v>26</v>
      </c>
      <c r="T17">
        <f t="shared" si="13"/>
        <v>-711</v>
      </c>
      <c r="U17" s="46">
        <f t="shared" si="14"/>
        <v>-7.1099999999999997E-2</v>
      </c>
      <c r="V17">
        <f t="shared" si="15"/>
        <v>-11.0916</v>
      </c>
      <c r="W17">
        <f t="shared" si="16"/>
        <v>-34.845289076556547</v>
      </c>
      <c r="X17" s="37">
        <f t="shared" si="17"/>
        <v>-34.845289076556547</v>
      </c>
      <c r="Y17" s="26">
        <f t="shared" si="2"/>
        <v>-23.333333333333332</v>
      </c>
    </row>
    <row r="18" spans="1:25" x14ac:dyDescent="0.3">
      <c r="A18">
        <v>2500</v>
      </c>
      <c r="B18">
        <v>1</v>
      </c>
      <c r="C18">
        <f t="shared" si="3"/>
        <v>-2500</v>
      </c>
      <c r="D18">
        <f t="shared" si="4"/>
        <v>-3377500</v>
      </c>
      <c r="E18">
        <f t="shared" si="5"/>
        <v>-3299</v>
      </c>
      <c r="F18">
        <v>26</v>
      </c>
      <c r="G18">
        <f t="shared" si="0"/>
        <v>-1269</v>
      </c>
      <c r="H18" s="46">
        <f t="shared" si="6"/>
        <v>-0.12690000000000001</v>
      </c>
      <c r="I18">
        <f t="shared" si="7"/>
        <v>-19.796400000000002</v>
      </c>
      <c r="J18">
        <f t="shared" si="8"/>
        <v>-62.192224807524987</v>
      </c>
      <c r="K18" s="37">
        <f t="shared" si="9"/>
        <v>-62.192224807524987</v>
      </c>
      <c r="L18" s="26">
        <f t="shared" si="1"/>
        <v>-41.666666666666664</v>
      </c>
      <c r="N18">
        <v>2500</v>
      </c>
      <c r="O18">
        <v>1</v>
      </c>
      <c r="P18">
        <f t="shared" si="10"/>
        <v>-2500</v>
      </c>
      <c r="Q18">
        <f t="shared" si="11"/>
        <v>-330000</v>
      </c>
      <c r="R18">
        <f t="shared" si="12"/>
        <v>-3300</v>
      </c>
      <c r="S18">
        <v>26</v>
      </c>
      <c r="T18">
        <f t="shared" si="13"/>
        <v>-1270</v>
      </c>
      <c r="U18" s="46">
        <f t="shared" si="14"/>
        <v>-0.127</v>
      </c>
      <c r="V18">
        <f t="shared" si="15"/>
        <v>-19.812000000000001</v>
      </c>
      <c r="W18">
        <f t="shared" si="16"/>
        <v>-62.241233652920982</v>
      </c>
      <c r="X18" s="37">
        <f t="shared" si="17"/>
        <v>-62.241233652920982</v>
      </c>
      <c r="Y18" s="26">
        <f t="shared" si="2"/>
        <v>-41.666666666666664</v>
      </c>
    </row>
    <row r="19" spans="1:25" x14ac:dyDescent="0.3">
      <c r="A19">
        <v>3000</v>
      </c>
      <c r="B19">
        <v>1</v>
      </c>
      <c r="C19">
        <f t="shared" si="3"/>
        <v>-3000</v>
      </c>
      <c r="D19">
        <f t="shared" si="4"/>
        <v>-4053000</v>
      </c>
      <c r="E19">
        <f t="shared" si="5"/>
        <v>-3959</v>
      </c>
      <c r="F19">
        <v>26</v>
      </c>
      <c r="G19">
        <f t="shared" si="0"/>
        <v>-1523</v>
      </c>
      <c r="H19" s="46">
        <f t="shared" si="6"/>
        <v>-0.15229999999999999</v>
      </c>
      <c r="I19">
        <f t="shared" si="7"/>
        <v>-23.758799999999997</v>
      </c>
      <c r="J19">
        <f t="shared" si="8"/>
        <v>-74.640471538109168</v>
      </c>
      <c r="K19" s="37">
        <f t="shared" si="9"/>
        <v>-74.640471538109168</v>
      </c>
      <c r="L19" s="26">
        <f t="shared" si="1"/>
        <v>-50</v>
      </c>
      <c r="N19">
        <v>3000</v>
      </c>
      <c r="O19">
        <v>1</v>
      </c>
      <c r="P19">
        <f t="shared" si="10"/>
        <v>-3000</v>
      </c>
      <c r="Q19">
        <f t="shared" si="11"/>
        <v>-396000</v>
      </c>
      <c r="R19">
        <f t="shared" si="12"/>
        <v>-3960</v>
      </c>
      <c r="S19">
        <v>26</v>
      </c>
      <c r="T19">
        <f t="shared" si="13"/>
        <v>-1524</v>
      </c>
      <c r="U19" s="46">
        <f t="shared" si="14"/>
        <v>-0.15240000000000001</v>
      </c>
      <c r="V19">
        <f t="shared" si="15"/>
        <v>-23.774400000000004</v>
      </c>
      <c r="W19">
        <f t="shared" si="16"/>
        <v>-74.689480383505185</v>
      </c>
      <c r="X19" s="37">
        <f t="shared" si="17"/>
        <v>-74.689480383505185</v>
      </c>
      <c r="Y19" s="26">
        <f t="shared" si="2"/>
        <v>-50</v>
      </c>
    </row>
    <row r="20" spans="1:25" x14ac:dyDescent="0.3">
      <c r="A20">
        <v>4000</v>
      </c>
      <c r="B20">
        <v>1</v>
      </c>
      <c r="C20">
        <f t="shared" si="3"/>
        <v>-4000</v>
      </c>
      <c r="D20">
        <f t="shared" si="4"/>
        <v>-5404000</v>
      </c>
      <c r="E20">
        <f t="shared" si="5"/>
        <v>-5278</v>
      </c>
      <c r="F20">
        <v>26</v>
      </c>
      <c r="G20">
        <f t="shared" si="0"/>
        <v>-2030</v>
      </c>
      <c r="H20" s="46">
        <f t="shared" si="6"/>
        <v>-0.20300000000000001</v>
      </c>
      <c r="I20">
        <f t="shared" si="7"/>
        <v>-31.667999999999999</v>
      </c>
      <c r="J20">
        <f t="shared" si="8"/>
        <v>-99.487956153881569</v>
      </c>
      <c r="K20" s="37">
        <f t="shared" si="9"/>
        <v>-99.487956153881569</v>
      </c>
      <c r="L20" s="26">
        <f t="shared" si="1"/>
        <v>-66.666666666666671</v>
      </c>
      <c r="N20">
        <v>4000</v>
      </c>
      <c r="O20">
        <v>1</v>
      </c>
      <c r="P20">
        <f t="shared" si="10"/>
        <v>-4000</v>
      </c>
      <c r="Q20">
        <f t="shared" si="11"/>
        <v>-528000</v>
      </c>
      <c r="R20">
        <f t="shared" si="12"/>
        <v>-5280</v>
      </c>
      <c r="S20">
        <v>26</v>
      </c>
      <c r="T20">
        <f t="shared" si="13"/>
        <v>-2031</v>
      </c>
      <c r="U20" s="46">
        <f t="shared" si="14"/>
        <v>-0.2031</v>
      </c>
      <c r="V20">
        <f t="shared" si="15"/>
        <v>-31.683599999999998</v>
      </c>
      <c r="W20">
        <f t="shared" si="16"/>
        <v>-99.536964999277558</v>
      </c>
      <c r="X20" s="37">
        <f t="shared" si="17"/>
        <v>-99.536964999277558</v>
      </c>
      <c r="Y20" s="26">
        <f t="shared" si="2"/>
        <v>-66.666666666666671</v>
      </c>
    </row>
    <row r="21" spans="1:25" x14ac:dyDescent="0.3">
      <c r="A21">
        <v>5000</v>
      </c>
      <c r="B21">
        <v>1</v>
      </c>
      <c r="C21">
        <f t="shared" si="3"/>
        <v>-5000</v>
      </c>
      <c r="D21">
        <f t="shared" si="4"/>
        <v>-6755000</v>
      </c>
      <c r="E21">
        <f t="shared" si="5"/>
        <v>-6597</v>
      </c>
      <c r="F21">
        <v>26</v>
      </c>
      <c r="G21">
        <f t="shared" si="0"/>
        <v>-2538</v>
      </c>
      <c r="H21" s="46">
        <f t="shared" si="6"/>
        <v>-0.25380000000000003</v>
      </c>
      <c r="I21">
        <f t="shared" si="7"/>
        <v>-39.592800000000004</v>
      </c>
      <c r="J21">
        <f t="shared" si="8"/>
        <v>-124.38444961504997</v>
      </c>
      <c r="K21" s="37">
        <f t="shared" si="9"/>
        <v>-124.38444961504997</v>
      </c>
      <c r="L21" s="26">
        <f t="shared" si="1"/>
        <v>-83.333333333333329</v>
      </c>
      <c r="N21">
        <v>5000</v>
      </c>
      <c r="O21">
        <v>1</v>
      </c>
      <c r="P21">
        <f t="shared" si="10"/>
        <v>-5000</v>
      </c>
      <c r="Q21">
        <f t="shared" si="11"/>
        <v>-660000</v>
      </c>
      <c r="R21">
        <f t="shared" si="12"/>
        <v>-6600</v>
      </c>
      <c r="S21">
        <v>26</v>
      </c>
      <c r="T21">
        <f t="shared" si="13"/>
        <v>-2539</v>
      </c>
      <c r="U21" s="46">
        <f t="shared" si="14"/>
        <v>-0.25390000000000001</v>
      </c>
      <c r="V21">
        <f t="shared" si="15"/>
        <v>-39.608400000000003</v>
      </c>
      <c r="W21">
        <f t="shared" si="16"/>
        <v>-124.43345846044598</v>
      </c>
      <c r="X21" s="37">
        <f t="shared" si="17"/>
        <v>-124.43345846044598</v>
      </c>
      <c r="Y21" s="26">
        <f t="shared" si="2"/>
        <v>-83.333333333333329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8D5C-C95A-4FDB-B0A4-F41E3919026D}">
  <dimension ref="A1:Q30"/>
  <sheetViews>
    <sheetView workbookViewId="0">
      <selection activeCell="J7" sqref="J7"/>
    </sheetView>
  </sheetViews>
  <sheetFormatPr defaultRowHeight="14.4" x14ac:dyDescent="0.3"/>
  <cols>
    <col min="6" max="6" width="8.88671875" style="1"/>
  </cols>
  <sheetData>
    <row r="1" spans="1:17" x14ac:dyDescent="0.3">
      <c r="A1" t="s">
        <v>252</v>
      </c>
      <c r="B1" t="s">
        <v>253</v>
      </c>
      <c r="C1" t="s">
        <v>252</v>
      </c>
      <c r="D1" t="s">
        <v>258</v>
      </c>
      <c r="G1" t="s">
        <v>260</v>
      </c>
    </row>
    <row r="2" spans="1:17" x14ac:dyDescent="0.3">
      <c r="A2">
        <v>1</v>
      </c>
      <c r="B2">
        <f t="shared" ref="B2" si="0">65536</f>
        <v>65536</v>
      </c>
      <c r="C2">
        <f>IF(B2&gt;32767,65536-B2,B2)</f>
        <v>0</v>
      </c>
    </row>
    <row r="3" spans="1:17" x14ac:dyDescent="0.3">
      <c r="A3">
        <f t="shared" ref="A3:A9" si="1">B3-65536</f>
        <v>-32770</v>
      </c>
      <c r="B3">
        <f>32766</f>
        <v>32766</v>
      </c>
      <c r="C3">
        <f>IF(B3&gt;32767,65535-B3+1,B3)</f>
        <v>32766</v>
      </c>
      <c r="D3" t="str">
        <f>IF(B3&gt;32767,"Neg","Pos")</f>
        <v>Pos</v>
      </c>
      <c r="E3" s="3" t="str">
        <f>IF(B3&gt;32767,"-","+")</f>
        <v>+</v>
      </c>
      <c r="F3" s="1">
        <f>C3</f>
        <v>32766</v>
      </c>
      <c r="G3">
        <f t="shared" ref="G3:G8" si="2">IF(B3&gt;32767,(65535-B3+1)*-1,B3)</f>
        <v>32766</v>
      </c>
    </row>
    <row r="4" spans="1:17" x14ac:dyDescent="0.3">
      <c r="A4">
        <f t="shared" si="1"/>
        <v>-32769</v>
      </c>
      <c r="B4">
        <f>32767</f>
        <v>32767</v>
      </c>
      <c r="C4">
        <f>IF(B4&gt;32767,65535-B4+1,B4)</f>
        <v>32767</v>
      </c>
      <c r="D4" t="str">
        <f t="shared" ref="D4:D30" si="3">IF(B4&gt;32767,"Neg","Pos")</f>
        <v>Pos</v>
      </c>
      <c r="E4" s="3" t="str">
        <f t="shared" ref="E4:E30" si="4">IF(B4&gt;32767,"-","+")</f>
        <v>+</v>
      </c>
      <c r="F4" s="1">
        <f t="shared" ref="F4:F30" si="5">C4</f>
        <v>32767</v>
      </c>
      <c r="G4">
        <f t="shared" si="2"/>
        <v>32767</v>
      </c>
    </row>
    <row r="5" spans="1:17" x14ac:dyDescent="0.3">
      <c r="A5">
        <f t="shared" si="1"/>
        <v>-32768</v>
      </c>
      <c r="B5">
        <f>32768</f>
        <v>32768</v>
      </c>
      <c r="C5">
        <f t="shared" ref="C5:C30" si="6">IF(B5&gt;32767,65535-B5+1,B5)</f>
        <v>32768</v>
      </c>
      <c r="D5" t="str">
        <f t="shared" si="3"/>
        <v>Neg</v>
      </c>
      <c r="E5" s="3" t="str">
        <f t="shared" si="4"/>
        <v>-</v>
      </c>
      <c r="F5" s="1">
        <f t="shared" si="5"/>
        <v>32768</v>
      </c>
      <c r="G5">
        <f t="shared" si="2"/>
        <v>-32768</v>
      </c>
    </row>
    <row r="6" spans="1:17" x14ac:dyDescent="0.3">
      <c r="A6">
        <f t="shared" si="1"/>
        <v>-32767</v>
      </c>
      <c r="B6">
        <f>32769</f>
        <v>32769</v>
      </c>
      <c r="C6">
        <f t="shared" si="6"/>
        <v>32767</v>
      </c>
      <c r="D6" t="str">
        <f t="shared" si="3"/>
        <v>Neg</v>
      </c>
      <c r="E6" s="3" t="str">
        <f t="shared" si="4"/>
        <v>-</v>
      </c>
      <c r="F6" s="1">
        <f t="shared" si="5"/>
        <v>32767</v>
      </c>
      <c r="G6">
        <f t="shared" si="2"/>
        <v>-32767</v>
      </c>
    </row>
    <row r="7" spans="1:17" ht="15.6" x14ac:dyDescent="0.3">
      <c r="A7">
        <f t="shared" si="1"/>
        <v>-32766</v>
      </c>
      <c r="B7">
        <f>32770</f>
        <v>32770</v>
      </c>
      <c r="C7">
        <f t="shared" si="6"/>
        <v>32766</v>
      </c>
      <c r="D7" t="str">
        <f t="shared" si="3"/>
        <v>Neg</v>
      </c>
      <c r="E7" s="3" t="str">
        <f t="shared" si="4"/>
        <v>-</v>
      </c>
      <c r="F7" s="1">
        <f t="shared" si="5"/>
        <v>32766</v>
      </c>
      <c r="G7">
        <f t="shared" si="2"/>
        <v>-32766</v>
      </c>
      <c r="J7" s="41" t="s">
        <v>255</v>
      </c>
    </row>
    <row r="8" spans="1:17" x14ac:dyDescent="0.3">
      <c r="A8">
        <f t="shared" si="1"/>
        <v>-20000</v>
      </c>
      <c r="B8">
        <f>45536</f>
        <v>45536</v>
      </c>
      <c r="C8">
        <f t="shared" si="6"/>
        <v>20000</v>
      </c>
      <c r="D8" t="str">
        <f t="shared" si="3"/>
        <v>Neg</v>
      </c>
      <c r="E8" s="3" t="str">
        <f t="shared" si="4"/>
        <v>-</v>
      </c>
      <c r="F8" s="1">
        <f t="shared" si="5"/>
        <v>20000</v>
      </c>
      <c r="G8">
        <f t="shared" si="2"/>
        <v>-20000</v>
      </c>
    </row>
    <row r="9" spans="1:17" x14ac:dyDescent="0.3">
      <c r="A9">
        <f t="shared" si="1"/>
        <v>-10000</v>
      </c>
      <c r="B9">
        <f>55536</f>
        <v>55536</v>
      </c>
      <c r="C9">
        <f t="shared" si="6"/>
        <v>10000</v>
      </c>
      <c r="D9" t="str">
        <f t="shared" si="3"/>
        <v>Neg</v>
      </c>
      <c r="E9" s="3" t="str">
        <f t="shared" si="4"/>
        <v>-</v>
      </c>
      <c r="F9" s="1">
        <f t="shared" si="5"/>
        <v>10000</v>
      </c>
      <c r="G9">
        <f>IF(B9&gt;32767,(65535-B9+1)*-1,B9)</f>
        <v>-10000</v>
      </c>
    </row>
    <row r="10" spans="1:17" x14ac:dyDescent="0.3">
      <c r="A10">
        <f t="shared" ref="A10:A12" si="7">B10-65536</f>
        <v>-5</v>
      </c>
      <c r="B10">
        <f>65531</f>
        <v>65531</v>
      </c>
      <c r="C10">
        <f t="shared" si="6"/>
        <v>5</v>
      </c>
      <c r="D10" t="str">
        <f t="shared" si="3"/>
        <v>Neg</v>
      </c>
      <c r="E10" s="3" t="str">
        <f t="shared" si="4"/>
        <v>-</v>
      </c>
      <c r="F10" s="1">
        <f t="shared" si="5"/>
        <v>5</v>
      </c>
      <c r="G10">
        <f t="shared" ref="G10:G30" si="8">IF(B10&gt;32767,(65535-B10+1)*-1,B10)</f>
        <v>-5</v>
      </c>
      <c r="K10" t="s">
        <v>254</v>
      </c>
      <c r="L10">
        <v>32767</v>
      </c>
    </row>
    <row r="11" spans="1:17" x14ac:dyDescent="0.3">
      <c r="A11">
        <f t="shared" si="7"/>
        <v>-4</v>
      </c>
      <c r="B11">
        <f>65532</f>
        <v>65532</v>
      </c>
      <c r="C11">
        <f t="shared" si="6"/>
        <v>4</v>
      </c>
      <c r="D11" t="str">
        <f t="shared" si="3"/>
        <v>Neg</v>
      </c>
      <c r="E11" s="3" t="str">
        <f t="shared" si="4"/>
        <v>-</v>
      </c>
      <c r="F11" s="1">
        <f t="shared" si="5"/>
        <v>4</v>
      </c>
      <c r="G11">
        <f t="shared" si="8"/>
        <v>-4</v>
      </c>
      <c r="K11">
        <v>8000</v>
      </c>
      <c r="L11">
        <v>0</v>
      </c>
    </row>
    <row r="12" spans="1:17" x14ac:dyDescent="0.3">
      <c r="A12">
        <f t="shared" si="7"/>
        <v>-3</v>
      </c>
      <c r="B12">
        <f>65533</f>
        <v>65533</v>
      </c>
      <c r="C12">
        <f t="shared" si="6"/>
        <v>3</v>
      </c>
      <c r="D12" t="str">
        <f t="shared" si="3"/>
        <v>Neg</v>
      </c>
      <c r="E12" s="3" t="str">
        <f t="shared" si="4"/>
        <v>-</v>
      </c>
      <c r="F12" s="1">
        <f t="shared" si="5"/>
        <v>3</v>
      </c>
      <c r="G12">
        <f t="shared" si="8"/>
        <v>-3</v>
      </c>
      <c r="K12">
        <v>8001</v>
      </c>
      <c r="L12">
        <v>-1</v>
      </c>
    </row>
    <row r="13" spans="1:17" x14ac:dyDescent="0.3">
      <c r="A13">
        <f>B13-65536</f>
        <v>-2</v>
      </c>
      <c r="B13">
        <f>65534</f>
        <v>65534</v>
      </c>
      <c r="C13">
        <f t="shared" si="6"/>
        <v>2</v>
      </c>
      <c r="D13" t="str">
        <f t="shared" si="3"/>
        <v>Neg</v>
      </c>
      <c r="E13" s="3" t="str">
        <f t="shared" si="4"/>
        <v>-</v>
      </c>
      <c r="F13" s="1">
        <f t="shared" si="5"/>
        <v>2</v>
      </c>
      <c r="G13">
        <f t="shared" si="8"/>
        <v>-2</v>
      </c>
    </row>
    <row r="14" spans="1:17" x14ac:dyDescent="0.3">
      <c r="A14">
        <f>B14-65536</f>
        <v>-1</v>
      </c>
      <c r="B14">
        <f>65535</f>
        <v>65535</v>
      </c>
      <c r="C14">
        <f t="shared" si="6"/>
        <v>1</v>
      </c>
      <c r="D14" t="str">
        <f t="shared" si="3"/>
        <v>Neg</v>
      </c>
      <c r="E14" s="3" t="str">
        <f t="shared" si="4"/>
        <v>-</v>
      </c>
      <c r="F14" s="1">
        <f t="shared" si="5"/>
        <v>1</v>
      </c>
      <c r="G14">
        <f t="shared" si="8"/>
        <v>-1</v>
      </c>
      <c r="P14" t="s">
        <v>259</v>
      </c>
    </row>
    <row r="15" spans="1:17" x14ac:dyDescent="0.3">
      <c r="A15">
        <f>B15</f>
        <v>0</v>
      </c>
      <c r="B15">
        <v>0</v>
      </c>
      <c r="C15">
        <f t="shared" si="6"/>
        <v>0</v>
      </c>
      <c r="D15" t="str">
        <f t="shared" si="3"/>
        <v>Pos</v>
      </c>
      <c r="E15" s="3" t="str">
        <f t="shared" si="4"/>
        <v>+</v>
      </c>
      <c r="F15" s="1">
        <f t="shared" si="5"/>
        <v>0</v>
      </c>
      <c r="G15">
        <f t="shared" si="8"/>
        <v>0</v>
      </c>
    </row>
    <row r="16" spans="1:17" x14ac:dyDescent="0.3">
      <c r="A16">
        <f t="shared" ref="A16:A30" si="9">B16</f>
        <v>1</v>
      </c>
      <c r="B16">
        <v>1</v>
      </c>
      <c r="C16">
        <f t="shared" si="6"/>
        <v>1</v>
      </c>
      <c r="D16" t="str">
        <f t="shared" si="3"/>
        <v>Pos</v>
      </c>
      <c r="E16" s="3" t="str">
        <f t="shared" si="4"/>
        <v>+</v>
      </c>
      <c r="F16" s="1">
        <f t="shared" si="5"/>
        <v>1</v>
      </c>
      <c r="G16">
        <f t="shared" si="8"/>
        <v>1</v>
      </c>
      <c r="N16" t="s">
        <v>256</v>
      </c>
      <c r="O16">
        <v>32767</v>
      </c>
      <c r="P16">
        <v>128</v>
      </c>
      <c r="Q16">
        <f>O16-P16</f>
        <v>32639</v>
      </c>
    </row>
    <row r="17" spans="1:17" x14ac:dyDescent="0.3">
      <c r="A17">
        <f t="shared" si="9"/>
        <v>2</v>
      </c>
      <c r="B17">
        <v>2</v>
      </c>
      <c r="C17">
        <f t="shared" si="6"/>
        <v>2</v>
      </c>
      <c r="D17" t="str">
        <f t="shared" si="3"/>
        <v>Pos</v>
      </c>
      <c r="E17" s="3" t="str">
        <f t="shared" si="4"/>
        <v>+</v>
      </c>
      <c r="F17" s="1">
        <f t="shared" si="5"/>
        <v>2</v>
      </c>
      <c r="G17">
        <f t="shared" si="8"/>
        <v>2</v>
      </c>
      <c r="N17" t="s">
        <v>257</v>
      </c>
      <c r="O17">
        <v>-32768</v>
      </c>
      <c r="P17">
        <v>128</v>
      </c>
      <c r="Q17">
        <f>ABS(O17)+P17</f>
        <v>32896</v>
      </c>
    </row>
    <row r="18" spans="1:17" x14ac:dyDescent="0.3">
      <c r="A18">
        <f t="shared" si="9"/>
        <v>3</v>
      </c>
      <c r="B18">
        <v>3</v>
      </c>
      <c r="C18">
        <f t="shared" si="6"/>
        <v>3</v>
      </c>
      <c r="D18" t="str">
        <f t="shared" si="3"/>
        <v>Pos</v>
      </c>
      <c r="E18" s="3" t="str">
        <f t="shared" si="4"/>
        <v>+</v>
      </c>
      <c r="F18" s="1">
        <f t="shared" si="5"/>
        <v>3</v>
      </c>
      <c r="G18">
        <f t="shared" si="8"/>
        <v>3</v>
      </c>
    </row>
    <row r="19" spans="1:17" x14ac:dyDescent="0.3">
      <c r="A19">
        <f t="shared" si="9"/>
        <v>4</v>
      </c>
      <c r="B19">
        <v>4</v>
      </c>
      <c r="C19">
        <f t="shared" si="6"/>
        <v>4</v>
      </c>
      <c r="D19" t="str">
        <f t="shared" si="3"/>
        <v>Pos</v>
      </c>
      <c r="E19" s="3" t="str">
        <f t="shared" si="4"/>
        <v>+</v>
      </c>
      <c r="F19" s="1">
        <f t="shared" si="5"/>
        <v>4</v>
      </c>
      <c r="G19">
        <f t="shared" si="8"/>
        <v>4</v>
      </c>
    </row>
    <row r="20" spans="1:17" x14ac:dyDescent="0.3">
      <c r="A20">
        <f t="shared" si="9"/>
        <v>5</v>
      </c>
      <c r="B20">
        <v>5</v>
      </c>
      <c r="C20">
        <f t="shared" si="6"/>
        <v>5</v>
      </c>
      <c r="D20" t="str">
        <f t="shared" si="3"/>
        <v>Pos</v>
      </c>
      <c r="E20" s="3" t="str">
        <f t="shared" si="4"/>
        <v>+</v>
      </c>
      <c r="F20" s="1">
        <f t="shared" si="5"/>
        <v>5</v>
      </c>
      <c r="G20">
        <f t="shared" si="8"/>
        <v>5</v>
      </c>
    </row>
    <row r="21" spans="1:17" x14ac:dyDescent="0.3">
      <c r="A21">
        <f t="shared" si="9"/>
        <v>1000</v>
      </c>
      <c r="B21">
        <v>1000</v>
      </c>
      <c r="C21">
        <f t="shared" si="6"/>
        <v>1000</v>
      </c>
      <c r="D21" t="str">
        <f t="shared" si="3"/>
        <v>Pos</v>
      </c>
      <c r="E21" s="3" t="str">
        <f t="shared" si="4"/>
        <v>+</v>
      </c>
      <c r="F21" s="1">
        <f t="shared" si="5"/>
        <v>1000</v>
      </c>
      <c r="G21">
        <f t="shared" si="8"/>
        <v>1000</v>
      </c>
    </row>
    <row r="22" spans="1:17" x14ac:dyDescent="0.3">
      <c r="A22">
        <f t="shared" si="9"/>
        <v>10000</v>
      </c>
      <c r="B22">
        <v>10000</v>
      </c>
      <c r="C22">
        <f t="shared" si="6"/>
        <v>10000</v>
      </c>
      <c r="D22" t="str">
        <f t="shared" si="3"/>
        <v>Pos</v>
      </c>
      <c r="E22" s="3" t="str">
        <f t="shared" si="4"/>
        <v>+</v>
      </c>
      <c r="F22" s="1">
        <f t="shared" si="5"/>
        <v>10000</v>
      </c>
      <c r="G22">
        <f t="shared" si="8"/>
        <v>10000</v>
      </c>
    </row>
    <row r="23" spans="1:17" x14ac:dyDescent="0.3">
      <c r="A23">
        <f t="shared" si="9"/>
        <v>20000</v>
      </c>
      <c r="B23">
        <v>20000</v>
      </c>
      <c r="C23">
        <f t="shared" si="6"/>
        <v>20000</v>
      </c>
      <c r="D23" t="str">
        <f t="shared" si="3"/>
        <v>Pos</v>
      </c>
      <c r="E23" s="3" t="str">
        <f t="shared" si="4"/>
        <v>+</v>
      </c>
      <c r="F23" s="1">
        <f t="shared" si="5"/>
        <v>20000</v>
      </c>
      <c r="G23">
        <f t="shared" si="8"/>
        <v>20000</v>
      </c>
    </row>
    <row r="24" spans="1:17" x14ac:dyDescent="0.3">
      <c r="A24">
        <f t="shared" si="9"/>
        <v>30000</v>
      </c>
      <c r="B24">
        <v>30000</v>
      </c>
      <c r="C24">
        <f t="shared" si="6"/>
        <v>30000</v>
      </c>
      <c r="D24" t="str">
        <f t="shared" si="3"/>
        <v>Pos</v>
      </c>
      <c r="E24" s="3" t="str">
        <f t="shared" si="4"/>
        <v>+</v>
      </c>
      <c r="F24" s="1">
        <f t="shared" si="5"/>
        <v>30000</v>
      </c>
      <c r="G24">
        <f t="shared" si="8"/>
        <v>30000</v>
      </c>
    </row>
    <row r="25" spans="1:17" x14ac:dyDescent="0.3">
      <c r="A25">
        <f t="shared" si="9"/>
        <v>32765</v>
      </c>
      <c r="B25">
        <v>32765</v>
      </c>
      <c r="C25">
        <f t="shared" si="6"/>
        <v>32765</v>
      </c>
      <c r="D25" t="str">
        <f t="shared" si="3"/>
        <v>Pos</v>
      </c>
      <c r="E25" s="3" t="str">
        <f t="shared" si="4"/>
        <v>+</v>
      </c>
      <c r="F25" s="1">
        <f t="shared" si="5"/>
        <v>32765</v>
      </c>
      <c r="G25">
        <f t="shared" si="8"/>
        <v>32765</v>
      </c>
    </row>
    <row r="26" spans="1:17" x14ac:dyDescent="0.3">
      <c r="A26">
        <f t="shared" si="9"/>
        <v>32766</v>
      </c>
      <c r="B26">
        <v>32766</v>
      </c>
      <c r="C26">
        <f t="shared" si="6"/>
        <v>32766</v>
      </c>
      <c r="D26" t="str">
        <f t="shared" si="3"/>
        <v>Pos</v>
      </c>
      <c r="E26" s="3" t="str">
        <f t="shared" si="4"/>
        <v>+</v>
      </c>
      <c r="F26" s="1">
        <f t="shared" si="5"/>
        <v>32766</v>
      </c>
      <c r="G26">
        <f t="shared" si="8"/>
        <v>32766</v>
      </c>
    </row>
    <row r="27" spans="1:17" x14ac:dyDescent="0.3">
      <c r="A27">
        <f t="shared" si="9"/>
        <v>32767</v>
      </c>
      <c r="B27">
        <v>32767</v>
      </c>
      <c r="C27">
        <f t="shared" si="6"/>
        <v>32767</v>
      </c>
      <c r="D27" t="str">
        <f t="shared" si="3"/>
        <v>Pos</v>
      </c>
      <c r="E27" s="3" t="str">
        <f t="shared" si="4"/>
        <v>+</v>
      </c>
      <c r="F27" s="1">
        <f t="shared" si="5"/>
        <v>32767</v>
      </c>
      <c r="G27">
        <f t="shared" si="8"/>
        <v>32767</v>
      </c>
    </row>
    <row r="28" spans="1:17" x14ac:dyDescent="0.3">
      <c r="A28">
        <f t="shared" si="9"/>
        <v>32768</v>
      </c>
      <c r="B28">
        <v>32768</v>
      </c>
      <c r="C28">
        <f t="shared" si="6"/>
        <v>32768</v>
      </c>
      <c r="D28" t="str">
        <f t="shared" si="3"/>
        <v>Neg</v>
      </c>
      <c r="E28" s="3" t="str">
        <f t="shared" si="4"/>
        <v>-</v>
      </c>
      <c r="F28" s="1">
        <f t="shared" si="5"/>
        <v>32768</v>
      </c>
      <c r="G28">
        <f t="shared" si="8"/>
        <v>-32768</v>
      </c>
    </row>
    <row r="29" spans="1:17" x14ac:dyDescent="0.3">
      <c r="A29">
        <f t="shared" si="9"/>
        <v>32769</v>
      </c>
      <c r="B29">
        <v>32769</v>
      </c>
      <c r="C29">
        <f t="shared" si="6"/>
        <v>32767</v>
      </c>
      <c r="D29" t="str">
        <f t="shared" si="3"/>
        <v>Neg</v>
      </c>
      <c r="E29" s="3" t="str">
        <f t="shared" si="4"/>
        <v>-</v>
      </c>
      <c r="F29" s="1">
        <f t="shared" si="5"/>
        <v>32767</v>
      </c>
      <c r="G29">
        <f t="shared" si="8"/>
        <v>-32767</v>
      </c>
    </row>
    <row r="30" spans="1:17" x14ac:dyDescent="0.3">
      <c r="A30">
        <f t="shared" si="9"/>
        <v>32770</v>
      </c>
      <c r="B30">
        <v>32770</v>
      </c>
      <c r="C30">
        <f t="shared" si="6"/>
        <v>32766</v>
      </c>
      <c r="D30" t="str">
        <f t="shared" si="3"/>
        <v>Neg</v>
      </c>
      <c r="E30" s="3" t="str">
        <f t="shared" si="4"/>
        <v>-</v>
      </c>
      <c r="F30" s="1">
        <f t="shared" si="5"/>
        <v>32766</v>
      </c>
      <c r="G30">
        <f t="shared" si="8"/>
        <v>-32766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08CE-E2AC-4705-8C03-A82AC0DD1A8A}">
  <dimension ref="A2:X27"/>
  <sheetViews>
    <sheetView tabSelected="1" workbookViewId="0">
      <selection activeCell="I16" sqref="I16"/>
    </sheetView>
  </sheetViews>
  <sheetFormatPr defaultRowHeight="14.4" x14ac:dyDescent="0.3"/>
  <cols>
    <col min="1" max="1" width="7.88671875" style="32" customWidth="1"/>
    <col min="2" max="2" width="6" style="32" customWidth="1"/>
    <col min="3" max="3" width="7.44140625" style="32" customWidth="1"/>
    <col min="4" max="6" width="8.88671875" style="37"/>
    <col min="7" max="7" width="7.44140625" customWidth="1"/>
    <col min="8" max="8" width="7.109375" customWidth="1"/>
    <col min="9" max="9" width="7.77734375" customWidth="1"/>
    <col min="10" max="11" width="8.88671875" style="32"/>
    <col min="12" max="14" width="8.88671875" style="38"/>
    <col min="16" max="16" width="7.5546875" style="1" customWidth="1"/>
    <col min="17" max="17" width="5.77734375" customWidth="1"/>
    <col min="18" max="21" width="6.77734375" customWidth="1"/>
    <col min="22" max="22" width="10.6640625" customWidth="1"/>
    <col min="24" max="24" width="10.77734375" customWidth="1"/>
  </cols>
  <sheetData>
    <row r="2" spans="1:24" x14ac:dyDescent="0.3">
      <c r="V2">
        <v>74</v>
      </c>
      <c r="W2">
        <v>11</v>
      </c>
    </row>
    <row r="3" spans="1:24" x14ac:dyDescent="0.3">
      <c r="A3" s="54" t="s">
        <v>275</v>
      </c>
      <c r="B3" s="55"/>
      <c r="C3" s="56"/>
      <c r="D3" s="60" t="s">
        <v>276</v>
      </c>
      <c r="E3" s="51"/>
      <c r="F3" s="52"/>
      <c r="G3" s="53" t="s">
        <v>265</v>
      </c>
      <c r="H3" s="52"/>
      <c r="I3" s="57" t="s">
        <v>264</v>
      </c>
      <c r="J3" s="58"/>
      <c r="K3" s="59"/>
      <c r="L3" s="61" t="s">
        <v>267</v>
      </c>
      <c r="M3" s="62"/>
      <c r="N3" s="63"/>
      <c r="V3">
        <f>V2*1.1073</f>
        <v>81.94019999999999</v>
      </c>
      <c r="W3">
        <v>10</v>
      </c>
    </row>
    <row r="4" spans="1:24" x14ac:dyDescent="0.3">
      <c r="A4" s="32" t="s">
        <v>263</v>
      </c>
      <c r="B4" s="32" t="s">
        <v>262</v>
      </c>
      <c r="C4" s="32" t="s">
        <v>261</v>
      </c>
      <c r="D4" t="s">
        <v>263</v>
      </c>
      <c r="E4" t="s">
        <v>262</v>
      </c>
      <c r="F4" s="37" t="s">
        <v>261</v>
      </c>
      <c r="G4" t="s">
        <v>263</v>
      </c>
      <c r="H4" t="s">
        <v>273</v>
      </c>
      <c r="I4" t="s">
        <v>263</v>
      </c>
      <c r="J4" s="32" t="s">
        <v>262</v>
      </c>
      <c r="K4" s="32" t="s">
        <v>261</v>
      </c>
      <c r="L4" s="38" t="s">
        <v>263</v>
      </c>
      <c r="M4" s="38" t="s">
        <v>262</v>
      </c>
      <c r="N4" s="38" t="s">
        <v>261</v>
      </c>
      <c r="O4" s="38" t="s">
        <v>268</v>
      </c>
    </row>
    <row r="5" spans="1:24" x14ac:dyDescent="0.3">
      <c r="G5" t="s">
        <v>274</v>
      </c>
      <c r="H5" t="s">
        <v>261</v>
      </c>
      <c r="I5" s="5" t="s">
        <v>266</v>
      </c>
      <c r="L5" s="38" t="s">
        <v>266</v>
      </c>
      <c r="O5" t="s">
        <v>269</v>
      </c>
      <c r="P5" s="1" t="s">
        <v>270</v>
      </c>
    </row>
    <row r="6" spans="1:24" x14ac:dyDescent="0.3">
      <c r="A6" s="32">
        <v>10</v>
      </c>
      <c r="B6" s="32">
        <v>16</v>
      </c>
      <c r="C6" s="32">
        <v>26</v>
      </c>
      <c r="D6" s="37">
        <f t="shared" ref="D6:D23" si="0">A6*PI()</f>
        <v>31.415926535897931</v>
      </c>
      <c r="E6" s="37">
        <f t="shared" ref="E6:E23" si="1">B6*PI()</f>
        <v>50.26548245743669</v>
      </c>
      <c r="F6" s="37">
        <f t="shared" ref="F6:F23" si="2">C6*PI()</f>
        <v>81.681408993334628</v>
      </c>
      <c r="G6">
        <f>A6/B6</f>
        <v>0.625</v>
      </c>
      <c r="H6">
        <f>B6/C6</f>
        <v>0.61538461538461542</v>
      </c>
      <c r="I6">
        <v>10</v>
      </c>
      <c r="J6" s="32">
        <f>I6*G6</f>
        <v>6.25</v>
      </c>
      <c r="K6" s="32">
        <f>J6*H6</f>
        <v>3.8461538461538463</v>
      </c>
      <c r="L6" s="38">
        <f>A6*6*PI()*I6/10000</f>
        <v>0.18849555921538758</v>
      </c>
      <c r="M6" s="38">
        <f>B6*6*PI()*J6/10000</f>
        <v>0.18849555921538758</v>
      </c>
      <c r="N6" s="38">
        <f>C6*6*PI()*K6/10000</f>
        <v>0.18849555921538758</v>
      </c>
      <c r="O6">
        <f>I6/K6</f>
        <v>2.6</v>
      </c>
      <c r="P6" s="1">
        <f>C6/A6</f>
        <v>2.6</v>
      </c>
      <c r="Q6">
        <v>8.3000000000000007</v>
      </c>
      <c r="S6">
        <f>D6*I6</f>
        <v>314.15926535897933</v>
      </c>
      <c r="T6">
        <f t="shared" ref="T6:U6" si="3">E6*J6</f>
        <v>314.15926535897933</v>
      </c>
      <c r="U6">
        <f t="shared" si="3"/>
        <v>314.15926535897933</v>
      </c>
    </row>
    <row r="7" spans="1:24" x14ac:dyDescent="0.3">
      <c r="A7" s="32">
        <v>10</v>
      </c>
      <c r="B7" s="32">
        <v>16</v>
      </c>
      <c r="C7" s="32">
        <v>26</v>
      </c>
      <c r="D7" s="37">
        <f t="shared" si="0"/>
        <v>31.415926535897931</v>
      </c>
      <c r="E7" s="37">
        <f t="shared" si="1"/>
        <v>50.26548245743669</v>
      </c>
      <c r="F7" s="37">
        <f t="shared" si="2"/>
        <v>81.681408993334628</v>
      </c>
      <c r="G7">
        <f t="shared" ref="G7:G23" si="4">A7/B7</f>
        <v>0.625</v>
      </c>
      <c r="H7">
        <f t="shared" ref="H7:H23" si="5">B7/C7</f>
        <v>0.61538461538461542</v>
      </c>
      <c r="I7">
        <v>117</v>
      </c>
      <c r="J7" s="32">
        <f t="shared" ref="J7:J23" si="6">I7*G7</f>
        <v>73.125</v>
      </c>
      <c r="K7" s="32">
        <f t="shared" ref="K7:K23" si="7">J7*H7</f>
        <v>45</v>
      </c>
      <c r="L7" s="38">
        <f t="shared" ref="L7:L23" si="8">A7*6*PI()*I7/10000</f>
        <v>2.2053980428200348</v>
      </c>
      <c r="M7" s="38">
        <f t="shared" ref="M7:M23" si="9">B7*6*PI()*J7/10000</f>
        <v>2.2053980428200348</v>
      </c>
      <c r="N7" s="38">
        <f t="shared" ref="N7:N23" si="10">C7*6*PI()*K7/10000</f>
        <v>2.2053980428200348</v>
      </c>
      <c r="O7">
        <f t="shared" ref="O7:O23" si="11">I7/K7</f>
        <v>2.6</v>
      </c>
      <c r="P7" s="1">
        <f t="shared" ref="P7:P23" si="12">C7/A7</f>
        <v>2.6</v>
      </c>
      <c r="Q7">
        <v>8.3000000000000007</v>
      </c>
    </row>
    <row r="8" spans="1:24" x14ac:dyDescent="0.3">
      <c r="A8" s="32">
        <v>10</v>
      </c>
      <c r="B8" s="32">
        <v>16</v>
      </c>
      <c r="C8" s="32">
        <v>26</v>
      </c>
      <c r="D8" s="37">
        <f t="shared" si="0"/>
        <v>31.415926535897931</v>
      </c>
      <c r="E8" s="37">
        <f t="shared" si="1"/>
        <v>50.26548245743669</v>
      </c>
      <c r="F8" s="37">
        <f t="shared" si="2"/>
        <v>81.681408993334628</v>
      </c>
      <c r="G8">
        <f t="shared" si="4"/>
        <v>0.625</v>
      </c>
      <c r="H8">
        <f t="shared" si="5"/>
        <v>0.61538461538461542</v>
      </c>
      <c r="I8">
        <v>200</v>
      </c>
      <c r="J8" s="32">
        <f t="shared" si="6"/>
        <v>125</v>
      </c>
      <c r="K8" s="32">
        <f t="shared" si="7"/>
        <v>76.923076923076934</v>
      </c>
      <c r="L8" s="38">
        <f t="shared" si="8"/>
        <v>3.7699111843077517</v>
      </c>
      <c r="M8" s="38">
        <f t="shared" si="9"/>
        <v>3.7699111843077517</v>
      </c>
      <c r="N8" s="38">
        <f t="shared" si="10"/>
        <v>3.7699111843077526</v>
      </c>
      <c r="O8">
        <f t="shared" si="11"/>
        <v>2.5999999999999996</v>
      </c>
      <c r="P8" s="1">
        <f t="shared" si="12"/>
        <v>2.6</v>
      </c>
      <c r="Q8">
        <v>8.3000000000000007</v>
      </c>
    </row>
    <row r="9" spans="1:24" x14ac:dyDescent="0.3">
      <c r="A9" s="32">
        <v>10</v>
      </c>
      <c r="B9" s="32">
        <v>16</v>
      </c>
      <c r="C9" s="32">
        <v>26</v>
      </c>
      <c r="D9" s="37">
        <f t="shared" si="0"/>
        <v>31.415926535897931</v>
      </c>
      <c r="E9" s="37">
        <f t="shared" si="1"/>
        <v>50.26548245743669</v>
      </c>
      <c r="F9" s="37">
        <f t="shared" si="2"/>
        <v>81.681408993334628</v>
      </c>
      <c r="G9">
        <f t="shared" si="4"/>
        <v>0.625</v>
      </c>
      <c r="H9">
        <f t="shared" si="5"/>
        <v>0.61538461538461542</v>
      </c>
      <c r="I9">
        <v>300</v>
      </c>
      <c r="J9" s="32">
        <f t="shared" si="6"/>
        <v>187.5</v>
      </c>
      <c r="K9" s="32">
        <f t="shared" si="7"/>
        <v>115.38461538461539</v>
      </c>
      <c r="L9" s="38">
        <f t="shared" si="8"/>
        <v>5.6548667764616267</v>
      </c>
      <c r="M9" s="38">
        <f t="shared" si="9"/>
        <v>5.6548667764616276</v>
      </c>
      <c r="N9" s="38">
        <f t="shared" si="10"/>
        <v>5.6548667764616276</v>
      </c>
      <c r="O9">
        <f t="shared" si="11"/>
        <v>2.6</v>
      </c>
      <c r="P9" s="1">
        <f t="shared" si="12"/>
        <v>2.6</v>
      </c>
      <c r="Q9">
        <v>8.3000000000000007</v>
      </c>
    </row>
    <row r="10" spans="1:24" x14ac:dyDescent="0.3">
      <c r="A10" s="32">
        <v>10</v>
      </c>
      <c r="B10" s="32">
        <v>16</v>
      </c>
      <c r="C10" s="32">
        <v>26</v>
      </c>
      <c r="D10" s="37">
        <f t="shared" si="0"/>
        <v>31.415926535897931</v>
      </c>
      <c r="E10" s="37">
        <f t="shared" si="1"/>
        <v>50.26548245743669</v>
      </c>
      <c r="F10" s="37">
        <f t="shared" si="2"/>
        <v>81.681408993334628</v>
      </c>
      <c r="G10">
        <f t="shared" si="4"/>
        <v>0.625</v>
      </c>
      <c r="H10">
        <f t="shared" si="5"/>
        <v>0.61538461538461542</v>
      </c>
      <c r="I10">
        <v>400</v>
      </c>
      <c r="J10" s="32">
        <f t="shared" si="6"/>
        <v>250</v>
      </c>
      <c r="K10" s="32">
        <f t="shared" si="7"/>
        <v>153.84615384615387</v>
      </c>
      <c r="L10" s="38">
        <f t="shared" si="8"/>
        <v>7.5398223686155035</v>
      </c>
      <c r="M10" s="38">
        <f t="shared" si="9"/>
        <v>7.5398223686155035</v>
      </c>
      <c r="N10" s="38">
        <f t="shared" si="10"/>
        <v>7.5398223686155053</v>
      </c>
      <c r="O10">
        <f t="shared" si="11"/>
        <v>2.5999999999999996</v>
      </c>
      <c r="P10" s="1">
        <f t="shared" si="12"/>
        <v>2.6</v>
      </c>
      <c r="Q10">
        <v>8.3000000000000007</v>
      </c>
    </row>
    <row r="11" spans="1:24" x14ac:dyDescent="0.3">
      <c r="A11" s="32">
        <v>10</v>
      </c>
      <c r="B11" s="32">
        <v>16</v>
      </c>
      <c r="C11" s="32">
        <v>26</v>
      </c>
      <c r="D11" s="37">
        <f t="shared" si="0"/>
        <v>31.415926535897931</v>
      </c>
      <c r="E11" s="37">
        <f t="shared" si="1"/>
        <v>50.26548245743669</v>
      </c>
      <c r="F11" s="37">
        <f t="shared" si="2"/>
        <v>81.681408993334628</v>
      </c>
      <c r="G11">
        <f t="shared" si="4"/>
        <v>0.625</v>
      </c>
      <c r="H11">
        <f t="shared" si="5"/>
        <v>0.61538461538461542</v>
      </c>
      <c r="I11">
        <v>531</v>
      </c>
      <c r="J11" s="32">
        <f t="shared" si="6"/>
        <v>331.875</v>
      </c>
      <c r="K11" s="32">
        <f t="shared" si="7"/>
        <v>204.23076923076925</v>
      </c>
      <c r="L11" s="38">
        <f t="shared" si="8"/>
        <v>10.00911419433708</v>
      </c>
      <c r="M11" s="38">
        <f t="shared" si="9"/>
        <v>10.00911419433708</v>
      </c>
      <c r="N11" s="38">
        <f t="shared" si="10"/>
        <v>10.009114194337082</v>
      </c>
      <c r="O11">
        <f t="shared" si="11"/>
        <v>2.5999999999999996</v>
      </c>
      <c r="P11" s="1">
        <f t="shared" si="12"/>
        <v>2.6</v>
      </c>
      <c r="Q11">
        <v>8.3000000000000007</v>
      </c>
      <c r="V11" t="s">
        <v>271</v>
      </c>
      <c r="W11" t="s">
        <v>264</v>
      </c>
      <c r="X11" t="s">
        <v>272</v>
      </c>
    </row>
    <row r="12" spans="1:24" x14ac:dyDescent="0.3">
      <c r="A12" s="32">
        <v>10</v>
      </c>
      <c r="B12" s="32">
        <v>16</v>
      </c>
      <c r="C12" s="32">
        <v>26</v>
      </c>
      <c r="D12" s="37">
        <f t="shared" si="0"/>
        <v>31.415926535897931</v>
      </c>
      <c r="E12" s="37">
        <f t="shared" si="1"/>
        <v>50.26548245743669</v>
      </c>
      <c r="F12" s="37">
        <f t="shared" si="2"/>
        <v>81.681408993334628</v>
      </c>
      <c r="G12">
        <f t="shared" si="4"/>
        <v>0.625</v>
      </c>
      <c r="H12">
        <f t="shared" si="5"/>
        <v>0.61538461538461542</v>
      </c>
      <c r="I12">
        <v>588</v>
      </c>
      <c r="J12" s="32">
        <f t="shared" si="6"/>
        <v>367.5</v>
      </c>
      <c r="K12" s="32">
        <f t="shared" si="7"/>
        <v>226.15384615384616</v>
      </c>
      <c r="L12" s="38">
        <f t="shared" si="8"/>
        <v>11.083538881864788</v>
      </c>
      <c r="M12" s="38">
        <f t="shared" si="9"/>
        <v>11.08353888186479</v>
      </c>
      <c r="N12" s="38">
        <f t="shared" si="10"/>
        <v>11.08353888186479</v>
      </c>
      <c r="O12">
        <f t="shared" si="11"/>
        <v>2.6</v>
      </c>
      <c r="P12" s="1">
        <f t="shared" si="12"/>
        <v>2.6</v>
      </c>
      <c r="Q12">
        <v>8.3000000000000007</v>
      </c>
      <c r="V12">
        <v>26</v>
      </c>
      <c r="W12">
        <v>200</v>
      </c>
      <c r="X12">
        <f>V12*6*PI()*W12/10000</f>
        <v>9.8017690792001542</v>
      </c>
    </row>
    <row r="13" spans="1:24" x14ac:dyDescent="0.3">
      <c r="A13" s="32">
        <v>10</v>
      </c>
      <c r="B13" s="32">
        <v>16</v>
      </c>
      <c r="C13" s="32">
        <v>26</v>
      </c>
      <c r="D13" s="37">
        <f t="shared" si="0"/>
        <v>31.415926535897931</v>
      </c>
      <c r="E13" s="37">
        <f t="shared" si="1"/>
        <v>50.26548245743669</v>
      </c>
      <c r="F13" s="37">
        <f t="shared" si="2"/>
        <v>81.681408993334628</v>
      </c>
      <c r="G13">
        <f t="shared" si="4"/>
        <v>0.625</v>
      </c>
      <c r="H13">
        <f t="shared" si="5"/>
        <v>0.61538461538461542</v>
      </c>
      <c r="I13">
        <v>700</v>
      </c>
      <c r="J13" s="32">
        <f t="shared" si="6"/>
        <v>437.5</v>
      </c>
      <c r="K13" s="32">
        <f t="shared" si="7"/>
        <v>269.23076923076923</v>
      </c>
      <c r="L13" s="38">
        <f t="shared" si="8"/>
        <v>13.194689145077131</v>
      </c>
      <c r="M13" s="38">
        <f t="shared" si="9"/>
        <v>13.194689145077131</v>
      </c>
      <c r="N13" s="38">
        <f t="shared" si="10"/>
        <v>13.194689145077131</v>
      </c>
      <c r="O13">
        <f t="shared" si="11"/>
        <v>2.6</v>
      </c>
      <c r="P13" s="1">
        <f t="shared" si="12"/>
        <v>2.6</v>
      </c>
      <c r="Q13">
        <v>8.3000000000000007</v>
      </c>
      <c r="V13">
        <v>26</v>
      </c>
      <c r="W13">
        <v>250</v>
      </c>
      <c r="X13">
        <f t="shared" ref="X13:X19" si="13">V13*6*PI()*W13/10000</f>
        <v>12.252211349000193</v>
      </c>
    </row>
    <row r="14" spans="1:24" x14ac:dyDescent="0.3">
      <c r="A14" s="32">
        <v>10</v>
      </c>
      <c r="B14" s="32">
        <v>16</v>
      </c>
      <c r="C14" s="32">
        <v>26</v>
      </c>
      <c r="D14" s="37">
        <f t="shared" si="0"/>
        <v>31.415926535897931</v>
      </c>
      <c r="E14" s="37">
        <f t="shared" si="1"/>
        <v>50.26548245743669</v>
      </c>
      <c r="F14" s="37">
        <f t="shared" si="2"/>
        <v>81.681408993334628</v>
      </c>
      <c r="G14">
        <f t="shared" si="4"/>
        <v>0.625</v>
      </c>
      <c r="H14">
        <f t="shared" si="5"/>
        <v>0.61538461538461542</v>
      </c>
      <c r="I14">
        <v>800</v>
      </c>
      <c r="J14" s="32">
        <f t="shared" si="6"/>
        <v>500</v>
      </c>
      <c r="K14" s="32">
        <f t="shared" si="7"/>
        <v>307.69230769230774</v>
      </c>
      <c r="L14" s="38">
        <f t="shared" si="8"/>
        <v>15.079644737231007</v>
      </c>
      <c r="M14" s="38">
        <f t="shared" si="9"/>
        <v>15.079644737231007</v>
      </c>
      <c r="N14" s="38">
        <f t="shared" si="10"/>
        <v>15.079644737231011</v>
      </c>
      <c r="O14">
        <f t="shared" si="11"/>
        <v>2.5999999999999996</v>
      </c>
      <c r="P14" s="1">
        <f t="shared" si="12"/>
        <v>2.6</v>
      </c>
      <c r="Q14">
        <v>8.3000000000000007</v>
      </c>
      <c r="V14">
        <v>26</v>
      </c>
      <c r="W14">
        <v>300</v>
      </c>
      <c r="X14">
        <f t="shared" si="13"/>
        <v>14.702653618800232</v>
      </c>
    </row>
    <row r="15" spans="1:24" x14ac:dyDescent="0.3">
      <c r="A15" s="32">
        <v>10</v>
      </c>
      <c r="B15" s="32">
        <v>16</v>
      </c>
      <c r="C15" s="32">
        <v>26</v>
      </c>
      <c r="D15" s="37">
        <f t="shared" si="0"/>
        <v>31.415926535897931</v>
      </c>
      <c r="E15" s="37">
        <f t="shared" si="1"/>
        <v>50.26548245743669</v>
      </c>
      <c r="F15" s="37">
        <f t="shared" si="2"/>
        <v>81.681408993334628</v>
      </c>
      <c r="G15">
        <f t="shared" si="4"/>
        <v>0.625</v>
      </c>
      <c r="H15">
        <f t="shared" si="5"/>
        <v>0.61538461538461542</v>
      </c>
      <c r="I15">
        <v>900</v>
      </c>
      <c r="J15" s="32">
        <f t="shared" si="6"/>
        <v>562.5</v>
      </c>
      <c r="K15" s="32">
        <f t="shared" si="7"/>
        <v>346.15384615384619</v>
      </c>
      <c r="L15" s="38">
        <f t="shared" si="8"/>
        <v>16.964600329384883</v>
      </c>
      <c r="M15" s="38">
        <f t="shared" si="9"/>
        <v>16.964600329384883</v>
      </c>
      <c r="N15" s="38">
        <f t="shared" si="10"/>
        <v>16.964600329384883</v>
      </c>
      <c r="O15">
        <f t="shared" si="11"/>
        <v>2.5999999999999996</v>
      </c>
      <c r="P15" s="1">
        <f t="shared" si="12"/>
        <v>2.6</v>
      </c>
      <c r="Q15">
        <v>8.3000000000000007</v>
      </c>
      <c r="V15">
        <v>26</v>
      </c>
      <c r="W15">
        <v>350</v>
      </c>
      <c r="X15">
        <f t="shared" si="13"/>
        <v>17.153095888600269</v>
      </c>
    </row>
    <row r="16" spans="1:24" x14ac:dyDescent="0.3">
      <c r="A16" s="32">
        <v>10</v>
      </c>
      <c r="B16" s="32">
        <v>16</v>
      </c>
      <c r="C16" s="32">
        <v>26</v>
      </c>
      <c r="D16" s="37">
        <f t="shared" si="0"/>
        <v>31.415926535897931</v>
      </c>
      <c r="E16" s="37">
        <f t="shared" si="1"/>
        <v>50.26548245743669</v>
      </c>
      <c r="F16" s="37">
        <f t="shared" si="2"/>
        <v>81.681408993334628</v>
      </c>
      <c r="G16">
        <f t="shared" si="4"/>
        <v>0.625</v>
      </c>
      <c r="H16">
        <f t="shared" si="5"/>
        <v>0.61538461538461542</v>
      </c>
      <c r="I16">
        <v>1000</v>
      </c>
      <c r="J16" s="32">
        <f t="shared" si="6"/>
        <v>625</v>
      </c>
      <c r="K16" s="32">
        <f t="shared" si="7"/>
        <v>384.61538461538464</v>
      </c>
      <c r="L16" s="38">
        <f t="shared" si="8"/>
        <v>18.849555921538755</v>
      </c>
      <c r="M16" s="38">
        <f t="shared" si="9"/>
        <v>18.849555921538759</v>
      </c>
      <c r="N16" s="38">
        <f t="shared" si="10"/>
        <v>18.849555921538759</v>
      </c>
      <c r="O16">
        <f t="shared" si="11"/>
        <v>2.5999999999999996</v>
      </c>
      <c r="P16" s="1">
        <f t="shared" si="12"/>
        <v>2.6</v>
      </c>
      <c r="Q16">
        <v>8.3000000000000007</v>
      </c>
      <c r="V16">
        <v>26</v>
      </c>
      <c r="W16">
        <v>400</v>
      </c>
      <c r="X16">
        <f t="shared" si="13"/>
        <v>19.603538158400308</v>
      </c>
    </row>
    <row r="17" spans="1:24" x14ac:dyDescent="0.3">
      <c r="A17" s="32">
        <v>10</v>
      </c>
      <c r="B17" s="32">
        <v>16</v>
      </c>
      <c r="C17" s="32">
        <v>26</v>
      </c>
      <c r="D17" s="37">
        <f t="shared" si="0"/>
        <v>31.415926535897931</v>
      </c>
      <c r="E17" s="37">
        <f t="shared" si="1"/>
        <v>50.26548245743669</v>
      </c>
      <c r="F17" s="37">
        <f t="shared" si="2"/>
        <v>81.681408993334628</v>
      </c>
      <c r="G17">
        <f t="shared" si="4"/>
        <v>0.625</v>
      </c>
      <c r="H17">
        <f t="shared" si="5"/>
        <v>0.61538461538461542</v>
      </c>
      <c r="I17">
        <v>1062</v>
      </c>
      <c r="J17" s="32">
        <f t="shared" si="6"/>
        <v>663.75</v>
      </c>
      <c r="K17" s="32">
        <f t="shared" si="7"/>
        <v>408.46153846153851</v>
      </c>
      <c r="L17" s="38">
        <f t="shared" si="8"/>
        <v>20.01822838867416</v>
      </c>
      <c r="M17" s="38">
        <f t="shared" si="9"/>
        <v>20.01822838867416</v>
      </c>
      <c r="N17" s="38">
        <f t="shared" si="10"/>
        <v>20.018228388674164</v>
      </c>
      <c r="O17">
        <f t="shared" si="11"/>
        <v>2.5999999999999996</v>
      </c>
      <c r="P17" s="1">
        <f t="shared" si="12"/>
        <v>2.6</v>
      </c>
      <c r="Q17">
        <v>8.3000000000000007</v>
      </c>
      <c r="V17">
        <v>26</v>
      </c>
      <c r="W17">
        <v>450</v>
      </c>
      <c r="X17">
        <f t="shared" si="13"/>
        <v>22.053980428200347</v>
      </c>
    </row>
    <row r="18" spans="1:24" x14ac:dyDescent="0.3">
      <c r="A18" s="32">
        <v>10</v>
      </c>
      <c r="B18" s="32">
        <v>16</v>
      </c>
      <c r="C18" s="32">
        <v>26</v>
      </c>
      <c r="D18" s="37">
        <f t="shared" si="0"/>
        <v>31.415926535897931</v>
      </c>
      <c r="E18" s="37">
        <f t="shared" si="1"/>
        <v>50.26548245743669</v>
      </c>
      <c r="F18" s="37">
        <f t="shared" si="2"/>
        <v>81.681408993334628</v>
      </c>
      <c r="G18">
        <f t="shared" si="4"/>
        <v>0.625</v>
      </c>
      <c r="H18">
        <f t="shared" si="5"/>
        <v>0.61538461538461542</v>
      </c>
      <c r="I18">
        <v>1200</v>
      </c>
      <c r="J18" s="32">
        <f t="shared" si="6"/>
        <v>750</v>
      </c>
      <c r="K18" s="32">
        <f t="shared" si="7"/>
        <v>461.53846153846155</v>
      </c>
      <c r="L18" s="38">
        <f t="shared" si="8"/>
        <v>22.619467105846507</v>
      </c>
      <c r="M18" s="38">
        <f t="shared" si="9"/>
        <v>22.61946710584651</v>
      </c>
      <c r="N18" s="38">
        <f t="shared" si="10"/>
        <v>22.61946710584651</v>
      </c>
      <c r="O18">
        <f t="shared" si="11"/>
        <v>2.6</v>
      </c>
      <c r="P18" s="1">
        <f t="shared" si="12"/>
        <v>2.6</v>
      </c>
      <c r="Q18">
        <v>8.3000000000000007</v>
      </c>
      <c r="V18">
        <v>26</v>
      </c>
      <c r="W18">
        <v>500</v>
      </c>
      <c r="X18">
        <f t="shared" si="13"/>
        <v>24.504422698000386</v>
      </c>
    </row>
    <row r="19" spans="1:24" x14ac:dyDescent="0.3">
      <c r="A19" s="32">
        <v>10</v>
      </c>
      <c r="B19" s="32">
        <v>16</v>
      </c>
      <c r="C19" s="32">
        <v>26</v>
      </c>
      <c r="D19" s="37">
        <f t="shared" si="0"/>
        <v>31.415926535897931</v>
      </c>
      <c r="E19" s="37">
        <f t="shared" si="1"/>
        <v>50.26548245743669</v>
      </c>
      <c r="F19" s="37">
        <f t="shared" si="2"/>
        <v>81.681408993334628</v>
      </c>
      <c r="G19">
        <f t="shared" si="4"/>
        <v>0.625</v>
      </c>
      <c r="H19">
        <f t="shared" si="5"/>
        <v>0.61538461538461542</v>
      </c>
      <c r="I19">
        <v>1327</v>
      </c>
      <c r="J19" s="32">
        <f t="shared" si="6"/>
        <v>829.375</v>
      </c>
      <c r="K19" s="32">
        <f t="shared" si="7"/>
        <v>510.38461538461542</v>
      </c>
      <c r="L19" s="38">
        <f t="shared" si="8"/>
        <v>25.01336070788193</v>
      </c>
      <c r="M19" s="38">
        <f t="shared" si="9"/>
        <v>25.013360707881933</v>
      </c>
      <c r="N19" s="38">
        <f t="shared" si="10"/>
        <v>25.013360707881933</v>
      </c>
      <c r="O19">
        <f t="shared" si="11"/>
        <v>2.5999999999999996</v>
      </c>
      <c r="P19" s="1">
        <f t="shared" si="12"/>
        <v>2.6</v>
      </c>
      <c r="Q19">
        <v>8.3000000000000007</v>
      </c>
      <c r="V19">
        <v>26</v>
      </c>
      <c r="W19">
        <v>550</v>
      </c>
      <c r="X19">
        <f t="shared" si="13"/>
        <v>26.954864967800425</v>
      </c>
    </row>
    <row r="20" spans="1:24" x14ac:dyDescent="0.3">
      <c r="A20" s="32">
        <v>10</v>
      </c>
      <c r="B20" s="32">
        <v>16</v>
      </c>
      <c r="C20" s="32">
        <v>26</v>
      </c>
      <c r="D20" s="37">
        <f t="shared" si="0"/>
        <v>31.415926535897931</v>
      </c>
      <c r="E20" s="37">
        <f t="shared" si="1"/>
        <v>50.26548245743669</v>
      </c>
      <c r="F20" s="37">
        <f t="shared" si="2"/>
        <v>81.681408993334628</v>
      </c>
      <c r="G20">
        <f t="shared" si="4"/>
        <v>0.625</v>
      </c>
      <c r="H20">
        <f t="shared" si="5"/>
        <v>0.61538461538461542</v>
      </c>
      <c r="I20">
        <v>1400</v>
      </c>
      <c r="J20" s="32">
        <f t="shared" si="6"/>
        <v>875</v>
      </c>
      <c r="K20" s="32">
        <f t="shared" si="7"/>
        <v>538.46153846153845</v>
      </c>
      <c r="L20" s="38">
        <f t="shared" si="8"/>
        <v>26.389378290154262</v>
      </c>
      <c r="M20" s="38">
        <f t="shared" si="9"/>
        <v>26.389378290154262</v>
      </c>
      <c r="N20" s="38">
        <f t="shared" si="10"/>
        <v>26.389378290154262</v>
      </c>
      <c r="O20">
        <f t="shared" si="11"/>
        <v>2.6</v>
      </c>
      <c r="P20" s="1">
        <f t="shared" si="12"/>
        <v>2.6</v>
      </c>
      <c r="Q20">
        <v>8.3000000000000007</v>
      </c>
    </row>
    <row r="21" spans="1:24" x14ac:dyDescent="0.3">
      <c r="A21" s="32">
        <v>10</v>
      </c>
      <c r="B21" s="32">
        <v>16</v>
      </c>
      <c r="C21" s="32">
        <v>26</v>
      </c>
      <c r="D21" s="37">
        <f t="shared" si="0"/>
        <v>31.415926535897931</v>
      </c>
      <c r="E21" s="37">
        <f t="shared" si="1"/>
        <v>50.26548245743669</v>
      </c>
      <c r="F21" s="37">
        <f t="shared" si="2"/>
        <v>81.681408993334628</v>
      </c>
      <c r="G21">
        <f t="shared" si="4"/>
        <v>0.625</v>
      </c>
      <c r="H21">
        <f t="shared" si="5"/>
        <v>0.61538461538461542</v>
      </c>
      <c r="I21">
        <v>1500</v>
      </c>
      <c r="J21" s="32">
        <f t="shared" si="6"/>
        <v>937.5</v>
      </c>
      <c r="K21" s="32">
        <f t="shared" si="7"/>
        <v>576.92307692307691</v>
      </c>
      <c r="L21" s="38">
        <f t="shared" si="8"/>
        <v>28.274333882308134</v>
      </c>
      <c r="M21" s="38">
        <f t="shared" si="9"/>
        <v>28.274333882308142</v>
      </c>
      <c r="N21" s="38">
        <f t="shared" si="10"/>
        <v>28.274333882308134</v>
      </c>
      <c r="O21">
        <f t="shared" si="11"/>
        <v>2.6</v>
      </c>
      <c r="P21" s="1">
        <f t="shared" si="12"/>
        <v>2.6</v>
      </c>
      <c r="Q21">
        <v>8.3000000000000007</v>
      </c>
    </row>
    <row r="22" spans="1:24" x14ac:dyDescent="0.3">
      <c r="A22" s="32">
        <v>10</v>
      </c>
      <c r="B22" s="32">
        <v>16</v>
      </c>
      <c r="C22" s="32">
        <v>26</v>
      </c>
      <c r="D22" s="37">
        <f t="shared" si="0"/>
        <v>31.415926535897931</v>
      </c>
      <c r="E22" s="37">
        <f t="shared" si="1"/>
        <v>50.26548245743669</v>
      </c>
      <c r="F22" s="37">
        <f t="shared" si="2"/>
        <v>81.681408993334628</v>
      </c>
      <c r="G22">
        <f t="shared" si="4"/>
        <v>0.625</v>
      </c>
      <c r="H22">
        <f t="shared" si="5"/>
        <v>0.61538461538461542</v>
      </c>
      <c r="I22">
        <v>4360</v>
      </c>
      <c r="J22" s="32">
        <f t="shared" si="6"/>
        <v>2725</v>
      </c>
      <c r="K22" s="32">
        <f t="shared" si="7"/>
        <v>1676.9230769230769</v>
      </c>
      <c r="L22" s="38">
        <f t="shared" si="8"/>
        <v>82.184063817908992</v>
      </c>
      <c r="M22" s="38">
        <f t="shared" si="9"/>
        <v>82.184063817908992</v>
      </c>
      <c r="N22" s="38">
        <f t="shared" si="10"/>
        <v>82.184063817908992</v>
      </c>
      <c r="O22">
        <f t="shared" si="11"/>
        <v>2.6</v>
      </c>
      <c r="P22" s="1">
        <f t="shared" si="12"/>
        <v>2.6</v>
      </c>
      <c r="Q22">
        <v>8.3000000000000007</v>
      </c>
    </row>
    <row r="23" spans="1:24" x14ac:dyDescent="0.3">
      <c r="A23" s="32">
        <v>10</v>
      </c>
      <c r="B23" s="32">
        <v>16</v>
      </c>
      <c r="C23" s="32">
        <v>26</v>
      </c>
      <c r="D23" s="37">
        <f t="shared" si="0"/>
        <v>31.415926535897931</v>
      </c>
      <c r="E23" s="37">
        <f t="shared" si="1"/>
        <v>50.26548245743669</v>
      </c>
      <c r="F23" s="37">
        <f t="shared" si="2"/>
        <v>81.681408993334628</v>
      </c>
      <c r="G23">
        <f t="shared" si="4"/>
        <v>0.625</v>
      </c>
      <c r="H23">
        <f t="shared" si="5"/>
        <v>0.61538461538461542</v>
      </c>
      <c r="I23">
        <v>7880</v>
      </c>
      <c r="J23" s="32">
        <f t="shared" si="6"/>
        <v>4925</v>
      </c>
      <c r="K23" s="32">
        <f t="shared" si="7"/>
        <v>3030.7692307692309</v>
      </c>
      <c r="L23" s="38">
        <f t="shared" si="8"/>
        <v>148.53450066172542</v>
      </c>
      <c r="M23" s="38">
        <f t="shared" si="9"/>
        <v>148.53450066172542</v>
      </c>
      <c r="N23" s="38">
        <f t="shared" si="10"/>
        <v>148.53450066172542</v>
      </c>
      <c r="O23">
        <f t="shared" si="11"/>
        <v>2.5999999999999996</v>
      </c>
      <c r="P23" s="1">
        <f t="shared" si="12"/>
        <v>2.6</v>
      </c>
      <c r="Q23">
        <v>8.3000000000000007</v>
      </c>
    </row>
    <row r="24" spans="1:24" x14ac:dyDescent="0.3">
      <c r="V24">
        <f>588/531</f>
        <v>1.1073446327683616</v>
      </c>
    </row>
    <row r="26" spans="1:24" x14ac:dyDescent="0.3">
      <c r="P26" s="1" t="s">
        <v>277</v>
      </c>
      <c r="Q26" t="s">
        <v>278</v>
      </c>
    </row>
    <row r="27" spans="1:24" x14ac:dyDescent="0.3">
      <c r="J27" s="32">
        <v>600</v>
      </c>
      <c r="K27" s="32" cm="1">
        <f t="array" aca="1" ref="K27" ca="1">30*J27:K27</f>
        <v>0</v>
      </c>
    </row>
  </sheetData>
  <mergeCells count="5">
    <mergeCell ref="G3:H3"/>
    <mergeCell ref="A3:C3"/>
    <mergeCell ref="I3:K3"/>
    <mergeCell ref="D3:F3"/>
    <mergeCell ref="L3:N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178C-A900-4917-AB9A-4B5B6BD2C699}">
  <dimension ref="A2:T23"/>
  <sheetViews>
    <sheetView workbookViewId="0">
      <selection activeCell="G24" sqref="G24"/>
    </sheetView>
  </sheetViews>
  <sheetFormatPr defaultRowHeight="14.4" x14ac:dyDescent="0.3"/>
  <cols>
    <col min="8" max="8" width="6.88671875" customWidth="1"/>
    <col min="9" max="9" width="5.5546875" customWidth="1"/>
  </cols>
  <sheetData>
    <row r="2" spans="1:20" x14ac:dyDescent="0.3">
      <c r="A2" t="s">
        <v>264</v>
      </c>
      <c r="B2">
        <v>1000</v>
      </c>
      <c r="C2">
        <v>1000</v>
      </c>
    </row>
    <row r="4" spans="1:20" x14ac:dyDescent="0.3">
      <c r="A4" t="s">
        <v>292</v>
      </c>
      <c r="B4">
        <v>82</v>
      </c>
      <c r="C4">
        <v>132</v>
      </c>
    </row>
    <row r="5" spans="1:20" x14ac:dyDescent="0.3">
      <c r="A5" t="s">
        <v>293</v>
      </c>
      <c r="B5">
        <v>10</v>
      </c>
      <c r="C5">
        <v>100</v>
      </c>
      <c r="D5">
        <f>C4/C5</f>
        <v>1.32</v>
      </c>
      <c r="H5">
        <v>1</v>
      </c>
      <c r="I5">
        <v>2.6</v>
      </c>
      <c r="J5">
        <f>H5/I5</f>
        <v>0.38461538461538458</v>
      </c>
      <c r="K5">
        <f>J5*100</f>
        <v>38.46153846153846</v>
      </c>
      <c r="L5">
        <v>2</v>
      </c>
      <c r="M5">
        <f>J5*L5</f>
        <v>0.76923076923076916</v>
      </c>
      <c r="N5">
        <f>INT(M5)/L5</f>
        <v>0</v>
      </c>
      <c r="P5">
        <v>1.32</v>
      </c>
      <c r="Q5">
        <f>P5*100</f>
        <v>132</v>
      </c>
      <c r="R5">
        <v>2</v>
      </c>
      <c r="S5">
        <f>P5*R5</f>
        <v>2.64</v>
      </c>
      <c r="T5">
        <f>INT(S5)/R5</f>
        <v>1</v>
      </c>
    </row>
    <row r="6" spans="1:20" x14ac:dyDescent="0.3">
      <c r="H6">
        <v>1</v>
      </c>
      <c r="I6">
        <v>2.6</v>
      </c>
      <c r="J6">
        <f t="shared" ref="J6:J20" si="0">H6/I6</f>
        <v>0.38461538461538458</v>
      </c>
      <c r="K6">
        <f t="shared" ref="K6:K15" si="1">J6*100</f>
        <v>38.46153846153846</v>
      </c>
      <c r="L6">
        <v>4</v>
      </c>
      <c r="M6">
        <f t="shared" ref="M6:M15" si="2">J6*L6</f>
        <v>1.5384615384615383</v>
      </c>
      <c r="N6">
        <f t="shared" ref="N6:N15" si="3">INT(M6)/L6</f>
        <v>0.25</v>
      </c>
      <c r="P6">
        <v>1.32</v>
      </c>
      <c r="Q6">
        <f t="shared" ref="Q6:Q15" si="4">P6*100</f>
        <v>132</v>
      </c>
      <c r="R6">
        <v>4</v>
      </c>
      <c r="S6">
        <f t="shared" ref="S6:S15" si="5">P6*R6</f>
        <v>5.28</v>
      </c>
      <c r="T6">
        <f t="shared" ref="T6:T15" si="6">INT(S6)/R6</f>
        <v>1.25</v>
      </c>
    </row>
    <row r="7" spans="1:20" x14ac:dyDescent="0.3">
      <c r="F7">
        <v>1400</v>
      </c>
      <c r="H7">
        <v>1</v>
      </c>
      <c r="I7">
        <v>2.6</v>
      </c>
      <c r="J7">
        <f t="shared" si="0"/>
        <v>0.38461538461538458</v>
      </c>
      <c r="K7">
        <f t="shared" si="1"/>
        <v>38.46153846153846</v>
      </c>
      <c r="L7">
        <v>8</v>
      </c>
      <c r="M7">
        <f t="shared" si="2"/>
        <v>3.0769230769230766</v>
      </c>
      <c r="N7">
        <f t="shared" si="3"/>
        <v>0.375</v>
      </c>
      <c r="P7">
        <v>1.32</v>
      </c>
      <c r="Q7">
        <f t="shared" si="4"/>
        <v>132</v>
      </c>
      <c r="R7">
        <v>8</v>
      </c>
      <c r="S7">
        <f t="shared" si="5"/>
        <v>10.56</v>
      </c>
      <c r="T7">
        <f t="shared" si="6"/>
        <v>1.25</v>
      </c>
    </row>
    <row r="8" spans="1:20" x14ac:dyDescent="0.3">
      <c r="F8">
        <v>1330</v>
      </c>
      <c r="H8">
        <v>1</v>
      </c>
      <c r="I8">
        <v>2.6</v>
      </c>
      <c r="J8">
        <f t="shared" si="0"/>
        <v>0.38461538461538458</v>
      </c>
      <c r="K8">
        <f t="shared" si="1"/>
        <v>38.46153846153846</v>
      </c>
      <c r="L8">
        <v>16</v>
      </c>
      <c r="M8">
        <f t="shared" si="2"/>
        <v>6.1538461538461533</v>
      </c>
      <c r="N8">
        <f t="shared" si="3"/>
        <v>0.375</v>
      </c>
      <c r="P8">
        <v>1.32</v>
      </c>
      <c r="Q8">
        <f t="shared" si="4"/>
        <v>132</v>
      </c>
      <c r="R8">
        <v>16</v>
      </c>
      <c r="S8">
        <f t="shared" si="5"/>
        <v>21.12</v>
      </c>
      <c r="T8">
        <f t="shared" si="6"/>
        <v>1.3125</v>
      </c>
    </row>
    <row r="9" spans="1:20" x14ac:dyDescent="0.3">
      <c r="B9">
        <f>INT(B2/B4)</f>
        <v>12</v>
      </c>
      <c r="C9">
        <f>INT(C2/INT(C4))</f>
        <v>7</v>
      </c>
      <c r="F9">
        <f>F7/F8</f>
        <v>1.0526315789473684</v>
      </c>
      <c r="H9">
        <v>1</v>
      </c>
      <c r="I9">
        <v>2.6</v>
      </c>
      <c r="J9">
        <f t="shared" si="0"/>
        <v>0.38461538461538458</v>
      </c>
      <c r="K9">
        <f t="shared" si="1"/>
        <v>38.46153846153846</v>
      </c>
      <c r="L9">
        <v>32</v>
      </c>
      <c r="M9">
        <f t="shared" si="2"/>
        <v>12.307692307692307</v>
      </c>
      <c r="N9">
        <f t="shared" si="3"/>
        <v>0.375</v>
      </c>
      <c r="P9">
        <v>1.32</v>
      </c>
      <c r="Q9">
        <f t="shared" si="4"/>
        <v>132</v>
      </c>
      <c r="R9">
        <v>32</v>
      </c>
      <c r="S9">
        <f t="shared" si="5"/>
        <v>42.24</v>
      </c>
      <c r="T9">
        <f t="shared" si="6"/>
        <v>1.3125</v>
      </c>
    </row>
    <row r="10" spans="1:20" x14ac:dyDescent="0.3">
      <c r="B10">
        <f>INT(B9*B5)</f>
        <v>120</v>
      </c>
      <c r="C10">
        <f>INT(C9*C5)</f>
        <v>700</v>
      </c>
      <c r="H10">
        <v>1</v>
      </c>
      <c r="I10">
        <v>2.6</v>
      </c>
      <c r="J10">
        <f t="shared" si="0"/>
        <v>0.38461538461538458</v>
      </c>
      <c r="K10">
        <f t="shared" si="1"/>
        <v>38.46153846153846</v>
      </c>
      <c r="L10">
        <v>64</v>
      </c>
      <c r="M10">
        <f t="shared" si="2"/>
        <v>24.615384615384613</v>
      </c>
      <c r="N10">
        <f t="shared" si="3"/>
        <v>0.375</v>
      </c>
      <c r="P10">
        <v>1.32</v>
      </c>
      <c r="Q10">
        <f t="shared" si="4"/>
        <v>132</v>
      </c>
      <c r="R10">
        <v>64</v>
      </c>
      <c r="S10">
        <f t="shared" si="5"/>
        <v>84.48</v>
      </c>
      <c r="T10">
        <f t="shared" si="6"/>
        <v>1.3125</v>
      </c>
    </row>
    <row r="11" spans="1:20" x14ac:dyDescent="0.3">
      <c r="H11">
        <v>1</v>
      </c>
      <c r="I11">
        <v>2.6</v>
      </c>
      <c r="J11">
        <f t="shared" si="0"/>
        <v>0.38461538461538458</v>
      </c>
      <c r="K11">
        <f t="shared" si="1"/>
        <v>38.46153846153846</v>
      </c>
      <c r="L11">
        <v>128</v>
      </c>
      <c r="M11">
        <f t="shared" si="2"/>
        <v>49.230769230769226</v>
      </c>
      <c r="N11">
        <f t="shared" si="3"/>
        <v>0.3828125</v>
      </c>
      <c r="P11">
        <v>1.32</v>
      </c>
      <c r="Q11">
        <f t="shared" si="4"/>
        <v>132</v>
      </c>
      <c r="R11">
        <v>128</v>
      </c>
      <c r="S11">
        <f t="shared" si="5"/>
        <v>168.96</v>
      </c>
      <c r="T11">
        <f t="shared" si="6"/>
        <v>1.3125</v>
      </c>
    </row>
    <row r="12" spans="1:20" x14ac:dyDescent="0.3">
      <c r="H12">
        <v>1</v>
      </c>
      <c r="I12">
        <v>2.6</v>
      </c>
      <c r="J12">
        <f t="shared" si="0"/>
        <v>0.38461538461538458</v>
      </c>
      <c r="K12">
        <f t="shared" si="1"/>
        <v>38.46153846153846</v>
      </c>
      <c r="L12">
        <v>256</v>
      </c>
      <c r="M12">
        <f t="shared" si="2"/>
        <v>98.461538461538453</v>
      </c>
      <c r="N12">
        <f t="shared" si="3"/>
        <v>0.3828125</v>
      </c>
      <c r="P12">
        <v>1.32</v>
      </c>
      <c r="Q12">
        <f t="shared" si="4"/>
        <v>132</v>
      </c>
      <c r="R12">
        <v>256</v>
      </c>
      <c r="S12">
        <f t="shared" si="5"/>
        <v>337.92</v>
      </c>
      <c r="T12">
        <f t="shared" si="6"/>
        <v>1.31640625</v>
      </c>
    </row>
    <row r="13" spans="1:20" x14ac:dyDescent="0.3">
      <c r="F13">
        <f>C10/C22</f>
        <v>0.16969696969696971</v>
      </c>
      <c r="H13">
        <v>1</v>
      </c>
      <c r="I13">
        <v>2.6</v>
      </c>
      <c r="J13">
        <f t="shared" si="0"/>
        <v>0.38461538461538458</v>
      </c>
      <c r="K13">
        <f t="shared" si="1"/>
        <v>38.46153846153846</v>
      </c>
      <c r="L13">
        <v>512</v>
      </c>
      <c r="M13">
        <f t="shared" si="2"/>
        <v>196.92307692307691</v>
      </c>
      <c r="N13">
        <f t="shared" si="3"/>
        <v>0.3828125</v>
      </c>
      <c r="P13">
        <v>1.32</v>
      </c>
      <c r="Q13">
        <f t="shared" si="4"/>
        <v>132</v>
      </c>
      <c r="R13">
        <v>512</v>
      </c>
      <c r="S13">
        <f t="shared" si="5"/>
        <v>675.84</v>
      </c>
      <c r="T13">
        <f t="shared" si="6"/>
        <v>1.318359375</v>
      </c>
    </row>
    <row r="14" spans="1:20" x14ac:dyDescent="0.3">
      <c r="A14" t="s">
        <v>264</v>
      </c>
      <c r="B14">
        <v>1000</v>
      </c>
      <c r="C14">
        <v>3300</v>
      </c>
      <c r="H14">
        <v>1</v>
      </c>
      <c r="I14">
        <v>2.6</v>
      </c>
      <c r="J14">
        <f t="shared" si="0"/>
        <v>0.38461538461538458</v>
      </c>
      <c r="K14">
        <f t="shared" si="1"/>
        <v>38.46153846153846</v>
      </c>
      <c r="L14">
        <v>1024</v>
      </c>
      <c r="M14">
        <f t="shared" si="2"/>
        <v>393.84615384615381</v>
      </c>
      <c r="N14">
        <f t="shared" si="3"/>
        <v>0.3837890625</v>
      </c>
      <c r="P14">
        <v>1.32</v>
      </c>
      <c r="Q14">
        <f t="shared" si="4"/>
        <v>132</v>
      </c>
      <c r="R14" s="42">
        <v>1024</v>
      </c>
      <c r="S14" s="43">
        <f t="shared" si="5"/>
        <v>1351.68</v>
      </c>
      <c r="T14">
        <f t="shared" si="6"/>
        <v>1.3193359375</v>
      </c>
    </row>
    <row r="15" spans="1:20" x14ac:dyDescent="0.3">
      <c r="H15">
        <v>1</v>
      </c>
      <c r="I15">
        <v>2.6</v>
      </c>
      <c r="J15">
        <f t="shared" si="0"/>
        <v>0.38461538461538458</v>
      </c>
      <c r="K15">
        <f t="shared" si="1"/>
        <v>38.46153846153846</v>
      </c>
      <c r="L15" s="42">
        <v>4096</v>
      </c>
      <c r="M15" s="43">
        <f t="shared" si="2"/>
        <v>1575.3846153846152</v>
      </c>
      <c r="N15">
        <f t="shared" si="3"/>
        <v>0.384521484375</v>
      </c>
      <c r="P15">
        <v>1.32</v>
      </c>
      <c r="Q15">
        <f t="shared" si="4"/>
        <v>132</v>
      </c>
      <c r="R15">
        <v>4096</v>
      </c>
      <c r="S15">
        <f t="shared" si="5"/>
        <v>5406.72</v>
      </c>
      <c r="T15">
        <f t="shared" si="6"/>
        <v>1.31982421875</v>
      </c>
    </row>
    <row r="16" spans="1:20" x14ac:dyDescent="0.3">
      <c r="A16" t="s">
        <v>292</v>
      </c>
      <c r="B16">
        <v>82</v>
      </c>
      <c r="C16">
        <v>8</v>
      </c>
      <c r="H16">
        <v>1</v>
      </c>
      <c r="I16">
        <v>2.6</v>
      </c>
      <c r="J16">
        <f t="shared" si="0"/>
        <v>0.38461538461538458</v>
      </c>
      <c r="P16">
        <v>1.32</v>
      </c>
    </row>
    <row r="17" spans="1:20" x14ac:dyDescent="0.3">
      <c r="A17" t="s">
        <v>293</v>
      </c>
      <c r="B17">
        <v>10</v>
      </c>
      <c r="C17">
        <v>10</v>
      </c>
      <c r="H17">
        <v>1</v>
      </c>
      <c r="I17">
        <v>2.6</v>
      </c>
      <c r="J17">
        <f t="shared" si="0"/>
        <v>0.38461538461538458</v>
      </c>
      <c r="P17">
        <v>1.32</v>
      </c>
    </row>
    <row r="18" spans="1:20" x14ac:dyDescent="0.3">
      <c r="H18">
        <v>1</v>
      </c>
      <c r="I18">
        <v>2.6</v>
      </c>
      <c r="J18">
        <f t="shared" si="0"/>
        <v>0.38461538461538458</v>
      </c>
      <c r="P18">
        <v>1.32</v>
      </c>
    </row>
    <row r="19" spans="1:20" x14ac:dyDescent="0.3">
      <c r="F19">
        <v>1400</v>
      </c>
      <c r="H19">
        <v>1</v>
      </c>
      <c r="I19">
        <v>2.6</v>
      </c>
      <c r="J19">
        <f t="shared" si="0"/>
        <v>0.38461538461538458</v>
      </c>
      <c r="P19">
        <v>1.32</v>
      </c>
    </row>
    <row r="20" spans="1:20" x14ac:dyDescent="0.3">
      <c r="F20">
        <v>1330</v>
      </c>
      <c r="H20">
        <v>1</v>
      </c>
      <c r="I20">
        <v>2.6</v>
      </c>
      <c r="J20">
        <f t="shared" si="0"/>
        <v>0.38461538461538458</v>
      </c>
      <c r="P20">
        <v>1.32</v>
      </c>
    </row>
    <row r="21" spans="1:20" x14ac:dyDescent="0.3">
      <c r="B21">
        <f>INT(B14*B17)</f>
        <v>10000</v>
      </c>
      <c r="C21">
        <f>INT(C14*C17)</f>
        <v>33000</v>
      </c>
      <c r="F21">
        <f>F19/F20</f>
        <v>1.0526315789473684</v>
      </c>
      <c r="P21">
        <v>1.32</v>
      </c>
    </row>
    <row r="22" spans="1:20" x14ac:dyDescent="0.3">
      <c r="B22">
        <f>INT(B21/B16)</f>
        <v>121</v>
      </c>
      <c r="C22">
        <f>INT(C21/INT(C16))</f>
        <v>4125</v>
      </c>
      <c r="P22">
        <v>1.32</v>
      </c>
      <c r="S22" t="s">
        <v>294</v>
      </c>
      <c r="T22">
        <v>10</v>
      </c>
    </row>
    <row r="23" spans="1:20" x14ac:dyDescent="0.3">
      <c r="T2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Menu1</vt:lpstr>
      <vt:lpstr>Menu2</vt:lpstr>
      <vt:lpstr>Menu3</vt:lpstr>
      <vt:lpstr>MenuF</vt:lpstr>
      <vt:lpstr>UI</vt:lpstr>
      <vt:lpstr>Key</vt:lpstr>
      <vt:lpstr>Key2</vt:lpstr>
      <vt:lpstr>Uart&amp;Tmr1</vt:lpstr>
      <vt:lpstr>Sheet2</vt:lpstr>
      <vt:lpstr>Velocity</vt:lpstr>
      <vt:lpstr>RpmSpeed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Yagci</dc:creator>
  <cp:lastModifiedBy>ilker yagci</cp:lastModifiedBy>
  <dcterms:created xsi:type="dcterms:W3CDTF">2020-02-19T16:42:00Z</dcterms:created>
  <dcterms:modified xsi:type="dcterms:W3CDTF">2024-02-29T11:30:44Z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eab6e-04c6-4822-9252-98ab9f25736b_Enabled">
    <vt:lpwstr>True</vt:lpwstr>
  </property>
  <property fmtid="{D5CDD505-2E9C-101B-9397-08002B2CF9AE}" pid="3" name="MSIP_Label_477eab6e-04c6-4822-9252-98ab9f25736b_SiteId">
    <vt:lpwstr>d2007bef-127d-4591-97ac-10d72fe28031</vt:lpwstr>
  </property>
  <property fmtid="{D5CDD505-2E9C-101B-9397-08002B2CF9AE}" pid="4" name="MSIP_Label_477eab6e-04c6-4822-9252-98ab9f25736b_Owner">
    <vt:lpwstr>ilker.yagci@electrolux.com</vt:lpwstr>
  </property>
  <property fmtid="{D5CDD505-2E9C-101B-9397-08002B2CF9AE}" pid="5" name="MSIP_Label_477eab6e-04c6-4822-9252-98ab9f25736b_SetDate">
    <vt:lpwstr>2020-02-19T17:09:48.3234961Z</vt:lpwstr>
  </property>
  <property fmtid="{D5CDD505-2E9C-101B-9397-08002B2CF9AE}" pid="6" name="MSIP_Label_477eab6e-04c6-4822-9252-98ab9f25736b_Name">
    <vt:lpwstr>Internal</vt:lpwstr>
  </property>
  <property fmtid="{D5CDD505-2E9C-101B-9397-08002B2CF9AE}" pid="7" name="MSIP_Label_477eab6e-04c6-4822-9252-98ab9f25736b_Application">
    <vt:lpwstr>Microsoft Azure Information Protection</vt:lpwstr>
  </property>
  <property fmtid="{D5CDD505-2E9C-101B-9397-08002B2CF9AE}" pid="8" name="MSIP_Label_477eab6e-04c6-4822-9252-98ab9f25736b_ActionId">
    <vt:lpwstr>89f506a7-71f5-4b84-8162-1c02acd8251d</vt:lpwstr>
  </property>
  <property fmtid="{D5CDD505-2E9C-101B-9397-08002B2CF9AE}" pid="9" name="MSIP_Label_477eab6e-04c6-4822-9252-98ab9f25736b_Extended_MSFT_Method">
    <vt:lpwstr>Automatic</vt:lpwstr>
  </property>
  <property fmtid="{D5CDD505-2E9C-101B-9397-08002B2CF9AE}" pid="10" name="Sensitivity">
    <vt:lpwstr>Internal</vt:lpwstr>
  </property>
</Properties>
</file>